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mohan\Desktop\Portal_BC\latest\"/>
    </mc:Choice>
  </mc:AlternateContent>
  <xr:revisionPtr revIDLastSave="0" documentId="13_ncr:1_{4182ECD1-9D6D-4287-92BB-8B9C6FD5BDDB}" xr6:coauthVersionLast="45" xr6:coauthVersionMax="45" xr10:uidLastSave="{00000000-0000-0000-0000-000000000000}"/>
  <bookViews>
    <workbookView xWindow="-110" yWindow="-110" windowWidth="19420" windowHeight="10420" tabRatio="798" activeTab="1" xr2:uid="{4938193B-E65B-4B41-8E89-D76C543B17D6}"/>
  </bookViews>
  <sheets>
    <sheet name="Cover" sheetId="19" r:id="rId1"/>
    <sheet name="Dashboard" sheetId="13" r:id="rId2"/>
    <sheet name="Overall_Cost" sheetId="15" r:id="rId3"/>
    <sheet name="Effort_Development" sheetId="12" r:id="rId4"/>
    <sheet name="Cost_Development" sheetId="14" r:id="rId5"/>
    <sheet name="Estimates_Architect" sheetId="18" r:id="rId6"/>
    <sheet name="Feature_Coverage" sheetId="16" r:id="rId7"/>
    <sheet name="Overall_Cost_BK" sheetId="2" state="hidden" r:id="rId8"/>
    <sheet name="Project Development Details" sheetId="8" state="hidden" r:id="rId9"/>
  </sheets>
  <definedNames>
    <definedName name="_xlnm._FilterDatabase" localSheetId="5" hidden="1">Estimates_Architect!$B$2:$AM$28</definedName>
    <definedName name="_xlnm._FilterDatabase" localSheetId="6" hidden="1">Feature_Coverage!$B$2:$D$18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3" i="13" l="1"/>
  <c r="F29" i="15"/>
  <c r="F30" i="15"/>
  <c r="Y42" i="13"/>
  <c r="F25" i="15" l="1"/>
  <c r="C4" i="13" s="1"/>
  <c r="K24" i="15"/>
  <c r="F24" i="15"/>
  <c r="F21" i="15"/>
  <c r="F22" i="15"/>
  <c r="F23" i="15"/>
  <c r="F16" i="15"/>
  <c r="F7" i="15"/>
  <c r="F11" i="15"/>
  <c r="G12" i="15"/>
  <c r="E13" i="15"/>
  <c r="E12" i="15"/>
  <c r="F13" i="15"/>
  <c r="F12" i="15"/>
  <c r="E23" i="15" l="1"/>
  <c r="G2" i="15"/>
  <c r="H2" i="15"/>
  <c r="I2" i="15"/>
  <c r="J2" i="15"/>
  <c r="G7" i="15"/>
  <c r="H7" i="15"/>
  <c r="I7" i="15"/>
  <c r="J7" i="15"/>
  <c r="I14" i="15"/>
  <c r="J14" i="15"/>
  <c r="H14" i="15"/>
  <c r="J1" i="14" l="1"/>
  <c r="D20" i="16"/>
  <c r="D29" i="12"/>
  <c r="L6" i="14" l="1"/>
  <c r="L5" i="14"/>
  <c r="L4" i="14"/>
  <c r="G19" i="12" l="1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H18" i="12"/>
  <c r="G17" i="12"/>
  <c r="H17" i="12" s="1"/>
  <c r="G16" i="12"/>
  <c r="H16" i="12" s="1"/>
  <c r="E28" i="12"/>
  <c r="F28" i="12" s="1"/>
  <c r="E29" i="12"/>
  <c r="F29" i="12" s="1"/>
  <c r="E30" i="12"/>
  <c r="F30" i="12" s="1"/>
  <c r="E17" i="12"/>
  <c r="F17" i="12" s="1"/>
  <c r="F18" i="12"/>
  <c r="E19" i="12"/>
  <c r="F19" i="12" s="1"/>
  <c r="F20" i="12"/>
  <c r="E21" i="12"/>
  <c r="F21" i="12" s="1"/>
  <c r="E22" i="12"/>
  <c r="F22" i="12" s="1"/>
  <c r="F23" i="12"/>
  <c r="E24" i="12"/>
  <c r="F24" i="12" s="1"/>
  <c r="E25" i="12"/>
  <c r="F25" i="12" s="1"/>
  <c r="E26" i="12"/>
  <c r="F26" i="12" s="1"/>
  <c r="E27" i="12"/>
  <c r="F27" i="12" s="1"/>
  <c r="E16" i="12"/>
  <c r="F16" i="12" s="1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F55" i="18"/>
  <c r="H54" i="18"/>
  <c r="H53" i="18"/>
  <c r="H52" i="18"/>
  <c r="H51" i="18"/>
  <c r="H50" i="18"/>
  <c r="H49" i="18"/>
  <c r="H48" i="18"/>
  <c r="H47" i="18"/>
  <c r="F47" i="18"/>
  <c r="T34" i="18"/>
  <c r="P31" i="18"/>
  <c r="T31" i="18" s="1"/>
  <c r="P30" i="18"/>
  <c r="T30" i="18" s="1"/>
  <c r="AK28" i="18"/>
  <c r="AI28" i="18"/>
  <c r="AB28" i="18"/>
  <c r="AA28" i="18"/>
  <c r="X28" i="18"/>
  <c r="W28" i="18"/>
  <c r="R28" i="18"/>
  <c r="S28" i="18" s="1"/>
  <c r="Q28" i="18"/>
  <c r="AK27" i="18"/>
  <c r="AI27" i="18"/>
  <c r="AB27" i="18"/>
  <c r="AA27" i="18"/>
  <c r="X27" i="18"/>
  <c r="W27" i="18"/>
  <c r="R27" i="18"/>
  <c r="S27" i="18" s="1"/>
  <c r="Q27" i="18"/>
  <c r="AK26" i="18"/>
  <c r="AI26" i="18"/>
  <c r="AB26" i="18"/>
  <c r="AA26" i="18"/>
  <c r="X26" i="18"/>
  <c r="W26" i="18"/>
  <c r="R26" i="18"/>
  <c r="T26" i="18" s="1"/>
  <c r="Q26" i="18"/>
  <c r="AK25" i="18"/>
  <c r="AI25" i="18"/>
  <c r="AB25" i="18"/>
  <c r="AA25" i="18"/>
  <c r="X25" i="18"/>
  <c r="W25" i="18"/>
  <c r="R25" i="18"/>
  <c r="T25" i="18" s="1"/>
  <c r="Q25" i="18"/>
  <c r="AK24" i="18"/>
  <c r="AI24" i="18"/>
  <c r="AB24" i="18"/>
  <c r="AA24" i="18"/>
  <c r="X24" i="18"/>
  <c r="W24" i="18"/>
  <c r="R24" i="18"/>
  <c r="T24" i="18" s="1"/>
  <c r="Q24" i="18"/>
  <c r="AK23" i="18"/>
  <c r="AI23" i="18"/>
  <c r="AB23" i="18"/>
  <c r="AA23" i="18"/>
  <c r="X23" i="18"/>
  <c r="W23" i="18"/>
  <c r="R23" i="18"/>
  <c r="T23" i="18" s="1"/>
  <c r="Q23" i="18"/>
  <c r="AK22" i="18"/>
  <c r="AI22" i="18"/>
  <c r="AB22" i="18"/>
  <c r="AA22" i="18"/>
  <c r="X22" i="18"/>
  <c r="W22" i="18"/>
  <c r="R22" i="18"/>
  <c r="T22" i="18" s="1"/>
  <c r="Q22" i="18"/>
  <c r="AK21" i="18"/>
  <c r="AI21" i="18"/>
  <c r="AB21" i="18"/>
  <c r="AA21" i="18"/>
  <c r="X21" i="18"/>
  <c r="W21" i="18"/>
  <c r="R21" i="18"/>
  <c r="T21" i="18" s="1"/>
  <c r="Q21" i="18"/>
  <c r="AK20" i="18"/>
  <c r="AI20" i="18"/>
  <c r="AB20" i="18"/>
  <c r="AA20" i="18"/>
  <c r="X20" i="18"/>
  <c r="W20" i="18"/>
  <c r="R20" i="18"/>
  <c r="T20" i="18" s="1"/>
  <c r="Q20" i="18"/>
  <c r="AK19" i="18"/>
  <c r="AI19" i="18"/>
  <c r="AB19" i="18"/>
  <c r="AA19" i="18"/>
  <c r="X19" i="18"/>
  <c r="W19" i="18"/>
  <c r="R19" i="18"/>
  <c r="S19" i="18" s="1"/>
  <c r="Q19" i="18"/>
  <c r="AK18" i="18"/>
  <c r="AI18" i="18"/>
  <c r="AB18" i="18"/>
  <c r="AA18" i="18"/>
  <c r="X18" i="18"/>
  <c r="W18" i="18"/>
  <c r="R18" i="18"/>
  <c r="S18" i="18" s="1"/>
  <c r="Q18" i="18"/>
  <c r="AK17" i="18"/>
  <c r="AI17" i="18"/>
  <c r="AB17" i="18"/>
  <c r="AA17" i="18"/>
  <c r="X17" i="18"/>
  <c r="W17" i="18"/>
  <c r="R17" i="18"/>
  <c r="T17" i="18" s="1"/>
  <c r="AN17" i="18" s="1"/>
  <c r="Q17" i="18"/>
  <c r="AK16" i="18"/>
  <c r="AI16" i="18"/>
  <c r="AB16" i="18"/>
  <c r="AA16" i="18"/>
  <c r="X16" i="18"/>
  <c r="W16" i="18"/>
  <c r="R16" i="18"/>
  <c r="T16" i="18" s="1"/>
  <c r="Q16" i="18"/>
  <c r="AK15" i="18"/>
  <c r="AI15" i="18"/>
  <c r="AB15" i="18"/>
  <c r="AA15" i="18"/>
  <c r="X15" i="18"/>
  <c r="W15" i="18"/>
  <c r="R15" i="18"/>
  <c r="S15" i="18" s="1"/>
  <c r="Q15" i="18"/>
  <c r="AK14" i="18"/>
  <c r="AI14" i="18"/>
  <c r="AB14" i="18"/>
  <c r="AA14" i="18"/>
  <c r="X14" i="18"/>
  <c r="W14" i="18"/>
  <c r="R14" i="18"/>
  <c r="T14" i="18" s="1"/>
  <c r="AN14" i="18" s="1"/>
  <c r="Q14" i="18"/>
  <c r="AK13" i="18"/>
  <c r="AI13" i="18"/>
  <c r="AB13" i="18"/>
  <c r="AA13" i="18"/>
  <c r="X13" i="18"/>
  <c r="W13" i="18"/>
  <c r="R13" i="18"/>
  <c r="T13" i="18" s="1"/>
  <c r="AN13" i="18" s="1"/>
  <c r="Q13" i="18"/>
  <c r="AK12" i="18"/>
  <c r="AI12" i="18"/>
  <c r="AB12" i="18"/>
  <c r="AA12" i="18"/>
  <c r="X12" i="18"/>
  <c r="W12" i="18"/>
  <c r="R12" i="18"/>
  <c r="T12" i="18" s="1"/>
  <c r="AN12" i="18" s="1"/>
  <c r="Q12" i="18"/>
  <c r="AK11" i="18"/>
  <c r="AI11" i="18"/>
  <c r="AB11" i="18"/>
  <c r="AA11" i="18"/>
  <c r="X11" i="18"/>
  <c r="W11" i="18"/>
  <c r="R11" i="18"/>
  <c r="S11" i="18" s="1"/>
  <c r="Q11" i="18"/>
  <c r="AK10" i="18"/>
  <c r="AI10" i="18"/>
  <c r="AB10" i="18"/>
  <c r="AA10" i="18"/>
  <c r="W10" i="18"/>
  <c r="R10" i="18"/>
  <c r="S10" i="18" s="1"/>
  <c r="Q10" i="18"/>
  <c r="AK9" i="18"/>
  <c r="AI9" i="18"/>
  <c r="AB9" i="18"/>
  <c r="AA9" i="18"/>
  <c r="W9" i="18"/>
  <c r="R9" i="18"/>
  <c r="S9" i="18" s="1"/>
  <c r="Q9" i="18"/>
  <c r="AK8" i="18"/>
  <c r="AI8" i="18"/>
  <c r="AB8" i="18"/>
  <c r="AA8" i="18"/>
  <c r="X8" i="18"/>
  <c r="W8" i="18"/>
  <c r="R8" i="18"/>
  <c r="S8" i="18" s="1"/>
  <c r="Q8" i="18"/>
  <c r="AK7" i="18"/>
  <c r="AI7" i="18"/>
  <c r="AB7" i="18"/>
  <c r="AA7" i="18"/>
  <c r="X7" i="18"/>
  <c r="W7" i="18"/>
  <c r="R7" i="18"/>
  <c r="T7" i="18" s="1"/>
  <c r="Q7" i="18"/>
  <c r="AK6" i="18"/>
  <c r="AI6" i="18"/>
  <c r="AB6" i="18"/>
  <c r="AA6" i="18"/>
  <c r="X6" i="18"/>
  <c r="W6" i="18"/>
  <c r="R6" i="18"/>
  <c r="S6" i="18" s="1"/>
  <c r="Q6" i="18"/>
  <c r="AK5" i="18"/>
  <c r="AI5" i="18"/>
  <c r="AB5" i="18"/>
  <c r="AA5" i="18"/>
  <c r="X5" i="18"/>
  <c r="W5" i="18"/>
  <c r="R5" i="18"/>
  <c r="T5" i="18" s="1"/>
  <c r="Q5" i="18"/>
  <c r="AK4" i="18"/>
  <c r="AI4" i="18"/>
  <c r="AB4" i="18"/>
  <c r="AA4" i="18"/>
  <c r="X4" i="18"/>
  <c r="W4" i="18"/>
  <c r="R4" i="18"/>
  <c r="T4" i="18" s="1"/>
  <c r="Q4" i="18"/>
  <c r="AK3" i="18"/>
  <c r="AI3" i="18"/>
  <c r="AB3" i="18"/>
  <c r="AA3" i="18"/>
  <c r="X3" i="18"/>
  <c r="W3" i="18"/>
  <c r="R3" i="18"/>
  <c r="T3" i="18" s="1"/>
  <c r="Q3" i="18"/>
  <c r="AO11" i="18" l="1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3" i="18"/>
  <c r="AO4" i="18"/>
  <c r="AO6" i="18"/>
  <c r="AO8" i="18"/>
  <c r="AO30" i="18" s="1"/>
  <c r="AN4" i="18"/>
  <c r="AN3" i="18"/>
  <c r="AO9" i="18"/>
  <c r="AG16" i="18"/>
  <c r="AN16" i="18"/>
  <c r="AN20" i="18"/>
  <c r="AN21" i="18"/>
  <c r="AN22" i="18"/>
  <c r="AG23" i="18"/>
  <c r="AN23" i="18"/>
  <c r="AG24" i="18"/>
  <c r="AN24" i="18"/>
  <c r="AN25" i="18"/>
  <c r="AN26" i="18"/>
  <c r="C19" i="12"/>
  <c r="D19" i="12" s="1"/>
  <c r="AG5" i="18"/>
  <c r="C18" i="12"/>
  <c r="D18" i="12" s="1"/>
  <c r="C17" i="12"/>
  <c r="D17" i="12" s="1"/>
  <c r="C16" i="12"/>
  <c r="D16" i="12" s="1"/>
  <c r="F31" i="12"/>
  <c r="F32" i="12" s="1"/>
  <c r="H31" i="12"/>
  <c r="G14" i="12" s="1"/>
  <c r="D8" i="12" s="1"/>
  <c r="C30" i="12"/>
  <c r="D30" i="12" s="1"/>
  <c r="C28" i="12"/>
  <c r="D28" i="12" s="1"/>
  <c r="C27" i="12"/>
  <c r="D27" i="12" s="1"/>
  <c r="T6" i="18"/>
  <c r="AN6" i="18" s="1"/>
  <c r="S24" i="18"/>
  <c r="C24" i="12"/>
  <c r="D24" i="12" s="1"/>
  <c r="C23" i="12"/>
  <c r="D23" i="12" s="1"/>
  <c r="C26" i="12"/>
  <c r="D26" i="12" s="1"/>
  <c r="C25" i="12"/>
  <c r="D25" i="12" s="1"/>
  <c r="C22" i="12"/>
  <c r="D22" i="12" s="1"/>
  <c r="T15" i="18"/>
  <c r="I72" i="18"/>
  <c r="J72" i="18" s="1"/>
  <c r="C21" i="12"/>
  <c r="D21" i="12" s="1"/>
  <c r="C20" i="12"/>
  <c r="D20" i="12" s="1"/>
  <c r="T27" i="18"/>
  <c r="I55" i="18"/>
  <c r="J55" i="18" s="1"/>
  <c r="I68" i="18"/>
  <c r="J68" i="18" s="1"/>
  <c r="I51" i="18"/>
  <c r="J51" i="18" s="1"/>
  <c r="I64" i="18"/>
  <c r="J64" i="18" s="1"/>
  <c r="T18" i="18"/>
  <c r="T10" i="18"/>
  <c r="AG10" i="18" s="1"/>
  <c r="I59" i="18"/>
  <c r="J59" i="18" s="1"/>
  <c r="S20" i="18"/>
  <c r="T28" i="18"/>
  <c r="I47" i="18"/>
  <c r="J47" i="18" s="1"/>
  <c r="S5" i="18"/>
  <c r="I50" i="18"/>
  <c r="J50" i="18" s="1"/>
  <c r="S12" i="18"/>
  <c r="I65" i="18"/>
  <c r="J65" i="18" s="1"/>
  <c r="S23" i="18"/>
  <c r="I48" i="18"/>
  <c r="J48" i="18" s="1"/>
  <c r="T9" i="18"/>
  <c r="AN9" i="18" s="1"/>
  <c r="T19" i="18"/>
  <c r="I66" i="18"/>
  <c r="J66" i="18" s="1"/>
  <c r="T11" i="18"/>
  <c r="I58" i="18"/>
  <c r="J58" i="18" s="1"/>
  <c r="I60" i="18"/>
  <c r="J60" i="18" s="1"/>
  <c r="I57" i="18"/>
  <c r="J57" i="18" s="1"/>
  <c r="I69" i="18"/>
  <c r="J69" i="18" s="1"/>
  <c r="I52" i="18"/>
  <c r="J52" i="18" s="1"/>
  <c r="I61" i="18"/>
  <c r="J61" i="18" s="1"/>
  <c r="I56" i="18"/>
  <c r="J56" i="18" s="1"/>
  <c r="S16" i="18"/>
  <c r="I62" i="18"/>
  <c r="J62" i="18" s="1"/>
  <c r="I70" i="18"/>
  <c r="J70" i="18" s="1"/>
  <c r="I71" i="18"/>
  <c r="J71" i="18" s="1"/>
  <c r="T8" i="18"/>
  <c r="AN8" i="18" s="1"/>
  <c r="I53" i="18"/>
  <c r="J53" i="18" s="1"/>
  <c r="I54" i="18"/>
  <c r="J54" i="18" s="1"/>
  <c r="I63" i="18"/>
  <c r="J63" i="18" s="1"/>
  <c r="S25" i="18"/>
  <c r="I49" i="18"/>
  <c r="J49" i="18" s="1"/>
  <c r="I67" i="18"/>
  <c r="J67" i="18" s="1"/>
  <c r="AG3" i="18"/>
  <c r="AE3" i="18"/>
  <c r="AG21" i="18"/>
  <c r="AE21" i="18"/>
  <c r="AE14" i="18"/>
  <c r="AP14" i="18" s="1"/>
  <c r="AG14" i="18"/>
  <c r="AG12" i="18"/>
  <c r="AE12" i="18"/>
  <c r="AE22" i="18"/>
  <c r="AG22" i="18"/>
  <c r="AG13" i="18"/>
  <c r="AE13" i="18"/>
  <c r="AG25" i="18"/>
  <c r="AE25" i="18"/>
  <c r="AE4" i="18"/>
  <c r="AG4" i="18"/>
  <c r="AE7" i="18"/>
  <c r="AG7" i="18"/>
  <c r="AG17" i="18"/>
  <c r="AE17" i="18"/>
  <c r="AG26" i="18"/>
  <c r="AE26" i="18"/>
  <c r="G55" i="18"/>
  <c r="AG20" i="18"/>
  <c r="AE20" i="18"/>
  <c r="S7" i="18"/>
  <c r="S17" i="18"/>
  <c r="S4" i="18"/>
  <c r="S14" i="18"/>
  <c r="AE16" i="18"/>
  <c r="S22" i="18"/>
  <c r="AE24" i="18"/>
  <c r="S3" i="18"/>
  <c r="AE5" i="18"/>
  <c r="S21" i="18"/>
  <c r="S13" i="18"/>
  <c r="AE23" i="18"/>
  <c r="S26" i="18"/>
  <c r="AM7" i="18" l="1"/>
  <c r="AP3" i="18"/>
  <c r="AP12" i="18"/>
  <c r="AP20" i="18"/>
  <c r="AP7" i="18"/>
  <c r="AM5" i="18"/>
  <c r="AP5" i="18"/>
  <c r="AG18" i="18"/>
  <c r="AN18" i="18"/>
  <c r="AP22" i="18"/>
  <c r="AM24" i="18"/>
  <c r="AP24" i="18"/>
  <c r="AM23" i="18"/>
  <c r="AP23" i="18"/>
  <c r="AM16" i="18"/>
  <c r="AP16" i="18"/>
  <c r="AP26" i="18"/>
  <c r="AP25" i="18"/>
  <c r="AG11" i="18"/>
  <c r="AN11" i="18"/>
  <c r="AG28" i="18"/>
  <c r="AN28" i="18"/>
  <c r="AG9" i="18"/>
  <c r="AE28" i="18"/>
  <c r="AP4" i="18"/>
  <c r="AG15" i="18"/>
  <c r="AN15" i="18"/>
  <c r="AG27" i="18"/>
  <c r="AN27" i="18"/>
  <c r="AP17" i="18"/>
  <c r="AP13" i="18"/>
  <c r="AP21" i="18"/>
  <c r="AG19" i="18"/>
  <c r="AN19" i="18"/>
  <c r="AE9" i="18"/>
  <c r="AG6" i="18"/>
  <c r="D31" i="12"/>
  <c r="C14" i="12" s="1"/>
  <c r="AE15" i="18"/>
  <c r="AE6" i="18"/>
  <c r="AM17" i="18"/>
  <c r="G54" i="18"/>
  <c r="G47" i="18"/>
  <c r="F61" i="18" s="1"/>
  <c r="G61" i="18" s="1"/>
  <c r="F60" i="18" s="1"/>
  <c r="G60" i="18" s="1"/>
  <c r="F72" i="18" s="1"/>
  <c r="G72" i="18" s="1"/>
  <c r="AE19" i="18"/>
  <c r="G51" i="18"/>
  <c r="AM4" i="18"/>
  <c r="AM25" i="18"/>
  <c r="G49" i="18"/>
  <c r="AM14" i="18"/>
  <c r="AE18" i="18"/>
  <c r="AE11" i="18"/>
  <c r="AM26" i="18"/>
  <c r="AM12" i="18"/>
  <c r="AM3" i="18"/>
  <c r="AE27" i="18"/>
  <c r="AM20" i="18"/>
  <c r="AE10" i="18"/>
  <c r="AG8" i="18"/>
  <c r="AE8" i="18"/>
  <c r="AP8" i="18" s="1"/>
  <c r="AM22" i="18"/>
  <c r="AM13" i="18"/>
  <c r="AM21" i="18"/>
  <c r="F52" i="18"/>
  <c r="G52" i="18" s="1"/>
  <c r="F53" i="18"/>
  <c r="G53" i="18" s="1"/>
  <c r="F50" i="18" s="1"/>
  <c r="G50" i="18" s="1"/>
  <c r="F48" i="18" s="1"/>
  <c r="G48" i="18" s="1"/>
  <c r="AM9" i="18" l="1"/>
  <c r="AN30" i="18"/>
  <c r="AN32" i="18" s="1"/>
  <c r="AN33" i="18" s="1"/>
  <c r="AM10" i="18"/>
  <c r="AP10" i="18"/>
  <c r="AM15" i="18"/>
  <c r="AP15" i="18"/>
  <c r="AM11" i="18"/>
  <c r="AP11" i="18"/>
  <c r="AM18" i="18"/>
  <c r="AP18" i="18"/>
  <c r="AM6" i="18"/>
  <c r="AP6" i="18"/>
  <c r="AM28" i="18"/>
  <c r="AP28" i="18"/>
  <c r="AM27" i="18"/>
  <c r="AP27" i="18"/>
  <c r="AM19" i="18"/>
  <c r="AP19" i="18"/>
  <c r="AP9" i="18"/>
  <c r="D3" i="12"/>
  <c r="F58" i="18"/>
  <c r="G58" i="18" s="1"/>
  <c r="F68" i="18" s="1"/>
  <c r="G68" i="18" s="1"/>
  <c r="AM8" i="18"/>
  <c r="AM30" i="18" s="1"/>
  <c r="AP30" i="18" l="1"/>
  <c r="G74" i="18"/>
  <c r="C2" i="13" l="1"/>
  <c r="C9" i="12" l="1"/>
  <c r="L9" i="14" l="1"/>
  <c r="E11" i="14" s="1"/>
  <c r="J7" i="12"/>
  <c r="J6" i="12"/>
  <c r="E8" i="15"/>
  <c r="E7" i="15" s="1"/>
  <c r="E6" i="15"/>
  <c r="E5" i="15"/>
  <c r="E4" i="15"/>
  <c r="E3" i="15"/>
  <c r="E14" i="14"/>
  <c r="C1" i="14"/>
  <c r="G15" i="8"/>
  <c r="G17" i="8"/>
  <c r="G18" i="8"/>
  <c r="G20" i="8"/>
  <c r="C7" i="8"/>
  <c r="E15" i="14" l="1"/>
  <c r="J8" i="12"/>
  <c r="J9" i="12" s="1"/>
  <c r="E2" i="15"/>
  <c r="D5" i="14"/>
  <c r="I13" i="15" l="1"/>
  <c r="J13" i="15"/>
  <c r="H13" i="15"/>
  <c r="D6" i="14"/>
  <c r="D8" i="14" l="1"/>
  <c r="C9" i="14" s="1"/>
  <c r="D6" i="12" l="1"/>
  <c r="D7" i="12"/>
  <c r="D2" i="12"/>
  <c r="D4" i="12"/>
  <c r="D5" i="12"/>
  <c r="D9" i="12" l="1"/>
  <c r="J10" i="12" l="1"/>
  <c r="G42" i="13"/>
  <c r="F1" i="14" l="1"/>
  <c r="M1" i="15"/>
  <c r="G40" i="13"/>
  <c r="C6" i="13" s="1"/>
  <c r="G13" i="15" l="1"/>
  <c r="G14" i="15"/>
  <c r="E4" i="14"/>
  <c r="E5" i="14"/>
  <c r="E7" i="14"/>
  <c r="E6" i="14"/>
  <c r="E8" i="14" s="1"/>
  <c r="B44" i="13"/>
  <c r="M2" i="15" l="1"/>
  <c r="E11" i="15"/>
  <c r="E16" i="15"/>
  <c r="G20" i="15" l="1"/>
  <c r="H11" i="15"/>
  <c r="G19" i="15"/>
  <c r="I19" i="15"/>
  <c r="G11" i="15"/>
  <c r="G22" i="15" s="1"/>
  <c r="H19" i="15"/>
  <c r="J11" i="15"/>
  <c r="J22" i="15" s="1"/>
  <c r="J19" i="15"/>
  <c r="I11" i="15"/>
  <c r="I22" i="15" s="1"/>
  <c r="E22" i="15"/>
  <c r="E21" i="15" s="1"/>
  <c r="J16" i="15" l="1"/>
  <c r="J23" i="15" s="1"/>
  <c r="E29" i="15"/>
  <c r="Y46" i="13" s="1"/>
  <c r="H16" i="15"/>
  <c r="H23" i="15" s="1"/>
  <c r="G16" i="15"/>
  <c r="G23" i="15" s="1"/>
  <c r="G21" i="15" s="1"/>
  <c r="I16" i="15"/>
  <c r="I23" i="15" s="1"/>
  <c r="I21" i="15" s="1"/>
  <c r="J21" i="15"/>
  <c r="G29" i="15"/>
  <c r="Z42" i="13" s="1"/>
  <c r="J29" i="15"/>
  <c r="AC42" i="13" s="1"/>
  <c r="H22" i="15"/>
  <c r="H21" i="15" s="1"/>
  <c r="I29" i="15"/>
  <c r="AB42" i="13" s="1"/>
  <c r="E16" i="2"/>
  <c r="E9" i="2"/>
  <c r="G32" i="8"/>
  <c r="E18" i="2" s="1"/>
  <c r="G30" i="8"/>
  <c r="E17" i="2" s="1"/>
  <c r="E20" i="8"/>
  <c r="E15" i="8"/>
  <c r="D16" i="8"/>
  <c r="D14" i="8"/>
  <c r="E24" i="8"/>
  <c r="E23" i="8"/>
  <c r="E18" i="8"/>
  <c r="E17" i="8"/>
  <c r="Z46" i="13" l="1"/>
  <c r="H29" i="15"/>
  <c r="AA42" i="13" s="1"/>
  <c r="E14" i="8"/>
  <c r="G14" i="8"/>
  <c r="E16" i="8"/>
  <c r="G16" i="8"/>
  <c r="E30" i="15"/>
  <c r="E24" i="15"/>
  <c r="E25" i="15" s="1"/>
  <c r="E23" i="2"/>
  <c r="E34" i="2" s="1"/>
  <c r="E22" i="8"/>
  <c r="C3" i="13" l="1"/>
  <c r="AA46" i="13"/>
  <c r="AB46" i="13" s="1"/>
  <c r="AC46" i="13" s="1"/>
  <c r="Y45" i="13"/>
  <c r="Y11" i="13"/>
  <c r="Z11" i="13" s="1"/>
  <c r="AA11" i="13" s="1"/>
  <c r="AB11" i="13" s="1"/>
  <c r="AC11" i="13" s="1"/>
  <c r="C45" i="13"/>
  <c r="G29" i="8"/>
  <c r="E19" i="2" s="1"/>
  <c r="G24" i="8"/>
  <c r="G23" i="8"/>
  <c r="D19" i="8"/>
  <c r="G19" i="8" s="1"/>
  <c r="G12" i="8" l="1"/>
  <c r="E19" i="8"/>
  <c r="G22" i="8"/>
  <c r="E14" i="2" s="1"/>
  <c r="E12" i="8" l="1"/>
  <c r="E13" i="2"/>
  <c r="E15" i="2" s="1"/>
  <c r="D3" i="8" l="1"/>
  <c r="E3" i="2"/>
  <c r="D4" i="8" l="1"/>
  <c r="D6" i="8"/>
  <c r="E30" i="8" s="1"/>
  <c r="D2" i="8"/>
  <c r="E26" i="8" s="1"/>
  <c r="D5" i="8"/>
  <c r="E29" i="8" s="1"/>
  <c r="F23" i="2" l="1"/>
  <c r="E27" i="8"/>
  <c r="G27" i="8" s="1"/>
  <c r="D7" i="8"/>
  <c r="G26" i="8"/>
  <c r="E12" i="2" s="1"/>
  <c r="E11" i="2" s="1"/>
  <c r="E8" i="2"/>
  <c r="E7" i="2" s="1"/>
  <c r="E4" i="2"/>
  <c r="E6" i="2"/>
  <c r="E5" i="2"/>
  <c r="G30" i="15" l="1"/>
  <c r="Z43" i="13" s="1"/>
  <c r="G24" i="15"/>
  <c r="E2" i="2"/>
  <c r="B34" i="2" s="1"/>
  <c r="G23" i="2" l="1"/>
  <c r="Z45" i="13"/>
  <c r="Z12" i="13"/>
  <c r="AA12" i="13" s="1"/>
  <c r="AB12" i="13" s="1"/>
  <c r="AC12" i="13" s="1"/>
  <c r="E33" i="2"/>
  <c r="H23" i="2" l="1"/>
  <c r="H30" i="15"/>
  <c r="AA43" i="13" s="1"/>
  <c r="H24" i="15"/>
  <c r="G24" i="2"/>
  <c r="G34" i="2" s="1"/>
  <c r="F24" i="2"/>
  <c r="F34" i="2" s="1"/>
  <c r="I25" i="2"/>
  <c r="I33" i="2" s="1"/>
  <c r="H25" i="2"/>
  <c r="H33" i="2" s="1"/>
  <c r="G25" i="2"/>
  <c r="G33" i="2" s="1"/>
  <c r="F25" i="2"/>
  <c r="F33" i="2" s="1"/>
  <c r="I24" i="2"/>
  <c r="E27" i="2"/>
  <c r="E28" i="2" s="1"/>
  <c r="H24" i="2"/>
  <c r="AA13" i="13" l="1"/>
  <c r="AB13" i="13" s="1"/>
  <c r="AC13" i="13" s="1"/>
  <c r="I23" i="2"/>
  <c r="I34" i="2" s="1"/>
  <c r="AA45" i="13"/>
  <c r="I30" i="15"/>
  <c r="AB43" i="13" s="1"/>
  <c r="AB14" i="13" s="1"/>
  <c r="AC14" i="13" s="1"/>
  <c r="I24" i="15"/>
  <c r="H34" i="2"/>
  <c r="F21" i="2"/>
  <c r="G21" i="2"/>
  <c r="H21" i="2"/>
  <c r="I21" i="2" l="1"/>
  <c r="I27" i="2" s="1"/>
  <c r="I28" i="2" s="1"/>
  <c r="AB45" i="13"/>
  <c r="J30" i="15"/>
  <c r="AC43" i="13" s="1"/>
  <c r="AC15" i="13" s="1"/>
  <c r="J24" i="15"/>
  <c r="K25" i="15" s="1"/>
  <c r="C5" i="13" s="1"/>
  <c r="F27" i="2"/>
  <c r="F28" i="2" s="1"/>
  <c r="H27" i="2"/>
  <c r="H28" i="2" s="1"/>
  <c r="G27" i="2"/>
  <c r="G28" i="2" s="1"/>
  <c r="C46" i="13" l="1"/>
  <c r="AC45" i="13"/>
  <c r="J28" i="2"/>
  <c r="J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tc={C3822716-C514-47BC-A9F2-E855B1C28979}</author>
    <author>tc={C9C63D8E-9C10-4561-A2CA-2DD7CDB68D06}</author>
    <author>tc={F27990FB-B3F9-4399-8811-77CCA111ADCF}</author>
  </authors>
  <commentList>
    <comment ref="Y6" authorId="0" shapeId="0" xr:uid="{C3822716-C514-47BC-A9F2-E855B1C28979}">
      <text>
        <t>[Threaded comment]
Your version of Excel allows you to read this threaded comment; however, any edits to it will get removed if the file is opened in a newer version of Excel. Learn more: https://go.microsoft.com/fwlink/?linkid=870924
Comment:
    GARD, ZAM, CM, Service ordering, notifications, incident management, inventory, ...</t>
      </text>
    </comment>
    <comment ref="Y7" authorId="1" shapeId="0" xr:uid="{C9C63D8E-9C10-4561-A2CA-2DD7CDB68D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Monitoring, Test Automation
</t>
      </text>
    </comment>
    <comment ref="U14" authorId="2" shapeId="0" xr:uid="{F27990FB-B3F9-4399-8811-77CCA111AD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Migration to new Self Service system
</t>
      </text>
    </comment>
  </commentList>
</comments>
</file>

<file path=xl/sharedStrings.xml><?xml version="1.0" encoding="utf-8"?>
<sst xmlns="http://schemas.openxmlformats.org/spreadsheetml/2006/main" count="643" uniqueCount="306">
  <si>
    <t xml:space="preserve">Costs </t>
  </si>
  <si>
    <t>Year 2</t>
  </si>
  <si>
    <t>Year 3</t>
  </si>
  <si>
    <t>Year 4</t>
  </si>
  <si>
    <t>Year 5</t>
  </si>
  <si>
    <t>Hardware Service Maintenance Agreements</t>
  </si>
  <si>
    <t>Software License Maintenance Agreements</t>
  </si>
  <si>
    <t>Total Costs</t>
  </si>
  <si>
    <t>Server(s)</t>
  </si>
  <si>
    <t>Storage (backup, redundancy, etc)</t>
  </si>
  <si>
    <t>CONTINGENCY &amp; BUFFER</t>
  </si>
  <si>
    <t>Training</t>
  </si>
  <si>
    <t>OPERATION &amp; MAINTENANCE (Opex)</t>
  </si>
  <si>
    <t>Travel cost</t>
  </si>
  <si>
    <t>Description</t>
  </si>
  <si>
    <t>Analysis</t>
  </si>
  <si>
    <t>Integration</t>
  </si>
  <si>
    <t>Data Migrations (if needed)</t>
  </si>
  <si>
    <t>Buffer</t>
  </si>
  <si>
    <t>Specify (% buffer)</t>
  </si>
  <si>
    <t>Includes analysis of existing system, user story refinement, system design (high level)</t>
  </si>
  <si>
    <t>Unit Cost (wherever applicable)</t>
  </si>
  <si>
    <t>Database server(s)</t>
  </si>
  <si>
    <t>Any other server component</t>
  </si>
  <si>
    <t>Initial Cost (Year 1)</t>
  </si>
  <si>
    <t>Year3</t>
  </si>
  <si>
    <t>License cost</t>
  </si>
  <si>
    <t>Qty
 (wherever applicable)</t>
  </si>
  <si>
    <t>No. of hours</t>
  </si>
  <si>
    <t>Create manual, training material, actual training etc</t>
  </si>
  <si>
    <t>Environment setup</t>
  </si>
  <si>
    <t>License costs of any additional tools</t>
  </si>
  <si>
    <t>Includes travel cost as part of development</t>
  </si>
  <si>
    <t>SOFTWARE (CapEx)</t>
  </si>
  <si>
    <t xml:space="preserve">Cost related to developing functionalities/plugins and configuration </t>
  </si>
  <si>
    <t>Integration of modules and tools</t>
  </si>
  <si>
    <t>System level configuration and deployment</t>
  </si>
  <si>
    <t>Configuration and Deployment</t>
  </si>
  <si>
    <t>New features &amp; enhancement (CRs)</t>
  </si>
  <si>
    <t>Defect detection and removal</t>
  </si>
  <si>
    <t>New features required as per the customer needs</t>
  </si>
  <si>
    <t>Total cost</t>
  </si>
  <si>
    <t>CRs</t>
  </si>
  <si>
    <t>Cost of end to end functional testing</t>
  </si>
  <si>
    <t>The current HW in DT will support this - No additional cost requried.</t>
  </si>
  <si>
    <t>HARDWARE (CapEx)</t>
  </si>
  <si>
    <t>Same as above</t>
  </si>
  <si>
    <t>Capex</t>
  </si>
  <si>
    <t>Opex</t>
  </si>
  <si>
    <t>Team Size</t>
  </si>
  <si>
    <t>Cost</t>
  </si>
  <si>
    <t>Remarks</t>
  </si>
  <si>
    <t>Blended cost per hour</t>
  </si>
  <si>
    <t>PROJECT DEVELOPMENT</t>
  </si>
  <si>
    <t>Development</t>
  </si>
  <si>
    <t>Microservices (data extractor)</t>
  </si>
  <si>
    <t>No. of Services</t>
  </si>
  <si>
    <t>Data Storage / Data Warehouse / Metadata</t>
  </si>
  <si>
    <t>Transformer</t>
  </si>
  <si>
    <t xml:space="preserve">Microservices towards API Gateway	</t>
  </si>
  <si>
    <t>Integration with Portal</t>
  </si>
  <si>
    <t>Installation &amp; DevOps pipeline setup (CI/CD etc)</t>
  </si>
  <si>
    <t>Documentation on WIKI and other material</t>
  </si>
  <si>
    <t>Prestudy</t>
  </si>
  <si>
    <t>Data Analysis</t>
  </si>
  <si>
    <t>Build Pipeline</t>
  </si>
  <si>
    <t>Connectivity (connectivity from central system to external monitoring tool)</t>
  </si>
  <si>
    <t>Environment Setup</t>
  </si>
  <si>
    <t>CAPEX</t>
  </si>
  <si>
    <t>OPEX</t>
  </si>
  <si>
    <t>Timelines</t>
  </si>
  <si>
    <t>Architect</t>
  </si>
  <si>
    <t>QA</t>
  </si>
  <si>
    <t>members</t>
  </si>
  <si>
    <t>Functional Testing (QA)</t>
  </si>
  <si>
    <t>Development Cost</t>
  </si>
  <si>
    <t>Effort (in hours)</t>
  </si>
  <si>
    <t>Testing</t>
  </si>
  <si>
    <t>Requirement Analysis</t>
  </si>
  <si>
    <t>Design, Coding &amp; Unit Testing</t>
  </si>
  <si>
    <t>Effort Distribution (Lifecycle)</t>
  </si>
  <si>
    <t>Integration with each instance of tool</t>
  </si>
  <si>
    <t>Verification (QA) - End to End</t>
  </si>
  <si>
    <t xml:space="preserve">Analysis </t>
  </si>
  <si>
    <t>Environment</t>
  </si>
  <si>
    <t>Travel</t>
  </si>
  <si>
    <t>person days</t>
  </si>
  <si>
    <t>in months</t>
  </si>
  <si>
    <t>Cost per hour</t>
  </si>
  <si>
    <t>Engineer</t>
  </si>
  <si>
    <t>Senior Developer</t>
  </si>
  <si>
    <t>Junior Developer</t>
  </si>
  <si>
    <t xml:space="preserve">Integration </t>
  </si>
  <si>
    <t>Activities</t>
  </si>
  <si>
    <t>Distribution</t>
  </si>
  <si>
    <t>Number of Engineers</t>
  </si>
  <si>
    <t>Travel Cost per week</t>
  </si>
  <si>
    <t># Count</t>
  </si>
  <si>
    <t>PROJECT DEVELOPMENT (CapEx)</t>
  </si>
  <si>
    <t>Other Effort</t>
  </si>
  <si>
    <t>Buffer (Capex)</t>
  </si>
  <si>
    <t>Buffer (Opex)</t>
  </si>
  <si>
    <t>Effective Hours per month</t>
  </si>
  <si>
    <t>1 Year Cost</t>
  </si>
  <si>
    <t>Cell with green background are editable</t>
  </si>
  <si>
    <t>Fixed 1 Architect</t>
  </si>
  <si>
    <t>Fixed 1 QA</t>
  </si>
  <si>
    <t>person hours</t>
  </si>
  <si>
    <t>VISA</t>
  </si>
  <si>
    <t>Per Diem</t>
  </si>
  <si>
    <t>Flight</t>
  </si>
  <si>
    <t>Hotel</t>
  </si>
  <si>
    <t>Taxi</t>
  </si>
  <si>
    <t>months</t>
  </si>
  <si>
    <t>5 Year Cost</t>
  </si>
  <si>
    <t>Design</t>
  </si>
  <si>
    <t xml:space="preserve">Documentation + Training Material </t>
  </si>
  <si>
    <t>Acceptance Testing Support</t>
  </si>
  <si>
    <t>EUR</t>
  </si>
  <si>
    <t>Days</t>
  </si>
  <si>
    <t>Verification (QA)</t>
  </si>
  <si>
    <t>Bug Fixing</t>
  </si>
  <si>
    <t>Key Criteria</t>
  </si>
  <si>
    <t>Values</t>
  </si>
  <si>
    <t>Functional Coverage</t>
  </si>
  <si>
    <t>Timeline (Initial Solution)</t>
  </si>
  <si>
    <t>Initial cost</t>
  </si>
  <si>
    <t>Monitoring</t>
  </si>
  <si>
    <t>Blueprinting</t>
  </si>
  <si>
    <t>Analytics</t>
  </si>
  <si>
    <t>Functionality</t>
  </si>
  <si>
    <t>Incident management</t>
  </si>
  <si>
    <t>Change management</t>
  </si>
  <si>
    <t>Problem management</t>
  </si>
  <si>
    <t>Service requests</t>
  </si>
  <si>
    <t xml:space="preserve">Inventory mgmt./Asset mgmt. </t>
  </si>
  <si>
    <t>User management (IAM, login etc.)</t>
  </si>
  <si>
    <t>Dashboards</t>
  </si>
  <si>
    <t>Search Engine</t>
  </si>
  <si>
    <t>Content management</t>
  </si>
  <si>
    <t>Work-flow engine</t>
  </si>
  <si>
    <t xml:space="preserve">Notification/Alerts </t>
  </si>
  <si>
    <t>Self-services</t>
  </si>
  <si>
    <t>Capacity mgmt./Reservation mgmt.</t>
  </si>
  <si>
    <t>API Gateway</t>
  </si>
  <si>
    <t>Coverage %</t>
  </si>
  <si>
    <t>Latest date (actually it is sooner as other tasks will finish earlier, on 13.10.2021):</t>
  </si>
  <si>
    <t>+</t>
  </si>
  <si>
    <t>Content Management System</t>
  </si>
  <si>
    <t>-</t>
  </si>
  <si>
    <t>Reservation Management</t>
  </si>
  <si>
    <t>Process automation</t>
  </si>
  <si>
    <t>Analytics Input</t>
  </si>
  <si>
    <t>Asset management</t>
  </si>
  <si>
    <t>Discovery</t>
  </si>
  <si>
    <t>Inventory management</t>
  </si>
  <si>
    <t>Capacity management</t>
  </si>
  <si>
    <t>Test automation</t>
  </si>
  <si>
    <t>Incident Management</t>
  </si>
  <si>
    <t>Problem Management</t>
  </si>
  <si>
    <t>Change Management</t>
  </si>
  <si>
    <t>Self Services</t>
  </si>
  <si>
    <t>Service Requests</t>
  </si>
  <si>
    <t>Notifications</t>
  </si>
  <si>
    <t>Portal BE / GARD</t>
  </si>
  <si>
    <t>Portal BE</t>
  </si>
  <si>
    <t>+/-</t>
  </si>
  <si>
    <t xml:space="preserve">Workflow Engine </t>
  </si>
  <si>
    <t>Dashboard/status GARD</t>
  </si>
  <si>
    <t>Dashboard/status</t>
  </si>
  <si>
    <t>Search GARD</t>
  </si>
  <si>
    <t>Search</t>
  </si>
  <si>
    <t>Log-in/IAM, Authentication</t>
  </si>
  <si>
    <t>Actual Working Hours - Total</t>
  </si>
  <si>
    <t>Actual Working Days - Total</t>
  </si>
  <si>
    <t>FTE</t>
  </si>
  <si>
    <t>End date</t>
  </si>
  <si>
    <t>Start Date</t>
  </si>
  <si>
    <t>Needed for the BC calculation for Lab portal?</t>
  </si>
  <si>
    <t>Presentation diagram - GARD</t>
  </si>
  <si>
    <t>Solution architecture document</t>
  </si>
  <si>
    <t>Feature</t>
  </si>
  <si>
    <t>TIMELINE</t>
  </si>
  <si>
    <t>Actual working hours per days</t>
  </si>
  <si>
    <t>Working hours per day:</t>
  </si>
  <si>
    <t>Blended rate of resource/hour</t>
  </si>
  <si>
    <t>Working hour (EUR):</t>
  </si>
  <si>
    <t>Travel cost (8 travels for 1 week each (3000 per travel, including Visa, Airfare, Hotel, Perdiem)</t>
  </si>
  <si>
    <t>CRs/Enhancements</t>
  </si>
  <si>
    <t>Support (Scrum, Manager)</t>
  </si>
  <si>
    <t>Total for custom development, integrate with partially implemented GARD:</t>
  </si>
  <si>
    <t>Analysis cost</t>
  </si>
  <si>
    <t>Document Management System</t>
  </si>
  <si>
    <t>Content Management System is responsible for managing the lab related information - documents</t>
  </si>
  <si>
    <t>Task for the LaaS Squad</t>
  </si>
  <si>
    <t>Task for the Monitoring squad</t>
  </si>
  <si>
    <t>Logging + auditing</t>
  </si>
  <si>
    <t>use Open Source tools; Needs HW calculation</t>
  </si>
  <si>
    <t>Data analytics, predictions</t>
  </si>
  <si>
    <t>Task for the Monitoring Squad</t>
  </si>
  <si>
    <t>Out of the scope for the Program Increment 1</t>
  </si>
  <si>
    <t>Bugzilla/MantisBT/Redmine ? - setup, configure, adapt, higlh level estimation</t>
  </si>
  <si>
    <t>What tool to use? Estimation is on very high level</t>
  </si>
  <si>
    <t>FE for the existing/new Self service system</t>
  </si>
  <si>
    <t>new/existing</t>
  </si>
  <si>
    <t>Common solution that integrates GARD and notifications from other systems</t>
  </si>
  <si>
    <t>Integration between GARD and Portal Dashboards</t>
  </si>
  <si>
    <t>API Gateway - single entry point to the system</t>
  </si>
  <si>
    <t>use Open Source tool</t>
  </si>
  <si>
    <t>Most of integration will be done via GARD</t>
  </si>
  <si>
    <t>Custom Lab Portal Microservices: business logic + controllers/adapters</t>
  </si>
  <si>
    <t>Integration with existing Lab Tools + GARD</t>
  </si>
  <si>
    <t>Lab Portal internal Workflow engine tool</t>
  </si>
  <si>
    <t>GARD has its own WF engine - investigate if that one can be also used to orchestrate external component (use Open Source tool)</t>
  </si>
  <si>
    <t>Common Dashboards, most of data are fetched from GARD</t>
  </si>
  <si>
    <t>Integration between Jira and Portal Dashboards</t>
  </si>
  <si>
    <t>Common Dashboards, most of data are fetched from other lab tools + GARD</t>
  </si>
  <si>
    <t xml:space="preserve">Common search that covers search results from GARD and other Lab test tools/apps </t>
  </si>
  <si>
    <t>Integrate search from Jira and other services (use Open Source tool)</t>
  </si>
  <si>
    <t xml:space="preserve">Common search that covers search results mostly from GARD and other Lab test tools/apps </t>
  </si>
  <si>
    <t>Integration with ZAM</t>
  </si>
  <si>
    <t>HW</t>
  </si>
  <si>
    <t>Demo Cost</t>
  </si>
  <si>
    <t>Doc &amp; Demo to  Users - Working Days</t>
  </si>
  <si>
    <t>Devops Cost</t>
  </si>
  <si>
    <t xml:space="preserve"> For Supporting DevOps - Working Days per Devops</t>
  </si>
  <si>
    <t>Percentage of initial development cost</t>
  </si>
  <si>
    <t>Actual working days</t>
  </si>
  <si>
    <t>Working Days</t>
  </si>
  <si>
    <t>Systems</t>
  </si>
  <si>
    <t>Total Working Days</t>
  </si>
  <si>
    <t>Actual Duration - Working Days</t>
  </si>
  <si>
    <t>Duration - Working Days</t>
  </si>
  <si>
    <t>No of FTE  at the same time</t>
  </si>
  <si>
    <t>FE - Working days</t>
  </si>
  <si>
    <t>FE FTE</t>
  </si>
  <si>
    <t>BE - Working days</t>
  </si>
  <si>
    <t>BE FTE</t>
  </si>
  <si>
    <t>Sys Admin - Working Days</t>
  </si>
  <si>
    <t>Sys Admin FTE</t>
  </si>
  <si>
    <t>Features</t>
  </si>
  <si>
    <t>Comment</t>
  </si>
  <si>
    <t>TOTAL for 5 years</t>
  </si>
  <si>
    <t xml:space="preserve">Support per year (2nd-5th Year)	</t>
  </si>
  <si>
    <t>Maintenance per year (2nd-5th Year)</t>
  </si>
  <si>
    <t>Licences</t>
  </si>
  <si>
    <t>Migration</t>
  </si>
  <si>
    <t>Hours</t>
  </si>
  <si>
    <t>Data Migration</t>
  </si>
  <si>
    <t>Travel (subsequent years)</t>
  </si>
  <si>
    <t>Warranty</t>
  </si>
  <si>
    <t>Assuming 2 person travelling for 1 quarter per  year</t>
  </si>
  <si>
    <t>Warranty (6 months)</t>
  </si>
  <si>
    <t>Initial Cost</t>
  </si>
  <si>
    <t>Year 1</t>
  </si>
  <si>
    <t>Cost (Initial) - Euros</t>
  </si>
  <si>
    <t>Average Engineer Cost</t>
  </si>
  <si>
    <t>Coding &amp; Unit Testing, Envrionment, Integration</t>
  </si>
  <si>
    <t>Portal Business Case</t>
  </si>
  <si>
    <t>Purpose</t>
  </si>
  <si>
    <t>To prepare the business case calcualtion for the Portal</t>
  </si>
  <si>
    <t>Scope</t>
  </si>
  <si>
    <t>Version</t>
  </si>
  <si>
    <t>Shared On</t>
  </si>
  <si>
    <t>Reviewed By</t>
  </si>
  <si>
    <t>First version prepared during Sprint 3</t>
  </si>
  <si>
    <t>Marin Komadina</t>
  </si>
  <si>
    <t>Incorporated the review comments</t>
  </si>
  <si>
    <t>Key Assumptions</t>
  </si>
  <si>
    <t>Category</t>
  </si>
  <si>
    <t>Assumptions</t>
  </si>
  <si>
    <t>The current focus is on Prio1 labs that includes Bonn &amp; Nuremberg labs</t>
  </si>
  <si>
    <t>For business case calculations of all options in subsequent slides, all functional requirements have been given equal weight</t>
  </si>
  <si>
    <t>The requirements are based on the existing user stories. Any addition may impact the overall cost of project development</t>
  </si>
  <si>
    <t>Hardware Cost</t>
  </si>
  <si>
    <t>Additional HW cost is not required</t>
  </si>
  <si>
    <t>Project Development Cost (Capex)</t>
  </si>
  <si>
    <t>Miscellaneous</t>
  </si>
  <si>
    <t>For  all calculation purpose, 1 Euro = 1.1 USD. Any movement in currency may have an impact on the overall cost</t>
  </si>
  <si>
    <t>The cost calculation contains mix of senior &amp; junior engineers from Nagarro. The cost may wary if team composition includes mix of Nagarro &amp; DT members.</t>
  </si>
  <si>
    <t>Assuming 6 months warranty post UAT of the feature development</t>
  </si>
  <si>
    <t>References</t>
  </si>
  <si>
    <t>https://gard.telekom.de/gardwiki/display/AUTOLAB/Business+Case+Calculation+-+Portal</t>
  </si>
  <si>
    <t>No licensed or commercial tool is part of this option</t>
  </si>
  <si>
    <t>Software License</t>
  </si>
  <si>
    <t>Option C (Custom Portal + Open Source)</t>
  </si>
  <si>
    <t>Working Hours per month</t>
  </si>
  <si>
    <t>Team Capacity per month (in hours)</t>
  </si>
  <si>
    <t>Timelines (in months)</t>
  </si>
  <si>
    <t>Final Timelines (in months)</t>
  </si>
  <si>
    <t>Effective hours after excluding scrum meeting effort like planning, grooming, review and standup</t>
  </si>
  <si>
    <t>Added 1 more month for initial analysis &amp; UAT</t>
  </si>
  <si>
    <t>Area</t>
  </si>
  <si>
    <t>Portal</t>
  </si>
  <si>
    <t>LaaS</t>
  </si>
  <si>
    <r>
      <rPr>
        <b/>
        <sz val="11"/>
        <color theme="1"/>
        <rFont val="Calibri"/>
        <family val="2"/>
        <scheme val="minor"/>
      </rPr>
      <t>Development</t>
    </r>
    <r>
      <rPr>
        <sz val="11"/>
        <color theme="1"/>
        <rFont val="Calibri"/>
        <family val="2"/>
        <scheme val="minor"/>
      </rPr>
      <t xml:space="preserve"> cost removed as Monitoring is providing Analytics</t>
    </r>
  </si>
  <si>
    <t>Working Hours</t>
  </si>
  <si>
    <t>Assumed 28 travels in 16 months</t>
  </si>
  <si>
    <t>Fixed CR Budget</t>
  </si>
  <si>
    <t>each year</t>
  </si>
  <si>
    <t>Taken the fix CR effort of 200,000.00 per year post discussion with Andreas, Vatroslav &amp; Ashima</t>
  </si>
  <si>
    <t>Vatroslav</t>
  </si>
  <si>
    <t>Change request and feature enhancement cost is assumed as 200,000.00 each year.</t>
  </si>
  <si>
    <t>Cost (1 year) - Euros</t>
  </si>
  <si>
    <t>Cost (5 years) - Euros</t>
  </si>
  <si>
    <t>Cost updated to show initial and 1 year cost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</si>
</sst>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-* #,##0.00\ [$€-407]_-;\-* #,##0.00\ [$€-407]_-;_-* &quot;-&quot;??\ [$€-407]_-;_-@_-"/>
    <numFmt numFmtId="165" formatCode="_-* #,##0\ [$€-407]_-;\-* #,##0\ [$€-407]_-;_-* &quot;-&quot;??\ [$€-407]_-;_-@_-"/>
    <numFmt numFmtId="166" formatCode="_ * #,##0_ ;_ * \-#,##0_ ;_ * &quot;-&quot;??_ ;_ @_ "/>
    <numFmt numFmtId="167" formatCode="#,##0.00\ [$€-407]"/>
    <numFmt numFmtId="168" formatCode="_(* #,##0.00_);_(* \(#,##0.00\);_(* &quot;-&quot;??_);_(@_)"/>
    <numFmt numFmtId="169" formatCode="_-* #,##0.00\ _k_n_-;\-* #,##0.00\ _k_n_-;_-* &quot;-&quot;??\ _k_n_-;_-@_-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B4B4B"/>
      <name val="Calibri"/>
      <family val="2"/>
      <scheme val="minor"/>
    </font>
    <font>
      <sz val="11"/>
      <name val="Calibri"/>
      <family val="2"/>
      <charset val="238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2007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412">
    <xf numFmtId="0" fontId="0" fillId="0" borderId="0" xfId="0"/>
    <xf numFmtId="0" fontId="4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0" borderId="0" xfId="0" applyFont="1"/>
    <xf numFmtId="0" fontId="3" fillId="0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9" fontId="4" fillId="0" borderId="1" xfId="1" applyNumberFormat="1" applyFont="1" applyBorder="1" applyAlignment="1">
      <alignment vertical="top" wrapText="1"/>
    </xf>
    <xf numFmtId="164" fontId="5" fillId="2" borderId="1" xfId="2" applyNumberFormat="1" applyFont="1" applyFill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4" fontId="4" fillId="0" borderId="1" xfId="2" applyNumberFormat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164" fontId="0" fillId="0" borderId="1" xfId="2" applyNumberFormat="1" applyFon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 wrapText="1"/>
    </xf>
    <xf numFmtId="0" fontId="2" fillId="5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0" fontId="0" fillId="0" borderId="0" xfId="0" applyFont="1" applyAlignment="1">
      <alignment horizontal="left" wrapText="1"/>
    </xf>
    <xf numFmtId="0" fontId="0" fillId="6" borderId="0" xfId="0" applyFill="1" applyAlignment="1">
      <alignment horizontal="right" vertical="top"/>
    </xf>
    <xf numFmtId="164" fontId="2" fillId="5" borderId="1" xfId="1" applyNumberFormat="1" applyFont="1" applyFill="1" applyBorder="1" applyAlignment="1">
      <alignment vertical="top" wrapText="1"/>
    </xf>
    <xf numFmtId="0" fontId="2" fillId="5" borderId="2" xfId="1" applyFont="1" applyFill="1" applyBorder="1" applyAlignment="1">
      <alignment vertical="top" wrapText="1"/>
    </xf>
    <xf numFmtId="0" fontId="2" fillId="5" borderId="3" xfId="1" applyFont="1" applyFill="1" applyBorder="1" applyAlignment="1">
      <alignment vertical="top" wrapText="1"/>
    </xf>
    <xf numFmtId="0" fontId="2" fillId="5" borderId="4" xfId="1" applyFont="1" applyFill="1" applyBorder="1" applyAlignment="1">
      <alignment vertical="top" wrapText="1"/>
    </xf>
    <xf numFmtId="164" fontId="2" fillId="5" borderId="3" xfId="1" applyNumberFormat="1" applyFont="1" applyFill="1" applyBorder="1" applyAlignment="1">
      <alignment vertical="top" wrapText="1"/>
    </xf>
    <xf numFmtId="164" fontId="4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6" fillId="0" borderId="5" xfId="0" applyFont="1" applyBorder="1"/>
    <xf numFmtId="0" fontId="0" fillId="0" borderId="5" xfId="0" applyBorder="1"/>
    <xf numFmtId="164" fontId="0" fillId="0" borderId="5" xfId="2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/>
    <xf numFmtId="0" fontId="0" fillId="0" borderId="0" xfId="0" applyFill="1" applyBorder="1"/>
    <xf numFmtId="164" fontId="0" fillId="0" borderId="0" xfId="2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164" fontId="7" fillId="4" borderId="6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10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top"/>
    </xf>
    <xf numFmtId="165" fontId="7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 indent="4"/>
    </xf>
    <xf numFmtId="0" fontId="0" fillId="0" borderId="1" xfId="0" applyFont="1" applyFill="1" applyBorder="1" applyAlignment="1">
      <alignment horizontal="left" vertical="top" wrapText="1" inden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66" fontId="0" fillId="0" borderId="7" xfId="2" applyNumberFormat="1" applyFont="1" applyBorder="1" applyAlignment="1">
      <alignment horizontal="center" vertical="top"/>
    </xf>
    <xf numFmtId="9" fontId="0" fillId="0" borderId="0" xfId="0" applyNumberFormat="1" applyBorder="1" applyAlignment="1">
      <alignment horizontal="center" vertical="center" wrapText="1"/>
    </xf>
    <xf numFmtId="166" fontId="0" fillId="0" borderId="0" xfId="2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 wrapText="1" indent="2"/>
    </xf>
    <xf numFmtId="9" fontId="0" fillId="0" borderId="1" xfId="3" applyFont="1" applyBorder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 vertical="top"/>
    </xf>
    <xf numFmtId="9" fontId="10" fillId="8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top"/>
    </xf>
    <xf numFmtId="0" fontId="11" fillId="8" borderId="0" xfId="0" applyFont="1" applyFill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8" borderId="0" xfId="0" applyFont="1" applyFill="1" applyAlignment="1">
      <alignment horizontal="right" vertical="top"/>
    </xf>
    <xf numFmtId="16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top"/>
    </xf>
    <xf numFmtId="0" fontId="7" fillId="6" borderId="0" xfId="0" applyFont="1" applyFill="1" applyAlignment="1">
      <alignment horizontal="right" vertical="top"/>
    </xf>
    <xf numFmtId="0" fontId="7" fillId="0" borderId="0" xfId="0" applyFont="1" applyAlignment="1">
      <alignment horizontal="right" vertical="top"/>
    </xf>
    <xf numFmtId="0" fontId="11" fillId="8" borderId="1" xfId="0" applyFont="1" applyFill="1" applyBorder="1" applyProtection="1"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1" xfId="0" applyFill="1" applyBorder="1" applyProtection="1">
      <protection locked="0"/>
    </xf>
    <xf numFmtId="0" fontId="0" fillId="9" borderId="0" xfId="0" applyFill="1" applyProtection="1">
      <protection locked="0"/>
    </xf>
    <xf numFmtId="164" fontId="0" fillId="9" borderId="1" xfId="0" applyNumberFormat="1" applyFill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2" fontId="0" fillId="9" borderId="1" xfId="0" applyNumberFormat="1" applyFill="1" applyBorder="1" applyAlignment="1" applyProtection="1">
      <alignment horizontal="center" vertical="center"/>
      <protection locked="0"/>
    </xf>
    <xf numFmtId="0" fontId="12" fillId="9" borderId="0" xfId="0" applyFont="1" applyFill="1" applyAlignment="1" applyProtection="1">
      <protection locked="0"/>
    </xf>
    <xf numFmtId="0" fontId="12" fillId="11" borderId="0" xfId="0" applyFont="1" applyFill="1" applyAlignment="1" applyProtection="1">
      <protection locked="0"/>
    </xf>
    <xf numFmtId="0" fontId="6" fillId="9" borderId="0" xfId="0" applyFont="1" applyFill="1"/>
    <xf numFmtId="0" fontId="6" fillId="9" borderId="0" xfId="0" applyFont="1" applyFill="1" applyBorder="1"/>
    <xf numFmtId="164" fontId="7" fillId="9" borderId="0" xfId="2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 applyProtection="1">
      <alignment vertical="top" wrapText="1"/>
      <protection locked="0"/>
    </xf>
    <xf numFmtId="0" fontId="0" fillId="9" borderId="0" xfId="0" applyFill="1" applyAlignment="1" applyProtection="1">
      <alignment vertical="top"/>
      <protection locked="0"/>
    </xf>
    <xf numFmtId="0" fontId="11" fillId="8" borderId="1" xfId="0" applyFont="1" applyFill="1" applyBorder="1" applyAlignment="1" applyProtection="1">
      <alignment horizontal="left" vertical="center"/>
      <protection locked="0"/>
    </xf>
    <xf numFmtId="0" fontId="11" fillId="8" borderId="1" xfId="0" applyFont="1" applyFill="1" applyBorder="1" applyAlignment="1" applyProtection="1">
      <alignment horizontal="right" vertical="top"/>
      <protection locked="0"/>
    </xf>
    <xf numFmtId="1" fontId="11" fillId="8" borderId="1" xfId="0" applyNumberFormat="1" applyFont="1" applyFill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 applyProtection="1">
      <alignment horizontal="left" vertical="center"/>
      <protection locked="0"/>
    </xf>
    <xf numFmtId="166" fontId="0" fillId="9" borderId="1" xfId="2" applyNumberFormat="1" applyFont="1" applyFill="1" applyBorder="1" applyAlignment="1" applyProtection="1">
      <alignment horizontal="center" vertical="center"/>
      <protection locked="0"/>
    </xf>
    <xf numFmtId="167" fontId="0" fillId="9" borderId="1" xfId="0" applyNumberFormat="1" applyFill="1" applyBorder="1" applyAlignment="1" applyProtection="1">
      <alignment horizontal="right" vertical="center"/>
      <protection locked="0"/>
    </xf>
    <xf numFmtId="0" fontId="7" fillId="9" borderId="0" xfId="0" applyFont="1" applyFill="1" applyAlignment="1" applyProtection="1">
      <alignment vertical="top"/>
      <protection locked="0"/>
    </xf>
    <xf numFmtId="0" fontId="0" fillId="9" borderId="1" xfId="0" applyFill="1" applyBorder="1" applyAlignment="1" applyProtection="1">
      <alignment vertical="top"/>
      <protection locked="0"/>
    </xf>
    <xf numFmtId="0" fontId="7" fillId="9" borderId="1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>
      <alignment vertical="top" wrapText="1"/>
      <protection locked="0"/>
    </xf>
    <xf numFmtId="9" fontId="0" fillId="9" borderId="0" xfId="0" applyNumberFormat="1" applyFill="1" applyBorder="1" applyAlignment="1" applyProtection="1">
      <alignment horizontal="center" vertical="center" wrapText="1"/>
      <protection locked="0"/>
    </xf>
    <xf numFmtId="166" fontId="0" fillId="9" borderId="8" xfId="2" applyNumberFormat="1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vertical="top"/>
      <protection locked="0"/>
    </xf>
    <xf numFmtId="167" fontId="0" fillId="9" borderId="8" xfId="0" applyNumberFormat="1" applyFill="1" applyBorder="1" applyAlignment="1" applyProtection="1">
      <alignment vertical="top"/>
      <protection locked="0"/>
    </xf>
    <xf numFmtId="0" fontId="0" fillId="9" borderId="8" xfId="0" applyFill="1" applyBorder="1" applyAlignment="1" applyProtection="1">
      <alignment vertical="top"/>
      <protection locked="0"/>
    </xf>
    <xf numFmtId="0" fontId="0" fillId="9" borderId="0" xfId="0" applyFill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vertical="top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9" borderId="1" xfId="0" applyFont="1" applyFill="1" applyBorder="1" applyAlignment="1" applyProtection="1">
      <alignment vertical="top" wrapText="1"/>
      <protection locked="0"/>
    </xf>
    <xf numFmtId="166" fontId="9" fillId="9" borderId="1" xfId="2" applyNumberFormat="1" applyFont="1" applyFill="1" applyBorder="1" applyAlignment="1" applyProtection="1">
      <protection locked="0"/>
    </xf>
    <xf numFmtId="0" fontId="0" fillId="9" borderId="0" xfId="0" applyFill="1" applyAlignment="1" applyProtection="1">
      <alignment horizontal="right" vertical="top"/>
      <protection locked="0"/>
    </xf>
    <xf numFmtId="165" fontId="0" fillId="9" borderId="1" xfId="0" applyNumberFormat="1" applyFill="1" applyBorder="1" applyAlignment="1" applyProtection="1">
      <alignment horizontal="center" vertical="top"/>
      <protection locked="0"/>
    </xf>
    <xf numFmtId="0" fontId="0" fillId="9" borderId="0" xfId="0" applyFill="1" applyAlignment="1" applyProtection="1">
      <alignment horizontal="left" vertical="top"/>
      <protection locked="0"/>
    </xf>
    <xf numFmtId="0" fontId="0" fillId="10" borderId="1" xfId="0" applyFill="1" applyBorder="1" applyAlignment="1" applyProtection="1">
      <alignment horizontal="center" vertical="center" wrapText="1"/>
    </xf>
    <xf numFmtId="9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" fontId="10" fillId="8" borderId="1" xfId="0" applyNumberFormat="1" applyFont="1" applyFill="1" applyBorder="1" applyAlignment="1" applyProtection="1">
      <alignment horizontal="center" vertical="top"/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66" fontId="0" fillId="9" borderId="1" xfId="2" applyNumberFormat="1" applyFont="1" applyFill="1" applyBorder="1" applyAlignment="1" applyProtection="1">
      <alignment horizontal="center" vertical="top"/>
      <protection locked="0"/>
    </xf>
    <xf numFmtId="9" fontId="0" fillId="9" borderId="7" xfId="0" applyNumberFormat="1" applyFill="1" applyBorder="1" applyAlignment="1" applyProtection="1">
      <alignment horizontal="center" vertical="center" wrapText="1"/>
      <protection locked="0"/>
    </xf>
    <xf numFmtId="166" fontId="0" fillId="9" borderId="7" xfId="2" applyNumberFormat="1" applyFont="1" applyFill="1" applyBorder="1" applyAlignment="1" applyProtection="1">
      <alignment horizontal="center" vertical="top"/>
      <protection locked="0"/>
    </xf>
    <xf numFmtId="43" fontId="0" fillId="9" borderId="0" xfId="0" applyNumberFormat="1" applyFill="1" applyAlignment="1" applyProtection="1">
      <alignment vertical="top"/>
      <protection locked="0"/>
    </xf>
    <xf numFmtId="0" fontId="0" fillId="9" borderId="0" xfId="0" applyFill="1" applyAlignment="1" applyProtection="1">
      <alignment horizontal="center"/>
      <protection locked="0"/>
    </xf>
    <xf numFmtId="9" fontId="0" fillId="9" borderId="0" xfId="0" applyNumberFormat="1" applyFill="1" applyAlignment="1" applyProtection="1">
      <alignment horizontal="center"/>
      <protection locked="0"/>
    </xf>
    <xf numFmtId="0" fontId="7" fillId="9" borderId="0" xfId="0" applyFont="1" applyFill="1" applyAlignment="1" applyProtection="1">
      <alignment horizontal="right" vertical="top"/>
      <protection locked="0"/>
    </xf>
    <xf numFmtId="0" fontId="0" fillId="9" borderId="1" xfId="0" applyFont="1" applyFill="1" applyBorder="1" applyAlignment="1" applyProtection="1">
      <alignment horizontal="center" vertical="top"/>
      <protection locked="0"/>
    </xf>
    <xf numFmtId="0" fontId="0" fillId="9" borderId="0" xfId="0" applyFont="1" applyFill="1" applyAlignment="1" applyProtection="1">
      <alignment horizontal="left" wrapText="1"/>
      <protection locked="0"/>
    </xf>
    <xf numFmtId="166" fontId="0" fillId="9" borderId="0" xfId="0" applyNumberFormat="1" applyFill="1" applyProtection="1">
      <protection locked="0"/>
    </xf>
    <xf numFmtId="0" fontId="7" fillId="9" borderId="0" xfId="0" applyFont="1" applyFill="1" applyAlignment="1" applyProtection="1">
      <alignment horizontal="left"/>
      <protection locked="0"/>
    </xf>
    <xf numFmtId="43" fontId="0" fillId="10" borderId="1" xfId="0" applyNumberFormat="1" applyFill="1" applyBorder="1" applyAlignment="1" applyProtection="1">
      <alignment horizontal="center" vertical="center"/>
    </xf>
    <xf numFmtId="43" fontId="7" fillId="9" borderId="0" xfId="0" applyNumberFormat="1" applyFont="1" applyFill="1" applyAlignment="1" applyProtection="1">
      <alignment vertical="top"/>
      <protection locked="0"/>
    </xf>
    <xf numFmtId="9" fontId="0" fillId="9" borderId="1" xfId="0" applyNumberFormat="1" applyFill="1" applyBorder="1" applyAlignment="1" applyProtection="1">
      <alignment horizontal="center" vertical="center" wrapText="1"/>
      <protection locked="0"/>
    </xf>
    <xf numFmtId="9" fontId="0" fillId="0" borderId="1" xfId="3" applyFont="1" applyFill="1" applyBorder="1" applyAlignment="1" applyProtection="1">
      <alignment horizontal="center" vertical="center" wrapText="1"/>
      <protection locked="0"/>
    </xf>
    <xf numFmtId="9" fontId="0" fillId="9" borderId="0" xfId="3" applyFont="1" applyFill="1" applyAlignment="1" applyProtection="1">
      <alignment vertical="top"/>
      <protection locked="0"/>
    </xf>
    <xf numFmtId="0" fontId="0" fillId="9" borderId="1" xfId="0" applyFill="1" applyBorder="1" applyAlignment="1" applyProtection="1">
      <alignment horizontal="left" vertical="top" wrapText="1" indent="1"/>
      <protection locked="0"/>
    </xf>
    <xf numFmtId="167" fontId="0" fillId="9" borderId="0" xfId="0" applyNumberFormat="1" applyFill="1" applyAlignment="1" applyProtection="1">
      <alignment vertical="top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12" fillId="9" borderId="0" xfId="0" applyFont="1" applyFill="1" applyProtection="1">
      <protection locked="0"/>
    </xf>
    <xf numFmtId="0" fontId="0" fillId="9" borderId="0" xfId="0" applyFill="1" applyAlignment="1" applyProtection="1">
      <alignment horizontal="right" vertical="center"/>
      <protection locked="0"/>
    </xf>
    <xf numFmtId="0" fontId="0" fillId="9" borderId="0" xfId="0" applyFill="1" applyAlignment="1" applyProtection="1">
      <alignment horizontal="right"/>
      <protection locked="0"/>
    </xf>
    <xf numFmtId="0" fontId="12" fillId="9" borderId="0" xfId="0" applyFont="1" applyFill="1" applyAlignment="1" applyProtection="1">
      <alignment horizontal="right"/>
      <protection locked="0"/>
    </xf>
    <xf numFmtId="0" fontId="0" fillId="11" borderId="1" xfId="0" applyFill="1" applyBorder="1" applyAlignment="1" applyProtection="1">
      <alignment horizontal="right" vertical="center"/>
      <protection locked="0"/>
    </xf>
    <xf numFmtId="0" fontId="0" fillId="11" borderId="1" xfId="0" applyNumberFormat="1" applyFill="1" applyBorder="1" applyAlignment="1" applyProtection="1">
      <alignment horizontal="right" vertical="center"/>
      <protection locked="0"/>
    </xf>
    <xf numFmtId="164" fontId="0" fillId="10" borderId="1" xfId="0" applyNumberFormat="1" applyFill="1" applyBorder="1" applyAlignment="1" applyProtection="1">
      <alignment horizontal="right" vertical="center"/>
    </xf>
    <xf numFmtId="9" fontId="0" fillId="9" borderId="1" xfId="0" applyNumberFormat="1" applyFill="1" applyBorder="1" applyAlignment="1" applyProtection="1">
      <alignment horizontal="right"/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14" fillId="9" borderId="0" xfId="0" applyFont="1" applyFill="1"/>
    <xf numFmtId="0" fontId="14" fillId="9" borderId="0" xfId="0" applyFont="1" applyFill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 readingOrder="1"/>
    </xf>
    <xf numFmtId="9" fontId="15" fillId="9" borderId="1" xfId="0" applyNumberFormat="1" applyFont="1" applyFill="1" applyBorder="1" applyAlignment="1">
      <alignment horizontal="center" vertical="center" wrapText="1" readingOrder="1"/>
    </xf>
    <xf numFmtId="9" fontId="14" fillId="9" borderId="7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4" fontId="17" fillId="13" borderId="0" xfId="0" applyNumberFormat="1" applyFont="1" applyFill="1" applyAlignment="1">
      <alignment wrapText="1"/>
    </xf>
    <xf numFmtId="0" fontId="11" fillId="13" borderId="0" xfId="0" applyFont="1" applyFill="1" applyAlignment="1">
      <alignment horizontal="right" wrapText="1"/>
    </xf>
    <xf numFmtId="168" fontId="0" fillId="12" borderId="1" xfId="0" applyNumberFormat="1" applyFill="1" applyBorder="1"/>
    <xf numFmtId="168" fontId="0" fillId="12" borderId="0" xfId="0" applyNumberFormat="1" applyFill="1" applyAlignment="1">
      <alignment wrapText="1"/>
    </xf>
    <xf numFmtId="14" fontId="0" fillId="14" borderId="0" xfId="0" applyNumberFormat="1" applyFill="1" applyAlignment="1">
      <alignment wrapText="1"/>
    </xf>
    <xf numFmtId="14" fontId="0" fillId="15" borderId="0" xfId="0" applyNumberFormat="1" applyFill="1" applyAlignment="1">
      <alignment wrapText="1"/>
    </xf>
    <xf numFmtId="49" fontId="16" fillId="16" borderId="0" xfId="0" applyNumberFormat="1" applyFont="1" applyFill="1" applyAlignment="1">
      <alignment horizontal="center"/>
    </xf>
    <xf numFmtId="168" fontId="0" fillId="17" borderId="1" xfId="0" applyNumberFormat="1" applyFill="1" applyBorder="1"/>
    <xf numFmtId="168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vertical="center" wrapText="1"/>
    </xf>
    <xf numFmtId="14" fontId="11" fillId="18" borderId="0" xfId="0" applyNumberFormat="1" applyFont="1" applyFill="1" applyAlignment="1">
      <alignment wrapText="1"/>
    </xf>
    <xf numFmtId="14" fontId="0" fillId="19" borderId="0" xfId="0" applyNumberFormat="1" applyFill="1" applyAlignment="1">
      <alignment wrapText="1"/>
    </xf>
    <xf numFmtId="14" fontId="0" fillId="20" borderId="0" xfId="0" applyNumberFormat="1" applyFill="1" applyAlignment="1">
      <alignment wrapText="1"/>
    </xf>
    <xf numFmtId="14" fontId="0" fillId="7" borderId="0" xfId="0" applyNumberFormat="1" applyFill="1" applyAlignment="1">
      <alignment wrapText="1"/>
    </xf>
    <xf numFmtId="14" fontId="0" fillId="17" borderId="0" xfId="0" applyNumberFormat="1" applyFill="1" applyAlignment="1">
      <alignment wrapText="1"/>
    </xf>
    <xf numFmtId="14" fontId="0" fillId="21" borderId="0" xfId="0" applyNumberFormat="1" applyFill="1" applyAlignment="1">
      <alignment wrapText="1"/>
    </xf>
    <xf numFmtId="14" fontId="11" fillId="22" borderId="0" xfId="0" applyNumberFormat="1" applyFont="1" applyFill="1" applyAlignment="1">
      <alignment wrapText="1"/>
    </xf>
    <xf numFmtId="14" fontId="0" fillId="23" borderId="0" xfId="0" applyNumberFormat="1" applyFill="1" applyAlignment="1">
      <alignment wrapText="1"/>
    </xf>
    <xf numFmtId="0" fontId="18" fillId="0" borderId="0" xfId="0" applyFont="1" applyAlignment="1">
      <alignment horizontal="center" wrapText="1"/>
    </xf>
    <xf numFmtId="49" fontId="19" fillId="16" borderId="17" xfId="0" applyNumberFormat="1" applyFont="1" applyFill="1" applyBorder="1" applyAlignment="1">
      <alignment horizontal="center" wrapText="1"/>
    </xf>
    <xf numFmtId="49" fontId="18" fillId="0" borderId="17" xfId="0" applyNumberFormat="1" applyFont="1" applyBorder="1" applyAlignment="1">
      <alignment horizontal="center" wrapText="1"/>
    </xf>
    <xf numFmtId="0" fontId="18" fillId="0" borderId="17" xfId="0" applyFont="1" applyBorder="1"/>
    <xf numFmtId="0" fontId="20" fillId="0" borderId="0" xfId="0" applyFont="1"/>
    <xf numFmtId="14" fontId="0" fillId="24" borderId="0" xfId="0" applyNumberFormat="1" applyFill="1"/>
    <xf numFmtId="0" fontId="0" fillId="24" borderId="0" xfId="0" applyFill="1"/>
    <xf numFmtId="0" fontId="0" fillId="25" borderId="0" xfId="0" applyFill="1"/>
    <xf numFmtId="0" fontId="21" fillId="4" borderId="0" xfId="0" applyFont="1" applyFill="1"/>
    <xf numFmtId="49" fontId="0" fillId="0" borderId="0" xfId="0" applyNumberFormat="1" applyAlignment="1">
      <alignment horizontal="center" wrapText="1"/>
    </xf>
    <xf numFmtId="0" fontId="21" fillId="12" borderId="0" xfId="0" applyFont="1" applyFill="1"/>
    <xf numFmtId="168" fontId="18" fillId="0" borderId="0" xfId="0" applyNumberFormat="1" applyFont="1"/>
    <xf numFmtId="0" fontId="0" fillId="0" borderId="0" xfId="0" applyAlignment="1">
      <alignment horizontal="right"/>
    </xf>
    <xf numFmtId="0" fontId="0" fillId="17" borderId="0" xfId="0" applyFill="1"/>
    <xf numFmtId="168" fontId="0" fillId="17" borderId="0" xfId="0" applyNumberFormat="1" applyFill="1" applyAlignment="1">
      <alignment horizontal="right"/>
    </xf>
    <xf numFmtId="9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0" applyNumberFormat="1"/>
    <xf numFmtId="168" fontId="0" fillId="26" borderId="18" xfId="0" applyNumberFormat="1" applyFill="1" applyBorder="1"/>
    <xf numFmtId="168" fontId="0" fillId="27" borderId="1" xfId="0" applyNumberFormat="1" applyFill="1" applyBorder="1"/>
    <xf numFmtId="168" fontId="0" fillId="28" borderId="1" xfId="0" applyNumberFormat="1" applyFill="1" applyBorder="1"/>
    <xf numFmtId="168" fontId="0" fillId="29" borderId="1" xfId="0" applyNumberFormat="1" applyFill="1" applyBorder="1"/>
    <xf numFmtId="168" fontId="0" fillId="30" borderId="1" xfId="0" applyNumberFormat="1" applyFill="1" applyBorder="1"/>
    <xf numFmtId="168" fontId="0" fillId="24" borderId="1" xfId="0" applyNumberFormat="1" applyFill="1" applyBorder="1"/>
    <xf numFmtId="168" fontId="0" fillId="31" borderId="1" xfId="0" applyNumberFormat="1" applyFill="1" applyBorder="1"/>
    <xf numFmtId="168" fontId="0" fillId="32" borderId="1" xfId="0" applyNumberFormat="1" applyFill="1" applyBorder="1"/>
    <xf numFmtId="168" fontId="0" fillId="17" borderId="1" xfId="0" applyNumberFormat="1" applyFill="1" applyBorder="1" applyAlignment="1">
      <alignment horizontal="right"/>
    </xf>
    <xf numFmtId="169" fontId="0" fillId="17" borderId="1" xfId="0" applyNumberFormat="1" applyFill="1" applyBorder="1" applyAlignment="1">
      <alignment horizontal="right"/>
    </xf>
    <xf numFmtId="168" fontId="0" fillId="33" borderId="1" xfId="0" applyNumberFormat="1" applyFill="1" applyBorder="1" applyAlignment="1">
      <alignment wrapText="1"/>
    </xf>
    <xf numFmtId="0" fontId="0" fillId="34" borderId="1" xfId="0" applyFill="1" applyBorder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22" fillId="34" borderId="1" xfId="0" applyFont="1" applyFill="1" applyBorder="1" applyAlignment="1">
      <alignment wrapText="1"/>
    </xf>
    <xf numFmtId="49" fontId="0" fillId="34" borderId="1" xfId="0" applyNumberForma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8" fillId="0" borderId="0" xfId="0" applyFont="1"/>
    <xf numFmtId="0" fontId="18" fillId="27" borderId="1" xfId="0" applyFont="1" applyFill="1" applyBorder="1" applyAlignment="1">
      <alignment horizontal="center"/>
    </xf>
    <xf numFmtId="0" fontId="18" fillId="28" borderId="1" xfId="0" applyFont="1" applyFill="1" applyBorder="1" applyAlignment="1">
      <alignment horizontal="center"/>
    </xf>
    <xf numFmtId="0" fontId="18" fillId="28" borderId="1" xfId="0" applyFont="1" applyFill="1" applyBorder="1" applyAlignment="1">
      <alignment horizontal="center" wrapText="1"/>
    </xf>
    <xf numFmtId="0" fontId="18" fillId="29" borderId="1" xfId="0" applyFont="1" applyFill="1" applyBorder="1" applyAlignment="1">
      <alignment horizontal="center" wrapText="1"/>
    </xf>
    <xf numFmtId="0" fontId="18" fillId="30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16" borderId="1" xfId="0" applyFont="1" applyFill="1" applyBorder="1" applyAlignment="1">
      <alignment horizontal="center" wrapText="1"/>
    </xf>
    <xf numFmtId="0" fontId="18" fillId="20" borderId="1" xfId="0" applyFont="1" applyFill="1" applyBorder="1" applyAlignment="1">
      <alignment horizontal="center" wrapText="1"/>
    </xf>
    <xf numFmtId="0" fontId="18" fillId="37" borderId="1" xfId="0" applyFont="1" applyFill="1" applyBorder="1" applyAlignment="1">
      <alignment horizontal="center" wrapText="1"/>
    </xf>
    <xf numFmtId="0" fontId="18" fillId="33" borderId="1" xfId="0" applyFont="1" applyFill="1" applyBorder="1" applyAlignment="1">
      <alignment horizontal="center" wrapText="1"/>
    </xf>
    <xf numFmtId="0" fontId="18" fillId="38" borderId="1" xfId="0" applyFont="1" applyFill="1" applyBorder="1" applyAlignment="1">
      <alignment horizontal="center" wrapText="1"/>
    </xf>
    <xf numFmtId="0" fontId="18" fillId="0" borderId="17" xfId="0" applyFont="1" applyBorder="1" applyAlignment="1">
      <alignment wrapText="1"/>
    </xf>
    <xf numFmtId="0" fontId="0" fillId="27" borderId="1" xfId="0" applyFill="1" applyBorder="1"/>
    <xf numFmtId="0" fontId="18" fillId="3" borderId="1" xfId="0" applyFont="1" applyFill="1" applyBorder="1"/>
    <xf numFmtId="0" fontId="0" fillId="33" borderId="1" xfId="0" applyFill="1" applyBorder="1" applyAlignment="1">
      <alignment wrapText="1"/>
    </xf>
    <xf numFmtId="0" fontId="0" fillId="38" borderId="1" xfId="0" applyFill="1" applyBorder="1" applyAlignment="1">
      <alignment wrapText="1"/>
    </xf>
    <xf numFmtId="0" fontId="0" fillId="9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left"/>
    </xf>
    <xf numFmtId="166" fontId="0" fillId="9" borderId="0" xfId="0" applyNumberFormat="1" applyFill="1" applyAlignment="1" applyProtection="1">
      <alignment horizontal="center" vertical="top"/>
      <protection locked="0"/>
    </xf>
    <xf numFmtId="0" fontId="11" fillId="8" borderId="9" xfId="0" applyFont="1" applyFill="1" applyBorder="1" applyAlignment="1" applyProtection="1">
      <alignment horizontal="left" vertical="center" wrapText="1"/>
      <protection locked="0"/>
    </xf>
    <xf numFmtId="0" fontId="0" fillId="25" borderId="12" xfId="0" applyFont="1" applyFill="1" applyBorder="1" applyAlignment="1" applyProtection="1">
      <alignment vertical="top" wrapText="1"/>
      <protection locked="0"/>
    </xf>
    <xf numFmtId="43" fontId="0" fillId="9" borderId="1" xfId="2" applyFont="1" applyFill="1" applyBorder="1" applyAlignment="1" applyProtection="1">
      <alignment horizontal="center" vertical="center"/>
      <protection locked="0"/>
    </xf>
    <xf numFmtId="43" fontId="0" fillId="9" borderId="1" xfId="2" applyFont="1" applyFill="1" applyBorder="1" applyAlignment="1" applyProtection="1">
      <alignment horizontal="center" vertical="top"/>
      <protection locked="0"/>
    </xf>
    <xf numFmtId="43" fontId="0" fillId="0" borderId="1" xfId="2" applyFont="1" applyBorder="1" applyAlignment="1">
      <alignment horizontal="center" wrapText="1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0" fillId="9" borderId="20" xfId="0" applyFill="1" applyBorder="1" applyAlignment="1" applyProtection="1">
      <alignment vertical="top"/>
      <protection locked="0"/>
    </xf>
    <xf numFmtId="0" fontId="0" fillId="9" borderId="13" xfId="0" applyNumberFormat="1" applyFont="1" applyFill="1" applyBorder="1" applyAlignment="1" applyProtection="1">
      <alignment vertical="center"/>
      <protection locked="0"/>
    </xf>
    <xf numFmtId="0" fontId="0" fillId="0" borderId="20" xfId="0" applyFont="1" applyBorder="1" applyAlignment="1">
      <alignment horizontal="left" indent="2"/>
    </xf>
    <xf numFmtId="0" fontId="0" fillId="9" borderId="13" xfId="0" applyFont="1" applyFill="1" applyBorder="1" applyAlignment="1" applyProtection="1">
      <alignment vertical="top"/>
      <protection locked="0"/>
    </xf>
    <xf numFmtId="0" fontId="0" fillId="0" borderId="20" xfId="0" applyFont="1" applyBorder="1" applyAlignment="1">
      <alignment horizontal="left" wrapText="1" indent="2"/>
    </xf>
    <xf numFmtId="0" fontId="0" fillId="9" borderId="14" xfId="0" applyFont="1" applyFill="1" applyBorder="1" applyAlignment="1" applyProtection="1">
      <alignment vertical="top" wrapText="1"/>
      <protection locked="0"/>
    </xf>
    <xf numFmtId="0" fontId="0" fillId="9" borderId="15" xfId="0" applyFont="1" applyFill="1" applyBorder="1" applyAlignment="1" applyProtection="1">
      <alignment horizontal="center" vertical="center" wrapText="1"/>
      <protection locked="0"/>
    </xf>
    <xf numFmtId="43" fontId="0" fillId="9" borderId="15" xfId="2" applyFont="1" applyFill="1" applyBorder="1" applyAlignment="1" applyProtection="1">
      <alignment horizontal="center" vertical="top"/>
      <protection locked="0"/>
    </xf>
    <xf numFmtId="0" fontId="0" fillId="9" borderId="15" xfId="0" applyNumberFormat="1" applyFont="1" applyFill="1" applyBorder="1" applyAlignment="1" applyProtection="1">
      <alignment horizontal="center" vertical="top"/>
      <protection locked="0"/>
    </xf>
    <xf numFmtId="43" fontId="0" fillId="9" borderId="19" xfId="2" applyFont="1" applyFill="1" applyBorder="1" applyAlignment="1" applyProtection="1">
      <alignment horizontal="center" vertical="top"/>
      <protection locked="0"/>
    </xf>
    <xf numFmtId="0" fontId="0" fillId="9" borderId="19" xfId="0" applyNumberFormat="1" applyFont="1" applyFill="1" applyBorder="1" applyAlignment="1" applyProtection="1">
      <alignment horizontal="center" vertical="top"/>
      <protection locked="0"/>
    </xf>
    <xf numFmtId="0" fontId="0" fillId="0" borderId="16" xfId="0" applyFont="1" applyBorder="1" applyAlignment="1">
      <alignment horizontal="left" wrapText="1"/>
    </xf>
    <xf numFmtId="10" fontId="0" fillId="0" borderId="1" xfId="0" applyNumberFormat="1" applyBorder="1" applyAlignment="1" applyProtection="1">
      <alignment horizontal="center"/>
      <protection locked="0"/>
    </xf>
    <xf numFmtId="43" fontId="0" fillId="0" borderId="0" xfId="0" applyNumberFormat="1"/>
    <xf numFmtId="0" fontId="10" fillId="8" borderId="1" xfId="1" applyFont="1" applyFill="1" applyBorder="1" applyAlignment="1">
      <alignment horizontal="left" vertical="center" wrapText="1"/>
    </xf>
    <xf numFmtId="0" fontId="10" fillId="8" borderId="1" xfId="1" applyFont="1" applyFill="1" applyBorder="1" applyAlignment="1">
      <alignment horizontal="center" vertical="top" wrapText="1"/>
    </xf>
    <xf numFmtId="164" fontId="10" fillId="8" borderId="1" xfId="2" applyNumberFormat="1" applyFont="1" applyFill="1" applyBorder="1" applyAlignment="1">
      <alignment horizontal="center" vertical="center" wrapText="1"/>
    </xf>
    <xf numFmtId="0" fontId="9" fillId="9" borderId="0" xfId="0" applyFont="1" applyFill="1"/>
    <xf numFmtId="0" fontId="12" fillId="0" borderId="1" xfId="1" applyFont="1" applyBorder="1" applyAlignment="1">
      <alignment horizontal="left" vertical="center" wrapText="1"/>
    </xf>
    <xf numFmtId="0" fontId="23" fillId="0" borderId="1" xfId="1" applyFont="1" applyBorder="1" applyAlignment="1">
      <alignment vertical="top" wrapText="1"/>
    </xf>
    <xf numFmtId="164" fontId="12" fillId="0" borderId="1" xfId="2" applyNumberFormat="1" applyFont="1" applyBorder="1" applyAlignment="1">
      <alignment horizontal="center" vertical="center" wrapText="1"/>
    </xf>
    <xf numFmtId="164" fontId="23" fillId="0" borderId="1" xfId="2" applyNumberFormat="1" applyFont="1" applyBorder="1" applyAlignment="1">
      <alignment horizontal="center" vertical="center" wrapText="1"/>
    </xf>
    <xf numFmtId="0" fontId="24" fillId="0" borderId="1" xfId="1" applyFont="1" applyBorder="1" applyAlignment="1">
      <alignment vertical="top" wrapText="1"/>
    </xf>
    <xf numFmtId="0" fontId="23" fillId="5" borderId="1" xfId="1" applyFont="1" applyFill="1" applyBorder="1" applyAlignment="1">
      <alignment vertical="top" wrapText="1"/>
    </xf>
    <xf numFmtId="164" fontId="23" fillId="5" borderId="1" xfId="1" applyNumberFormat="1" applyFont="1" applyFill="1" applyBorder="1" applyAlignment="1">
      <alignment vertical="top" wrapText="1"/>
    </xf>
    <xf numFmtId="0" fontId="12" fillId="0" borderId="1" xfId="1" applyFont="1" applyBorder="1" applyAlignment="1">
      <alignment vertical="top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4" fontId="9" fillId="0" borderId="1" xfId="2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vertical="top" wrapText="1"/>
    </xf>
    <xf numFmtId="9" fontId="12" fillId="0" borderId="1" xfId="1" applyNumberFormat="1" applyFont="1" applyBorder="1" applyAlignment="1">
      <alignment vertical="top" wrapText="1"/>
    </xf>
    <xf numFmtId="1" fontId="9" fillId="9" borderId="0" xfId="0" applyNumberFormat="1" applyFont="1" applyFill="1"/>
    <xf numFmtId="0" fontId="24" fillId="0" borderId="1" xfId="1" applyFont="1" applyFill="1" applyBorder="1" applyAlignment="1">
      <alignment vertical="top" wrapText="1"/>
    </xf>
    <xf numFmtId="164" fontId="12" fillId="0" borderId="1" xfId="2" applyNumberFormat="1" applyFont="1" applyFill="1" applyBorder="1" applyAlignment="1">
      <alignment horizontal="center" vertical="center" wrapText="1"/>
    </xf>
    <xf numFmtId="164" fontId="23" fillId="3" borderId="1" xfId="2" applyNumberFormat="1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/>
    <xf numFmtId="164" fontId="9" fillId="9" borderId="0" xfId="2" applyNumberFormat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left" vertical="center" wrapText="1"/>
    </xf>
    <xf numFmtId="164" fontId="12" fillId="0" borderId="1" xfId="2" applyNumberFormat="1" applyFont="1" applyBorder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164" fontId="9" fillId="9" borderId="0" xfId="2" applyNumberFormat="1" applyFont="1" applyFill="1" applyAlignment="1">
      <alignment horizontal="center" vertical="center"/>
    </xf>
    <xf numFmtId="0" fontId="0" fillId="9" borderId="0" xfId="0" applyFill="1" applyBorder="1" applyAlignment="1" applyProtection="1">
      <alignment vertical="top"/>
      <protection locked="0"/>
    </xf>
    <xf numFmtId="43" fontId="0" fillId="9" borderId="0" xfId="0" applyNumberFormat="1" applyFill="1" applyAlignment="1" applyProtection="1">
      <alignment horizontal="center" vertical="top"/>
      <protection locked="0"/>
    </xf>
    <xf numFmtId="9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 applyProtection="1">
      <alignment horizontal="left" vertical="top" wrapText="1" indent="1"/>
      <protection locked="0"/>
    </xf>
    <xf numFmtId="43" fontId="0" fillId="24" borderId="0" xfId="0" applyNumberFormat="1" applyFill="1" applyAlignment="1" applyProtection="1">
      <alignment horizontal="center" vertical="top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8" borderId="1" xfId="0" applyFont="1" applyFill="1" applyBorder="1"/>
    <xf numFmtId="15" fontId="0" fillId="0" borderId="1" xfId="0" applyNumberFormat="1" applyBorder="1" applyAlignment="1">
      <alignment horizontal="center" vertical="center"/>
    </xf>
    <xf numFmtId="0" fontId="0" fillId="0" borderId="26" xfId="0" applyBorder="1"/>
    <xf numFmtId="0" fontId="7" fillId="0" borderId="22" xfId="0" applyFont="1" applyBorder="1"/>
    <xf numFmtId="0" fontId="7" fillId="0" borderId="26" xfId="0" applyFont="1" applyBorder="1"/>
    <xf numFmtId="0" fontId="25" fillId="0" borderId="0" xfId="5"/>
    <xf numFmtId="2" fontId="0" fillId="9" borderId="1" xfId="0" applyNumberFormat="1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right" vertical="center" wrapText="1" readingOrder="1"/>
    </xf>
    <xf numFmtId="0" fontId="0" fillId="9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 vertical="top"/>
    </xf>
    <xf numFmtId="0" fontId="0" fillId="9" borderId="1" xfId="0" applyFill="1" applyBorder="1" applyAlignment="1" applyProtection="1">
      <alignment horizontal="center" vertical="top"/>
      <protection locked="0"/>
    </xf>
    <xf numFmtId="9" fontId="0" fillId="9" borderId="1" xfId="3" applyFont="1" applyFill="1" applyBorder="1" applyAlignment="1" applyProtection="1">
      <alignment horizontal="center" vertical="top"/>
      <protection locked="0"/>
    </xf>
    <xf numFmtId="167" fontId="0" fillId="0" borderId="1" xfId="0" applyNumberFormat="1" applyFill="1" applyBorder="1" applyAlignment="1" applyProtection="1">
      <alignment horizontal="right" vertical="center"/>
      <protection locked="0"/>
    </xf>
    <xf numFmtId="166" fontId="0" fillId="9" borderId="1" xfId="0" applyNumberFormat="1" applyFill="1" applyBorder="1" applyAlignment="1" applyProtection="1">
      <alignment horizontal="right" vertical="center"/>
      <protection locked="0"/>
    </xf>
    <xf numFmtId="170" fontId="0" fillId="10" borderId="1" xfId="0" applyNumberFormat="1" applyFill="1" applyBorder="1" applyAlignment="1" applyProtection="1">
      <alignment horizontal="center" vertical="center" wrapText="1"/>
    </xf>
    <xf numFmtId="170" fontId="0" fillId="9" borderId="1" xfId="0" applyNumberFormat="1" applyFill="1" applyBorder="1" applyAlignment="1" applyProtection="1">
      <alignment horizontal="center" vertical="top"/>
      <protection locked="0"/>
    </xf>
    <xf numFmtId="0" fontId="27" fillId="9" borderId="1" xfId="0" applyFont="1" applyFill="1" applyBorder="1"/>
    <xf numFmtId="0" fontId="15" fillId="9" borderId="0" xfId="0" applyFont="1" applyFill="1" applyBorder="1" applyAlignment="1">
      <alignment horizontal="left" vertical="center" wrapText="1" readingOrder="1"/>
    </xf>
    <xf numFmtId="9" fontId="15" fillId="9" borderId="0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right" vertical="center"/>
      <protection locked="0"/>
    </xf>
    <xf numFmtId="0" fontId="12" fillId="0" borderId="1" xfId="1" applyFont="1" applyBorder="1" applyAlignment="1">
      <alignment horizontal="center" vertical="center" wrapText="1"/>
    </xf>
    <xf numFmtId="0" fontId="10" fillId="8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5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12" fillId="0" borderId="1" xfId="1" applyNumberFormat="1" applyFont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6" fillId="9" borderId="1" xfId="0" applyFont="1" applyFill="1" applyBorder="1"/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/>
    <xf numFmtId="164" fontId="9" fillId="9" borderId="1" xfId="2" applyNumberFormat="1" applyFont="1" applyFill="1" applyBorder="1" applyAlignment="1">
      <alignment horizontal="center" vertical="center"/>
    </xf>
    <xf numFmtId="0" fontId="23" fillId="0" borderId="1" xfId="1" applyFont="1" applyBorder="1" applyAlignment="1">
      <alignment vertical="top" wrapText="1"/>
    </xf>
    <xf numFmtId="164" fontId="9" fillId="9" borderId="0" xfId="0" applyNumberFormat="1" applyFont="1" applyFill="1"/>
    <xf numFmtId="164" fontId="12" fillId="0" borderId="1" xfId="2" applyNumberFormat="1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horizontal="right" vertical="center"/>
    </xf>
    <xf numFmtId="170" fontId="7" fillId="0" borderId="1" xfId="0" applyNumberFormat="1" applyFont="1" applyBorder="1" applyAlignment="1">
      <alignment horizontal="center" vertical="center"/>
    </xf>
    <xf numFmtId="0" fontId="23" fillId="9" borderId="2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/>
    </xf>
    <xf numFmtId="0" fontId="23" fillId="9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8" borderId="1" xfId="0" applyFont="1" applyFill="1" applyBorder="1" applyAlignment="1">
      <alignment horizontal="center" vertical="center" readingOrder="1"/>
    </xf>
    <xf numFmtId="0" fontId="10" fillId="8" borderId="2" xfId="0" applyFont="1" applyFill="1" applyBorder="1" applyAlignment="1">
      <alignment horizontal="left" vertical="center" wrapText="1" readingOrder="1"/>
    </xf>
    <xf numFmtId="0" fontId="10" fillId="8" borderId="3" xfId="0" applyFont="1" applyFill="1" applyBorder="1" applyAlignment="1">
      <alignment horizontal="left" vertical="center" wrapText="1" readingOrder="1"/>
    </xf>
    <xf numFmtId="0" fontId="10" fillId="8" borderId="4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 readingOrder="1"/>
    </xf>
    <xf numFmtId="0" fontId="23" fillId="0" borderId="1" xfId="1" applyFont="1" applyBorder="1" applyAlignment="1">
      <alignment vertical="top" wrapText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7" borderId="0" xfId="0" applyFont="1" applyFill="1" applyBorder="1" applyAlignment="1" applyProtection="1">
      <alignment horizontal="center" vertical="top"/>
      <protection locked="0"/>
    </xf>
    <xf numFmtId="0" fontId="7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4" xfId="0" applyNumberFormat="1" applyFont="1" applyFill="1" applyBorder="1" applyAlignment="1" applyProtection="1">
      <alignment horizontal="center" vertical="center"/>
      <protection locked="0"/>
    </xf>
    <xf numFmtId="43" fontId="0" fillId="10" borderId="1" xfId="2" applyFont="1" applyFill="1" applyBorder="1" applyAlignment="1" applyProtection="1">
      <alignment horizontal="center" vertical="center"/>
      <protection locked="0"/>
    </xf>
    <xf numFmtId="43" fontId="0" fillId="10" borderId="2" xfId="2" applyFont="1" applyFill="1" applyBorder="1" applyAlignment="1" applyProtection="1">
      <alignment horizontal="center" vertical="center"/>
      <protection locked="0"/>
    </xf>
    <xf numFmtId="43" fontId="0" fillId="10" borderId="4" xfId="2" applyFont="1" applyFill="1" applyBorder="1" applyAlignment="1" applyProtection="1">
      <alignment horizontal="center" vertical="center"/>
      <protection locked="0"/>
    </xf>
    <xf numFmtId="0" fontId="11" fillId="8" borderId="2" xfId="0" applyFont="1" applyFill="1" applyBorder="1" applyAlignment="1" applyProtection="1">
      <alignment horizontal="left" vertical="top" wrapText="1"/>
      <protection locked="0"/>
    </xf>
    <xf numFmtId="0" fontId="11" fillId="8" borderId="3" xfId="0" applyFont="1" applyFill="1" applyBorder="1" applyAlignment="1" applyProtection="1">
      <alignment horizontal="left" vertical="top" wrapText="1"/>
      <protection locked="0"/>
    </xf>
    <xf numFmtId="0" fontId="11" fillId="8" borderId="4" xfId="0" applyFont="1" applyFill="1" applyBorder="1" applyAlignment="1" applyProtection="1">
      <alignment horizontal="left" vertical="top" wrapText="1"/>
      <protection locked="0"/>
    </xf>
    <xf numFmtId="0" fontId="11" fillId="8" borderId="2" xfId="0" applyFont="1" applyFill="1" applyBorder="1" applyAlignment="1" applyProtection="1">
      <alignment horizontal="center" vertical="top"/>
      <protection locked="0"/>
    </xf>
    <xf numFmtId="0" fontId="11" fillId="8" borderId="4" xfId="0" applyFont="1" applyFill="1" applyBorder="1" applyAlignment="1" applyProtection="1">
      <alignment horizontal="center" vertical="top"/>
      <protection locked="0"/>
    </xf>
    <xf numFmtId="0" fontId="18" fillId="26" borderId="1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8" fillId="37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36" borderId="1" xfId="0" applyFont="1" applyFill="1" applyBorder="1" applyAlignment="1">
      <alignment horizontal="center" wrapText="1"/>
    </xf>
    <xf numFmtId="0" fontId="18" fillId="29" borderId="2" xfId="0" applyFont="1" applyFill="1" applyBorder="1" applyAlignment="1">
      <alignment horizontal="center" wrapText="1"/>
    </xf>
    <xf numFmtId="0" fontId="18" fillId="29" borderId="4" xfId="0" applyFont="1" applyFill="1" applyBorder="1" applyAlignment="1">
      <alignment horizontal="center" wrapText="1"/>
    </xf>
    <xf numFmtId="0" fontId="18" fillId="28" borderId="2" xfId="0" applyFont="1" applyFill="1" applyBorder="1" applyAlignment="1">
      <alignment horizontal="center" wrapText="1"/>
    </xf>
    <xf numFmtId="0" fontId="18" fillId="28" borderId="3" xfId="0" applyFont="1" applyFill="1" applyBorder="1" applyAlignment="1">
      <alignment horizontal="center" wrapText="1"/>
    </xf>
    <xf numFmtId="0" fontId="18" fillId="28" borderId="4" xfId="0" applyFont="1" applyFill="1" applyBorder="1" applyAlignment="1">
      <alignment horizontal="center" wrapText="1"/>
    </xf>
    <xf numFmtId="0" fontId="2" fillId="5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</cellXfs>
  <cellStyles count="6">
    <cellStyle name="Comma" xfId="2" builtinId="3"/>
    <cellStyle name="Comma 2" xfId="4" xr:uid="{201D4154-6B93-48A0-AD68-B5DDE8D0C1F4}"/>
    <cellStyle name="Hyperlink" xfId="5" builtinId="8"/>
    <cellStyle name="Normal" xfId="0" builtinId="0"/>
    <cellStyle name="Normal 2" xfId="1" xr:uid="{44B85EB3-5394-4BDC-8A5A-7E697B77EB5E}"/>
    <cellStyle name="Percent" xfId="3" builtinId="5"/>
  </cellStyles>
  <dxfs count="6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20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Capex vs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Dashboard!$X$46</c:f>
              <c:strCache>
                <c:ptCount val="1"/>
                <c:pt idx="0">
                  <c:v>Capex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Dashboard!$Y$40:$AC$40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Dashboard!$Y$46:$AC$46</c:f>
              <c:numCache>
                <c:formatCode>0.00</c:formatCode>
                <c:ptCount val="5"/>
                <c:pt idx="0">
                  <c:v>0.78183000000000002</c:v>
                </c:pt>
                <c:pt idx="1">
                  <c:v>1.1992400000000001</c:v>
                </c:pt>
                <c:pt idx="2">
                  <c:v>1.4344400000000002</c:v>
                </c:pt>
                <c:pt idx="3">
                  <c:v>1.6696400000000002</c:v>
                </c:pt>
                <c:pt idx="4">
                  <c:v>1.9048400000000003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1F7-A463-334582DB1334}"/>
            </c:ext>
          </c:extLst>
        </c:ser>
        <c:ser>
          <c:idx val="1"/>
          <c:order val="1"/>
          <c:tx>
            <c:strRef>
              <c:f>Dashboard!$X$45</c:f>
              <c:strCache>
                <c:ptCount val="1"/>
                <c:pt idx="0">
                  <c:v>Opex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Dashboard!$Y$40:$AC$40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Dashboard!$Y$45:$AC$45</c:f>
              <c:numCache>
                <c:formatCode>0.00</c:formatCode>
                <c:ptCount val="5"/>
                <c:pt idx="0">
                  <c:v>0</c:v>
                </c:pt>
                <c:pt idx="1">
                  <c:v>0.19402880000000003</c:v>
                </c:pt>
                <c:pt idx="2">
                  <c:v>0.33716480000000004</c:v>
                </c:pt>
                <c:pt idx="3">
                  <c:v>0.48030080000000008</c:v>
                </c:pt>
                <c:pt idx="4">
                  <c:v>0.57572480000000004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B-41F7-A463-334582DB13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0145784"/>
        <c:axId val="1110145144"/>
      </c:barChart>
      <c:catAx>
        <c:axId val="11101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5144"/>
        <c:crosses val="autoZero"/>
        <c:auto val="1"/>
        <c:lblAlgn val="ctr"/>
        <c:lblOffset val="100"/>
        <c:noMultiLvlLbl val="0"/>
      </c:catAx>
      <c:valAx>
        <c:axId val="111014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Cost in million -&gt;</a:t>
                </a:r>
                <a:endParaRPr lang="en-IN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[$€-407]_-;\-* #,##0.00\ [$€-407]_-;_-* &quot;-&quot;??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Overall C</a:t>
            </a:r>
            <a:r>
              <a:rPr lang="en-IN" sz="1600" b="1"/>
              <a:t>ost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Dashboard!$X$11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Dashboard!$Y$10:$AC$10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Dashboard!$Y$11:$AC$11</c:f>
              <c:numCache>
                <c:formatCode>0.00</c:formatCode>
                <c:ptCount val="5"/>
                <c:pt idx="0">
                  <c:v>0.78183000000000002</c:v>
                </c:pt>
                <c:pt idx="1">
                  <c:v>0.78183000000000002</c:v>
                </c:pt>
                <c:pt idx="2">
                  <c:v>0.78183000000000002</c:v>
                </c:pt>
                <c:pt idx="3">
                  <c:v>0.78183000000000002</c:v>
                </c:pt>
                <c:pt idx="4">
                  <c:v>0.78183000000000002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819-994D-226F1EB3BEA1}"/>
            </c:ext>
          </c:extLst>
        </c:ser>
        <c:ser>
          <c:idx val="1"/>
          <c:order val="1"/>
          <c:tx>
            <c:strRef>
              <c:f>Dashboard!$X$12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Dashboard!$Y$10:$AC$10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Dashboard!$Y$12:$AC$12</c:f>
              <c:numCache>
                <c:formatCode>0.00</c:formatCode>
                <c:ptCount val="5"/>
                <c:pt idx="1">
                  <c:v>0.61143880000000006</c:v>
                </c:pt>
                <c:pt idx="2">
                  <c:v>0.61143880000000006</c:v>
                </c:pt>
                <c:pt idx="3">
                  <c:v>0.61143880000000006</c:v>
                </c:pt>
                <c:pt idx="4">
                  <c:v>0.61143880000000006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2-4819-994D-226F1EB3BEA1}"/>
            </c:ext>
          </c:extLst>
        </c:ser>
        <c:ser>
          <c:idx val="2"/>
          <c:order val="2"/>
          <c:tx>
            <c:strRef>
              <c:f>Dashboard!$X$13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Dashboard!$Y$10:$AC$10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Dashboard!$Y$13:$AC$13</c:f>
              <c:numCache>
                <c:formatCode>0.00</c:formatCode>
                <c:ptCount val="5"/>
                <c:pt idx="2">
                  <c:v>0.37833600000000001</c:v>
                </c:pt>
                <c:pt idx="3">
                  <c:v>0.37833600000000001</c:v>
                </c:pt>
                <c:pt idx="4">
                  <c:v>0.37833600000000001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2-4819-994D-226F1EB3BEA1}"/>
            </c:ext>
          </c:extLst>
        </c:ser>
        <c:ser>
          <c:idx val="3"/>
          <c:order val="3"/>
          <c:tx>
            <c:strRef>
              <c:f>Dashboard!$X$14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Dashboard!$Y$10:$AC$10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Dashboard!$Y$14:$AC$14</c:f>
              <c:numCache>
                <c:formatCode>0.00</c:formatCode>
                <c:ptCount val="5"/>
                <c:pt idx="3">
                  <c:v>0.37833600000000001</c:v>
                </c:pt>
                <c:pt idx="4">
                  <c:v>0.37833600000000001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2-4819-994D-226F1EB3BEA1}"/>
            </c:ext>
          </c:extLst>
        </c:ser>
        <c:ser>
          <c:idx val="4"/>
          <c:order val="4"/>
          <c:tx>
            <c:strRef>
              <c:f>Dashboard!$X$15</c:f>
              <c:strCache>
                <c:ptCount val="1"/>
                <c:pt idx="0">
                  <c:v>Year 5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Dashboard!$Y$10:$AC$10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Dashboard!$Y$15:$AC$15</c:f>
              <c:numCache>
                <c:formatCode>0.00</c:formatCode>
                <c:ptCount val="5"/>
                <c:pt idx="4">
                  <c:v>0.33062399999999997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2-4819-994D-226F1EB3BE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147443176"/>
        <c:axId val="1147443832"/>
      </c:barChart>
      <c:catAx>
        <c:axId val="11474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3832"/>
        <c:crosses val="autoZero"/>
        <c:auto val="1"/>
        <c:lblAlgn val="ctr"/>
        <c:lblOffset val="100"/>
        <c:noMultiLvlLbl val="0"/>
      </c:catAx>
      <c:valAx>
        <c:axId val="114744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Cost in million -&gt;</a:t>
                </a:r>
                <a:endParaRPr lang="en-IN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[$€-407]_-;\-* #,##0.00\ [$€-407]_-;_-* &quot;-&quot;??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3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613834</xdr:colOff>
      <xdr:row>7</xdr:row>
      <xdr:rowOff>175683</xdr:rowOff>
    </xdr:from>
    <xdr:to>
      <xdr:col>12</xdr:col>
      <xdr:colOff>213671</xdr:colOff>
      <xdr:row>23</xdr:row>
      <xdr:rowOff>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DB809-45EF-480C-A042-69ACCA7A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205317</xdr:colOff>
      <xdr:row>7</xdr:row>
      <xdr:rowOff>181504</xdr:rowOff>
    </xdr:from>
    <xdr:to>
      <xdr:col>5</xdr:col>
      <xdr:colOff>423333</xdr:colOff>
      <xdr:row>23</xdr:row>
      <xdr:rowOff>13504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A81B4-F6EB-4C36-80A0-3E7DCCE9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troslav Sobot" id="{53B5D56F-4308-465D-984B-F1F7A1B40247}" userId="S::vatroslav.sobot@pan-net.eu::39262a59-2e1b-4940-a08e-39f8301246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" dT="2019-11-24T13:54:10.64" personId="{53B5D56F-4308-465D-984B-F1F7A1B40247}" id="{C3822716-C514-47BC-A9F2-E855B1C28979}">
    <text>GARD, ZAM, CM, Service ordering, notifications, incident management, inventory, ...</text>
  </threadedComment>
  <threadedComment ref="Y7" dT="2019-11-24T12:21:27.31" personId="{53B5D56F-4308-465D-984B-F1F7A1B40247}" id="{C9C63D8E-9C10-4561-A2CA-2DD7CDB68D06}">
    <text xml:space="preserve">GARD, Monitoring, Test Automation
</text>
  </threadedComment>
  <threadedComment ref="U14" dT="2019-11-24T14:32:55.81" personId="{53B5D56F-4308-465D-984B-F1F7A1B40247}" id="{F27990FB-B3F9-4399-8811-77CCA111ADCF}">
    <text xml:space="preserve">Migration to new Self Service system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ard.telekom.de/gardwiki/display/AUTOLAB/Business+Case+Calculation+-+Porta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266E-4537-48CD-AA87-DF07BC17C2E7}">
  <dimension ref="A1:Q25"/>
  <sheetViews>
    <sheetView zoomScale="90" zoomScaleNormal="90" workbookViewId="0">
      <selection activeCell="B2" sqref="B2:P2"/>
    </sheetView>
  </sheetViews>
  <sheetFormatPr defaultColWidth="9.1796875" defaultRowHeight="14.5" x14ac:dyDescent="0.35"/>
  <cols>
    <col min="1" max="7" width="9.1796875" style="302"/>
    <col min="8" max="8" width="12.81640625" style="302" customWidth="1"/>
    <col min="9" max="9" width="10.81640625" style="302" customWidth="1"/>
    <col min="10" max="16384" width="9.1796875" style="302"/>
  </cols>
  <sheetData>
    <row r="1" spans="1:17" x14ac:dyDescent="0.35"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</row>
    <row r="2" spans="1:17" ht="21" x14ac:dyDescent="0.5">
      <c r="A2" s="304"/>
      <c r="B2" s="352" t="s">
        <v>258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05"/>
    </row>
    <row r="3" spans="1:17" x14ac:dyDescent="0.35">
      <c r="A3" s="304"/>
      <c r="B3" s="353" t="s">
        <v>259</v>
      </c>
      <c r="C3" s="353"/>
      <c r="D3" s="354" t="s">
        <v>260</v>
      </c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05"/>
    </row>
    <row r="4" spans="1:17" x14ac:dyDescent="0.35">
      <c r="A4" s="304"/>
      <c r="B4" s="353" t="s">
        <v>261</v>
      </c>
      <c r="C4" s="353"/>
      <c r="D4" s="354" t="s">
        <v>285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05"/>
    </row>
    <row r="5" spans="1:17" x14ac:dyDescent="0.35"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</row>
    <row r="6" spans="1:17" x14ac:dyDescent="0.35">
      <c r="A6" s="304"/>
      <c r="B6" s="307" t="s">
        <v>262</v>
      </c>
      <c r="C6" s="363" t="s">
        <v>14</v>
      </c>
      <c r="D6" s="364"/>
      <c r="E6" s="364"/>
      <c r="F6" s="364"/>
      <c r="G6" s="364"/>
      <c r="H6" s="365"/>
      <c r="I6" s="58" t="s">
        <v>263</v>
      </c>
      <c r="J6" s="366" t="s">
        <v>264</v>
      </c>
      <c r="K6" s="367"/>
      <c r="L6" s="368"/>
      <c r="M6" s="369" t="s">
        <v>51</v>
      </c>
      <c r="N6" s="369"/>
      <c r="O6" s="369"/>
      <c r="P6" s="369"/>
    </row>
    <row r="7" spans="1:17" x14ac:dyDescent="0.35">
      <c r="A7" s="304"/>
      <c r="B7" s="347">
        <v>1</v>
      </c>
      <c r="C7" s="370" t="s">
        <v>265</v>
      </c>
      <c r="D7" s="371"/>
      <c r="E7" s="371"/>
      <c r="F7" s="371"/>
      <c r="G7" s="371"/>
      <c r="H7" s="372"/>
      <c r="I7" s="308">
        <v>43810</v>
      </c>
      <c r="J7" s="358" t="s">
        <v>266</v>
      </c>
      <c r="K7" s="373"/>
      <c r="L7" s="374"/>
      <c r="M7" s="351"/>
      <c r="N7" s="351"/>
      <c r="O7" s="351"/>
      <c r="P7" s="351"/>
    </row>
    <row r="8" spans="1:17" x14ac:dyDescent="0.35">
      <c r="A8" s="304"/>
      <c r="B8" s="347">
        <v>1.1000000000000001</v>
      </c>
      <c r="C8" s="375" t="s">
        <v>267</v>
      </c>
      <c r="D8" s="376"/>
      <c r="E8" s="376"/>
      <c r="F8" s="376"/>
      <c r="G8" s="376"/>
      <c r="H8" s="377"/>
      <c r="I8" s="308">
        <v>43816</v>
      </c>
      <c r="J8" s="358" t="s">
        <v>301</v>
      </c>
      <c r="K8" s="359"/>
      <c r="L8" s="360"/>
      <c r="M8" s="351"/>
      <c r="N8" s="351"/>
      <c r="O8" s="351"/>
      <c r="P8" s="351"/>
    </row>
    <row r="9" spans="1:17" x14ac:dyDescent="0.35">
      <c r="A9" s="304"/>
      <c r="B9" s="347">
        <v>1.2</v>
      </c>
      <c r="C9" s="355" t="s">
        <v>300</v>
      </c>
      <c r="D9" s="356"/>
      <c r="E9" s="356"/>
      <c r="F9" s="356"/>
      <c r="G9" s="356"/>
      <c r="H9" s="357"/>
      <c r="I9" s="308">
        <v>43818</v>
      </c>
      <c r="J9" s="358" t="s">
        <v>266</v>
      </c>
      <c r="K9" s="359"/>
      <c r="L9" s="360"/>
      <c r="M9" s="351"/>
      <c r="N9" s="351"/>
      <c r="O9" s="351"/>
      <c r="P9" s="351"/>
    </row>
    <row r="10" spans="1:17" x14ac:dyDescent="0.35">
      <c r="B10" s="347">
        <v>1.3</v>
      </c>
      <c r="C10" s="382" t="s">
        <v>305</v>
      </c>
      <c r="D10" s="383"/>
      <c r="E10" s="383"/>
      <c r="F10" s="383"/>
      <c r="G10" s="383"/>
      <c r="H10" s="384"/>
      <c r="I10" s="308">
        <v>43843</v>
      </c>
      <c r="J10" s="348"/>
      <c r="K10" s="349"/>
      <c r="L10" s="350"/>
      <c r="M10" s="351"/>
      <c r="N10" s="351"/>
      <c r="O10" s="351"/>
      <c r="P10" s="351"/>
    </row>
    <row r="11" spans="1:17" x14ac:dyDescent="0.3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</row>
    <row r="12" spans="1:17" x14ac:dyDescent="0.35">
      <c r="B12" s="310" t="s">
        <v>268</v>
      </c>
      <c r="C12" s="303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03"/>
      <c r="O12" s="303"/>
      <c r="P12" s="303"/>
    </row>
    <row r="13" spans="1:17" ht="15" customHeight="1" x14ac:dyDescent="0.35">
      <c r="A13" s="304"/>
      <c r="B13" s="378" t="s">
        <v>269</v>
      </c>
      <c r="C13" s="378"/>
      <c r="D13" s="379" t="s">
        <v>270</v>
      </c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0"/>
      <c r="P13" s="381"/>
      <c r="Q13" s="305"/>
    </row>
    <row r="14" spans="1:17" x14ac:dyDescent="0.35">
      <c r="A14" s="304"/>
      <c r="B14" s="361" t="s">
        <v>261</v>
      </c>
      <c r="C14" s="361"/>
      <c r="D14" s="362" t="s">
        <v>271</v>
      </c>
      <c r="E14" s="362"/>
      <c r="F14" s="362"/>
      <c r="G14" s="362"/>
      <c r="H14" s="362"/>
      <c r="I14" s="362"/>
      <c r="J14" s="362"/>
      <c r="K14" s="362"/>
      <c r="L14" s="362"/>
      <c r="M14" s="362"/>
      <c r="N14" s="362"/>
      <c r="O14" s="362"/>
      <c r="P14" s="362"/>
      <c r="Q14" s="305"/>
    </row>
    <row r="15" spans="1:17" x14ac:dyDescent="0.35">
      <c r="A15" s="304"/>
      <c r="B15" s="361"/>
      <c r="C15" s="361"/>
      <c r="D15" s="362" t="s">
        <v>272</v>
      </c>
      <c r="E15" s="362"/>
      <c r="F15" s="362"/>
      <c r="G15" s="362"/>
      <c r="H15" s="362"/>
      <c r="I15" s="362"/>
      <c r="J15" s="362"/>
      <c r="K15" s="362"/>
      <c r="L15" s="362"/>
      <c r="M15" s="362"/>
      <c r="N15" s="362"/>
      <c r="O15" s="362"/>
      <c r="P15" s="362"/>
      <c r="Q15" s="305"/>
    </row>
    <row r="16" spans="1:17" x14ac:dyDescent="0.35">
      <c r="A16" s="304"/>
      <c r="B16" s="361"/>
      <c r="C16" s="361"/>
      <c r="D16" s="362" t="s">
        <v>273</v>
      </c>
      <c r="E16" s="362"/>
      <c r="F16" s="362"/>
      <c r="G16" s="362"/>
      <c r="H16" s="362"/>
      <c r="I16" s="362"/>
      <c r="J16" s="362"/>
      <c r="K16" s="362"/>
      <c r="L16" s="362"/>
      <c r="M16" s="362"/>
      <c r="N16" s="362"/>
      <c r="O16" s="362"/>
      <c r="P16" s="362"/>
      <c r="Q16" s="305"/>
    </row>
    <row r="17" spans="1:17" x14ac:dyDescent="0.35">
      <c r="A17" s="304"/>
      <c r="B17" s="361" t="s">
        <v>274</v>
      </c>
      <c r="C17" s="361"/>
      <c r="D17" s="362" t="s">
        <v>275</v>
      </c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05"/>
    </row>
    <row r="18" spans="1:17" x14ac:dyDescent="0.35">
      <c r="A18" s="304"/>
      <c r="B18" s="385" t="s">
        <v>284</v>
      </c>
      <c r="C18" s="385"/>
      <c r="D18" s="362" t="s">
        <v>283</v>
      </c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05"/>
    </row>
    <row r="19" spans="1:17" ht="28.5" customHeight="1" x14ac:dyDescent="0.35">
      <c r="A19" s="304"/>
      <c r="B19" s="385" t="s">
        <v>276</v>
      </c>
      <c r="C19" s="385"/>
      <c r="D19" s="362" t="s">
        <v>302</v>
      </c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05"/>
    </row>
    <row r="20" spans="1:17" x14ac:dyDescent="0.35">
      <c r="A20" s="304"/>
      <c r="B20" s="385" t="s">
        <v>277</v>
      </c>
      <c r="C20" s="385"/>
      <c r="D20" s="362" t="s">
        <v>278</v>
      </c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05"/>
    </row>
    <row r="21" spans="1:17" x14ac:dyDescent="0.35">
      <c r="A21" s="304"/>
      <c r="B21" s="385"/>
      <c r="C21" s="385"/>
      <c r="D21" s="362" t="s">
        <v>279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05"/>
    </row>
    <row r="22" spans="1:17" x14ac:dyDescent="0.35">
      <c r="A22" s="304"/>
      <c r="B22" s="385"/>
      <c r="C22" s="385"/>
      <c r="D22" s="362" t="s">
        <v>280</v>
      </c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05"/>
    </row>
    <row r="24" spans="1:17" x14ac:dyDescent="0.35">
      <c r="B24" s="311" t="s">
        <v>281</v>
      </c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</row>
    <row r="25" spans="1:17" x14ac:dyDescent="0.35">
      <c r="B25" s="312" t="s">
        <v>282</v>
      </c>
    </row>
  </sheetData>
  <mergeCells count="36">
    <mergeCell ref="B20:C22"/>
    <mergeCell ref="D20:P20"/>
    <mergeCell ref="D21:P21"/>
    <mergeCell ref="D22:P22"/>
    <mergeCell ref="B17:C17"/>
    <mergeCell ref="D17:P17"/>
    <mergeCell ref="B18:C18"/>
    <mergeCell ref="D18:P18"/>
    <mergeCell ref="B19:C19"/>
    <mergeCell ref="D19:P19"/>
    <mergeCell ref="B14:C16"/>
    <mergeCell ref="D14:P14"/>
    <mergeCell ref="D15:P15"/>
    <mergeCell ref="D16:P16"/>
    <mergeCell ref="C6:H6"/>
    <mergeCell ref="J6:L6"/>
    <mergeCell ref="M6:P6"/>
    <mergeCell ref="C7:H7"/>
    <mergeCell ref="J7:L7"/>
    <mergeCell ref="M7:P7"/>
    <mergeCell ref="C8:H8"/>
    <mergeCell ref="J8:L8"/>
    <mergeCell ref="M8:P8"/>
    <mergeCell ref="B13:C13"/>
    <mergeCell ref="D13:P13"/>
    <mergeCell ref="C10:H10"/>
    <mergeCell ref="J10:L10"/>
    <mergeCell ref="M10:P10"/>
    <mergeCell ref="B2:P2"/>
    <mergeCell ref="B3:C3"/>
    <mergeCell ref="D3:P3"/>
    <mergeCell ref="B4:C4"/>
    <mergeCell ref="D4:P4"/>
    <mergeCell ref="C9:H9"/>
    <mergeCell ref="J9:L9"/>
    <mergeCell ref="M9:P9"/>
  </mergeCells>
  <hyperlinks>
    <hyperlink ref="B25" r:id="rId1" xr:uid="{4CE35520-819D-4DC6-83FC-04C43D5680E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235-3EBB-4B78-B476-07512124050E}">
  <dimension ref="B1:AC46"/>
  <sheetViews>
    <sheetView tabSelected="1" zoomScale="90" zoomScaleNormal="90" workbookViewId="0">
      <selection activeCell="B1" sqref="B1"/>
    </sheetView>
  </sheetViews>
  <sheetFormatPr defaultColWidth="9.1796875" defaultRowHeight="14.5" x14ac:dyDescent="0.35"/>
  <cols>
    <col min="1" max="1" width="3.453125" style="95" customWidth="1"/>
    <col min="2" max="2" width="34.81640625" style="95" customWidth="1"/>
    <col min="3" max="3" width="15.26953125" style="154" customWidth="1"/>
    <col min="4" max="4" width="14.1796875" style="95" customWidth="1"/>
    <col min="5" max="5" width="9.1796875" style="95"/>
    <col min="6" max="6" width="12.54296875" style="95" customWidth="1"/>
    <col min="7" max="7" width="10.54296875" style="95" customWidth="1"/>
    <col min="8" max="9" width="13.453125" style="97" bestFit="1" customWidth="1"/>
    <col min="10" max="13" width="9.1796875" style="97"/>
    <col min="14" max="16384" width="9.1796875" style="95"/>
  </cols>
  <sheetData>
    <row r="1" spans="2:29" x14ac:dyDescent="0.35">
      <c r="B1" s="314" t="s">
        <v>122</v>
      </c>
      <c r="C1" s="315" t="s">
        <v>123</v>
      </c>
      <c r="D1" s="153"/>
      <c r="E1" s="153"/>
      <c r="F1" s="153"/>
      <c r="G1" s="153"/>
      <c r="H1" s="153"/>
    </row>
    <row r="2" spans="2:29" x14ac:dyDescent="0.35">
      <c r="B2" s="94" t="s">
        <v>124</v>
      </c>
      <c r="C2" s="160">
        <f>Feature_Coverage!D20</f>
        <v>0.88888888888888884</v>
      </c>
    </row>
    <row r="3" spans="2:29" x14ac:dyDescent="0.35">
      <c r="B3" s="94" t="s">
        <v>255</v>
      </c>
      <c r="C3" s="161" t="str">
        <f>_xlfn.CONCAT(ROUND(Overall_Cost!E25,2), " M")</f>
        <v>1.04 M</v>
      </c>
    </row>
    <row r="4" spans="2:29" x14ac:dyDescent="0.35">
      <c r="B4" s="94" t="s">
        <v>303</v>
      </c>
      <c r="C4" s="161" t="str">
        <f>_xlfn.CONCAT(ROUND(Overall_Cost!F25,2), " M")</f>
        <v>0.78 M</v>
      </c>
    </row>
    <row r="5" spans="2:29" x14ac:dyDescent="0.35">
      <c r="B5" s="94" t="s">
        <v>304</v>
      </c>
      <c r="C5" s="161" t="str">
        <f>_xlfn.CONCAT(ROUND(Overall_Cost!K25,2), " M")</f>
        <v>2.48 M</v>
      </c>
    </row>
    <row r="6" spans="2:29" x14ac:dyDescent="0.35">
      <c r="B6" s="94" t="s">
        <v>125</v>
      </c>
      <c r="C6" s="321">
        <f>G40</f>
        <v>16</v>
      </c>
    </row>
    <row r="8" spans="2:29" x14ac:dyDescent="0.35">
      <c r="I8" s="95"/>
      <c r="J8" s="95"/>
      <c r="K8" s="95"/>
      <c r="L8" s="95"/>
      <c r="M8" s="95"/>
    </row>
    <row r="9" spans="2:29" x14ac:dyDescent="0.35">
      <c r="I9" s="95"/>
      <c r="J9" s="95"/>
      <c r="K9" s="95"/>
      <c r="L9" s="95"/>
      <c r="M9" s="95"/>
      <c r="X9" s="97"/>
      <c r="Y9" s="96"/>
      <c r="Z9" s="96"/>
      <c r="AA9" s="96"/>
      <c r="AB9" s="96"/>
      <c r="AC9" s="97"/>
    </row>
    <row r="10" spans="2:29" x14ac:dyDescent="0.35">
      <c r="C10" s="155"/>
      <c r="H10" s="95"/>
      <c r="I10" s="95"/>
      <c r="J10" s="95"/>
      <c r="K10" s="95"/>
      <c r="L10" s="95"/>
      <c r="M10" s="95"/>
      <c r="X10" s="93"/>
      <c r="Y10" s="244" t="s">
        <v>254</v>
      </c>
      <c r="Z10" s="244" t="s">
        <v>1</v>
      </c>
      <c r="AA10" s="244" t="s">
        <v>2</v>
      </c>
      <c r="AB10" s="244" t="s">
        <v>3</v>
      </c>
      <c r="AC10" s="244" t="s">
        <v>4</v>
      </c>
    </row>
    <row r="11" spans="2:29" x14ac:dyDescent="0.35">
      <c r="H11" s="95"/>
      <c r="I11" s="95"/>
      <c r="J11" s="95"/>
      <c r="K11" s="95"/>
      <c r="L11" s="95"/>
      <c r="M11" s="95"/>
      <c r="X11" s="244" t="s">
        <v>254</v>
      </c>
      <c r="Y11" s="98">
        <f>$Y$42+$Y$43</f>
        <v>0.78183000000000002</v>
      </c>
      <c r="Z11" s="98">
        <f>Y11</f>
        <v>0.78183000000000002</v>
      </c>
      <c r="AA11" s="98">
        <f t="shared" ref="AA11:AC11" si="0">Z11</f>
        <v>0.78183000000000002</v>
      </c>
      <c r="AB11" s="98">
        <f t="shared" si="0"/>
        <v>0.78183000000000002</v>
      </c>
      <c r="AC11" s="98">
        <f t="shared" si="0"/>
        <v>0.78183000000000002</v>
      </c>
    </row>
    <row r="12" spans="2:29" x14ac:dyDescent="0.35">
      <c r="H12" s="95"/>
      <c r="I12" s="95"/>
      <c r="J12" s="95"/>
      <c r="K12" s="95"/>
      <c r="L12" s="95"/>
      <c r="M12" s="95"/>
      <c r="X12" s="244" t="s">
        <v>1</v>
      </c>
      <c r="Y12" s="98"/>
      <c r="Z12" s="98">
        <f>Z42+Z43</f>
        <v>0.61143880000000006</v>
      </c>
      <c r="AA12" s="98">
        <f>Z12</f>
        <v>0.61143880000000006</v>
      </c>
      <c r="AB12" s="98">
        <f t="shared" ref="AB12:AC12" si="1">AA12</f>
        <v>0.61143880000000006</v>
      </c>
      <c r="AC12" s="98">
        <f t="shared" si="1"/>
        <v>0.61143880000000006</v>
      </c>
    </row>
    <row r="13" spans="2:29" x14ac:dyDescent="0.35">
      <c r="H13" s="95"/>
      <c r="I13" s="95"/>
      <c r="J13" s="95"/>
      <c r="K13" s="95"/>
      <c r="L13" s="95"/>
      <c r="M13" s="95"/>
      <c r="X13" s="244" t="s">
        <v>2</v>
      </c>
      <c r="Y13" s="98"/>
      <c r="Z13" s="98"/>
      <c r="AA13" s="98">
        <f>AA43+AA42</f>
        <v>0.37833600000000001</v>
      </c>
      <c r="AB13" s="98">
        <f>AA13</f>
        <v>0.37833600000000001</v>
      </c>
      <c r="AC13" s="98">
        <f>AB13</f>
        <v>0.37833600000000001</v>
      </c>
    </row>
    <row r="14" spans="2:29" x14ac:dyDescent="0.35">
      <c r="H14" s="95"/>
      <c r="I14" s="95"/>
      <c r="J14" s="95"/>
      <c r="K14" s="95"/>
      <c r="L14" s="95"/>
      <c r="M14" s="95"/>
      <c r="X14" s="244" t="s">
        <v>3</v>
      </c>
      <c r="Y14" s="98"/>
      <c r="Z14" s="98"/>
      <c r="AA14" s="98"/>
      <c r="AB14" s="98">
        <f>AB43+AB42</f>
        <v>0.37833600000000001</v>
      </c>
      <c r="AC14" s="98">
        <f>AB14</f>
        <v>0.37833600000000001</v>
      </c>
    </row>
    <row r="15" spans="2:29" x14ac:dyDescent="0.35">
      <c r="H15" s="95"/>
      <c r="I15" s="95"/>
      <c r="J15" s="95"/>
      <c r="K15" s="95"/>
      <c r="L15" s="95"/>
      <c r="M15" s="95"/>
      <c r="X15" s="244" t="s">
        <v>4</v>
      </c>
      <c r="Y15" s="98"/>
      <c r="Z15" s="98"/>
      <c r="AA15" s="98"/>
      <c r="AB15" s="98"/>
      <c r="AC15" s="98">
        <f>AC43+AC42</f>
        <v>0.33062399999999997</v>
      </c>
    </row>
    <row r="16" spans="2:29" x14ac:dyDescent="0.35">
      <c r="H16" s="95"/>
    </row>
    <row r="17" spans="3:8" x14ac:dyDescent="0.35">
      <c r="C17" s="155"/>
      <c r="H17" s="95"/>
    </row>
    <row r="18" spans="3:8" x14ac:dyDescent="0.35">
      <c r="H18" s="95"/>
    </row>
    <row r="19" spans="3:8" x14ac:dyDescent="0.35">
      <c r="H19" s="95"/>
    </row>
    <row r="37" spans="2:29" x14ac:dyDescent="0.35">
      <c r="B37" s="99" t="s">
        <v>104</v>
      </c>
      <c r="C37" s="156"/>
      <c r="D37" s="99"/>
      <c r="E37" s="100"/>
      <c r="F37" s="99"/>
      <c r="G37" s="99"/>
      <c r="H37" s="99"/>
    </row>
    <row r="40" spans="2:29" x14ac:dyDescent="0.35">
      <c r="B40" s="92" t="s">
        <v>49</v>
      </c>
      <c r="C40" s="157">
        <v>7</v>
      </c>
      <c r="D40" s="94" t="s">
        <v>73</v>
      </c>
      <c r="F40" s="92" t="s">
        <v>70</v>
      </c>
      <c r="G40" s="145">
        <f>ROUND(Effort_Development!J10,2)</f>
        <v>16</v>
      </c>
      <c r="H40" s="94" t="s">
        <v>87</v>
      </c>
      <c r="I40" s="95"/>
      <c r="J40" s="95"/>
      <c r="K40" s="95"/>
      <c r="L40" s="95"/>
      <c r="M40" s="95"/>
      <c r="X40" s="244"/>
      <c r="Y40" s="244" t="s">
        <v>254</v>
      </c>
      <c r="Z40" s="244" t="s">
        <v>1</v>
      </c>
      <c r="AA40" s="244" t="s">
        <v>2</v>
      </c>
      <c r="AB40" s="244" t="s">
        <v>3</v>
      </c>
      <c r="AC40" s="244" t="s">
        <v>4</v>
      </c>
    </row>
    <row r="41" spans="2:29" x14ac:dyDescent="0.35">
      <c r="I41" s="95"/>
      <c r="J41" s="95"/>
      <c r="K41" s="95"/>
      <c r="X41" s="244"/>
      <c r="Y41" s="244"/>
      <c r="Z41" s="244"/>
      <c r="AA41" s="244"/>
      <c r="AB41" s="244"/>
      <c r="AC41" s="244"/>
    </row>
    <row r="42" spans="2:29" x14ac:dyDescent="0.35">
      <c r="B42" s="92" t="s">
        <v>70</v>
      </c>
      <c r="C42" s="158">
        <v>16</v>
      </c>
      <c r="D42" s="94" t="s">
        <v>87</v>
      </c>
      <c r="F42" s="92" t="s">
        <v>49</v>
      </c>
      <c r="G42" s="145">
        <f>ROUND(Effort_Development!D9/((C42-1)*Effort_Development!J6),2)</f>
        <v>6.86</v>
      </c>
      <c r="H42" s="94" t="s">
        <v>73</v>
      </c>
      <c r="I42" s="95"/>
      <c r="J42" s="95"/>
      <c r="K42" s="95"/>
      <c r="X42" s="244" t="s">
        <v>47</v>
      </c>
      <c r="Y42" s="313">
        <f>Overall_Cost!F29/10^6</f>
        <v>0.78183000000000002</v>
      </c>
      <c r="Z42" s="313">
        <f>Overall_Cost!G29/10^6</f>
        <v>0.41741000000000006</v>
      </c>
      <c r="AA42" s="313">
        <f>Overall_Cost!H29/10^6</f>
        <v>0.23519999999999999</v>
      </c>
      <c r="AB42" s="313">
        <f>Overall_Cost!I29/10^6</f>
        <v>0.23519999999999999</v>
      </c>
      <c r="AC42" s="313">
        <f>Overall_Cost!J29/10^6</f>
        <v>0.23519999999999999</v>
      </c>
    </row>
    <row r="43" spans="2:29" x14ac:dyDescent="0.35">
      <c r="C43" s="155"/>
      <c r="I43" s="95"/>
      <c r="J43" s="95"/>
      <c r="K43" s="95"/>
      <c r="L43" s="95"/>
      <c r="M43" s="95"/>
      <c r="X43" s="93" t="s">
        <v>48</v>
      </c>
      <c r="Y43" s="98">
        <f>Overall_Cost!F30/10^6</f>
        <v>0</v>
      </c>
      <c r="Z43" s="98">
        <f>Overall_Cost!G30/10^6</f>
        <v>0.19402880000000003</v>
      </c>
      <c r="AA43" s="98">
        <f>Overall_Cost!H30/10^6</f>
        <v>0.14313600000000001</v>
      </c>
      <c r="AB43" s="98">
        <f>Overall_Cost!I30/10^6</f>
        <v>0.14313600000000001</v>
      </c>
      <c r="AC43" s="98">
        <f>Overall_Cost!J30/10^6</f>
        <v>9.5423999999999995E-2</v>
      </c>
    </row>
    <row r="44" spans="2:29" x14ac:dyDescent="0.35">
      <c r="B44" s="144" t="str">
        <f>_xlfn.CONCAT("Cost of ",C40," members for the duration of ",G40," months: ")</f>
        <v xml:space="preserve">Cost of 7 members for the duration of 16 months: </v>
      </c>
      <c r="C44" s="155"/>
      <c r="E44" s="143"/>
      <c r="I44" s="95"/>
      <c r="J44" s="95"/>
      <c r="K44" s="95"/>
      <c r="L44" s="95"/>
      <c r="M44" s="95"/>
      <c r="X44" s="93"/>
      <c r="Y44" s="98"/>
      <c r="Z44" s="98"/>
      <c r="AA44" s="98"/>
      <c r="AB44" s="98"/>
      <c r="AC44" s="98"/>
    </row>
    <row r="45" spans="2:29" x14ac:dyDescent="0.35">
      <c r="B45" s="92" t="s">
        <v>103</v>
      </c>
      <c r="C45" s="159">
        <f>SUM(Y42:Y43)</f>
        <v>0.78183000000000002</v>
      </c>
      <c r="I45" s="95"/>
      <c r="J45" s="95"/>
      <c r="K45" s="95"/>
      <c r="L45" s="95"/>
      <c r="M45" s="95"/>
      <c r="X45" s="93" t="s">
        <v>48</v>
      </c>
      <c r="Y45" s="98">
        <f>Y43</f>
        <v>0</v>
      </c>
      <c r="Z45" s="98">
        <f>Y45+Z43</f>
        <v>0.19402880000000003</v>
      </c>
      <c r="AA45" s="98">
        <f>Z45+AA43</f>
        <v>0.33716480000000004</v>
      </c>
      <c r="AB45" s="98">
        <f>AA45+AB43</f>
        <v>0.48030080000000008</v>
      </c>
      <c r="AC45" s="98">
        <f>AB45+AC43</f>
        <v>0.57572480000000004</v>
      </c>
    </row>
    <row r="46" spans="2:29" x14ac:dyDescent="0.35">
      <c r="B46" s="92" t="s">
        <v>114</v>
      </c>
      <c r="C46" s="159">
        <f>SUM(Y42:AC43)</f>
        <v>2.4805648000000007</v>
      </c>
      <c r="I46" s="95"/>
      <c r="J46" s="95"/>
      <c r="K46" s="95"/>
      <c r="L46" s="95"/>
      <c r="M46" s="95"/>
      <c r="X46" s="93" t="s">
        <v>47</v>
      </c>
      <c r="Y46" s="98">
        <f>Y42</f>
        <v>0.78183000000000002</v>
      </c>
      <c r="Z46" s="98">
        <f>Y46+Z42</f>
        <v>1.1992400000000001</v>
      </c>
      <c r="AA46" s="98">
        <f>Z46+AA42</f>
        <v>1.4344400000000002</v>
      </c>
      <c r="AB46" s="98">
        <f>AA46+AB42</f>
        <v>1.6696400000000002</v>
      </c>
      <c r="AC46" s="98">
        <f>AB46+AC42</f>
        <v>1.9048400000000003</v>
      </c>
    </row>
  </sheetData>
  <phoneticPr fontId="8" type="noConversion"/>
  <dataValidations count="2">
    <dataValidation type="whole" allowBlank="1" showInputMessage="1" showErrorMessage="1" sqref="C40:C41" xr:uid="{821BDE21-FA9E-4468-A5D4-F1FF30EE1053}">
      <formula1>3</formula1>
      <formula2>10</formula2>
    </dataValidation>
    <dataValidation type="whole" allowBlank="1" showInputMessage="1" showErrorMessage="1" sqref="C42" xr:uid="{5EC3A2D9-1090-411B-96D1-34C897D0740A}">
      <formula1>8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CC13-6B13-4117-8FD1-405AEF997B00}">
  <dimension ref="A1:N30"/>
  <sheetViews>
    <sheetView zoomScale="80" zoomScaleNormal="80" workbookViewId="0"/>
  </sheetViews>
  <sheetFormatPr defaultColWidth="9.1796875" defaultRowHeight="14.5" x14ac:dyDescent="0.35"/>
  <cols>
    <col min="1" max="1" width="42.1796875" style="295" bestFit="1" customWidth="1"/>
    <col min="2" max="2" width="44.453125" style="101" customWidth="1"/>
    <col min="3" max="3" width="9.54296875" style="337" customWidth="1"/>
    <col min="4" max="4" width="12.26953125" style="271" hidden="1" customWidth="1"/>
    <col min="5" max="5" width="17.1796875" style="296" bestFit="1" customWidth="1"/>
    <col min="6" max="6" width="17.1796875" style="296" customWidth="1"/>
    <col min="7" max="10" width="15.81640625" style="296" bestFit="1" customWidth="1"/>
    <col min="11" max="11" width="17.1796875" style="296" bestFit="1" customWidth="1"/>
    <col min="12" max="12" width="16.453125" style="271" customWidth="1"/>
    <col min="13" max="13" width="14.26953125" style="271" bestFit="1" customWidth="1"/>
    <col min="14" max="14" width="10.54296875" style="271" bestFit="1" customWidth="1"/>
    <col min="15" max="16384" width="9.1796875" style="271"/>
  </cols>
  <sheetData>
    <row r="1" spans="1:14" ht="30" customHeight="1" x14ac:dyDescent="0.35">
      <c r="A1" s="268" t="s">
        <v>0</v>
      </c>
      <c r="B1" s="268" t="s">
        <v>14</v>
      </c>
      <c r="C1" s="331" t="s">
        <v>27</v>
      </c>
      <c r="D1" s="269" t="s">
        <v>21</v>
      </c>
      <c r="E1" s="270" t="s">
        <v>253</v>
      </c>
      <c r="F1" s="270" t="s">
        <v>254</v>
      </c>
      <c r="G1" s="270" t="s">
        <v>1</v>
      </c>
      <c r="H1" s="270" t="s">
        <v>2</v>
      </c>
      <c r="I1" s="270" t="s">
        <v>3</v>
      </c>
      <c r="J1" s="270" t="s">
        <v>4</v>
      </c>
      <c r="K1" s="270" t="s">
        <v>41</v>
      </c>
      <c r="L1" s="338" t="s">
        <v>70</v>
      </c>
      <c r="M1" s="346">
        <f>Effort_Development!J10</f>
        <v>16</v>
      </c>
      <c r="N1" s="338" t="s">
        <v>113</v>
      </c>
    </row>
    <row r="2" spans="1:14" x14ac:dyDescent="0.35">
      <c r="A2" s="277" t="s">
        <v>45</v>
      </c>
      <c r="B2" s="277"/>
      <c r="C2" s="333"/>
      <c r="D2" s="277"/>
      <c r="E2" s="278">
        <f>SUM(E3:E6)</f>
        <v>0</v>
      </c>
      <c r="F2" s="278"/>
      <c r="G2" s="278">
        <f t="shared" ref="G2:J2" si="0">SUM(G3:G6)</f>
        <v>0</v>
      </c>
      <c r="H2" s="278">
        <f t="shared" si="0"/>
        <v>0</v>
      </c>
      <c r="I2" s="278">
        <f t="shared" si="0"/>
        <v>0</v>
      </c>
      <c r="J2" s="278">
        <f t="shared" si="0"/>
        <v>0</v>
      </c>
      <c r="K2" s="277"/>
      <c r="L2" s="338" t="s">
        <v>50</v>
      </c>
      <c r="M2" s="345">
        <f>Cost_Development!E8</f>
        <v>908800</v>
      </c>
      <c r="N2" s="338"/>
    </row>
    <row r="3" spans="1:14" x14ac:dyDescent="0.35">
      <c r="A3" s="272" t="s">
        <v>8</v>
      </c>
      <c r="B3" s="20" t="s">
        <v>44</v>
      </c>
      <c r="C3" s="332"/>
      <c r="D3" s="343"/>
      <c r="E3" s="274">
        <f>C3*D3</f>
        <v>0</v>
      </c>
      <c r="F3" s="274"/>
      <c r="G3" s="274"/>
      <c r="H3" s="274"/>
      <c r="I3" s="274"/>
      <c r="J3" s="274"/>
      <c r="K3" s="275"/>
      <c r="L3" s="338" t="s">
        <v>298</v>
      </c>
      <c r="M3" s="345">
        <v>200000</v>
      </c>
      <c r="N3" s="338" t="s">
        <v>299</v>
      </c>
    </row>
    <row r="4" spans="1:14" x14ac:dyDescent="0.35">
      <c r="A4" s="272" t="s">
        <v>22</v>
      </c>
      <c r="B4" s="276" t="s">
        <v>46</v>
      </c>
      <c r="C4" s="332"/>
      <c r="D4" s="343"/>
      <c r="E4" s="274">
        <f>C4*D4</f>
        <v>0</v>
      </c>
      <c r="F4" s="274"/>
      <c r="G4" s="274"/>
      <c r="H4" s="274"/>
      <c r="I4" s="274"/>
      <c r="J4" s="274"/>
      <c r="K4" s="274"/>
    </row>
    <row r="5" spans="1:14" x14ac:dyDescent="0.35">
      <c r="A5" s="272" t="s">
        <v>9</v>
      </c>
      <c r="B5" s="276" t="s">
        <v>46</v>
      </c>
      <c r="C5" s="332"/>
      <c r="D5" s="343"/>
      <c r="E5" s="274">
        <f t="shared" ref="E5:E6" si="1">C5*D5</f>
        <v>0</v>
      </c>
      <c r="F5" s="274"/>
      <c r="G5" s="274"/>
      <c r="H5" s="274"/>
      <c r="I5" s="274"/>
      <c r="J5" s="274"/>
      <c r="K5" s="274"/>
    </row>
    <row r="6" spans="1:14" x14ac:dyDescent="0.35">
      <c r="A6" s="272" t="s">
        <v>23</v>
      </c>
      <c r="B6" s="276" t="s">
        <v>46</v>
      </c>
      <c r="C6" s="332"/>
      <c r="D6" s="343"/>
      <c r="E6" s="274">
        <f t="shared" si="1"/>
        <v>0</v>
      </c>
      <c r="F6" s="274"/>
      <c r="G6" s="274"/>
      <c r="H6" s="274"/>
      <c r="I6" s="274"/>
      <c r="J6" s="274"/>
      <c r="K6" s="274"/>
    </row>
    <row r="7" spans="1:14" x14ac:dyDescent="0.35">
      <c r="A7" s="277" t="s">
        <v>33</v>
      </c>
      <c r="B7" s="277"/>
      <c r="C7" s="333"/>
      <c r="D7" s="277"/>
      <c r="E7" s="278">
        <f>SUM(E8:E9)</f>
        <v>0</v>
      </c>
      <c r="F7" s="278">
        <f t="shared" ref="F7:J7" si="2">SUM(F8:F9)</f>
        <v>0</v>
      </c>
      <c r="G7" s="278">
        <f t="shared" si="2"/>
        <v>0</v>
      </c>
      <c r="H7" s="278">
        <f t="shared" si="2"/>
        <v>0</v>
      </c>
      <c r="I7" s="278">
        <f t="shared" si="2"/>
        <v>0</v>
      </c>
      <c r="J7" s="278">
        <f t="shared" si="2"/>
        <v>0</v>
      </c>
      <c r="K7" s="277"/>
    </row>
    <row r="8" spans="1:14" x14ac:dyDescent="0.35">
      <c r="A8" s="272" t="s">
        <v>26</v>
      </c>
      <c r="B8" s="276"/>
      <c r="C8" s="330"/>
      <c r="D8" s="279"/>
      <c r="E8" s="274">
        <f>C8*D8</f>
        <v>0</v>
      </c>
      <c r="F8" s="274"/>
      <c r="G8" s="274"/>
      <c r="H8" s="274"/>
      <c r="I8" s="274"/>
      <c r="J8" s="274"/>
      <c r="K8" s="274"/>
    </row>
    <row r="9" spans="1:14" x14ac:dyDescent="0.35">
      <c r="A9" s="272" t="s">
        <v>31</v>
      </c>
      <c r="B9" s="276"/>
      <c r="C9" s="330"/>
      <c r="D9" s="279"/>
      <c r="E9" s="274">
        <v>0</v>
      </c>
      <c r="F9" s="274"/>
      <c r="G9" s="274"/>
      <c r="H9" s="274"/>
      <c r="I9" s="274"/>
      <c r="J9" s="274"/>
      <c r="K9" s="274"/>
    </row>
    <row r="10" spans="1:14" x14ac:dyDescent="0.35">
      <c r="A10" s="280"/>
      <c r="B10" s="20"/>
      <c r="C10" s="334"/>
      <c r="D10" s="281"/>
      <c r="E10" s="282"/>
      <c r="F10" s="282"/>
      <c r="G10" s="282"/>
      <c r="H10" s="282"/>
      <c r="I10" s="282"/>
      <c r="J10" s="282"/>
      <c r="K10" s="282"/>
    </row>
    <row r="11" spans="1:14" x14ac:dyDescent="0.35">
      <c r="A11" s="277" t="s">
        <v>98</v>
      </c>
      <c r="B11" s="277"/>
      <c r="C11" s="333"/>
      <c r="D11" s="277"/>
      <c r="E11" s="278">
        <f t="shared" ref="E11:J11" si="3">SUM(E12:E15)</f>
        <v>992800</v>
      </c>
      <c r="F11" s="278">
        <f t="shared" si="3"/>
        <v>744600</v>
      </c>
      <c r="G11" s="278">
        <f t="shared" si="3"/>
        <v>397533.33333333337</v>
      </c>
      <c r="H11" s="278">
        <f t="shared" si="3"/>
        <v>224000</v>
      </c>
      <c r="I11" s="278">
        <f t="shared" si="3"/>
        <v>224000</v>
      </c>
      <c r="J11" s="278">
        <f t="shared" si="3"/>
        <v>224000</v>
      </c>
      <c r="K11" s="277"/>
    </row>
    <row r="12" spans="1:14" x14ac:dyDescent="0.35">
      <c r="A12" s="283" t="s">
        <v>54</v>
      </c>
      <c r="B12" s="276"/>
      <c r="C12" s="332"/>
      <c r="D12" s="273"/>
      <c r="E12" s="274">
        <f>M2</f>
        <v>908800</v>
      </c>
      <c r="F12" s="274">
        <f>Cost_Development!E8/M1*12</f>
        <v>681600</v>
      </c>
      <c r="G12" s="274">
        <f>M2-F12</f>
        <v>227200</v>
      </c>
      <c r="H12" s="275"/>
      <c r="I12" s="275"/>
      <c r="J12" s="275"/>
      <c r="K12" s="275"/>
      <c r="L12" s="344"/>
      <c r="M12" s="344"/>
    </row>
    <row r="13" spans="1:14" x14ac:dyDescent="0.35">
      <c r="A13" s="283" t="s">
        <v>85</v>
      </c>
      <c r="B13" s="276" t="s">
        <v>32</v>
      </c>
      <c r="C13" s="332"/>
      <c r="D13" s="273"/>
      <c r="E13" s="274">
        <f>Cost_Development!E14</f>
        <v>84000</v>
      </c>
      <c r="F13" s="274">
        <f>Cost_Development!E14/M1*12</f>
        <v>63000</v>
      </c>
      <c r="G13" s="274">
        <f>Cost_Development!E14/M1*(M1-12)+Cost_Development!$E$15/12*(12-(M1-12))</f>
        <v>37000</v>
      </c>
      <c r="H13" s="274">
        <f>Cost_Development!$E$15</f>
        <v>24000</v>
      </c>
      <c r="I13" s="274">
        <f>Cost_Development!$E$15</f>
        <v>24000</v>
      </c>
      <c r="J13" s="274">
        <f>Cost_Development!$E$15</f>
        <v>24000</v>
      </c>
      <c r="K13" s="274"/>
      <c r="M13" s="344"/>
    </row>
    <row r="14" spans="1:14" x14ac:dyDescent="0.35">
      <c r="A14" s="272" t="s">
        <v>38</v>
      </c>
      <c r="B14" s="276" t="s">
        <v>40</v>
      </c>
      <c r="C14" s="335"/>
      <c r="D14" s="279"/>
      <c r="E14" s="274">
        <v>0</v>
      </c>
      <c r="F14" s="274"/>
      <c r="G14" s="274">
        <f>M3/12*(12-(M1-12))</f>
        <v>133333.33333333334</v>
      </c>
      <c r="H14" s="274">
        <f>$M$3</f>
        <v>200000</v>
      </c>
      <c r="I14" s="274">
        <f t="shared" ref="I14:J14" si="4">$M$3</f>
        <v>200000</v>
      </c>
      <c r="J14" s="274">
        <f t="shared" si="4"/>
        <v>200000</v>
      </c>
      <c r="K14" s="274"/>
      <c r="L14" s="344"/>
    </row>
    <row r="15" spans="1:14" x14ac:dyDescent="0.35">
      <c r="A15" s="338"/>
      <c r="B15" s="339"/>
      <c r="C15" s="340"/>
      <c r="D15" s="341"/>
      <c r="E15" s="342"/>
      <c r="F15" s="342"/>
      <c r="G15" s="274"/>
      <c r="H15" s="274"/>
      <c r="I15" s="274"/>
      <c r="J15" s="274"/>
      <c r="K15" s="274"/>
    </row>
    <row r="16" spans="1:14" x14ac:dyDescent="0.35">
      <c r="A16" s="277" t="s">
        <v>12</v>
      </c>
      <c r="B16" s="277"/>
      <c r="C16" s="333"/>
      <c r="D16" s="277"/>
      <c r="E16" s="278">
        <f>SUM(E17:E20)</f>
        <v>0</v>
      </c>
      <c r="F16" s="278">
        <f>SUM(F17:F20)</f>
        <v>0</v>
      </c>
      <c r="G16" s="278">
        <f>SUM(G17:G20)</f>
        <v>184789.33333333334</v>
      </c>
      <c r="H16" s="278">
        <f t="shared" ref="H16:J16" si="5">SUM(H17:H20)</f>
        <v>136320</v>
      </c>
      <c r="I16" s="278">
        <f t="shared" si="5"/>
        <v>136320</v>
      </c>
      <c r="J16" s="278">
        <f t="shared" si="5"/>
        <v>90880</v>
      </c>
      <c r="K16" s="277"/>
    </row>
    <row r="17" spans="1:14" x14ac:dyDescent="0.35">
      <c r="A17" s="272" t="s">
        <v>5</v>
      </c>
      <c r="B17" s="276"/>
      <c r="C17" s="330"/>
      <c r="D17" s="279"/>
      <c r="E17" s="274"/>
      <c r="F17" s="274"/>
      <c r="G17" s="274">
        <v>0</v>
      </c>
      <c r="H17" s="274">
        <v>0</v>
      </c>
      <c r="I17" s="274">
        <v>0</v>
      </c>
      <c r="J17" s="274">
        <v>0</v>
      </c>
      <c r="K17" s="274"/>
    </row>
    <row r="18" spans="1:14" x14ac:dyDescent="0.35">
      <c r="A18" s="272" t="s">
        <v>6</v>
      </c>
      <c r="B18" s="276"/>
      <c r="C18" s="330"/>
      <c r="D18" s="279"/>
      <c r="E18" s="274"/>
      <c r="F18" s="274"/>
      <c r="G18" s="274">
        <v>0</v>
      </c>
      <c r="H18" s="274">
        <v>0</v>
      </c>
      <c r="I18" s="274">
        <v>0</v>
      </c>
      <c r="J18" s="274">
        <v>0</v>
      </c>
      <c r="K18" s="274"/>
    </row>
    <row r="19" spans="1:14" x14ac:dyDescent="0.35">
      <c r="A19" s="272" t="s">
        <v>121</v>
      </c>
      <c r="B19" s="276"/>
      <c r="C19" s="335"/>
      <c r="D19" s="284"/>
      <c r="E19" s="274"/>
      <c r="F19" s="274"/>
      <c r="G19" s="274">
        <f>(M2*Effort_Development!J2)/12*(12-(M1-12))</f>
        <v>121173.33333333333</v>
      </c>
      <c r="H19" s="274">
        <f>$M$2*Effort_Development!K2</f>
        <v>136320</v>
      </c>
      <c r="I19" s="274">
        <f>$M$2*Effort_Development!L2</f>
        <v>136320</v>
      </c>
      <c r="J19" s="274">
        <f>$M$2*Effort_Development!M2</f>
        <v>90880</v>
      </c>
      <c r="K19" s="274"/>
      <c r="M19" s="285"/>
      <c r="N19" s="285"/>
    </row>
    <row r="20" spans="1:14" x14ac:dyDescent="0.35">
      <c r="A20" s="272" t="s">
        <v>252</v>
      </c>
      <c r="B20" s="276"/>
      <c r="C20" s="335"/>
      <c r="D20" s="284"/>
      <c r="G20" s="274">
        <f>M2*7%</f>
        <v>63616.000000000007</v>
      </c>
      <c r="H20" s="274"/>
      <c r="I20" s="274"/>
      <c r="J20" s="274"/>
      <c r="K20" s="274"/>
      <c r="M20" s="285"/>
      <c r="N20" s="285"/>
    </row>
    <row r="21" spans="1:14" x14ac:dyDescent="0.35">
      <c r="A21" s="277" t="s">
        <v>10</v>
      </c>
      <c r="B21" s="277"/>
      <c r="C21" s="333"/>
      <c r="D21" s="277"/>
      <c r="E21" s="278">
        <f>SUM(E22:E23)</f>
        <v>49640</v>
      </c>
      <c r="F21" s="278">
        <f t="shared" ref="F21:J21" si="6">SUM(F22:F23)</f>
        <v>37230</v>
      </c>
      <c r="G21" s="278">
        <f t="shared" si="6"/>
        <v>29116.133333333339</v>
      </c>
      <c r="H21" s="278">
        <f t="shared" si="6"/>
        <v>18016</v>
      </c>
      <c r="I21" s="278">
        <f t="shared" si="6"/>
        <v>18016</v>
      </c>
      <c r="J21" s="278">
        <f t="shared" si="6"/>
        <v>15744</v>
      </c>
      <c r="K21" s="277"/>
    </row>
    <row r="22" spans="1:14" x14ac:dyDescent="0.35">
      <c r="A22" s="272" t="s">
        <v>100</v>
      </c>
      <c r="B22" s="286"/>
      <c r="C22" s="335">
        <v>0.05</v>
      </c>
      <c r="D22" s="284"/>
      <c r="E22" s="287">
        <f t="shared" ref="E22:J22" si="7">E11*$C$22</f>
        <v>49640</v>
      </c>
      <c r="F22" s="287">
        <f t="shared" si="7"/>
        <v>37230</v>
      </c>
      <c r="G22" s="287">
        <f t="shared" si="7"/>
        <v>19876.666666666672</v>
      </c>
      <c r="H22" s="287">
        <f t="shared" si="7"/>
        <v>11200</v>
      </c>
      <c r="I22" s="287">
        <f t="shared" si="7"/>
        <v>11200</v>
      </c>
      <c r="J22" s="287">
        <f t="shared" si="7"/>
        <v>11200</v>
      </c>
      <c r="K22" s="287"/>
    </row>
    <row r="23" spans="1:14" x14ac:dyDescent="0.35">
      <c r="A23" s="272" t="s">
        <v>101</v>
      </c>
      <c r="B23" s="286"/>
      <c r="C23" s="335">
        <v>0.05</v>
      </c>
      <c r="D23" s="284"/>
      <c r="E23" s="287">
        <f>E16*$C$23</f>
        <v>0</v>
      </c>
      <c r="F23" s="287">
        <f t="shared" ref="F23" si="8">F16*$C$23</f>
        <v>0</v>
      </c>
      <c r="G23" s="287">
        <f t="shared" ref="G23:J23" si="9">G16*$C$23</f>
        <v>9239.4666666666672</v>
      </c>
      <c r="H23" s="287">
        <f t="shared" si="9"/>
        <v>6816</v>
      </c>
      <c r="I23" s="287">
        <f t="shared" si="9"/>
        <v>6816</v>
      </c>
      <c r="J23" s="287">
        <f t="shared" si="9"/>
        <v>4544</v>
      </c>
      <c r="K23" s="287"/>
    </row>
    <row r="24" spans="1:14" x14ac:dyDescent="0.35">
      <c r="A24" s="386" t="s">
        <v>7</v>
      </c>
      <c r="B24" s="386"/>
      <c r="C24" s="386"/>
      <c r="D24" s="273"/>
      <c r="E24" s="288">
        <f t="shared" ref="E24:J24" si="10">E2+E7+E11+E16+E21</f>
        <v>1042440</v>
      </c>
      <c r="F24" s="288">
        <f t="shared" si="10"/>
        <v>781830</v>
      </c>
      <c r="G24" s="288">
        <f t="shared" si="10"/>
        <v>611438.80000000005</v>
      </c>
      <c r="H24" s="288">
        <f t="shared" si="10"/>
        <v>378336</v>
      </c>
      <c r="I24" s="288">
        <f t="shared" si="10"/>
        <v>378336</v>
      </c>
      <c r="J24" s="288">
        <f t="shared" si="10"/>
        <v>330624</v>
      </c>
      <c r="K24" s="288">
        <f>SUM(F24:J24)</f>
        <v>2480564.7999999998</v>
      </c>
    </row>
    <row r="25" spans="1:14" x14ac:dyDescent="0.35">
      <c r="A25" s="289"/>
      <c r="B25" s="102"/>
      <c r="C25" s="336"/>
      <c r="D25" s="290"/>
      <c r="E25" s="291">
        <f>E24/10^6</f>
        <v>1.04244</v>
      </c>
      <c r="F25" s="291">
        <f>F24/10^6</f>
        <v>0.78183000000000002</v>
      </c>
      <c r="G25" s="291"/>
      <c r="H25" s="291"/>
      <c r="I25" s="291"/>
      <c r="J25" s="291"/>
      <c r="K25" s="103">
        <f>K24/10^6</f>
        <v>2.4805647999999998</v>
      </c>
    </row>
    <row r="26" spans="1:14" x14ac:dyDescent="0.35">
      <c r="A26" s="289"/>
      <c r="B26" s="102"/>
      <c r="C26" s="336"/>
      <c r="D26" s="290"/>
      <c r="E26" s="291"/>
      <c r="F26" s="291"/>
      <c r="G26" s="291"/>
      <c r="H26" s="291"/>
      <c r="I26" s="291"/>
      <c r="J26" s="291"/>
      <c r="K26" s="103"/>
    </row>
    <row r="27" spans="1:14" x14ac:dyDescent="0.35">
      <c r="A27" s="289"/>
      <c r="B27" s="102"/>
      <c r="C27" s="336"/>
      <c r="D27" s="290"/>
      <c r="E27" s="291"/>
      <c r="F27" s="291"/>
      <c r="G27" s="291"/>
      <c r="H27" s="291"/>
      <c r="I27" s="291"/>
      <c r="J27" s="291"/>
      <c r="K27" s="103"/>
    </row>
    <row r="28" spans="1:14" x14ac:dyDescent="0.35">
      <c r="A28" s="289"/>
      <c r="B28" s="102"/>
      <c r="C28" s="336"/>
      <c r="D28" s="290"/>
      <c r="E28" s="291"/>
      <c r="F28" s="291"/>
      <c r="G28" s="291"/>
      <c r="H28" s="291"/>
      <c r="I28" s="291"/>
      <c r="J28" s="291"/>
      <c r="K28" s="103"/>
    </row>
    <row r="29" spans="1:14" x14ac:dyDescent="0.35">
      <c r="A29" s="292" t="s">
        <v>68</v>
      </c>
      <c r="B29" s="293"/>
      <c r="C29" s="330"/>
      <c r="D29" s="272"/>
      <c r="E29" s="294">
        <f t="shared" ref="E29:J29" si="11">SUM(E11,E7,E2)+E22</f>
        <v>1042440</v>
      </c>
      <c r="F29" s="294">
        <f t="shared" si="11"/>
        <v>781830</v>
      </c>
      <c r="G29" s="294">
        <f t="shared" si="11"/>
        <v>417410.00000000006</v>
      </c>
      <c r="H29" s="294">
        <f t="shared" si="11"/>
        <v>235200</v>
      </c>
      <c r="I29" s="294">
        <f t="shared" si="11"/>
        <v>235200</v>
      </c>
      <c r="J29" s="294">
        <f t="shared" si="11"/>
        <v>235200</v>
      </c>
      <c r="K29" s="294"/>
    </row>
    <row r="30" spans="1:14" x14ac:dyDescent="0.35">
      <c r="A30" s="292" t="s">
        <v>69</v>
      </c>
      <c r="B30" s="272"/>
      <c r="C30" s="330"/>
      <c r="D30" s="272"/>
      <c r="E30" s="294">
        <f t="shared" ref="E30:J30" si="12">SUM(E16)+E23</f>
        <v>0</v>
      </c>
      <c r="F30" s="294">
        <f t="shared" si="12"/>
        <v>0</v>
      </c>
      <c r="G30" s="294">
        <f t="shared" si="12"/>
        <v>194028.80000000002</v>
      </c>
      <c r="H30" s="294">
        <f t="shared" si="12"/>
        <v>143136</v>
      </c>
      <c r="I30" s="294">
        <f t="shared" si="12"/>
        <v>143136</v>
      </c>
      <c r="J30" s="294">
        <f t="shared" si="12"/>
        <v>95424</v>
      </c>
      <c r="K30" s="294"/>
    </row>
  </sheetData>
  <mergeCells count="1">
    <mergeCell ref="A24:C24"/>
  </mergeCells>
  <phoneticPr fontId="8" type="noConversion"/>
  <pageMargins left="0.7" right="0.7" top="0.75" bottom="0.75" header="0.3" footer="0.3"/>
  <pageSetup paperSize="9" orientation="portrait" r:id="rId1"/>
  <ignoredErrors>
    <ignoredError sqref="E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C663-3C3E-4129-9F7A-F136CD91AD93}">
  <sheetPr>
    <outlinePr summaryBelow="0"/>
  </sheetPr>
  <dimension ref="B1:M35"/>
  <sheetViews>
    <sheetView zoomScale="90" zoomScaleNormal="90" workbookViewId="0">
      <selection activeCell="B1" sqref="B1"/>
    </sheetView>
  </sheetViews>
  <sheetFormatPr defaultColWidth="9.1796875" defaultRowHeight="14.5" x14ac:dyDescent="0.35"/>
  <cols>
    <col min="1" max="1" width="5.7265625" style="105" customWidth="1"/>
    <col min="2" max="2" width="45.7265625" style="115" customWidth="1"/>
    <col min="3" max="3" width="8.54296875" style="121" bestFit="1" customWidth="1"/>
    <col min="4" max="4" width="12.453125" style="118" customWidth="1"/>
    <col min="5" max="5" width="12.7265625" style="118" bestFit="1" customWidth="1"/>
    <col min="6" max="6" width="9.7265625" style="118" bestFit="1" customWidth="1"/>
    <col min="7" max="7" width="5.1796875" style="118" bestFit="1" customWidth="1"/>
    <col min="8" max="8" width="9.7265625" style="118" bestFit="1" customWidth="1"/>
    <col min="9" max="9" width="39.81640625" style="105" customWidth="1"/>
    <col min="10" max="10" width="9.1796875" style="127"/>
    <col min="11" max="11" width="9.1796875" style="105"/>
    <col min="12" max="12" width="10.1796875" style="105" customWidth="1"/>
    <col min="13" max="16384" width="9.1796875" style="105"/>
  </cols>
  <sheetData>
    <row r="1" spans="2:13" x14ac:dyDescent="0.35">
      <c r="B1" s="122" t="s">
        <v>80</v>
      </c>
      <c r="C1" s="131"/>
      <c r="D1" s="132"/>
      <c r="I1" s="122" t="s">
        <v>99</v>
      </c>
      <c r="J1" s="133" t="s">
        <v>254</v>
      </c>
      <c r="K1" s="133" t="s">
        <v>1</v>
      </c>
      <c r="L1" s="133" t="s">
        <v>2</v>
      </c>
      <c r="M1" s="133" t="s">
        <v>3</v>
      </c>
    </row>
    <row r="2" spans="2:13" x14ac:dyDescent="0.35">
      <c r="B2" s="150" t="s">
        <v>115</v>
      </c>
      <c r="C2" s="148">
        <v>0.13</v>
      </c>
      <c r="D2" s="134">
        <f>$D$3/$C$3*C2</f>
        <v>1568.3870967741937</v>
      </c>
      <c r="E2" s="246"/>
      <c r="I2" s="94" t="s">
        <v>121</v>
      </c>
      <c r="J2" s="266">
        <v>0.2</v>
      </c>
      <c r="K2" s="266">
        <v>0.15</v>
      </c>
      <c r="L2" s="266">
        <v>0.15</v>
      </c>
      <c r="M2" s="266">
        <v>0.1</v>
      </c>
    </row>
    <row r="3" spans="2:13" x14ac:dyDescent="0.35">
      <c r="B3" s="150" t="s">
        <v>257</v>
      </c>
      <c r="C3" s="148">
        <v>0.62</v>
      </c>
      <c r="D3" s="134">
        <f>C14</f>
        <v>7480</v>
      </c>
      <c r="E3" s="246"/>
      <c r="I3" s="94" t="s">
        <v>42</v>
      </c>
      <c r="J3" s="152">
        <v>0.25</v>
      </c>
      <c r="K3" s="152">
        <v>0.25</v>
      </c>
      <c r="L3" s="152">
        <v>0.25</v>
      </c>
      <c r="M3" s="152">
        <v>0.25</v>
      </c>
    </row>
    <row r="4" spans="2:13" x14ac:dyDescent="0.35">
      <c r="B4" s="150" t="s">
        <v>120</v>
      </c>
      <c r="C4" s="148">
        <v>0.15</v>
      </c>
      <c r="D4" s="134">
        <f t="shared" ref="D4:D7" si="0">$D$3/$C$3*C4</f>
        <v>1809.6774193548385</v>
      </c>
      <c r="E4" s="246"/>
      <c r="J4" s="105"/>
    </row>
    <row r="5" spans="2:13" x14ac:dyDescent="0.35">
      <c r="B5" s="150" t="s">
        <v>116</v>
      </c>
      <c r="C5" s="148">
        <v>0.04</v>
      </c>
      <c r="D5" s="134">
        <f t="shared" si="0"/>
        <v>482.58064516129031</v>
      </c>
      <c r="E5" s="246"/>
      <c r="I5" s="92" t="s">
        <v>286</v>
      </c>
      <c r="J5" s="93">
        <v>160</v>
      </c>
    </row>
    <row r="6" spans="2:13" x14ac:dyDescent="0.35">
      <c r="B6" s="150" t="s">
        <v>84</v>
      </c>
      <c r="C6" s="148"/>
      <c r="D6" s="134">
        <f t="shared" si="0"/>
        <v>0</v>
      </c>
      <c r="E6" s="246"/>
      <c r="I6" s="92" t="s">
        <v>102</v>
      </c>
      <c r="J6" s="316">
        <f>20*6.5</f>
        <v>130</v>
      </c>
      <c r="K6" s="105" t="s">
        <v>290</v>
      </c>
    </row>
    <row r="7" spans="2:13" ht="17.25" customHeight="1" x14ac:dyDescent="0.35">
      <c r="B7" s="150" t="s">
        <v>117</v>
      </c>
      <c r="C7" s="147">
        <v>0.06</v>
      </c>
      <c r="D7" s="134">
        <f t="shared" si="0"/>
        <v>723.87096774193537</v>
      </c>
      <c r="E7" s="118" t="s">
        <v>107</v>
      </c>
      <c r="I7" s="92" t="s">
        <v>49</v>
      </c>
      <c r="J7" s="317">
        <f>Dashboard!C40</f>
        <v>7</v>
      </c>
    </row>
    <row r="8" spans="2:13" ht="17.25" customHeight="1" x14ac:dyDescent="0.35">
      <c r="B8" s="300" t="s">
        <v>248</v>
      </c>
      <c r="C8" s="299"/>
      <c r="D8" s="134">
        <f>G14</f>
        <v>1304</v>
      </c>
      <c r="E8" s="298"/>
      <c r="I8" s="92" t="s">
        <v>287</v>
      </c>
      <c r="J8" s="318">
        <f>J6*J7</f>
        <v>910</v>
      </c>
      <c r="L8" s="137"/>
    </row>
    <row r="9" spans="2:13" ht="17.25" customHeight="1" thickBot="1" x14ac:dyDescent="0.4">
      <c r="C9" s="135">
        <f>SUM(C2:C7)</f>
        <v>1</v>
      </c>
      <c r="D9" s="136">
        <f>SUM(D2:D8)</f>
        <v>13368.516129032258</v>
      </c>
      <c r="I9" s="92" t="s">
        <v>288</v>
      </c>
      <c r="J9" s="323">
        <f>ROUND(D9/J8,0)</f>
        <v>15</v>
      </c>
    </row>
    <row r="10" spans="2:13" ht="17.25" customHeight="1" thickTop="1" x14ac:dyDescent="0.35">
      <c r="E10" s="139"/>
      <c r="F10" s="139"/>
      <c r="G10" s="139"/>
      <c r="H10" s="139"/>
      <c r="I10" s="92" t="s">
        <v>289</v>
      </c>
      <c r="J10" s="323">
        <f>J9+1</f>
        <v>16</v>
      </c>
      <c r="K10" s="105" t="s">
        <v>291</v>
      </c>
    </row>
    <row r="11" spans="2:13" ht="17.25" customHeight="1" x14ac:dyDescent="0.35">
      <c r="E11" s="139"/>
      <c r="F11" s="139"/>
      <c r="G11" s="139"/>
      <c r="H11" s="139"/>
      <c r="I11" s="92" t="s">
        <v>250</v>
      </c>
      <c r="J11" s="319">
        <v>7.0000000000000007E-2</v>
      </c>
    </row>
    <row r="12" spans="2:13" ht="17.25" customHeight="1" thickBot="1" x14ac:dyDescent="0.4">
      <c r="B12" s="95"/>
      <c r="C12" s="138"/>
      <c r="D12" s="95"/>
      <c r="E12" s="139"/>
      <c r="F12" s="139"/>
      <c r="G12" s="139"/>
      <c r="H12" s="139"/>
      <c r="I12" s="139"/>
      <c r="J12" s="105"/>
      <c r="K12" s="139"/>
      <c r="L12" s="137"/>
    </row>
    <row r="13" spans="2:13" s="112" customFormat="1" x14ac:dyDescent="0.35">
      <c r="B13" s="247" t="s">
        <v>93</v>
      </c>
      <c r="C13" s="252" t="s">
        <v>119</v>
      </c>
      <c r="D13" s="252" t="s">
        <v>247</v>
      </c>
      <c r="E13" s="252" t="s">
        <v>119</v>
      </c>
      <c r="F13" s="252" t="s">
        <v>247</v>
      </c>
      <c r="G13" s="252" t="s">
        <v>119</v>
      </c>
      <c r="H13" s="252" t="s">
        <v>247</v>
      </c>
      <c r="I13" s="253" t="s">
        <v>51</v>
      </c>
      <c r="J13" s="140"/>
      <c r="L13" s="137"/>
      <c r="M13" s="146"/>
    </row>
    <row r="14" spans="2:13" x14ac:dyDescent="0.35">
      <c r="B14" s="254"/>
      <c r="C14" s="391">
        <f>D31+(F31*60%)</f>
        <v>7480</v>
      </c>
      <c r="D14" s="391"/>
      <c r="E14" s="391"/>
      <c r="F14" s="391"/>
      <c r="G14" s="392">
        <f>H31</f>
        <v>1304</v>
      </c>
      <c r="H14" s="393"/>
      <c r="I14" s="255"/>
      <c r="M14" s="137"/>
    </row>
    <row r="15" spans="2:13" x14ac:dyDescent="0.35">
      <c r="B15" s="248" t="s">
        <v>240</v>
      </c>
      <c r="C15" s="387" t="s">
        <v>54</v>
      </c>
      <c r="D15" s="387"/>
      <c r="E15" s="389" t="s">
        <v>16</v>
      </c>
      <c r="F15" s="390"/>
      <c r="G15" s="388" t="s">
        <v>246</v>
      </c>
      <c r="H15" s="388"/>
      <c r="I15" s="255"/>
      <c r="J15" s="105"/>
      <c r="L15" s="245"/>
      <c r="M15" s="137"/>
    </row>
    <row r="16" spans="2:13" x14ac:dyDescent="0.35">
      <c r="B16" s="256" t="s">
        <v>172</v>
      </c>
      <c r="C16" s="244">
        <f>VLOOKUP(B16,Estimates_Architect!B:R,17,FALSE)</f>
        <v>28</v>
      </c>
      <c r="D16" s="249">
        <f>C16*8</f>
        <v>224</v>
      </c>
      <c r="E16" s="244">
        <f>VLOOKUP(B16,Estimates_Architect!B:Z,25,FALSE)*VLOOKUP(B16,Estimates_Architect!B:Z,24,FALSE)</f>
        <v>20</v>
      </c>
      <c r="F16" s="251">
        <f t="shared" ref="F16:F30" si="1">E16*8</f>
        <v>160</v>
      </c>
      <c r="G16" s="141">
        <f>VLOOKUP(B16,Estimates_Architect!B:Z,21,FALSE)*VLOOKUP(B16,Estimates_Architect!B:Z,20,FALSE)</f>
        <v>20</v>
      </c>
      <c r="H16" s="250">
        <f>G16*8</f>
        <v>160</v>
      </c>
      <c r="I16" s="257"/>
      <c r="J16" s="105"/>
      <c r="L16" s="137"/>
      <c r="M16" s="137"/>
    </row>
    <row r="17" spans="2:13" x14ac:dyDescent="0.35">
      <c r="B17" s="256" t="s">
        <v>171</v>
      </c>
      <c r="C17" s="244">
        <f>VLOOKUP(B17,Estimates_Architect!B:R,17,FALSE)</f>
        <v>50</v>
      </c>
      <c r="D17" s="249">
        <f t="shared" ref="D17:D30" si="2">C17*8</f>
        <v>400</v>
      </c>
      <c r="E17" s="244">
        <f>VLOOKUP(B17,Estimates_Architect!B:Z,25,FALSE)*VLOOKUP(B17,Estimates_Architect!B:Z,24,FALSE)</f>
        <v>120</v>
      </c>
      <c r="F17" s="251">
        <f t="shared" si="1"/>
        <v>960</v>
      </c>
      <c r="G17" s="141">
        <f>VLOOKUP(B17,Estimates_Architect!B:Z,21,FALSE)*VLOOKUP(B17,Estimates_Architect!B:Z,20,FALSE)</f>
        <v>13</v>
      </c>
      <c r="H17" s="250">
        <f t="shared" ref="H17:H30" si="3">G17*8</f>
        <v>104</v>
      </c>
      <c r="I17" s="257"/>
      <c r="J17" s="105"/>
      <c r="L17" s="137"/>
      <c r="M17" s="137"/>
    </row>
    <row r="18" spans="2:13" x14ac:dyDescent="0.35">
      <c r="B18" s="256" t="s">
        <v>170</v>
      </c>
      <c r="C18" s="244">
        <f>VLOOKUP(B18,Estimates_Architect!B:R,17,FALSE)</f>
        <v>0</v>
      </c>
      <c r="D18" s="249">
        <f t="shared" si="2"/>
        <v>0</v>
      </c>
      <c r="E18" s="244">
        <v>0</v>
      </c>
      <c r="F18" s="251">
        <f t="shared" si="1"/>
        <v>0</v>
      </c>
      <c r="G18" s="141">
        <v>0</v>
      </c>
      <c r="H18" s="250">
        <f t="shared" si="3"/>
        <v>0</v>
      </c>
      <c r="I18" s="257"/>
      <c r="J18" s="105"/>
      <c r="L18" s="137"/>
      <c r="M18" s="137"/>
    </row>
    <row r="19" spans="2:13" x14ac:dyDescent="0.35">
      <c r="B19" s="256" t="s">
        <v>169</v>
      </c>
      <c r="C19" s="244">
        <f>VLOOKUP(B19,Estimates_Architect!B:R,17,FALSE)</f>
        <v>40</v>
      </c>
      <c r="D19" s="249">
        <f t="shared" si="2"/>
        <v>320</v>
      </c>
      <c r="E19" s="244">
        <f>VLOOKUP(B19,Estimates_Architect!B:Z,25,FALSE)*VLOOKUP(B19,Estimates_Architect!B:Z,24,FALSE)</f>
        <v>105</v>
      </c>
      <c r="F19" s="251">
        <f t="shared" si="1"/>
        <v>840</v>
      </c>
      <c r="G19" s="141">
        <f>VLOOKUP(B19,Estimates_Architect!B:Z,21,FALSE)*VLOOKUP(B19,Estimates_Architect!B:Z,20,FALSE)</f>
        <v>0</v>
      </c>
      <c r="H19" s="250">
        <f t="shared" si="3"/>
        <v>0</v>
      </c>
      <c r="I19" s="257"/>
      <c r="J19" s="105"/>
      <c r="L19" s="137"/>
      <c r="M19" s="137"/>
    </row>
    <row r="20" spans="2:13" x14ac:dyDescent="0.35">
      <c r="B20" s="256" t="s">
        <v>168</v>
      </c>
      <c r="C20" s="244">
        <f>VLOOKUP(B20,Estimates_Architect!B:R,17,FALSE)</f>
        <v>0</v>
      </c>
      <c r="D20" s="249">
        <f t="shared" si="2"/>
        <v>0</v>
      </c>
      <c r="E20" s="244">
        <v>0</v>
      </c>
      <c r="F20" s="251">
        <f t="shared" si="1"/>
        <v>0</v>
      </c>
      <c r="G20" s="141">
        <f>VLOOKUP(B20,Estimates_Architect!B:Z,21,FALSE)*VLOOKUP(B20,Estimates_Architect!B:Z,20,FALSE)</f>
        <v>0</v>
      </c>
      <c r="H20" s="250">
        <f t="shared" si="3"/>
        <v>0</v>
      </c>
      <c r="I20" s="257"/>
      <c r="J20" s="105"/>
      <c r="L20" s="137"/>
      <c r="M20" s="137"/>
    </row>
    <row r="21" spans="2:13" x14ac:dyDescent="0.35">
      <c r="B21" s="258" t="s">
        <v>167</v>
      </c>
      <c r="C21" s="244">
        <f>VLOOKUP(B21,Estimates_Architect!B:R,17,FALSE)</f>
        <v>35</v>
      </c>
      <c r="D21" s="249">
        <f t="shared" si="2"/>
        <v>280</v>
      </c>
      <c r="E21" s="244">
        <f>VLOOKUP(B21,Estimates_Architect!B:Z,25,FALSE)*VLOOKUP(B21,Estimates_Architect!B:Z,24,FALSE)</f>
        <v>20</v>
      </c>
      <c r="F21" s="251">
        <f t="shared" si="1"/>
        <v>160</v>
      </c>
      <c r="G21" s="141">
        <f>VLOOKUP(B21,Estimates_Architect!B:Z,21,FALSE)*VLOOKUP(B21,Estimates_Architect!B:Z,20,FALSE)</f>
        <v>0</v>
      </c>
      <c r="H21" s="250">
        <f t="shared" si="3"/>
        <v>0</v>
      </c>
      <c r="I21" s="257"/>
      <c r="J21" s="105"/>
      <c r="L21" s="137"/>
      <c r="M21" s="137"/>
    </row>
    <row r="22" spans="2:13" x14ac:dyDescent="0.35">
      <c r="B22" s="258" t="s">
        <v>165</v>
      </c>
      <c r="C22" s="244">
        <f>VLOOKUP(B22,Estimates_Architect!B:R,17,FALSE)</f>
        <v>120</v>
      </c>
      <c r="D22" s="249">
        <f t="shared" si="2"/>
        <v>960</v>
      </c>
      <c r="E22" s="244">
        <f>VLOOKUP(B22,Estimates_Architect!B:Z,25,FALSE)*VLOOKUP(B22,Estimates_Architect!B:Z,24,FALSE)</f>
        <v>80</v>
      </c>
      <c r="F22" s="251">
        <f t="shared" si="1"/>
        <v>640</v>
      </c>
      <c r="G22" s="141">
        <f>VLOOKUP(B22,Estimates_Architect!B:Z,21,FALSE)*VLOOKUP(B22,Estimates_Architect!B:Z,20,FALSE)</f>
        <v>0</v>
      </c>
      <c r="H22" s="250">
        <f t="shared" si="3"/>
        <v>0</v>
      </c>
      <c r="I22" s="257"/>
      <c r="J22" s="105"/>
      <c r="L22" s="137"/>
      <c r="M22" s="137"/>
    </row>
    <row r="23" spans="2:13" x14ac:dyDescent="0.35">
      <c r="B23" s="258" t="s">
        <v>164</v>
      </c>
      <c r="C23" s="244">
        <f>VLOOKUP(B23,Estimates_Architect!B:R,17,FALSE)</f>
        <v>0</v>
      </c>
      <c r="D23" s="249">
        <f t="shared" si="2"/>
        <v>0</v>
      </c>
      <c r="E23" s="244">
        <v>0</v>
      </c>
      <c r="F23" s="251">
        <f t="shared" si="1"/>
        <v>0</v>
      </c>
      <c r="G23" s="141">
        <f>VLOOKUP(B23,Estimates_Architect!B:Z,21,FALSE)*VLOOKUP(B23,Estimates_Architect!B:Z,20,FALSE)</f>
        <v>0</v>
      </c>
      <c r="H23" s="250">
        <f t="shared" si="3"/>
        <v>0</v>
      </c>
      <c r="I23" s="257"/>
      <c r="J23" s="105"/>
      <c r="L23" s="137"/>
      <c r="M23" s="137"/>
    </row>
    <row r="24" spans="2:13" x14ac:dyDescent="0.35">
      <c r="B24" s="256" t="s">
        <v>144</v>
      </c>
      <c r="C24" s="244">
        <f>VLOOKUP(B24,Estimates_Architect!B:R,17,FALSE)</f>
        <v>30</v>
      </c>
      <c r="D24" s="249">
        <f t="shared" si="2"/>
        <v>240</v>
      </c>
      <c r="E24" s="244">
        <f>VLOOKUP(B24,Estimates_Architect!B:Z,25,FALSE)*VLOOKUP(B24,Estimates_Architect!B:Z,24,FALSE)</f>
        <v>50</v>
      </c>
      <c r="F24" s="251">
        <f t="shared" si="1"/>
        <v>400</v>
      </c>
      <c r="G24" s="141">
        <f>VLOOKUP(B24,Estimates_Architect!B:Z,21,FALSE)*VLOOKUP(B24,Estimates_Architect!B:Z,20,FALSE)</f>
        <v>0</v>
      </c>
      <c r="H24" s="250">
        <f t="shared" si="3"/>
        <v>0</v>
      </c>
      <c r="I24" s="257"/>
      <c r="J24" s="105"/>
      <c r="L24" s="137"/>
      <c r="M24" s="137"/>
    </row>
    <row r="25" spans="2:13" x14ac:dyDescent="0.35">
      <c r="B25" s="256" t="s">
        <v>163</v>
      </c>
      <c r="C25" s="244">
        <f>VLOOKUP(B25,Estimates_Architect!B:R,17,FALSE)</f>
        <v>45</v>
      </c>
      <c r="D25" s="249">
        <f t="shared" si="2"/>
        <v>360</v>
      </c>
      <c r="E25" s="244">
        <f>VLOOKUP(B25,Estimates_Architect!B:Z,25,FALSE)*VLOOKUP(B25,Estimates_Architect!B:Z,24,FALSE)</f>
        <v>60</v>
      </c>
      <c r="F25" s="251">
        <f t="shared" si="1"/>
        <v>480</v>
      </c>
      <c r="G25" s="141">
        <f>VLOOKUP(B25,Estimates_Architect!B:Z,21,FALSE)*VLOOKUP(B25,Estimates_Architect!B:Z,20,FALSE)</f>
        <v>30</v>
      </c>
      <c r="H25" s="250">
        <f t="shared" si="3"/>
        <v>240</v>
      </c>
      <c r="I25" s="257"/>
      <c r="J25" s="105"/>
      <c r="L25" s="137"/>
      <c r="M25" s="137"/>
    </row>
    <row r="26" spans="2:13" x14ac:dyDescent="0.35">
      <c r="B26" s="256" t="s">
        <v>161</v>
      </c>
      <c r="C26" s="244">
        <f>VLOOKUP(B26,Estimates_Architect!B:R,17,FALSE)</f>
        <v>50</v>
      </c>
      <c r="D26" s="249">
        <f t="shared" si="2"/>
        <v>400</v>
      </c>
      <c r="E26" s="244">
        <f>VLOOKUP(B26,Estimates_Architect!B:Z,25,FALSE)*VLOOKUP(B26,Estimates_Architect!B:Z,24,FALSE)</f>
        <v>30</v>
      </c>
      <c r="F26" s="251">
        <f t="shared" si="1"/>
        <v>240</v>
      </c>
      <c r="G26" s="141">
        <f>VLOOKUP(B26,Estimates_Architect!B:Z,21,FALSE)*VLOOKUP(B26,Estimates_Architect!B:Z,20,FALSE)</f>
        <v>20</v>
      </c>
      <c r="H26" s="250">
        <f t="shared" si="3"/>
        <v>160</v>
      </c>
      <c r="I26" s="257"/>
      <c r="J26" s="105"/>
      <c r="L26" s="137"/>
      <c r="M26" s="137"/>
    </row>
    <row r="27" spans="2:13" x14ac:dyDescent="0.35">
      <c r="B27" s="256" t="s">
        <v>159</v>
      </c>
      <c r="C27" s="244">
        <f>VLOOKUP(B27,Estimates_Architect!B:R,17,FALSE)</f>
        <v>40</v>
      </c>
      <c r="D27" s="249">
        <f t="shared" si="2"/>
        <v>320</v>
      </c>
      <c r="E27" s="244">
        <f>VLOOKUP(B27,Estimates_Architect!B:Z,25,FALSE)*VLOOKUP(B27,Estimates_Architect!B:Z,24,FALSE)</f>
        <v>10</v>
      </c>
      <c r="F27" s="251">
        <f t="shared" si="1"/>
        <v>80</v>
      </c>
      <c r="G27" s="141">
        <f>VLOOKUP(B27,Estimates_Architect!B:Z,21,FALSE)*VLOOKUP(B27,Estimates_Architect!B:Z,20,FALSE)</f>
        <v>20</v>
      </c>
      <c r="H27" s="250">
        <f t="shared" si="3"/>
        <v>160</v>
      </c>
      <c r="I27" s="257"/>
      <c r="J27" s="105"/>
      <c r="L27" s="137"/>
      <c r="M27" s="137"/>
    </row>
    <row r="28" spans="2:13" x14ac:dyDescent="0.35">
      <c r="B28" s="256" t="s">
        <v>158</v>
      </c>
      <c r="C28" s="244">
        <f>VLOOKUP(B28,Estimates_Architect!B:R,17,FALSE)</f>
        <v>40</v>
      </c>
      <c r="D28" s="249">
        <f t="shared" si="2"/>
        <v>320</v>
      </c>
      <c r="E28" s="244">
        <f>VLOOKUP(B28,Estimates_Architect!B:Z,25,FALSE)*VLOOKUP(B28,Estimates_Architect!B:Z,24,FALSE)</f>
        <v>10</v>
      </c>
      <c r="F28" s="251">
        <f t="shared" si="1"/>
        <v>80</v>
      </c>
      <c r="G28" s="141">
        <f>VLOOKUP(B28,Estimates_Architect!B:Z,21,FALSE)*VLOOKUP(B28,Estimates_Architect!B:Z,20,FALSE)</f>
        <v>20</v>
      </c>
      <c r="H28" s="250">
        <f t="shared" si="3"/>
        <v>160</v>
      </c>
      <c r="I28" s="257"/>
      <c r="J28" s="105"/>
      <c r="L28" s="137"/>
      <c r="M28" s="137"/>
    </row>
    <row r="29" spans="2:13" x14ac:dyDescent="0.35">
      <c r="B29" s="256" t="s">
        <v>152</v>
      </c>
      <c r="C29" s="244">
        <v>0</v>
      </c>
      <c r="D29" s="249">
        <f t="shared" si="2"/>
        <v>0</v>
      </c>
      <c r="E29" s="244">
        <f>VLOOKUP(B29,Estimates_Architect!B:Z,25,FALSE)*VLOOKUP(B29,Estimates_Architect!B:Z,24,FALSE)</f>
        <v>110</v>
      </c>
      <c r="F29" s="251">
        <f t="shared" si="1"/>
        <v>880</v>
      </c>
      <c r="G29" s="141">
        <f>VLOOKUP(B29,Estimates_Architect!B:Z,21,FALSE)*VLOOKUP(B29,Estimates_Architect!B:Z,20,FALSE)</f>
        <v>0</v>
      </c>
      <c r="H29" s="250">
        <f t="shared" si="3"/>
        <v>0</v>
      </c>
      <c r="I29" s="257" t="s">
        <v>295</v>
      </c>
      <c r="J29" s="105"/>
      <c r="L29" s="137"/>
      <c r="M29" s="137"/>
    </row>
    <row r="30" spans="2:13" x14ac:dyDescent="0.35">
      <c r="B30" s="256" t="s">
        <v>148</v>
      </c>
      <c r="C30" s="244">
        <f>VLOOKUP(B30,Estimates_Architect!B:R,17,FALSE)</f>
        <v>70</v>
      </c>
      <c r="D30" s="249">
        <f t="shared" si="2"/>
        <v>560</v>
      </c>
      <c r="E30" s="244">
        <f>VLOOKUP(B30,Estimates_Architect!B:Z,25,FALSE)*VLOOKUP(B30,Estimates_Architect!B:Z,24,FALSE)</f>
        <v>30</v>
      </c>
      <c r="F30" s="251">
        <f t="shared" si="1"/>
        <v>240</v>
      </c>
      <c r="G30" s="141">
        <f>VLOOKUP(B30,Estimates_Architect!B:Z,21,FALSE)*VLOOKUP(B30,Estimates_Architect!B:Z,20,FALSE)</f>
        <v>40</v>
      </c>
      <c r="H30" s="250">
        <f t="shared" si="3"/>
        <v>320</v>
      </c>
      <c r="I30" s="257"/>
      <c r="J30" s="105"/>
      <c r="L30" s="137"/>
      <c r="M30" s="137"/>
    </row>
    <row r="31" spans="2:13" ht="15" thickBot="1" x14ac:dyDescent="0.4">
      <c r="B31" s="259"/>
      <c r="C31" s="260"/>
      <c r="D31" s="261">
        <f t="shared" ref="D31:H31" si="4">SUM(D16:D30)</f>
        <v>4384</v>
      </c>
      <c r="E31" s="262"/>
      <c r="F31" s="263">
        <f t="shared" si="4"/>
        <v>5160</v>
      </c>
      <c r="G31" s="264"/>
      <c r="H31" s="263">
        <f t="shared" si="4"/>
        <v>1304</v>
      </c>
      <c r="I31" s="265"/>
      <c r="L31" s="137"/>
      <c r="M31" s="137"/>
    </row>
    <row r="32" spans="2:13" s="127" customFormat="1" x14ac:dyDescent="0.35">
      <c r="B32" s="115"/>
      <c r="C32" s="121"/>
      <c r="D32" s="118"/>
      <c r="E32" s="118"/>
      <c r="F32" s="301">
        <f>F31*60%</f>
        <v>3096</v>
      </c>
      <c r="G32" s="118"/>
      <c r="H32" s="118"/>
      <c r="I32" s="142"/>
      <c r="K32" s="105"/>
      <c r="L32" s="105"/>
    </row>
    <row r="33" spans="5:5" x14ac:dyDescent="0.35">
      <c r="E33" s="129"/>
    </row>
    <row r="34" spans="5:5" x14ac:dyDescent="0.35">
      <c r="E34" s="129"/>
    </row>
    <row r="35" spans="5:5" x14ac:dyDescent="0.35">
      <c r="E35" s="129"/>
    </row>
  </sheetData>
  <mergeCells count="5">
    <mergeCell ref="C15:D15"/>
    <mergeCell ref="G15:H15"/>
    <mergeCell ref="E15:F15"/>
    <mergeCell ref="C14:F14"/>
    <mergeCell ref="G14:H14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49FB-17BB-4272-A8B7-5D7C97711132}">
  <sheetPr>
    <outlinePr summaryBelow="0"/>
  </sheetPr>
  <dimension ref="A1:V36"/>
  <sheetViews>
    <sheetView zoomScale="80" zoomScaleNormal="80" workbookViewId="0">
      <selection activeCell="B1" sqref="B1"/>
    </sheetView>
  </sheetViews>
  <sheetFormatPr defaultColWidth="9.1796875" defaultRowHeight="14.5" x14ac:dyDescent="0.35"/>
  <cols>
    <col min="1" max="1" width="5.7265625" style="105" customWidth="1"/>
    <col min="2" max="2" width="50.81640625" style="115" customWidth="1"/>
    <col min="3" max="3" width="14.26953125" style="121" customWidth="1"/>
    <col min="4" max="4" width="14.26953125" style="97" customWidth="1"/>
    <col min="5" max="5" width="15.1796875" style="118" bestFit="1" customWidth="1"/>
    <col min="6" max="6" width="16.81640625" style="105" customWidth="1"/>
    <col min="7" max="8" width="9.1796875" style="105"/>
    <col min="9" max="9" width="10" style="105" bestFit="1" customWidth="1"/>
    <col min="10" max="16" width="9.1796875" style="105"/>
    <col min="17" max="17" width="12.453125" style="105" bestFit="1" customWidth="1"/>
    <col min="18" max="16384" width="9.1796875" style="105"/>
  </cols>
  <sheetData>
    <row r="1" spans="2:22" x14ac:dyDescent="0.35">
      <c r="B1" s="104" t="s">
        <v>95</v>
      </c>
      <c r="C1" s="130">
        <f>Dashboard!C40</f>
        <v>7</v>
      </c>
      <c r="E1" s="104" t="s">
        <v>70</v>
      </c>
      <c r="F1" s="322">
        <f>Effort_Development!J10</f>
        <v>16</v>
      </c>
      <c r="H1" s="397" t="s">
        <v>296</v>
      </c>
      <c r="I1" s="398"/>
      <c r="J1" s="328">
        <f>Effort_Development!J5</f>
        <v>160</v>
      </c>
      <c r="V1" s="105">
        <v>1.25</v>
      </c>
    </row>
    <row r="2" spans="2:22" x14ac:dyDescent="0.35">
      <c r="C2" s="97"/>
    </row>
    <row r="3" spans="2:22" x14ac:dyDescent="0.35">
      <c r="B3" s="106" t="s">
        <v>89</v>
      </c>
      <c r="C3" s="107" t="s">
        <v>88</v>
      </c>
      <c r="D3" s="108" t="s">
        <v>94</v>
      </c>
      <c r="E3" s="108" t="s">
        <v>50</v>
      </c>
      <c r="J3" s="105" t="s">
        <v>118</v>
      </c>
      <c r="K3" s="105" t="s">
        <v>119</v>
      </c>
    </row>
    <row r="4" spans="2:22" x14ac:dyDescent="0.35">
      <c r="B4" s="109" t="s">
        <v>71</v>
      </c>
      <c r="C4" s="320">
        <v>100</v>
      </c>
      <c r="D4" s="110">
        <v>1</v>
      </c>
      <c r="E4" s="111">
        <f>$F$1*C4*D4*$J$1</f>
        <v>256000</v>
      </c>
      <c r="F4" s="112" t="s">
        <v>105</v>
      </c>
      <c r="I4" s="113" t="s">
        <v>109</v>
      </c>
      <c r="J4" s="113">
        <v>50</v>
      </c>
      <c r="K4" s="113">
        <v>7</v>
      </c>
      <c r="L4" s="113">
        <f>J4*K4</f>
        <v>350</v>
      </c>
      <c r="O4" s="151"/>
      <c r="Q4" s="137"/>
    </row>
    <row r="5" spans="2:22" x14ac:dyDescent="0.35">
      <c r="B5" s="109" t="s">
        <v>90</v>
      </c>
      <c r="C5" s="320">
        <v>60</v>
      </c>
      <c r="D5" s="110">
        <f>ROUND((C1-(D4+D7))*30%,0)</f>
        <v>2</v>
      </c>
      <c r="E5" s="111">
        <f>$F$1*C5*D5*$J$1</f>
        <v>307200</v>
      </c>
      <c r="I5" s="113" t="s">
        <v>111</v>
      </c>
      <c r="J5" s="113">
        <v>120</v>
      </c>
      <c r="K5" s="113">
        <v>7</v>
      </c>
      <c r="L5" s="113">
        <f>J5*K5</f>
        <v>840</v>
      </c>
      <c r="O5" s="151"/>
      <c r="Q5" s="137"/>
    </row>
    <row r="6" spans="2:22" x14ac:dyDescent="0.35">
      <c r="B6" s="109" t="s">
        <v>91</v>
      </c>
      <c r="C6" s="320">
        <v>35</v>
      </c>
      <c r="D6" s="110">
        <f>C1-(D5+D4+D7)</f>
        <v>3</v>
      </c>
      <c r="E6" s="111">
        <f>$F$1*C6*D6*$J$1</f>
        <v>268800</v>
      </c>
      <c r="I6" s="113" t="s">
        <v>112</v>
      </c>
      <c r="J6" s="114">
        <v>50</v>
      </c>
      <c r="K6" s="113">
        <v>7</v>
      </c>
      <c r="L6" s="114">
        <f>J6*K6</f>
        <v>350</v>
      </c>
      <c r="O6" s="151"/>
      <c r="Q6" s="137"/>
    </row>
    <row r="7" spans="2:22" x14ac:dyDescent="0.35">
      <c r="B7" s="109" t="s">
        <v>72</v>
      </c>
      <c r="C7" s="320">
        <v>30</v>
      </c>
      <c r="D7" s="110">
        <v>1</v>
      </c>
      <c r="E7" s="111">
        <f>$F$1*C7*D7*$J$1</f>
        <v>76800</v>
      </c>
      <c r="F7" s="112" t="s">
        <v>106</v>
      </c>
      <c r="I7" s="113" t="s">
        <v>108</v>
      </c>
      <c r="J7" s="113"/>
      <c r="K7" s="113"/>
      <c r="L7" s="113">
        <v>400</v>
      </c>
      <c r="O7" s="151"/>
      <c r="Q7" s="137"/>
    </row>
    <row r="8" spans="2:22" ht="17.25" customHeight="1" thickBot="1" x14ac:dyDescent="0.4">
      <c r="C8" s="116"/>
      <c r="D8" s="117">
        <f>SUM(D4:D7)</f>
        <v>7</v>
      </c>
      <c r="E8" s="119">
        <f>SUM(E4:E7)</f>
        <v>908800</v>
      </c>
      <c r="I8" s="113" t="s">
        <v>110</v>
      </c>
      <c r="J8" s="113"/>
      <c r="K8" s="113"/>
      <c r="L8" s="113">
        <v>1060</v>
      </c>
      <c r="Q8" s="137"/>
    </row>
    <row r="9" spans="2:22" ht="17.25" customHeight="1" thickTop="1" thickBot="1" x14ac:dyDescent="0.4">
      <c r="B9" s="115" t="s">
        <v>256</v>
      </c>
      <c r="C9" s="329">
        <f>(C4*D4+C5*D5+C6*D6+C7*D7)/D8</f>
        <v>50.714285714285715</v>
      </c>
      <c r="L9" s="120">
        <f>SUM(L4:L8)</f>
        <v>3000</v>
      </c>
      <c r="Q9" s="137"/>
    </row>
    <row r="10" spans="2:22" ht="17.25" customHeight="1" thickTop="1" x14ac:dyDescent="0.35">
      <c r="C10" s="105"/>
      <c r="D10" s="105"/>
      <c r="E10" s="105"/>
      <c r="L10" s="297"/>
      <c r="Q10" s="137"/>
    </row>
    <row r="11" spans="2:22" ht="17.25" customHeight="1" x14ac:dyDescent="0.35">
      <c r="B11" s="394" t="s">
        <v>96</v>
      </c>
      <c r="C11" s="395"/>
      <c r="D11" s="396"/>
      <c r="E11" s="320">
        <f>L9</f>
        <v>3000</v>
      </c>
      <c r="Q11" s="149"/>
    </row>
    <row r="12" spans="2:22" ht="17.25" customHeight="1" x14ac:dyDescent="0.35"/>
    <row r="13" spans="2:22" s="112" customFormat="1" x14ac:dyDescent="0.35">
      <c r="B13" s="122"/>
      <c r="C13" s="123" t="s">
        <v>97</v>
      </c>
      <c r="D13" s="123" t="s">
        <v>76</v>
      </c>
      <c r="E13" s="124" t="s">
        <v>50</v>
      </c>
    </row>
    <row r="14" spans="2:22" s="127" customFormat="1" x14ac:dyDescent="0.35">
      <c r="B14" s="125" t="s">
        <v>85</v>
      </c>
      <c r="C14" s="327">
        <v>28</v>
      </c>
      <c r="D14" s="126"/>
      <c r="E14" s="128">
        <f>C14*E11</f>
        <v>84000</v>
      </c>
      <c r="F14" s="129" t="s">
        <v>297</v>
      </c>
    </row>
    <row r="15" spans="2:22" s="127" customFormat="1" x14ac:dyDescent="0.35">
      <c r="B15" s="113" t="s">
        <v>249</v>
      </c>
      <c r="C15" s="244">
        <v>8</v>
      </c>
      <c r="D15" s="126"/>
      <c r="E15" s="128">
        <f>C15*E11</f>
        <v>24000</v>
      </c>
      <c r="F15" s="129" t="s">
        <v>251</v>
      </c>
    </row>
    <row r="16" spans="2:22" s="127" customFormat="1" x14ac:dyDescent="0.35">
      <c r="B16" s="105"/>
      <c r="C16" s="105"/>
      <c r="D16" s="105"/>
      <c r="E16" s="105"/>
      <c r="F16" s="129"/>
    </row>
    <row r="17" spans="1:6" x14ac:dyDescent="0.35">
      <c r="B17" s="105"/>
      <c r="C17" s="105"/>
      <c r="D17" s="105"/>
      <c r="E17" s="105"/>
    </row>
    <row r="18" spans="1:6" x14ac:dyDescent="0.35">
      <c r="B18" s="105"/>
      <c r="C18" s="105"/>
      <c r="D18" s="105"/>
      <c r="E18" s="105"/>
    </row>
    <row r="19" spans="1:6" x14ac:dyDescent="0.35">
      <c r="A19" s="118"/>
      <c r="B19" s="105"/>
      <c r="C19" s="105"/>
      <c r="D19" s="105"/>
      <c r="E19" s="105"/>
    </row>
    <row r="20" spans="1:6" s="127" customFormat="1" x14ac:dyDescent="0.35">
      <c r="A20" s="118"/>
      <c r="B20" s="105"/>
      <c r="C20" s="105"/>
      <c r="D20" s="105"/>
      <c r="E20" s="105"/>
      <c r="F20" s="105"/>
    </row>
    <row r="21" spans="1:6" x14ac:dyDescent="0.35">
      <c r="A21" s="118"/>
      <c r="B21" s="105"/>
      <c r="C21" s="105"/>
      <c r="D21" s="105"/>
      <c r="E21" s="105"/>
    </row>
    <row r="22" spans="1:6" x14ac:dyDescent="0.35">
      <c r="A22" s="118"/>
      <c r="B22" s="105"/>
      <c r="C22" s="105"/>
      <c r="D22" s="105"/>
      <c r="E22" s="105"/>
    </row>
    <row r="23" spans="1:6" x14ac:dyDescent="0.35">
      <c r="A23" s="118"/>
      <c r="B23" s="105"/>
      <c r="C23" s="105"/>
      <c r="D23" s="105"/>
      <c r="E23" s="105"/>
    </row>
    <row r="24" spans="1:6" x14ac:dyDescent="0.35">
      <c r="A24" s="118"/>
      <c r="B24" s="105"/>
      <c r="C24" s="105"/>
      <c r="D24" s="105"/>
      <c r="E24" s="105"/>
    </row>
    <row r="25" spans="1:6" x14ac:dyDescent="0.35">
      <c r="A25" s="118"/>
      <c r="B25" s="105"/>
      <c r="C25" s="105"/>
      <c r="D25" s="105"/>
      <c r="E25" s="105"/>
    </row>
    <row r="26" spans="1:6" x14ac:dyDescent="0.35">
      <c r="A26" s="118"/>
      <c r="B26" s="105"/>
      <c r="C26" s="105"/>
      <c r="D26" s="105"/>
      <c r="E26" s="105"/>
    </row>
    <row r="27" spans="1:6" x14ac:dyDescent="0.35">
      <c r="B27" s="105"/>
      <c r="C27" s="105"/>
      <c r="D27" s="105"/>
      <c r="E27" s="105"/>
    </row>
    <row r="28" spans="1:6" x14ac:dyDescent="0.35">
      <c r="B28" s="105"/>
      <c r="C28" s="105"/>
      <c r="D28" s="105"/>
      <c r="E28" s="105"/>
    </row>
    <row r="29" spans="1:6" x14ac:dyDescent="0.35">
      <c r="B29" s="105"/>
      <c r="C29" s="105"/>
      <c r="D29" s="105"/>
      <c r="E29" s="105"/>
    </row>
    <row r="30" spans="1:6" x14ac:dyDescent="0.35">
      <c r="B30" s="105"/>
      <c r="C30" s="105"/>
      <c r="D30" s="105"/>
      <c r="E30" s="105"/>
    </row>
    <row r="31" spans="1:6" x14ac:dyDescent="0.35">
      <c r="B31" s="105"/>
      <c r="C31" s="105"/>
      <c r="D31" s="105"/>
      <c r="E31" s="105"/>
    </row>
    <row r="32" spans="1:6" x14ac:dyDescent="0.35">
      <c r="B32" s="105"/>
      <c r="C32" s="105"/>
      <c r="D32" s="105"/>
      <c r="E32" s="105"/>
    </row>
    <row r="33" spans="2:5" x14ac:dyDescent="0.35">
      <c r="B33" s="105"/>
      <c r="C33" s="105"/>
      <c r="D33" s="105"/>
      <c r="E33" s="105"/>
    </row>
    <row r="34" spans="2:5" x14ac:dyDescent="0.35">
      <c r="B34" s="105"/>
      <c r="C34" s="105"/>
      <c r="D34" s="105"/>
      <c r="E34" s="105"/>
    </row>
    <row r="35" spans="2:5" x14ac:dyDescent="0.35">
      <c r="B35" s="105"/>
      <c r="C35" s="105"/>
      <c r="D35" s="105"/>
      <c r="E35" s="105"/>
    </row>
    <row r="36" spans="2:5" x14ac:dyDescent="0.35">
      <c r="B36" s="105"/>
      <c r="C36" s="105"/>
      <c r="D36" s="105"/>
      <c r="E36" s="105"/>
    </row>
  </sheetData>
  <mergeCells count="2">
    <mergeCell ref="B11:D1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3C5F-7BC4-4709-A7FC-AD99CCA720C4}">
  <dimension ref="B1:AP74"/>
  <sheetViews>
    <sheetView zoomScale="80" zoomScaleNormal="80" workbookViewId="0">
      <pane xSplit="2" ySplit="2" topLeftCell="C3" activePane="bottomRight" state="frozen"/>
      <selection activeCell="B2" sqref="B2:I10"/>
      <selection pane="topRight" activeCell="B2" sqref="B2:I10"/>
      <selection pane="bottomLeft" activeCell="B2" sqref="B2:I10"/>
      <selection pane="bottomRight" activeCell="B2" sqref="B2"/>
    </sheetView>
  </sheetViews>
  <sheetFormatPr defaultRowHeight="14.5" x14ac:dyDescent="0.35"/>
  <cols>
    <col min="1" max="1" width="3.453125" customWidth="1"/>
    <col min="2" max="2" width="28" customWidth="1"/>
    <col min="3" max="3" width="21.26953125" style="170" customWidth="1"/>
    <col min="4" max="4" width="14.81640625" style="170" customWidth="1"/>
    <col min="5" max="5" width="15" style="169" customWidth="1"/>
    <col min="6" max="7" width="50.7265625" style="168" customWidth="1"/>
    <col min="8" max="8" width="15.26953125" style="168" customWidth="1"/>
    <col min="9" max="9" width="11" customWidth="1"/>
    <col min="10" max="10" width="10.26953125" customWidth="1"/>
    <col min="11" max="11" width="9.1796875" customWidth="1"/>
    <col min="12" max="12" width="8.54296875" customWidth="1"/>
    <col min="13" max="13" width="7.54296875" customWidth="1"/>
    <col min="14" max="14" width="7.7265625" customWidth="1"/>
    <col min="15" max="19" width="11" customWidth="1"/>
    <col min="20" max="20" width="12.81640625" bestFit="1" customWidth="1"/>
    <col min="21" max="28" width="11" customWidth="1"/>
    <col min="30" max="33" width="11" customWidth="1"/>
    <col min="34" max="35" width="10.81640625" customWidth="1"/>
    <col min="37" max="37" width="11.1796875" bestFit="1" customWidth="1"/>
    <col min="39" max="39" width="19" customWidth="1"/>
    <col min="40" max="40" width="17.7265625" bestFit="1" customWidth="1"/>
    <col min="41" max="41" width="10.81640625" bestFit="1" customWidth="1"/>
    <col min="42" max="42" width="12.81640625" bestFit="1" customWidth="1"/>
  </cols>
  <sheetData>
    <row r="1" spans="2:42" ht="29.25" customHeight="1" x14ac:dyDescent="0.35">
      <c r="G1" s="243"/>
      <c r="H1" s="242"/>
      <c r="I1" s="401" t="s">
        <v>54</v>
      </c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2" t="s">
        <v>246</v>
      </c>
      <c r="V1" s="402"/>
      <c r="W1" s="402"/>
      <c r="X1" s="402"/>
      <c r="Y1" s="403" t="s">
        <v>16</v>
      </c>
      <c r="Z1" s="403"/>
      <c r="AA1" s="403"/>
      <c r="AB1" s="403"/>
      <c r="AC1" s="241" t="s">
        <v>245</v>
      </c>
      <c r="AD1" s="404" t="s">
        <v>244</v>
      </c>
      <c r="AE1" s="404"/>
      <c r="AF1" s="405" t="s">
        <v>243</v>
      </c>
      <c r="AG1" s="406"/>
      <c r="AH1" s="407" t="s">
        <v>11</v>
      </c>
      <c r="AI1" s="408"/>
      <c r="AJ1" s="408"/>
      <c r="AK1" s="409"/>
      <c r="AL1" s="240"/>
      <c r="AM1" s="399" t="s">
        <v>242</v>
      </c>
    </row>
    <row r="2" spans="2:42" s="227" customFormat="1" ht="87" x14ac:dyDescent="0.35">
      <c r="B2" s="194" t="s">
        <v>181</v>
      </c>
      <c r="C2" s="193" t="s">
        <v>180</v>
      </c>
      <c r="D2" s="193" t="s">
        <v>179</v>
      </c>
      <c r="E2" s="192" t="s">
        <v>178</v>
      </c>
      <c r="F2" s="239" t="s">
        <v>241</v>
      </c>
      <c r="G2" s="238" t="s">
        <v>240</v>
      </c>
      <c r="H2" s="237" t="s">
        <v>126</v>
      </c>
      <c r="I2" s="236" t="s">
        <v>239</v>
      </c>
      <c r="J2" s="236" t="s">
        <v>238</v>
      </c>
      <c r="K2" s="236" t="s">
        <v>237</v>
      </c>
      <c r="L2" s="236" t="s">
        <v>236</v>
      </c>
      <c r="M2" s="236" t="s">
        <v>235</v>
      </c>
      <c r="N2" s="236" t="s">
        <v>234</v>
      </c>
      <c r="O2" s="236" t="s">
        <v>233</v>
      </c>
      <c r="P2" s="236" t="s">
        <v>232</v>
      </c>
      <c r="Q2" s="236" t="s">
        <v>231</v>
      </c>
      <c r="R2" s="236" t="s">
        <v>230</v>
      </c>
      <c r="S2" s="236" t="s">
        <v>227</v>
      </c>
      <c r="T2" s="236" t="s">
        <v>50</v>
      </c>
      <c r="U2" s="235" t="s">
        <v>229</v>
      </c>
      <c r="V2" s="235" t="s">
        <v>228</v>
      </c>
      <c r="W2" s="235" t="s">
        <v>227</v>
      </c>
      <c r="X2" s="235" t="s">
        <v>50</v>
      </c>
      <c r="Y2" s="234" t="s">
        <v>229</v>
      </c>
      <c r="Z2" s="234" t="s">
        <v>228</v>
      </c>
      <c r="AA2" s="234" t="s">
        <v>227</v>
      </c>
      <c r="AB2" s="234" t="s">
        <v>50</v>
      </c>
      <c r="AC2" s="233" t="s">
        <v>50</v>
      </c>
      <c r="AD2" s="232" t="s">
        <v>226</v>
      </c>
      <c r="AE2" s="232" t="s">
        <v>50</v>
      </c>
      <c r="AF2" s="231" t="s">
        <v>226</v>
      </c>
      <c r="AG2" s="231" t="s">
        <v>50</v>
      </c>
      <c r="AH2" s="230" t="s">
        <v>225</v>
      </c>
      <c r="AI2" s="230" t="s">
        <v>224</v>
      </c>
      <c r="AJ2" s="230" t="s">
        <v>223</v>
      </c>
      <c r="AK2" s="229" t="s">
        <v>222</v>
      </c>
      <c r="AL2" s="228" t="s">
        <v>221</v>
      </c>
      <c r="AM2" s="399"/>
    </row>
    <row r="3" spans="2:42" x14ac:dyDescent="0.35">
      <c r="B3" t="s">
        <v>172</v>
      </c>
      <c r="C3" s="170" t="s">
        <v>147</v>
      </c>
      <c r="D3" s="170" t="s">
        <v>147</v>
      </c>
      <c r="E3" s="177" t="s">
        <v>147</v>
      </c>
      <c r="F3" s="226"/>
      <c r="G3" s="225" t="s">
        <v>220</v>
      </c>
      <c r="H3" s="220">
        <v>0</v>
      </c>
      <c r="I3" s="218">
        <v>1</v>
      </c>
      <c r="J3" s="218">
        <v>8</v>
      </c>
      <c r="K3" s="218">
        <v>1</v>
      </c>
      <c r="L3" s="218">
        <v>10</v>
      </c>
      <c r="M3" s="218">
        <v>1</v>
      </c>
      <c r="N3" s="218">
        <v>10</v>
      </c>
      <c r="O3" s="218">
        <v>3</v>
      </c>
      <c r="P3" s="218">
        <v>10</v>
      </c>
      <c r="Q3" s="218">
        <f t="shared" ref="Q3:Q28" si="0">P3*$B$40/$B$42</f>
        <v>13.333333333333334</v>
      </c>
      <c r="R3" s="218">
        <f t="shared" ref="R3:R28" si="1">I3*J3+K3*L3+M3*N3</f>
        <v>28</v>
      </c>
      <c r="S3" s="219">
        <f t="shared" ref="S3:S28" si="2">R3*$B$40/$B$42</f>
        <v>37.333333333333336</v>
      </c>
      <c r="T3" s="218">
        <f t="shared" ref="T3:T28" si="3">R3*$B$40*$B$38</f>
        <v>11200</v>
      </c>
      <c r="U3" s="217">
        <v>2</v>
      </c>
      <c r="V3" s="217">
        <v>10</v>
      </c>
      <c r="W3" s="217">
        <f t="shared" ref="W3:W28" si="4">V3*$B$40/$B$42</f>
        <v>13.333333333333334</v>
      </c>
      <c r="X3" s="217">
        <f t="shared" ref="X3:X8" si="5">U3*V3*$B$40*$B$38</f>
        <v>8000</v>
      </c>
      <c r="Y3" s="216">
        <v>2</v>
      </c>
      <c r="Z3" s="216">
        <v>10</v>
      </c>
      <c r="AA3" s="216">
        <f t="shared" ref="AA3:AA28" si="6">Z3*$B$40/$B$42</f>
        <v>13.333333333333334</v>
      </c>
      <c r="AB3" s="216">
        <f t="shared" ref="AB3:AB28" si="7">Y3*Z3*$B$40*$B$38</f>
        <v>8000</v>
      </c>
      <c r="AC3" s="215">
        <v>0</v>
      </c>
      <c r="AD3" s="214">
        <v>10</v>
      </c>
      <c r="AE3" s="214">
        <f t="shared" ref="AE3:AE28" si="8">T3*(AD3/100)</f>
        <v>1120</v>
      </c>
      <c r="AF3" s="213">
        <v>15</v>
      </c>
      <c r="AG3" s="213">
        <f t="shared" ref="AG3:AG28" si="9">T3*(AF3/100)</f>
        <v>1680</v>
      </c>
      <c r="AH3" s="212">
        <v>3</v>
      </c>
      <c r="AI3" s="212">
        <f t="shared" ref="AI3:AI28" si="10">AH3*(I3+K3+M3)*$B$40*$B$38</f>
        <v>3600</v>
      </c>
      <c r="AJ3" s="212">
        <v>10</v>
      </c>
      <c r="AK3" s="212">
        <f t="shared" ref="AK3:AK28" si="11">AJ3*$B$40*$B$38</f>
        <v>4000</v>
      </c>
      <c r="AL3" s="211"/>
      <c r="AM3" s="210">
        <f t="shared" ref="AM3:AM28" si="12">AL3+AK3+AI3+(AG3*4)+(AE3*4)+AC3+AB3+X3+T3+H3</f>
        <v>46000</v>
      </c>
      <c r="AN3" s="210">
        <f>T3+AB3+X3</f>
        <v>27200</v>
      </c>
      <c r="AO3" s="267">
        <f>AI3+AK3</f>
        <v>7600</v>
      </c>
      <c r="AP3" s="267">
        <f>(AE3+AG3)</f>
        <v>2800</v>
      </c>
    </row>
    <row r="4" spans="2:42" ht="29" x14ac:dyDescent="0.35">
      <c r="B4" t="s">
        <v>171</v>
      </c>
      <c r="C4" s="170" t="s">
        <v>147</v>
      </c>
      <c r="D4" s="181" t="s">
        <v>147</v>
      </c>
      <c r="E4" s="177" t="s">
        <v>147</v>
      </c>
      <c r="F4" s="168" t="s">
        <v>218</v>
      </c>
      <c r="G4" s="221" t="s">
        <v>219</v>
      </c>
      <c r="H4" s="220">
        <v>0</v>
      </c>
      <c r="I4" s="218">
        <v>1</v>
      </c>
      <c r="J4" s="218">
        <v>10</v>
      </c>
      <c r="K4" s="218">
        <v>1</v>
      </c>
      <c r="L4" s="218">
        <v>25</v>
      </c>
      <c r="M4" s="218">
        <v>1</v>
      </c>
      <c r="N4" s="218">
        <v>15</v>
      </c>
      <c r="O4" s="218">
        <v>2</v>
      </c>
      <c r="P4" s="218">
        <v>30</v>
      </c>
      <c r="Q4" s="218">
        <f t="shared" si="0"/>
        <v>40</v>
      </c>
      <c r="R4" s="218">
        <f t="shared" si="1"/>
        <v>50</v>
      </c>
      <c r="S4" s="219">
        <f t="shared" si="2"/>
        <v>66.666666666666671</v>
      </c>
      <c r="T4" s="218">
        <f t="shared" si="3"/>
        <v>20000</v>
      </c>
      <c r="U4" s="217">
        <v>1</v>
      </c>
      <c r="V4" s="217">
        <v>13</v>
      </c>
      <c r="W4" s="217">
        <f t="shared" si="4"/>
        <v>17.333333333333332</v>
      </c>
      <c r="X4" s="217">
        <f t="shared" si="5"/>
        <v>5200</v>
      </c>
      <c r="Y4" s="216">
        <v>8</v>
      </c>
      <c r="Z4" s="216">
        <v>15</v>
      </c>
      <c r="AA4" s="216">
        <f t="shared" si="6"/>
        <v>20</v>
      </c>
      <c r="AB4" s="216">
        <f t="shared" si="7"/>
        <v>48000</v>
      </c>
      <c r="AC4" s="215">
        <v>0</v>
      </c>
      <c r="AD4" s="214">
        <v>15</v>
      </c>
      <c r="AE4" s="214">
        <f t="shared" si="8"/>
        <v>3000</v>
      </c>
      <c r="AF4" s="213">
        <v>10</v>
      </c>
      <c r="AG4" s="213">
        <f t="shared" si="9"/>
        <v>2000</v>
      </c>
      <c r="AH4" s="212">
        <v>5</v>
      </c>
      <c r="AI4" s="212">
        <f t="shared" si="10"/>
        <v>6000</v>
      </c>
      <c r="AJ4" s="212">
        <v>10</v>
      </c>
      <c r="AK4" s="212">
        <f t="shared" si="11"/>
        <v>4000</v>
      </c>
      <c r="AL4" s="211"/>
      <c r="AM4" s="210">
        <f t="shared" si="12"/>
        <v>103200</v>
      </c>
      <c r="AN4" s="210">
        <f t="shared" ref="AN4:AN28" si="13">T4+AB4+X4</f>
        <v>73200</v>
      </c>
      <c r="AO4" s="267">
        <f t="shared" ref="AO4:AO28" si="14">AI4+AK4</f>
        <v>10000</v>
      </c>
      <c r="AP4" s="267">
        <f t="shared" ref="AP4:AP28" si="15">(AE4+AG4)</f>
        <v>5000</v>
      </c>
    </row>
    <row r="5" spans="2:42" ht="29" x14ac:dyDescent="0.35">
      <c r="B5" t="s">
        <v>170</v>
      </c>
      <c r="C5" s="170" t="s">
        <v>147</v>
      </c>
      <c r="D5" s="181" t="s">
        <v>147</v>
      </c>
      <c r="E5" s="177" t="s">
        <v>147</v>
      </c>
      <c r="F5" s="168" t="s">
        <v>218</v>
      </c>
      <c r="G5" s="221" t="s">
        <v>217</v>
      </c>
      <c r="H5" s="220">
        <v>0</v>
      </c>
      <c r="I5" s="218">
        <v>2</v>
      </c>
      <c r="J5" s="218"/>
      <c r="K5" s="218"/>
      <c r="L5" s="218"/>
      <c r="M5" s="218"/>
      <c r="N5" s="218"/>
      <c r="O5" s="218"/>
      <c r="P5" s="218">
        <v>25</v>
      </c>
      <c r="Q5" s="218">
        <f t="shared" si="0"/>
        <v>33.333333333333336</v>
      </c>
      <c r="R5" s="218">
        <f t="shared" si="1"/>
        <v>0</v>
      </c>
      <c r="S5" s="219">
        <f t="shared" si="2"/>
        <v>0</v>
      </c>
      <c r="T5" s="218">
        <f t="shared" si="3"/>
        <v>0</v>
      </c>
      <c r="U5" s="217">
        <v>1</v>
      </c>
      <c r="V5" s="217">
        <v>13</v>
      </c>
      <c r="W5" s="217">
        <f t="shared" si="4"/>
        <v>17.333333333333332</v>
      </c>
      <c r="X5" s="217">
        <f t="shared" si="5"/>
        <v>5200</v>
      </c>
      <c r="Y5" s="216">
        <v>3</v>
      </c>
      <c r="Z5" s="216">
        <v>15</v>
      </c>
      <c r="AA5" s="216">
        <f t="shared" si="6"/>
        <v>20</v>
      </c>
      <c r="AB5" s="216">
        <f t="shared" si="7"/>
        <v>18000</v>
      </c>
      <c r="AC5" s="215">
        <v>0</v>
      </c>
      <c r="AD5" s="214">
        <v>10</v>
      </c>
      <c r="AE5" s="214">
        <f t="shared" si="8"/>
        <v>0</v>
      </c>
      <c r="AF5" s="213">
        <v>10</v>
      </c>
      <c r="AG5" s="213">
        <f t="shared" si="9"/>
        <v>0</v>
      </c>
      <c r="AH5" s="212">
        <v>3</v>
      </c>
      <c r="AI5" s="212">
        <f t="shared" si="10"/>
        <v>2400</v>
      </c>
      <c r="AJ5" s="212">
        <v>10</v>
      </c>
      <c r="AK5" s="212">
        <f t="shared" si="11"/>
        <v>4000</v>
      </c>
      <c r="AL5" s="211"/>
      <c r="AM5" s="210">
        <f t="shared" si="12"/>
        <v>29600</v>
      </c>
      <c r="AN5" s="210"/>
      <c r="AO5" s="267"/>
      <c r="AP5" s="267">
        <f t="shared" si="15"/>
        <v>0</v>
      </c>
    </row>
    <row r="6" spans="2:42" ht="29" x14ac:dyDescent="0.35">
      <c r="B6" t="s">
        <v>169</v>
      </c>
      <c r="C6" s="170" t="s">
        <v>147</v>
      </c>
      <c r="D6" s="181" t="s">
        <v>147</v>
      </c>
      <c r="E6" s="177" t="s">
        <v>147</v>
      </c>
      <c r="F6" s="168" t="s">
        <v>215</v>
      </c>
      <c r="G6" s="221" t="s">
        <v>216</v>
      </c>
      <c r="H6" s="220">
        <v>0</v>
      </c>
      <c r="I6" s="218">
        <v>1</v>
      </c>
      <c r="J6" s="218">
        <v>10</v>
      </c>
      <c r="K6" s="218">
        <v>1</v>
      </c>
      <c r="L6" s="218">
        <v>10</v>
      </c>
      <c r="M6" s="218">
        <v>1</v>
      </c>
      <c r="N6" s="218">
        <v>20</v>
      </c>
      <c r="O6" s="218">
        <v>2</v>
      </c>
      <c r="P6" s="218">
        <v>25</v>
      </c>
      <c r="Q6" s="218">
        <f t="shared" si="0"/>
        <v>33.333333333333336</v>
      </c>
      <c r="R6" s="218">
        <f t="shared" si="1"/>
        <v>40</v>
      </c>
      <c r="S6" s="219">
        <f t="shared" si="2"/>
        <v>53.333333333333336</v>
      </c>
      <c r="T6" s="218">
        <f t="shared" si="3"/>
        <v>16000</v>
      </c>
      <c r="U6" s="217">
        <v>0</v>
      </c>
      <c r="V6" s="217">
        <v>0</v>
      </c>
      <c r="W6" s="217">
        <f t="shared" si="4"/>
        <v>0</v>
      </c>
      <c r="X6" s="217">
        <f t="shared" si="5"/>
        <v>0</v>
      </c>
      <c r="Y6" s="216">
        <v>7</v>
      </c>
      <c r="Z6" s="216">
        <v>15</v>
      </c>
      <c r="AA6" s="216">
        <f t="shared" si="6"/>
        <v>20</v>
      </c>
      <c r="AB6" s="216">
        <f t="shared" si="7"/>
        <v>42000</v>
      </c>
      <c r="AC6" s="215">
        <v>0</v>
      </c>
      <c r="AD6" s="214">
        <v>15</v>
      </c>
      <c r="AE6" s="214">
        <f t="shared" si="8"/>
        <v>2400</v>
      </c>
      <c r="AF6" s="213">
        <v>15</v>
      </c>
      <c r="AG6" s="213">
        <f t="shared" si="9"/>
        <v>2400</v>
      </c>
      <c r="AH6" s="212">
        <v>5</v>
      </c>
      <c r="AI6" s="212">
        <f t="shared" si="10"/>
        <v>6000</v>
      </c>
      <c r="AJ6" s="212">
        <v>10</v>
      </c>
      <c r="AK6" s="212">
        <f t="shared" si="11"/>
        <v>4000</v>
      </c>
      <c r="AL6" s="211"/>
      <c r="AM6" s="210">
        <f t="shared" si="12"/>
        <v>87200</v>
      </c>
      <c r="AN6" s="210">
        <f t="shared" si="13"/>
        <v>58000</v>
      </c>
      <c r="AO6" s="267">
        <f t="shared" si="14"/>
        <v>10000</v>
      </c>
      <c r="AP6" s="267">
        <f t="shared" si="15"/>
        <v>4800</v>
      </c>
    </row>
    <row r="7" spans="2:42" ht="29" x14ac:dyDescent="0.35">
      <c r="B7" t="s">
        <v>168</v>
      </c>
      <c r="C7" s="170" t="s">
        <v>147</v>
      </c>
      <c r="D7" s="181" t="s">
        <v>147</v>
      </c>
      <c r="E7" s="177" t="s">
        <v>147</v>
      </c>
      <c r="F7" s="168" t="s">
        <v>215</v>
      </c>
      <c r="G7" s="221" t="s">
        <v>214</v>
      </c>
      <c r="H7" s="220">
        <v>0</v>
      </c>
      <c r="I7" s="218">
        <v>2</v>
      </c>
      <c r="J7" s="218"/>
      <c r="K7" s="218"/>
      <c r="L7" s="218"/>
      <c r="M7" s="218"/>
      <c r="N7" s="218"/>
      <c r="O7" s="218"/>
      <c r="P7" s="218">
        <v>20</v>
      </c>
      <c r="Q7" s="218">
        <f t="shared" si="0"/>
        <v>26.666666666666668</v>
      </c>
      <c r="R7" s="218">
        <f t="shared" si="1"/>
        <v>0</v>
      </c>
      <c r="S7" s="219">
        <f t="shared" si="2"/>
        <v>0</v>
      </c>
      <c r="T7" s="218">
        <f t="shared" si="3"/>
        <v>0</v>
      </c>
      <c r="U7" s="217">
        <v>0</v>
      </c>
      <c r="V7" s="217">
        <v>0</v>
      </c>
      <c r="W7" s="217">
        <f t="shared" si="4"/>
        <v>0</v>
      </c>
      <c r="X7" s="217">
        <f t="shared" si="5"/>
        <v>0</v>
      </c>
      <c r="Y7" s="216">
        <v>3</v>
      </c>
      <c r="Z7" s="216">
        <v>15</v>
      </c>
      <c r="AA7" s="216">
        <f t="shared" si="6"/>
        <v>20</v>
      </c>
      <c r="AB7" s="216">
        <f t="shared" si="7"/>
        <v>18000</v>
      </c>
      <c r="AC7" s="215">
        <v>0</v>
      </c>
      <c r="AD7" s="214">
        <v>10</v>
      </c>
      <c r="AE7" s="214">
        <f t="shared" si="8"/>
        <v>0</v>
      </c>
      <c r="AF7" s="213">
        <v>15</v>
      </c>
      <c r="AG7" s="213">
        <f t="shared" si="9"/>
        <v>0</v>
      </c>
      <c r="AH7" s="212">
        <v>2</v>
      </c>
      <c r="AI7" s="212">
        <f t="shared" si="10"/>
        <v>1600</v>
      </c>
      <c r="AJ7" s="212">
        <v>10</v>
      </c>
      <c r="AK7" s="212">
        <f t="shared" si="11"/>
        <v>4000</v>
      </c>
      <c r="AL7" s="211"/>
      <c r="AM7" s="210">
        <f t="shared" si="12"/>
        <v>23600</v>
      </c>
      <c r="AN7" s="210"/>
      <c r="AO7" s="267"/>
      <c r="AP7" s="267">
        <f t="shared" si="15"/>
        <v>0</v>
      </c>
    </row>
    <row r="8" spans="2:42" ht="43.5" x14ac:dyDescent="0.35">
      <c r="B8" s="168" t="s">
        <v>167</v>
      </c>
      <c r="C8" s="170" t="s">
        <v>147</v>
      </c>
      <c r="D8" s="170" t="s">
        <v>166</v>
      </c>
      <c r="E8" s="177" t="s">
        <v>147</v>
      </c>
      <c r="F8" s="168" t="s">
        <v>213</v>
      </c>
      <c r="G8" s="221" t="s">
        <v>212</v>
      </c>
      <c r="H8" s="220">
        <v>0</v>
      </c>
      <c r="I8" s="218">
        <v>1</v>
      </c>
      <c r="J8" s="218">
        <v>10</v>
      </c>
      <c r="K8" s="218">
        <v>1</v>
      </c>
      <c r="L8" s="218">
        <v>25</v>
      </c>
      <c r="M8" s="218">
        <v>0</v>
      </c>
      <c r="N8" s="218">
        <v>0</v>
      </c>
      <c r="O8" s="218">
        <v>2</v>
      </c>
      <c r="P8" s="218">
        <v>25</v>
      </c>
      <c r="Q8" s="218">
        <f t="shared" si="0"/>
        <v>33.333333333333336</v>
      </c>
      <c r="R8" s="218">
        <f t="shared" si="1"/>
        <v>35</v>
      </c>
      <c r="S8" s="219">
        <f t="shared" si="2"/>
        <v>46.666666666666664</v>
      </c>
      <c r="T8" s="218">
        <f t="shared" si="3"/>
        <v>14000</v>
      </c>
      <c r="U8" s="217">
        <v>0</v>
      </c>
      <c r="V8" s="217">
        <v>0</v>
      </c>
      <c r="W8" s="217">
        <f t="shared" si="4"/>
        <v>0</v>
      </c>
      <c r="X8" s="217">
        <f t="shared" si="5"/>
        <v>0</v>
      </c>
      <c r="Y8" s="216">
        <v>2</v>
      </c>
      <c r="Z8" s="216">
        <v>10</v>
      </c>
      <c r="AA8" s="216">
        <f t="shared" si="6"/>
        <v>13.333333333333334</v>
      </c>
      <c r="AB8" s="216">
        <f t="shared" si="7"/>
        <v>8000</v>
      </c>
      <c r="AC8" s="215">
        <v>0</v>
      </c>
      <c r="AD8" s="214">
        <v>20</v>
      </c>
      <c r="AE8" s="214">
        <f t="shared" si="8"/>
        <v>2800</v>
      </c>
      <c r="AF8" s="213">
        <v>10</v>
      </c>
      <c r="AG8" s="213">
        <f t="shared" si="9"/>
        <v>1400</v>
      </c>
      <c r="AH8" s="212">
        <v>4</v>
      </c>
      <c r="AI8" s="212">
        <f t="shared" si="10"/>
        <v>3200</v>
      </c>
      <c r="AJ8" s="212">
        <v>0</v>
      </c>
      <c r="AK8" s="212">
        <f t="shared" si="11"/>
        <v>0</v>
      </c>
      <c r="AL8" s="211"/>
      <c r="AM8" s="210">
        <f t="shared" si="12"/>
        <v>42000</v>
      </c>
      <c r="AN8" s="210">
        <f t="shared" si="13"/>
        <v>22000</v>
      </c>
      <c r="AO8" s="267">
        <f t="shared" si="14"/>
        <v>3200</v>
      </c>
      <c r="AP8" s="267">
        <f t="shared" si="15"/>
        <v>4200</v>
      </c>
    </row>
    <row r="9" spans="2:42" ht="29" x14ac:dyDescent="0.35">
      <c r="B9" s="168" t="s">
        <v>165</v>
      </c>
      <c r="C9" s="170" t="s">
        <v>149</v>
      </c>
      <c r="D9" s="170" t="s">
        <v>149</v>
      </c>
      <c r="E9" s="177" t="s">
        <v>147</v>
      </c>
      <c r="F9" s="168" t="s">
        <v>210</v>
      </c>
      <c r="G9" s="221" t="s">
        <v>211</v>
      </c>
      <c r="H9" s="220">
        <v>0</v>
      </c>
      <c r="I9" s="178">
        <v>1</v>
      </c>
      <c r="J9" s="178">
        <v>15</v>
      </c>
      <c r="K9" s="178">
        <v>3</v>
      </c>
      <c r="L9" s="178">
        <v>35</v>
      </c>
      <c r="M9" s="178">
        <v>0</v>
      </c>
      <c r="N9" s="178">
        <v>0</v>
      </c>
      <c r="O9" s="178">
        <v>4</v>
      </c>
      <c r="P9" s="178">
        <v>35</v>
      </c>
      <c r="Q9" s="218">
        <f t="shared" si="0"/>
        <v>46.666666666666664</v>
      </c>
      <c r="R9" s="218">
        <f t="shared" si="1"/>
        <v>120</v>
      </c>
      <c r="S9" s="219">
        <f t="shared" si="2"/>
        <v>160</v>
      </c>
      <c r="T9" s="218">
        <f t="shared" si="3"/>
        <v>48000</v>
      </c>
      <c r="U9" s="217">
        <v>0</v>
      </c>
      <c r="V9" s="217">
        <v>0</v>
      </c>
      <c r="W9" s="217">
        <f t="shared" si="4"/>
        <v>0</v>
      </c>
      <c r="X9" s="217">
        <v>0</v>
      </c>
      <c r="Y9" s="216">
        <v>8</v>
      </c>
      <c r="Z9" s="216">
        <v>10</v>
      </c>
      <c r="AA9" s="216">
        <f t="shared" si="6"/>
        <v>13.333333333333334</v>
      </c>
      <c r="AB9" s="216">
        <f t="shared" si="7"/>
        <v>32000</v>
      </c>
      <c r="AC9" s="215">
        <v>0</v>
      </c>
      <c r="AD9" s="214">
        <v>15</v>
      </c>
      <c r="AE9" s="214">
        <f t="shared" si="8"/>
        <v>7200</v>
      </c>
      <c r="AF9" s="213">
        <v>10</v>
      </c>
      <c r="AG9" s="213">
        <f t="shared" si="9"/>
        <v>4800</v>
      </c>
      <c r="AH9" s="212">
        <v>5</v>
      </c>
      <c r="AI9" s="212">
        <f t="shared" si="10"/>
        <v>8000</v>
      </c>
      <c r="AJ9" s="212">
        <v>0</v>
      </c>
      <c r="AK9" s="212">
        <f t="shared" si="11"/>
        <v>0</v>
      </c>
      <c r="AL9" s="211"/>
      <c r="AM9" s="210">
        <f t="shared" si="12"/>
        <v>136000</v>
      </c>
      <c r="AN9" s="210">
        <f t="shared" si="13"/>
        <v>80000</v>
      </c>
      <c r="AO9" s="267">
        <f t="shared" si="14"/>
        <v>8000</v>
      </c>
      <c r="AP9" s="267">
        <f t="shared" si="15"/>
        <v>12000</v>
      </c>
    </row>
    <row r="10" spans="2:42" ht="29" x14ac:dyDescent="0.35">
      <c r="B10" s="168" t="s">
        <v>164</v>
      </c>
      <c r="C10" s="170" t="s">
        <v>149</v>
      </c>
      <c r="D10" s="170" t="s">
        <v>149</v>
      </c>
      <c r="E10" s="177" t="s">
        <v>147</v>
      </c>
      <c r="F10" s="168" t="s">
        <v>210</v>
      </c>
      <c r="G10" s="221" t="s">
        <v>209</v>
      </c>
      <c r="H10" s="220">
        <v>0</v>
      </c>
      <c r="I10" s="218">
        <v>4</v>
      </c>
      <c r="J10" s="218"/>
      <c r="K10" s="218"/>
      <c r="L10" s="218"/>
      <c r="M10" s="218"/>
      <c r="N10" s="218"/>
      <c r="O10" s="218"/>
      <c r="P10" s="218">
        <v>25</v>
      </c>
      <c r="Q10" s="218">
        <f t="shared" si="0"/>
        <v>33.333333333333336</v>
      </c>
      <c r="R10" s="218">
        <f t="shared" si="1"/>
        <v>0</v>
      </c>
      <c r="S10" s="219">
        <f t="shared" si="2"/>
        <v>0</v>
      </c>
      <c r="T10" s="218">
        <f t="shared" si="3"/>
        <v>0</v>
      </c>
      <c r="U10" s="217">
        <v>0</v>
      </c>
      <c r="V10" s="217">
        <v>0</v>
      </c>
      <c r="W10" s="217">
        <f t="shared" si="4"/>
        <v>0</v>
      </c>
      <c r="X10" s="217">
        <v>0</v>
      </c>
      <c r="Y10" s="216">
        <v>4</v>
      </c>
      <c r="Z10" s="216">
        <v>10</v>
      </c>
      <c r="AA10" s="216">
        <f t="shared" si="6"/>
        <v>13.333333333333334</v>
      </c>
      <c r="AB10" s="216">
        <f t="shared" si="7"/>
        <v>16000</v>
      </c>
      <c r="AC10" s="215">
        <v>0</v>
      </c>
      <c r="AD10" s="214">
        <v>15</v>
      </c>
      <c r="AE10" s="214">
        <f t="shared" si="8"/>
        <v>0</v>
      </c>
      <c r="AF10" s="213">
        <v>10</v>
      </c>
      <c r="AG10" s="213">
        <f t="shared" si="9"/>
        <v>0</v>
      </c>
      <c r="AH10" s="212">
        <v>4</v>
      </c>
      <c r="AI10" s="212">
        <f t="shared" si="10"/>
        <v>6400</v>
      </c>
      <c r="AJ10" s="212">
        <v>0</v>
      </c>
      <c r="AK10" s="212">
        <f t="shared" si="11"/>
        <v>0</v>
      </c>
      <c r="AL10" s="211"/>
      <c r="AM10" s="210">
        <f t="shared" si="12"/>
        <v>22400</v>
      </c>
      <c r="AN10" s="210"/>
      <c r="AO10" s="267"/>
      <c r="AP10" s="267">
        <f t="shared" si="15"/>
        <v>0</v>
      </c>
    </row>
    <row r="11" spans="2:42" x14ac:dyDescent="0.35">
      <c r="B11" t="s">
        <v>144</v>
      </c>
      <c r="C11" s="170" t="s">
        <v>147</v>
      </c>
      <c r="D11" s="181" t="s">
        <v>147</v>
      </c>
      <c r="E11" s="177" t="s">
        <v>147</v>
      </c>
      <c r="F11" s="168" t="s">
        <v>208</v>
      </c>
      <c r="G11" s="221" t="s">
        <v>207</v>
      </c>
      <c r="H11" s="220">
        <v>0</v>
      </c>
      <c r="I11" s="178">
        <v>1</v>
      </c>
      <c r="J11" s="178">
        <v>15</v>
      </c>
      <c r="K11" s="178">
        <v>1</v>
      </c>
      <c r="L11" s="178">
        <v>10</v>
      </c>
      <c r="M11" s="178">
        <v>1</v>
      </c>
      <c r="N11" s="178">
        <v>5</v>
      </c>
      <c r="O11" s="178">
        <v>2</v>
      </c>
      <c r="P11" s="178">
        <v>15</v>
      </c>
      <c r="Q11" s="218">
        <f t="shared" si="0"/>
        <v>20</v>
      </c>
      <c r="R11" s="218">
        <f t="shared" si="1"/>
        <v>30</v>
      </c>
      <c r="S11" s="219">
        <f t="shared" si="2"/>
        <v>40</v>
      </c>
      <c r="T11" s="218">
        <f t="shared" si="3"/>
        <v>12000</v>
      </c>
      <c r="U11" s="217">
        <v>0</v>
      </c>
      <c r="V11" s="217">
        <v>0</v>
      </c>
      <c r="W11" s="217">
        <f t="shared" si="4"/>
        <v>0</v>
      </c>
      <c r="X11" s="217">
        <f t="shared" ref="X11:X28" si="16">U11*V11*$B$40*$B$38</f>
        <v>0</v>
      </c>
      <c r="Y11" s="216">
        <v>5</v>
      </c>
      <c r="Z11" s="216">
        <v>10</v>
      </c>
      <c r="AA11" s="216">
        <f t="shared" si="6"/>
        <v>13.333333333333334</v>
      </c>
      <c r="AB11" s="216">
        <f t="shared" si="7"/>
        <v>20000</v>
      </c>
      <c r="AC11" s="215">
        <v>0</v>
      </c>
      <c r="AD11" s="214">
        <v>10</v>
      </c>
      <c r="AE11" s="214">
        <f t="shared" si="8"/>
        <v>1200</v>
      </c>
      <c r="AF11" s="213">
        <v>10</v>
      </c>
      <c r="AG11" s="213">
        <f t="shared" si="9"/>
        <v>1200</v>
      </c>
      <c r="AH11" s="212">
        <v>4</v>
      </c>
      <c r="AI11" s="212">
        <f t="shared" si="10"/>
        <v>4800</v>
      </c>
      <c r="AJ11" s="212">
        <v>0</v>
      </c>
      <c r="AK11" s="212">
        <f t="shared" si="11"/>
        <v>0</v>
      </c>
      <c r="AL11" s="211"/>
      <c r="AM11" s="210">
        <f t="shared" si="12"/>
        <v>46400</v>
      </c>
      <c r="AN11" s="210">
        <f t="shared" si="13"/>
        <v>32000</v>
      </c>
      <c r="AO11" s="267">
        <f t="shared" si="14"/>
        <v>4800</v>
      </c>
      <c r="AP11" s="267">
        <f t="shared" si="15"/>
        <v>2400</v>
      </c>
    </row>
    <row r="12" spans="2:42" ht="29" x14ac:dyDescent="0.35">
      <c r="B12" t="s">
        <v>163</v>
      </c>
      <c r="C12" s="170" t="s">
        <v>147</v>
      </c>
      <c r="D12" s="181" t="s">
        <v>147</v>
      </c>
      <c r="E12" s="177" t="s">
        <v>147</v>
      </c>
      <c r="F12" s="168" t="s">
        <v>206</v>
      </c>
      <c r="G12" s="221" t="s">
        <v>205</v>
      </c>
      <c r="H12" s="220">
        <v>0</v>
      </c>
      <c r="I12" s="178">
        <v>1</v>
      </c>
      <c r="J12" s="178">
        <v>10</v>
      </c>
      <c r="K12" s="178">
        <v>1</v>
      </c>
      <c r="L12" s="178">
        <v>15</v>
      </c>
      <c r="M12" s="178">
        <v>1</v>
      </c>
      <c r="N12" s="178">
        <v>20</v>
      </c>
      <c r="O12" s="178">
        <v>2</v>
      </c>
      <c r="P12" s="178">
        <v>20</v>
      </c>
      <c r="Q12" s="218">
        <f t="shared" si="0"/>
        <v>26.666666666666668</v>
      </c>
      <c r="R12" s="218">
        <f t="shared" si="1"/>
        <v>45</v>
      </c>
      <c r="S12" s="219">
        <f t="shared" si="2"/>
        <v>60</v>
      </c>
      <c r="T12" s="218">
        <f t="shared" si="3"/>
        <v>18000</v>
      </c>
      <c r="U12" s="217">
        <v>3</v>
      </c>
      <c r="V12" s="217">
        <v>10</v>
      </c>
      <c r="W12" s="217">
        <f t="shared" si="4"/>
        <v>13.333333333333334</v>
      </c>
      <c r="X12" s="217">
        <f t="shared" si="16"/>
        <v>12000</v>
      </c>
      <c r="Y12" s="216">
        <v>4</v>
      </c>
      <c r="Z12" s="216">
        <v>15</v>
      </c>
      <c r="AA12" s="216">
        <f t="shared" si="6"/>
        <v>20</v>
      </c>
      <c r="AB12" s="216">
        <f t="shared" si="7"/>
        <v>24000</v>
      </c>
      <c r="AC12" s="215">
        <v>0</v>
      </c>
      <c r="AD12" s="214">
        <v>10</v>
      </c>
      <c r="AE12" s="214">
        <f t="shared" si="8"/>
        <v>1800</v>
      </c>
      <c r="AF12" s="213">
        <v>10</v>
      </c>
      <c r="AG12" s="213">
        <f t="shared" si="9"/>
        <v>1800</v>
      </c>
      <c r="AH12" s="212">
        <v>3</v>
      </c>
      <c r="AI12" s="212">
        <f t="shared" si="10"/>
        <v>3600</v>
      </c>
      <c r="AJ12" s="212">
        <v>10</v>
      </c>
      <c r="AK12" s="212">
        <f t="shared" si="11"/>
        <v>4000</v>
      </c>
      <c r="AL12" s="211"/>
      <c r="AM12" s="210">
        <f t="shared" si="12"/>
        <v>76000</v>
      </c>
      <c r="AN12" s="210">
        <f t="shared" si="13"/>
        <v>54000</v>
      </c>
      <c r="AO12" s="267">
        <f t="shared" si="14"/>
        <v>7600</v>
      </c>
      <c r="AP12" s="267">
        <f t="shared" si="15"/>
        <v>3600</v>
      </c>
    </row>
    <row r="13" spans="2:42" x14ac:dyDescent="0.35">
      <c r="B13" t="s">
        <v>162</v>
      </c>
      <c r="C13" s="170" t="s">
        <v>147</v>
      </c>
      <c r="D13" s="181" t="s">
        <v>147</v>
      </c>
      <c r="E13" s="177" t="s">
        <v>149</v>
      </c>
      <c r="F13" s="222" t="s">
        <v>194</v>
      </c>
      <c r="G13" s="221"/>
      <c r="H13" s="220"/>
      <c r="I13" s="218"/>
      <c r="J13" s="218"/>
      <c r="K13" s="218"/>
      <c r="L13" s="218"/>
      <c r="M13" s="218"/>
      <c r="N13" s="218"/>
      <c r="O13" s="218"/>
      <c r="P13" s="218"/>
      <c r="Q13" s="218">
        <f t="shared" si="0"/>
        <v>0</v>
      </c>
      <c r="R13" s="218">
        <f t="shared" si="1"/>
        <v>0</v>
      </c>
      <c r="S13" s="219">
        <f t="shared" si="2"/>
        <v>0</v>
      </c>
      <c r="T13" s="218">
        <f t="shared" si="3"/>
        <v>0</v>
      </c>
      <c r="U13" s="217"/>
      <c r="V13" s="217"/>
      <c r="W13" s="217">
        <f t="shared" si="4"/>
        <v>0</v>
      </c>
      <c r="X13" s="217">
        <f t="shared" si="16"/>
        <v>0</v>
      </c>
      <c r="Y13" s="216"/>
      <c r="Z13" s="216"/>
      <c r="AA13" s="216">
        <f t="shared" si="6"/>
        <v>0</v>
      </c>
      <c r="AB13" s="216">
        <f t="shared" si="7"/>
        <v>0</v>
      </c>
      <c r="AC13" s="215">
        <v>0</v>
      </c>
      <c r="AD13" s="214"/>
      <c r="AE13" s="214">
        <f t="shared" si="8"/>
        <v>0</v>
      </c>
      <c r="AF13" s="213"/>
      <c r="AG13" s="213">
        <f t="shared" si="9"/>
        <v>0</v>
      </c>
      <c r="AH13" s="212"/>
      <c r="AI13" s="212">
        <f t="shared" si="10"/>
        <v>0</v>
      </c>
      <c r="AJ13" s="212"/>
      <c r="AK13" s="212">
        <f t="shared" si="11"/>
        <v>0</v>
      </c>
      <c r="AL13" s="211"/>
      <c r="AM13" s="210">
        <f t="shared" si="12"/>
        <v>0</v>
      </c>
      <c r="AN13" s="210">
        <f t="shared" si="13"/>
        <v>0</v>
      </c>
      <c r="AO13" s="267">
        <f t="shared" si="14"/>
        <v>0</v>
      </c>
      <c r="AP13" s="267">
        <f t="shared" si="15"/>
        <v>0</v>
      </c>
    </row>
    <row r="14" spans="2:42" x14ac:dyDescent="0.35">
      <c r="B14" t="s">
        <v>161</v>
      </c>
      <c r="C14" s="170" t="s">
        <v>149</v>
      </c>
      <c r="D14" s="170" t="s">
        <v>149</v>
      </c>
      <c r="E14" s="177" t="s">
        <v>147</v>
      </c>
      <c r="F14" s="168" t="s">
        <v>204</v>
      </c>
      <c r="G14" s="221" t="s">
        <v>203</v>
      </c>
      <c r="H14" s="220">
        <v>0</v>
      </c>
      <c r="I14" s="178">
        <v>1</v>
      </c>
      <c r="J14" s="178">
        <v>10</v>
      </c>
      <c r="K14" s="178">
        <v>1</v>
      </c>
      <c r="L14" s="178">
        <v>20</v>
      </c>
      <c r="M14" s="178">
        <v>1</v>
      </c>
      <c r="N14" s="178">
        <v>20</v>
      </c>
      <c r="O14" s="178">
        <v>3</v>
      </c>
      <c r="P14" s="178">
        <v>25</v>
      </c>
      <c r="Q14" s="218">
        <f t="shared" si="0"/>
        <v>33.333333333333336</v>
      </c>
      <c r="R14" s="218">
        <f t="shared" si="1"/>
        <v>50</v>
      </c>
      <c r="S14" s="219">
        <f t="shared" si="2"/>
        <v>66.666666666666671</v>
      </c>
      <c r="T14" s="218">
        <f t="shared" si="3"/>
        <v>20000</v>
      </c>
      <c r="U14" s="217">
        <v>2</v>
      </c>
      <c r="V14" s="217">
        <v>10</v>
      </c>
      <c r="W14" s="217">
        <f t="shared" si="4"/>
        <v>13.333333333333334</v>
      </c>
      <c r="X14" s="217">
        <f t="shared" si="16"/>
        <v>8000</v>
      </c>
      <c r="Y14" s="216">
        <v>3</v>
      </c>
      <c r="Z14" s="216">
        <v>10</v>
      </c>
      <c r="AA14" s="216">
        <f t="shared" si="6"/>
        <v>13.333333333333334</v>
      </c>
      <c r="AB14" s="216">
        <f t="shared" si="7"/>
        <v>12000</v>
      </c>
      <c r="AC14" s="215">
        <v>0</v>
      </c>
      <c r="AD14" s="214">
        <v>15</v>
      </c>
      <c r="AE14" s="214">
        <f t="shared" si="8"/>
        <v>3000</v>
      </c>
      <c r="AF14" s="213">
        <v>10</v>
      </c>
      <c r="AG14" s="213">
        <f t="shared" si="9"/>
        <v>2000</v>
      </c>
      <c r="AH14" s="212">
        <v>3</v>
      </c>
      <c r="AI14" s="212">
        <f t="shared" si="10"/>
        <v>3600</v>
      </c>
      <c r="AJ14" s="212">
        <v>10</v>
      </c>
      <c r="AK14" s="212">
        <f t="shared" si="11"/>
        <v>4000</v>
      </c>
      <c r="AL14" s="211"/>
      <c r="AM14" s="210">
        <f t="shared" si="12"/>
        <v>67600</v>
      </c>
      <c r="AN14" s="210">
        <f t="shared" si="13"/>
        <v>40000</v>
      </c>
      <c r="AO14" s="267">
        <f t="shared" si="14"/>
        <v>7600</v>
      </c>
      <c r="AP14" s="267">
        <f t="shared" si="15"/>
        <v>5000</v>
      </c>
    </row>
    <row r="15" spans="2:42" x14ac:dyDescent="0.35">
      <c r="B15" t="s">
        <v>160</v>
      </c>
      <c r="C15" s="170" t="s">
        <v>147</v>
      </c>
      <c r="D15" s="181" t="s">
        <v>147</v>
      </c>
      <c r="E15" s="177" t="s">
        <v>149</v>
      </c>
      <c r="F15" s="222" t="s">
        <v>194</v>
      </c>
      <c r="G15" s="221"/>
      <c r="H15" s="220"/>
      <c r="I15" s="218"/>
      <c r="J15" s="218"/>
      <c r="K15" s="218"/>
      <c r="L15" s="218"/>
      <c r="M15" s="218"/>
      <c r="N15" s="218"/>
      <c r="O15" s="218"/>
      <c r="P15" s="218"/>
      <c r="Q15" s="218">
        <f t="shared" si="0"/>
        <v>0</v>
      </c>
      <c r="R15" s="218">
        <f t="shared" si="1"/>
        <v>0</v>
      </c>
      <c r="S15" s="219">
        <f t="shared" si="2"/>
        <v>0</v>
      </c>
      <c r="T15" s="218">
        <f t="shared" si="3"/>
        <v>0</v>
      </c>
      <c r="U15" s="217"/>
      <c r="V15" s="217"/>
      <c r="W15" s="217">
        <f t="shared" si="4"/>
        <v>0</v>
      </c>
      <c r="X15" s="217">
        <f t="shared" si="16"/>
        <v>0</v>
      </c>
      <c r="Y15" s="216"/>
      <c r="Z15" s="216"/>
      <c r="AA15" s="216">
        <f t="shared" si="6"/>
        <v>0</v>
      </c>
      <c r="AB15" s="216">
        <f t="shared" si="7"/>
        <v>0</v>
      </c>
      <c r="AC15" s="215">
        <v>0</v>
      </c>
      <c r="AD15" s="214"/>
      <c r="AE15" s="214">
        <f t="shared" si="8"/>
        <v>0</v>
      </c>
      <c r="AF15" s="213"/>
      <c r="AG15" s="213">
        <f t="shared" si="9"/>
        <v>0</v>
      </c>
      <c r="AH15" s="212"/>
      <c r="AI15" s="212">
        <f t="shared" si="10"/>
        <v>0</v>
      </c>
      <c r="AJ15" s="212"/>
      <c r="AK15" s="212">
        <f t="shared" si="11"/>
        <v>0</v>
      </c>
      <c r="AL15" s="211"/>
      <c r="AM15" s="210">
        <f t="shared" si="12"/>
        <v>0</v>
      </c>
      <c r="AN15" s="210">
        <f t="shared" si="13"/>
        <v>0</v>
      </c>
      <c r="AO15" s="267">
        <f t="shared" si="14"/>
        <v>0</v>
      </c>
      <c r="AP15" s="267">
        <f t="shared" si="15"/>
        <v>0</v>
      </c>
    </row>
    <row r="16" spans="2:42" x14ac:dyDescent="0.35">
      <c r="B16" t="s">
        <v>159</v>
      </c>
      <c r="C16" s="170" t="s">
        <v>147</v>
      </c>
      <c r="D16" s="181" t="s">
        <v>147</v>
      </c>
      <c r="E16" s="177" t="s">
        <v>147</v>
      </c>
      <c r="F16" s="168" t="s">
        <v>202</v>
      </c>
      <c r="G16" s="221"/>
      <c r="H16" s="220"/>
      <c r="I16" s="218">
        <v>1</v>
      </c>
      <c r="J16" s="218">
        <v>10</v>
      </c>
      <c r="K16" s="218">
        <v>1</v>
      </c>
      <c r="L16" s="218">
        <v>15</v>
      </c>
      <c r="M16" s="218">
        <v>1</v>
      </c>
      <c r="N16" s="218">
        <v>15</v>
      </c>
      <c r="O16" s="218">
        <v>3</v>
      </c>
      <c r="P16" s="218">
        <v>20</v>
      </c>
      <c r="Q16" s="218">
        <f t="shared" si="0"/>
        <v>26.666666666666668</v>
      </c>
      <c r="R16" s="218">
        <f t="shared" si="1"/>
        <v>40</v>
      </c>
      <c r="S16" s="219">
        <f t="shared" si="2"/>
        <v>53.333333333333336</v>
      </c>
      <c r="T16" s="218">
        <f t="shared" si="3"/>
        <v>16000</v>
      </c>
      <c r="U16" s="217">
        <v>1</v>
      </c>
      <c r="V16" s="217">
        <v>20</v>
      </c>
      <c r="W16" s="217">
        <f t="shared" si="4"/>
        <v>26.666666666666668</v>
      </c>
      <c r="X16" s="217">
        <f t="shared" si="16"/>
        <v>8000</v>
      </c>
      <c r="Y16" s="216">
        <v>1</v>
      </c>
      <c r="Z16" s="216">
        <v>10</v>
      </c>
      <c r="AA16" s="216">
        <f t="shared" si="6"/>
        <v>13.333333333333334</v>
      </c>
      <c r="AB16" s="216">
        <f t="shared" si="7"/>
        <v>4000</v>
      </c>
      <c r="AC16" s="215">
        <v>0</v>
      </c>
      <c r="AD16" s="214"/>
      <c r="AE16" s="214">
        <f t="shared" si="8"/>
        <v>0</v>
      </c>
      <c r="AF16" s="213"/>
      <c r="AG16" s="213">
        <f t="shared" si="9"/>
        <v>0</v>
      </c>
      <c r="AH16" s="212"/>
      <c r="AI16" s="212">
        <f t="shared" si="10"/>
        <v>0</v>
      </c>
      <c r="AJ16" s="212"/>
      <c r="AK16" s="212">
        <f t="shared" si="11"/>
        <v>0</v>
      </c>
      <c r="AL16" s="211"/>
      <c r="AM16" s="210">
        <f t="shared" si="12"/>
        <v>28000</v>
      </c>
      <c r="AN16" s="210">
        <f t="shared" si="13"/>
        <v>28000</v>
      </c>
      <c r="AO16" s="267">
        <f t="shared" si="14"/>
        <v>0</v>
      </c>
      <c r="AP16" s="267">
        <f t="shared" si="15"/>
        <v>0</v>
      </c>
    </row>
    <row r="17" spans="2:42" ht="29" x14ac:dyDescent="0.35">
      <c r="B17" t="s">
        <v>158</v>
      </c>
      <c r="C17" s="170" t="s">
        <v>147</v>
      </c>
      <c r="D17" s="181" t="s">
        <v>147</v>
      </c>
      <c r="E17" s="177" t="s">
        <v>147</v>
      </c>
      <c r="F17" s="168" t="s">
        <v>201</v>
      </c>
      <c r="G17" s="221"/>
      <c r="H17" s="220"/>
      <c r="I17" s="218">
        <v>1</v>
      </c>
      <c r="J17" s="218">
        <v>10</v>
      </c>
      <c r="K17" s="218">
        <v>1</v>
      </c>
      <c r="L17" s="218">
        <v>15</v>
      </c>
      <c r="M17" s="218">
        <v>1</v>
      </c>
      <c r="N17" s="218">
        <v>15</v>
      </c>
      <c r="O17" s="218">
        <v>3</v>
      </c>
      <c r="P17" s="218">
        <v>20</v>
      </c>
      <c r="Q17" s="218">
        <f t="shared" si="0"/>
        <v>26.666666666666668</v>
      </c>
      <c r="R17" s="218">
        <f t="shared" si="1"/>
        <v>40</v>
      </c>
      <c r="S17" s="219">
        <f t="shared" si="2"/>
        <v>53.333333333333336</v>
      </c>
      <c r="T17" s="218">
        <f t="shared" si="3"/>
        <v>16000</v>
      </c>
      <c r="U17" s="217">
        <v>1</v>
      </c>
      <c r="V17" s="217">
        <v>20</v>
      </c>
      <c r="W17" s="217">
        <f t="shared" si="4"/>
        <v>26.666666666666668</v>
      </c>
      <c r="X17" s="217">
        <f t="shared" si="16"/>
        <v>8000</v>
      </c>
      <c r="Y17" s="216">
        <v>1</v>
      </c>
      <c r="Z17" s="216">
        <v>10</v>
      </c>
      <c r="AA17" s="216">
        <f t="shared" si="6"/>
        <v>13.333333333333334</v>
      </c>
      <c r="AB17" s="216">
        <f t="shared" si="7"/>
        <v>4000</v>
      </c>
      <c r="AC17" s="215">
        <v>0</v>
      </c>
      <c r="AD17" s="214"/>
      <c r="AE17" s="214">
        <f t="shared" si="8"/>
        <v>0</v>
      </c>
      <c r="AF17" s="213"/>
      <c r="AG17" s="213">
        <f t="shared" si="9"/>
        <v>0</v>
      </c>
      <c r="AH17" s="212"/>
      <c r="AI17" s="212">
        <f t="shared" si="10"/>
        <v>0</v>
      </c>
      <c r="AJ17" s="212"/>
      <c r="AK17" s="212">
        <f t="shared" si="11"/>
        <v>0</v>
      </c>
      <c r="AL17" s="211"/>
      <c r="AM17" s="210">
        <f t="shared" si="12"/>
        <v>28000</v>
      </c>
      <c r="AN17" s="210">
        <f t="shared" si="13"/>
        <v>28000</v>
      </c>
      <c r="AO17" s="267">
        <f t="shared" si="14"/>
        <v>0</v>
      </c>
      <c r="AP17" s="267">
        <f t="shared" si="15"/>
        <v>0</v>
      </c>
    </row>
    <row r="18" spans="2:42" x14ac:dyDescent="0.35">
      <c r="B18" s="168" t="s">
        <v>157</v>
      </c>
      <c r="C18" s="170" t="s">
        <v>147</v>
      </c>
      <c r="D18" s="170" t="s">
        <v>149</v>
      </c>
      <c r="E18" s="177" t="s">
        <v>149</v>
      </c>
      <c r="F18" s="168" t="s">
        <v>200</v>
      </c>
      <c r="G18" s="221"/>
      <c r="H18" s="220"/>
      <c r="I18" s="218"/>
      <c r="J18" s="218"/>
      <c r="K18" s="218"/>
      <c r="L18" s="218"/>
      <c r="M18" s="218"/>
      <c r="N18" s="218"/>
      <c r="O18" s="218"/>
      <c r="P18" s="218"/>
      <c r="Q18" s="218">
        <f t="shared" si="0"/>
        <v>0</v>
      </c>
      <c r="R18" s="218">
        <f t="shared" si="1"/>
        <v>0</v>
      </c>
      <c r="S18" s="219">
        <f t="shared" si="2"/>
        <v>0</v>
      </c>
      <c r="T18" s="218">
        <f t="shared" si="3"/>
        <v>0</v>
      </c>
      <c r="U18" s="217"/>
      <c r="V18" s="217"/>
      <c r="W18" s="217">
        <f t="shared" si="4"/>
        <v>0</v>
      </c>
      <c r="X18" s="217">
        <f t="shared" si="16"/>
        <v>0</v>
      </c>
      <c r="Y18" s="216"/>
      <c r="Z18" s="216"/>
      <c r="AA18" s="216">
        <f t="shared" si="6"/>
        <v>0</v>
      </c>
      <c r="AB18" s="216">
        <f t="shared" si="7"/>
        <v>0</v>
      </c>
      <c r="AC18" s="215">
        <v>0</v>
      </c>
      <c r="AD18" s="214"/>
      <c r="AE18" s="214">
        <f t="shared" si="8"/>
        <v>0</v>
      </c>
      <c r="AF18" s="213"/>
      <c r="AG18" s="213">
        <f t="shared" si="9"/>
        <v>0</v>
      </c>
      <c r="AH18" s="212"/>
      <c r="AI18" s="212">
        <f t="shared" si="10"/>
        <v>0</v>
      </c>
      <c r="AJ18" s="212"/>
      <c r="AK18" s="212">
        <f t="shared" si="11"/>
        <v>0</v>
      </c>
      <c r="AL18" s="211"/>
      <c r="AM18" s="210">
        <f t="shared" si="12"/>
        <v>0</v>
      </c>
      <c r="AN18" s="210">
        <f t="shared" si="13"/>
        <v>0</v>
      </c>
      <c r="AO18" s="267">
        <f t="shared" si="14"/>
        <v>0</v>
      </c>
      <c r="AP18" s="267">
        <f t="shared" si="15"/>
        <v>0</v>
      </c>
    </row>
    <row r="19" spans="2:42" x14ac:dyDescent="0.35">
      <c r="B19" t="s">
        <v>156</v>
      </c>
      <c r="C19" s="170" t="s">
        <v>147</v>
      </c>
      <c r="D19" s="181" t="s">
        <v>147</v>
      </c>
      <c r="E19" s="177" t="s">
        <v>149</v>
      </c>
      <c r="F19" s="223" t="s">
        <v>199</v>
      </c>
      <c r="G19" s="221"/>
      <c r="H19" s="220"/>
      <c r="I19" s="218"/>
      <c r="J19" s="218"/>
      <c r="K19" s="218"/>
      <c r="L19" s="218"/>
      <c r="M19" s="218"/>
      <c r="N19" s="218"/>
      <c r="O19" s="218"/>
      <c r="P19" s="218"/>
      <c r="Q19" s="218">
        <f t="shared" si="0"/>
        <v>0</v>
      </c>
      <c r="R19" s="218">
        <f t="shared" si="1"/>
        <v>0</v>
      </c>
      <c r="S19" s="219">
        <f t="shared" si="2"/>
        <v>0</v>
      </c>
      <c r="T19" s="218">
        <f t="shared" si="3"/>
        <v>0</v>
      </c>
      <c r="U19" s="217"/>
      <c r="V19" s="217"/>
      <c r="W19" s="217">
        <f t="shared" si="4"/>
        <v>0</v>
      </c>
      <c r="X19" s="217">
        <f t="shared" si="16"/>
        <v>0</v>
      </c>
      <c r="Y19" s="216"/>
      <c r="Z19" s="216"/>
      <c r="AA19" s="216">
        <f t="shared" si="6"/>
        <v>0</v>
      </c>
      <c r="AB19" s="216">
        <f t="shared" si="7"/>
        <v>0</v>
      </c>
      <c r="AC19" s="215">
        <v>0</v>
      </c>
      <c r="AD19" s="214"/>
      <c r="AE19" s="214">
        <f t="shared" si="8"/>
        <v>0</v>
      </c>
      <c r="AF19" s="213"/>
      <c r="AG19" s="213">
        <f t="shared" si="9"/>
        <v>0</v>
      </c>
      <c r="AH19" s="212"/>
      <c r="AI19" s="212">
        <f t="shared" si="10"/>
        <v>0</v>
      </c>
      <c r="AJ19" s="212"/>
      <c r="AK19" s="212">
        <f t="shared" si="11"/>
        <v>0</v>
      </c>
      <c r="AL19" s="211"/>
      <c r="AM19" s="210">
        <f t="shared" si="12"/>
        <v>0</v>
      </c>
      <c r="AN19" s="210">
        <f t="shared" si="13"/>
        <v>0</v>
      </c>
      <c r="AO19" s="267">
        <f t="shared" si="14"/>
        <v>0</v>
      </c>
      <c r="AP19" s="267">
        <f t="shared" si="15"/>
        <v>0</v>
      </c>
    </row>
    <row r="20" spans="2:42" x14ac:dyDescent="0.35">
      <c r="B20" t="s">
        <v>155</v>
      </c>
      <c r="C20" s="170" t="s">
        <v>147</v>
      </c>
      <c r="D20" s="181" t="s">
        <v>147</v>
      </c>
      <c r="E20" s="177" t="s">
        <v>149</v>
      </c>
      <c r="F20" s="222" t="s">
        <v>194</v>
      </c>
      <c r="G20" s="221"/>
      <c r="H20" s="220"/>
      <c r="I20" s="218"/>
      <c r="J20" s="218"/>
      <c r="K20" s="218"/>
      <c r="L20" s="218"/>
      <c r="M20" s="218"/>
      <c r="N20" s="218"/>
      <c r="O20" s="218"/>
      <c r="P20" s="218"/>
      <c r="Q20" s="218">
        <f t="shared" si="0"/>
        <v>0</v>
      </c>
      <c r="R20" s="218">
        <f t="shared" si="1"/>
        <v>0</v>
      </c>
      <c r="S20" s="219">
        <f t="shared" si="2"/>
        <v>0</v>
      </c>
      <c r="T20" s="218">
        <f t="shared" si="3"/>
        <v>0</v>
      </c>
      <c r="U20" s="217"/>
      <c r="V20" s="217"/>
      <c r="W20" s="217">
        <f t="shared" si="4"/>
        <v>0</v>
      </c>
      <c r="X20" s="217">
        <f t="shared" si="16"/>
        <v>0</v>
      </c>
      <c r="Y20" s="216"/>
      <c r="Z20" s="216"/>
      <c r="AA20" s="216">
        <f t="shared" si="6"/>
        <v>0</v>
      </c>
      <c r="AB20" s="216">
        <f t="shared" si="7"/>
        <v>0</v>
      </c>
      <c r="AC20" s="215">
        <v>0</v>
      </c>
      <c r="AD20" s="214"/>
      <c r="AE20" s="214">
        <f t="shared" si="8"/>
        <v>0</v>
      </c>
      <c r="AF20" s="213"/>
      <c r="AG20" s="213">
        <f t="shared" si="9"/>
        <v>0</v>
      </c>
      <c r="AH20" s="212"/>
      <c r="AI20" s="212">
        <f t="shared" si="10"/>
        <v>0</v>
      </c>
      <c r="AJ20" s="212"/>
      <c r="AK20" s="212">
        <f t="shared" si="11"/>
        <v>0</v>
      </c>
      <c r="AL20" s="211"/>
      <c r="AM20" s="210">
        <f t="shared" si="12"/>
        <v>0</v>
      </c>
      <c r="AN20" s="210">
        <f t="shared" si="13"/>
        <v>0</v>
      </c>
      <c r="AO20" s="267">
        <f t="shared" si="14"/>
        <v>0</v>
      </c>
      <c r="AP20" s="267">
        <f t="shared" si="15"/>
        <v>0</v>
      </c>
    </row>
    <row r="21" spans="2:42" x14ac:dyDescent="0.35">
      <c r="B21" t="s">
        <v>154</v>
      </c>
      <c r="C21" s="170" t="s">
        <v>147</v>
      </c>
      <c r="D21" s="170" t="s">
        <v>147</v>
      </c>
      <c r="E21" s="177" t="s">
        <v>149</v>
      </c>
      <c r="F21" s="222" t="s">
        <v>194</v>
      </c>
      <c r="G21" s="221"/>
      <c r="H21" s="220"/>
      <c r="I21" s="218"/>
      <c r="J21" s="218"/>
      <c r="K21" s="218"/>
      <c r="L21" s="218"/>
      <c r="M21" s="218"/>
      <c r="N21" s="218"/>
      <c r="O21" s="218"/>
      <c r="P21" s="218"/>
      <c r="Q21" s="218">
        <f t="shared" si="0"/>
        <v>0</v>
      </c>
      <c r="R21" s="218">
        <f t="shared" si="1"/>
        <v>0</v>
      </c>
      <c r="S21" s="219">
        <f t="shared" si="2"/>
        <v>0</v>
      </c>
      <c r="T21" s="218">
        <f t="shared" si="3"/>
        <v>0</v>
      </c>
      <c r="U21" s="217"/>
      <c r="V21" s="217"/>
      <c r="W21" s="217">
        <f t="shared" si="4"/>
        <v>0</v>
      </c>
      <c r="X21" s="217">
        <f t="shared" si="16"/>
        <v>0</v>
      </c>
      <c r="Y21" s="216"/>
      <c r="Z21" s="216"/>
      <c r="AA21" s="216">
        <f t="shared" si="6"/>
        <v>0</v>
      </c>
      <c r="AB21" s="216">
        <f t="shared" si="7"/>
        <v>0</v>
      </c>
      <c r="AC21" s="215">
        <v>0</v>
      </c>
      <c r="AD21" s="214"/>
      <c r="AE21" s="214">
        <f t="shared" si="8"/>
        <v>0</v>
      </c>
      <c r="AF21" s="213"/>
      <c r="AG21" s="213">
        <f t="shared" si="9"/>
        <v>0</v>
      </c>
      <c r="AH21" s="212"/>
      <c r="AI21" s="212">
        <f t="shared" si="10"/>
        <v>0</v>
      </c>
      <c r="AJ21" s="212"/>
      <c r="AK21" s="212">
        <f t="shared" si="11"/>
        <v>0</v>
      </c>
      <c r="AL21" s="211"/>
      <c r="AM21" s="210">
        <f t="shared" si="12"/>
        <v>0</v>
      </c>
      <c r="AN21" s="210">
        <f t="shared" si="13"/>
        <v>0</v>
      </c>
      <c r="AO21" s="267">
        <f t="shared" si="14"/>
        <v>0</v>
      </c>
      <c r="AP21" s="267">
        <f t="shared" si="15"/>
        <v>0</v>
      </c>
    </row>
    <row r="22" spans="2:42" x14ac:dyDescent="0.35">
      <c r="B22" t="s">
        <v>153</v>
      </c>
      <c r="C22" s="170" t="s">
        <v>147</v>
      </c>
      <c r="D22" s="181" t="s">
        <v>147</v>
      </c>
      <c r="E22" s="177" t="s">
        <v>149</v>
      </c>
      <c r="F22" s="222" t="s">
        <v>194</v>
      </c>
      <c r="G22" s="221"/>
      <c r="H22" s="220"/>
      <c r="I22" s="218"/>
      <c r="J22" s="218"/>
      <c r="K22" s="218"/>
      <c r="L22" s="218"/>
      <c r="M22" s="218"/>
      <c r="N22" s="218"/>
      <c r="O22" s="218"/>
      <c r="P22" s="218"/>
      <c r="Q22" s="218">
        <f t="shared" si="0"/>
        <v>0</v>
      </c>
      <c r="R22" s="218">
        <f t="shared" si="1"/>
        <v>0</v>
      </c>
      <c r="S22" s="219">
        <f t="shared" si="2"/>
        <v>0</v>
      </c>
      <c r="T22" s="218">
        <f t="shared" si="3"/>
        <v>0</v>
      </c>
      <c r="U22" s="217"/>
      <c r="V22" s="217"/>
      <c r="W22" s="217">
        <f t="shared" si="4"/>
        <v>0</v>
      </c>
      <c r="X22" s="217">
        <f t="shared" si="16"/>
        <v>0</v>
      </c>
      <c r="Y22" s="216"/>
      <c r="Z22" s="216"/>
      <c r="AA22" s="216">
        <f t="shared" si="6"/>
        <v>0</v>
      </c>
      <c r="AB22" s="216">
        <f t="shared" si="7"/>
        <v>0</v>
      </c>
      <c r="AC22" s="215">
        <v>0</v>
      </c>
      <c r="AD22" s="214"/>
      <c r="AE22" s="214">
        <f t="shared" si="8"/>
        <v>0</v>
      </c>
      <c r="AF22" s="213"/>
      <c r="AG22" s="213">
        <f t="shared" si="9"/>
        <v>0</v>
      </c>
      <c r="AH22" s="212"/>
      <c r="AI22" s="212">
        <f t="shared" si="10"/>
        <v>0</v>
      </c>
      <c r="AJ22" s="212"/>
      <c r="AK22" s="212">
        <f t="shared" si="11"/>
        <v>0</v>
      </c>
      <c r="AL22" s="211"/>
      <c r="AM22" s="210">
        <f t="shared" si="12"/>
        <v>0</v>
      </c>
      <c r="AN22" s="210">
        <f t="shared" si="13"/>
        <v>0</v>
      </c>
      <c r="AO22" s="267">
        <f t="shared" si="14"/>
        <v>0</v>
      </c>
      <c r="AP22" s="267">
        <f t="shared" si="15"/>
        <v>0</v>
      </c>
    </row>
    <row r="23" spans="2:42" x14ac:dyDescent="0.35">
      <c r="B23" t="s">
        <v>129</v>
      </c>
      <c r="C23" s="170" t="s">
        <v>147</v>
      </c>
      <c r="D23" s="181" t="s">
        <v>147</v>
      </c>
      <c r="E23" s="177" t="s">
        <v>149</v>
      </c>
      <c r="F23" s="223" t="s">
        <v>195</v>
      </c>
      <c r="G23" s="224" t="s">
        <v>198</v>
      </c>
      <c r="H23" s="220">
        <v>0</v>
      </c>
      <c r="I23" s="178"/>
      <c r="J23" s="178"/>
      <c r="K23" s="178"/>
      <c r="L23" s="178"/>
      <c r="M23" s="178"/>
      <c r="N23" s="178"/>
      <c r="O23" s="178"/>
      <c r="P23" s="178"/>
      <c r="Q23" s="218">
        <f t="shared" si="0"/>
        <v>0</v>
      </c>
      <c r="R23" s="218">
        <f t="shared" si="1"/>
        <v>0</v>
      </c>
      <c r="S23" s="219">
        <f t="shared" si="2"/>
        <v>0</v>
      </c>
      <c r="T23" s="218">
        <f t="shared" si="3"/>
        <v>0</v>
      </c>
      <c r="U23" s="217">
        <v>0</v>
      </c>
      <c r="V23" s="217">
        <v>0</v>
      </c>
      <c r="W23" s="217">
        <f t="shared" si="4"/>
        <v>0</v>
      </c>
      <c r="X23" s="217">
        <f t="shared" si="16"/>
        <v>0</v>
      </c>
      <c r="Y23" s="216"/>
      <c r="Z23" s="216"/>
      <c r="AA23" s="216">
        <f t="shared" si="6"/>
        <v>0</v>
      </c>
      <c r="AB23" s="216">
        <f t="shared" si="7"/>
        <v>0</v>
      </c>
      <c r="AC23" s="215">
        <v>0</v>
      </c>
      <c r="AD23" s="214"/>
      <c r="AE23" s="214">
        <f t="shared" si="8"/>
        <v>0</v>
      </c>
      <c r="AF23" s="213"/>
      <c r="AG23" s="213">
        <f t="shared" si="9"/>
        <v>0</v>
      </c>
      <c r="AH23" s="212"/>
      <c r="AI23" s="212">
        <f t="shared" si="10"/>
        <v>0</v>
      </c>
      <c r="AJ23" s="212"/>
      <c r="AK23" s="212">
        <f t="shared" si="11"/>
        <v>0</v>
      </c>
      <c r="AL23" s="211"/>
      <c r="AM23" s="210">
        <f t="shared" si="12"/>
        <v>0</v>
      </c>
      <c r="AN23" s="210">
        <f t="shared" si="13"/>
        <v>0</v>
      </c>
      <c r="AO23" s="267">
        <f t="shared" si="14"/>
        <v>0</v>
      </c>
      <c r="AP23" s="267">
        <f t="shared" si="15"/>
        <v>0</v>
      </c>
    </row>
    <row r="24" spans="2:42" x14ac:dyDescent="0.35">
      <c r="B24" t="s">
        <v>152</v>
      </c>
      <c r="C24" s="170" t="s">
        <v>147</v>
      </c>
      <c r="D24" s="181" t="s">
        <v>147</v>
      </c>
      <c r="E24" s="177" t="s">
        <v>147</v>
      </c>
      <c r="F24" s="168" t="s">
        <v>197</v>
      </c>
      <c r="G24" s="221" t="s">
        <v>196</v>
      </c>
      <c r="H24" s="220">
        <v>0</v>
      </c>
      <c r="I24" s="178">
        <v>1</v>
      </c>
      <c r="J24" s="178">
        <v>25</v>
      </c>
      <c r="K24" s="178">
        <v>1</v>
      </c>
      <c r="L24" s="178">
        <v>30</v>
      </c>
      <c r="M24" s="178">
        <v>1</v>
      </c>
      <c r="N24" s="178">
        <v>30</v>
      </c>
      <c r="O24" s="178">
        <v>3</v>
      </c>
      <c r="P24" s="178">
        <v>35</v>
      </c>
      <c r="Q24" s="218">
        <f t="shared" si="0"/>
        <v>46.666666666666664</v>
      </c>
      <c r="R24" s="218">
        <f t="shared" si="1"/>
        <v>85</v>
      </c>
      <c r="S24" s="219">
        <f t="shared" si="2"/>
        <v>113.33333333333333</v>
      </c>
      <c r="T24" s="218">
        <f t="shared" si="3"/>
        <v>34000</v>
      </c>
      <c r="U24" s="217">
        <v>0</v>
      </c>
      <c r="V24" s="217">
        <v>0</v>
      </c>
      <c r="W24" s="217">
        <f t="shared" si="4"/>
        <v>0</v>
      </c>
      <c r="X24" s="217">
        <f t="shared" si="16"/>
        <v>0</v>
      </c>
      <c r="Y24" s="216">
        <v>11</v>
      </c>
      <c r="Z24" s="216">
        <v>10</v>
      </c>
      <c r="AA24" s="216">
        <f t="shared" si="6"/>
        <v>13.333333333333334</v>
      </c>
      <c r="AB24" s="216">
        <f t="shared" si="7"/>
        <v>44000</v>
      </c>
      <c r="AC24" s="215">
        <v>0</v>
      </c>
      <c r="AD24" s="214">
        <v>10</v>
      </c>
      <c r="AE24" s="214">
        <f t="shared" si="8"/>
        <v>3400</v>
      </c>
      <c r="AF24" s="213">
        <v>10</v>
      </c>
      <c r="AG24" s="213">
        <f t="shared" si="9"/>
        <v>3400</v>
      </c>
      <c r="AH24" s="212">
        <v>4</v>
      </c>
      <c r="AI24" s="212">
        <f t="shared" si="10"/>
        <v>4800</v>
      </c>
      <c r="AJ24" s="212">
        <v>5</v>
      </c>
      <c r="AK24" s="212">
        <f t="shared" si="11"/>
        <v>2000</v>
      </c>
      <c r="AL24" s="211"/>
      <c r="AM24" s="210">
        <f t="shared" si="12"/>
        <v>112000</v>
      </c>
      <c r="AN24" s="210">
        <f t="shared" si="13"/>
        <v>78000</v>
      </c>
      <c r="AO24" s="267">
        <f t="shared" si="14"/>
        <v>6800</v>
      </c>
      <c r="AP24" s="267">
        <f t="shared" si="15"/>
        <v>6800</v>
      </c>
    </row>
    <row r="25" spans="2:42" x14ac:dyDescent="0.35">
      <c r="B25" t="s">
        <v>151</v>
      </c>
      <c r="C25" s="170" t="s">
        <v>147</v>
      </c>
      <c r="D25" s="170" t="s">
        <v>149</v>
      </c>
      <c r="E25" s="177" t="s">
        <v>149</v>
      </c>
      <c r="F25" s="222" t="s">
        <v>194</v>
      </c>
      <c r="G25" s="221"/>
      <c r="H25" s="220"/>
      <c r="I25" s="218"/>
      <c r="J25" s="218"/>
      <c r="K25" s="218"/>
      <c r="L25" s="218"/>
      <c r="M25" s="218"/>
      <c r="N25" s="218"/>
      <c r="O25" s="218"/>
      <c r="P25" s="218"/>
      <c r="Q25" s="218">
        <f t="shared" si="0"/>
        <v>0</v>
      </c>
      <c r="R25" s="218">
        <f t="shared" si="1"/>
        <v>0</v>
      </c>
      <c r="S25" s="219">
        <f t="shared" si="2"/>
        <v>0</v>
      </c>
      <c r="T25" s="218">
        <f t="shared" si="3"/>
        <v>0</v>
      </c>
      <c r="U25" s="217"/>
      <c r="V25" s="217"/>
      <c r="W25" s="217">
        <f t="shared" si="4"/>
        <v>0</v>
      </c>
      <c r="X25" s="217">
        <f t="shared" si="16"/>
        <v>0</v>
      </c>
      <c r="Y25" s="216"/>
      <c r="Z25" s="216"/>
      <c r="AA25" s="216">
        <f t="shared" si="6"/>
        <v>0</v>
      </c>
      <c r="AB25" s="216">
        <f t="shared" si="7"/>
        <v>0</v>
      </c>
      <c r="AC25" s="215">
        <v>0</v>
      </c>
      <c r="AD25" s="214"/>
      <c r="AE25" s="214">
        <f t="shared" si="8"/>
        <v>0</v>
      </c>
      <c r="AF25" s="213"/>
      <c r="AG25" s="213">
        <f t="shared" si="9"/>
        <v>0</v>
      </c>
      <c r="AH25" s="212"/>
      <c r="AI25" s="212">
        <f t="shared" si="10"/>
        <v>0</v>
      </c>
      <c r="AJ25" s="212"/>
      <c r="AK25" s="212">
        <f t="shared" si="11"/>
        <v>0</v>
      </c>
      <c r="AL25" s="211"/>
      <c r="AM25" s="210">
        <f t="shared" si="12"/>
        <v>0</v>
      </c>
      <c r="AN25" s="210">
        <f t="shared" si="13"/>
        <v>0</v>
      </c>
      <c r="AO25" s="267">
        <f t="shared" si="14"/>
        <v>0</v>
      </c>
      <c r="AP25" s="267">
        <f t="shared" si="15"/>
        <v>0</v>
      </c>
    </row>
    <row r="26" spans="2:42" x14ac:dyDescent="0.35">
      <c r="B26" s="182" t="s">
        <v>127</v>
      </c>
      <c r="C26" s="170" t="s">
        <v>147</v>
      </c>
      <c r="D26" s="181" t="s">
        <v>147</v>
      </c>
      <c r="E26" s="177" t="s">
        <v>149</v>
      </c>
      <c r="F26" s="223" t="s">
        <v>195</v>
      </c>
      <c r="G26" s="221"/>
      <c r="H26" s="220"/>
      <c r="I26" s="218"/>
      <c r="J26" s="218"/>
      <c r="K26" s="218"/>
      <c r="L26" s="218"/>
      <c r="M26" s="218"/>
      <c r="N26" s="218"/>
      <c r="O26" s="218"/>
      <c r="P26" s="218"/>
      <c r="Q26" s="218">
        <f t="shared" si="0"/>
        <v>0</v>
      </c>
      <c r="R26" s="218">
        <f t="shared" si="1"/>
        <v>0</v>
      </c>
      <c r="S26" s="219">
        <f t="shared" si="2"/>
        <v>0</v>
      </c>
      <c r="T26" s="218">
        <f t="shared" si="3"/>
        <v>0</v>
      </c>
      <c r="U26" s="217"/>
      <c r="V26" s="217"/>
      <c r="W26" s="217">
        <f t="shared" si="4"/>
        <v>0</v>
      </c>
      <c r="X26" s="217">
        <f t="shared" si="16"/>
        <v>0</v>
      </c>
      <c r="Y26" s="216"/>
      <c r="Z26" s="216"/>
      <c r="AA26" s="216">
        <f t="shared" si="6"/>
        <v>0</v>
      </c>
      <c r="AB26" s="216">
        <f t="shared" si="7"/>
        <v>0</v>
      </c>
      <c r="AC26" s="215">
        <v>0</v>
      </c>
      <c r="AD26" s="214"/>
      <c r="AE26" s="214">
        <f t="shared" si="8"/>
        <v>0</v>
      </c>
      <c r="AF26" s="213"/>
      <c r="AG26" s="213">
        <f t="shared" si="9"/>
        <v>0</v>
      </c>
      <c r="AH26" s="212"/>
      <c r="AI26" s="212">
        <f t="shared" si="10"/>
        <v>0</v>
      </c>
      <c r="AJ26" s="212"/>
      <c r="AK26" s="212">
        <f t="shared" si="11"/>
        <v>0</v>
      </c>
      <c r="AL26" s="211"/>
      <c r="AM26" s="210">
        <f t="shared" si="12"/>
        <v>0</v>
      </c>
      <c r="AN26" s="210">
        <f t="shared" si="13"/>
        <v>0</v>
      </c>
      <c r="AO26" s="267">
        <f t="shared" si="14"/>
        <v>0</v>
      </c>
      <c r="AP26" s="267">
        <f t="shared" si="15"/>
        <v>0</v>
      </c>
    </row>
    <row r="27" spans="2:42" x14ac:dyDescent="0.35">
      <c r="B27" t="s">
        <v>150</v>
      </c>
      <c r="C27" s="170" t="s">
        <v>147</v>
      </c>
      <c r="D27" s="170" t="s">
        <v>147</v>
      </c>
      <c r="E27" s="177" t="s">
        <v>149</v>
      </c>
      <c r="F27" s="222" t="s">
        <v>194</v>
      </c>
      <c r="G27" s="221"/>
      <c r="H27" s="220"/>
      <c r="I27" s="218"/>
      <c r="J27" s="218"/>
      <c r="K27" s="218"/>
      <c r="L27" s="218"/>
      <c r="M27" s="218"/>
      <c r="N27" s="218"/>
      <c r="O27" s="218"/>
      <c r="P27" s="218"/>
      <c r="Q27" s="218">
        <f t="shared" si="0"/>
        <v>0</v>
      </c>
      <c r="R27" s="218">
        <f t="shared" si="1"/>
        <v>0</v>
      </c>
      <c r="S27" s="219">
        <f t="shared" si="2"/>
        <v>0</v>
      </c>
      <c r="T27" s="218">
        <f t="shared" si="3"/>
        <v>0</v>
      </c>
      <c r="U27" s="217"/>
      <c r="V27" s="217"/>
      <c r="W27" s="217">
        <f t="shared" si="4"/>
        <v>0</v>
      </c>
      <c r="X27" s="217">
        <f t="shared" si="16"/>
        <v>0</v>
      </c>
      <c r="Y27" s="216"/>
      <c r="Z27" s="216"/>
      <c r="AA27" s="216">
        <f t="shared" si="6"/>
        <v>0</v>
      </c>
      <c r="AB27" s="216">
        <f t="shared" si="7"/>
        <v>0</v>
      </c>
      <c r="AC27" s="215">
        <v>0</v>
      </c>
      <c r="AD27" s="214"/>
      <c r="AE27" s="214">
        <f t="shared" si="8"/>
        <v>0</v>
      </c>
      <c r="AF27" s="213"/>
      <c r="AG27" s="213">
        <f t="shared" si="9"/>
        <v>0</v>
      </c>
      <c r="AH27" s="212"/>
      <c r="AI27" s="212">
        <f t="shared" si="10"/>
        <v>0</v>
      </c>
      <c r="AJ27" s="212"/>
      <c r="AK27" s="212">
        <f t="shared" si="11"/>
        <v>0</v>
      </c>
      <c r="AL27" s="211"/>
      <c r="AM27" s="210">
        <f t="shared" si="12"/>
        <v>0</v>
      </c>
      <c r="AN27" s="210">
        <f t="shared" si="13"/>
        <v>0</v>
      </c>
      <c r="AO27" s="267">
        <f t="shared" si="14"/>
        <v>0</v>
      </c>
      <c r="AP27" s="267">
        <f t="shared" si="15"/>
        <v>0</v>
      </c>
    </row>
    <row r="28" spans="2:42" ht="29" x14ac:dyDescent="0.35">
      <c r="B28" t="s">
        <v>148</v>
      </c>
      <c r="C28" s="170" t="s">
        <v>147</v>
      </c>
      <c r="D28" s="170" t="s">
        <v>147</v>
      </c>
      <c r="E28" s="177" t="s">
        <v>147</v>
      </c>
      <c r="F28" s="168" t="s">
        <v>193</v>
      </c>
      <c r="G28" s="221" t="s">
        <v>192</v>
      </c>
      <c r="H28" s="220">
        <v>0</v>
      </c>
      <c r="I28" s="178">
        <v>1</v>
      </c>
      <c r="J28" s="178">
        <v>10</v>
      </c>
      <c r="K28" s="178">
        <v>1</v>
      </c>
      <c r="L28" s="178">
        <v>30</v>
      </c>
      <c r="M28" s="178">
        <v>1</v>
      </c>
      <c r="N28" s="178">
        <v>30</v>
      </c>
      <c r="O28" s="178">
        <v>3</v>
      </c>
      <c r="P28" s="178">
        <v>35</v>
      </c>
      <c r="Q28" s="218">
        <f t="shared" si="0"/>
        <v>46.666666666666664</v>
      </c>
      <c r="R28" s="218">
        <f t="shared" si="1"/>
        <v>70</v>
      </c>
      <c r="S28" s="219">
        <f t="shared" si="2"/>
        <v>93.333333333333329</v>
      </c>
      <c r="T28" s="218">
        <f t="shared" si="3"/>
        <v>28000</v>
      </c>
      <c r="U28" s="217">
        <v>2</v>
      </c>
      <c r="V28" s="217">
        <v>20</v>
      </c>
      <c r="W28" s="217">
        <f t="shared" si="4"/>
        <v>26.666666666666668</v>
      </c>
      <c r="X28" s="217">
        <f t="shared" si="16"/>
        <v>16000</v>
      </c>
      <c r="Y28" s="216">
        <v>2</v>
      </c>
      <c r="Z28" s="216">
        <v>15</v>
      </c>
      <c r="AA28" s="216">
        <f t="shared" si="6"/>
        <v>20</v>
      </c>
      <c r="AB28" s="216">
        <f t="shared" si="7"/>
        <v>12000</v>
      </c>
      <c r="AC28" s="215">
        <v>0</v>
      </c>
      <c r="AD28" s="214">
        <v>10</v>
      </c>
      <c r="AE28" s="214">
        <f t="shared" si="8"/>
        <v>2800</v>
      </c>
      <c r="AF28" s="213">
        <v>10</v>
      </c>
      <c r="AG28" s="213">
        <f t="shared" si="9"/>
        <v>2800</v>
      </c>
      <c r="AH28" s="212">
        <v>5</v>
      </c>
      <c r="AI28" s="212">
        <f t="shared" si="10"/>
        <v>6000</v>
      </c>
      <c r="AJ28" s="212">
        <v>10</v>
      </c>
      <c r="AK28" s="212">
        <f t="shared" si="11"/>
        <v>4000</v>
      </c>
      <c r="AL28" s="211"/>
      <c r="AM28" s="210">
        <f t="shared" si="12"/>
        <v>88400</v>
      </c>
      <c r="AN28" s="210">
        <f t="shared" si="13"/>
        <v>56000</v>
      </c>
      <c r="AO28" s="267">
        <f t="shared" si="14"/>
        <v>10000</v>
      </c>
      <c r="AP28" s="267">
        <f t="shared" si="15"/>
        <v>5600</v>
      </c>
    </row>
    <row r="29" spans="2:42" x14ac:dyDescent="0.35">
      <c r="AM29" s="209"/>
    </row>
    <row r="30" spans="2:42" x14ac:dyDescent="0.35">
      <c r="B30" t="s">
        <v>191</v>
      </c>
      <c r="P30">
        <f>1600/B40</f>
        <v>200</v>
      </c>
      <c r="T30" s="205">
        <f>P30*B40*B38</f>
        <v>80000</v>
      </c>
      <c r="AD30" s="400" t="s">
        <v>190</v>
      </c>
      <c r="AE30" s="400"/>
      <c r="AF30" s="400"/>
      <c r="AG30" s="400"/>
      <c r="AH30" s="400"/>
      <c r="AI30" s="400"/>
      <c r="AJ30" s="400"/>
      <c r="AK30" s="400"/>
      <c r="AL30" s="400"/>
      <c r="AM30" s="202">
        <f>SUBTOTAL(109,$AM$3:$AM$28)</f>
        <v>936400</v>
      </c>
      <c r="AN30" s="209">
        <f>SUM(AN3:AN29)</f>
        <v>576400</v>
      </c>
      <c r="AO30" s="209">
        <f>SUM(AO3:AO29)</f>
        <v>75600</v>
      </c>
      <c r="AP30" s="209">
        <f>SUM(AP3:AP29)</f>
        <v>52200</v>
      </c>
    </row>
    <row r="31" spans="2:42" x14ac:dyDescent="0.35">
      <c r="B31" t="s">
        <v>189</v>
      </c>
      <c r="P31">
        <f>1600/B40</f>
        <v>200</v>
      </c>
      <c r="T31" s="205">
        <f>P31*B40*B38</f>
        <v>80000</v>
      </c>
      <c r="AD31" s="203"/>
      <c r="AE31" s="203"/>
      <c r="AF31" s="203"/>
      <c r="AG31" s="203"/>
      <c r="AH31" s="203"/>
      <c r="AI31" s="203"/>
      <c r="AJ31" s="203"/>
      <c r="AK31" s="203"/>
      <c r="AL31" s="203"/>
      <c r="AM31" s="202"/>
    </row>
    <row r="32" spans="2:42" x14ac:dyDescent="0.35">
      <c r="B32" t="s">
        <v>188</v>
      </c>
      <c r="C32" s="207" t="s">
        <v>1</v>
      </c>
      <c r="D32" s="207" t="s">
        <v>2</v>
      </c>
      <c r="E32" s="207" t="s">
        <v>3</v>
      </c>
      <c r="F32" s="208" t="s">
        <v>4</v>
      </c>
      <c r="T32" s="205"/>
      <c r="AD32" s="203"/>
      <c r="AE32" s="203"/>
      <c r="AF32" s="203"/>
      <c r="AG32" s="203"/>
      <c r="AH32" s="203"/>
      <c r="AI32" s="203"/>
      <c r="AJ32" s="203"/>
      <c r="AK32" s="203"/>
      <c r="AL32" s="203"/>
      <c r="AM32" s="202"/>
      <c r="AN32" s="267">
        <f>AN30*25%</f>
        <v>144100</v>
      </c>
    </row>
    <row r="33" spans="2:40" x14ac:dyDescent="0.35">
      <c r="C33" s="207">
        <v>0.25</v>
      </c>
      <c r="D33" s="207">
        <v>0.25</v>
      </c>
      <c r="E33" s="207">
        <v>0.25</v>
      </c>
      <c r="F33" s="206">
        <v>0.25</v>
      </c>
      <c r="T33" s="205"/>
      <c r="AD33" s="203"/>
      <c r="AE33" s="203"/>
      <c r="AF33" s="203"/>
      <c r="AG33" s="203"/>
      <c r="AH33" s="203"/>
      <c r="AI33" s="203"/>
      <c r="AJ33" s="203"/>
      <c r="AK33" s="203"/>
      <c r="AL33" s="203"/>
      <c r="AM33" s="202"/>
      <c r="AN33" s="267">
        <f>AN32*4</f>
        <v>576400</v>
      </c>
    </row>
    <row r="34" spans="2:40" ht="43.5" x14ac:dyDescent="0.35">
      <c r="B34" s="168" t="s">
        <v>187</v>
      </c>
      <c r="T34" s="204">
        <f>8*3000</f>
        <v>24000</v>
      </c>
      <c r="AD34" s="400"/>
      <c r="AE34" s="400"/>
      <c r="AF34" s="400"/>
      <c r="AG34" s="400"/>
      <c r="AH34" s="400"/>
      <c r="AI34" s="400"/>
      <c r="AJ34" s="400"/>
      <c r="AK34" s="400"/>
      <c r="AL34" s="400"/>
      <c r="AM34" s="202"/>
    </row>
    <row r="35" spans="2:40" x14ac:dyDescent="0.35">
      <c r="AD35" s="203"/>
      <c r="AE35" s="203"/>
      <c r="AF35" s="203"/>
      <c r="AG35" s="203"/>
      <c r="AH35" s="203"/>
      <c r="AI35" s="203"/>
      <c r="AJ35" s="203"/>
      <c r="AK35" s="203"/>
      <c r="AL35" s="203"/>
      <c r="AM35" s="202"/>
    </row>
    <row r="36" spans="2:40" x14ac:dyDescent="0.35">
      <c r="AD36" s="203"/>
      <c r="AE36" s="203"/>
      <c r="AF36" s="203"/>
      <c r="AG36" s="203"/>
      <c r="AH36" s="203"/>
      <c r="AI36" s="203"/>
      <c r="AJ36" s="203"/>
      <c r="AK36" s="203"/>
      <c r="AL36" s="203"/>
      <c r="AM36" s="202"/>
    </row>
    <row r="37" spans="2:40" x14ac:dyDescent="0.35">
      <c r="B37" s="201" t="s">
        <v>186</v>
      </c>
    </row>
    <row r="38" spans="2:40" ht="29" x14ac:dyDescent="0.35">
      <c r="B38" s="201">
        <v>50</v>
      </c>
      <c r="C38" s="200" t="s">
        <v>185</v>
      </c>
    </row>
    <row r="39" spans="2:40" x14ac:dyDescent="0.35">
      <c r="B39" s="199" t="s">
        <v>184</v>
      </c>
    </row>
    <row r="40" spans="2:40" x14ac:dyDescent="0.35">
      <c r="B40" s="199">
        <v>8</v>
      </c>
    </row>
    <row r="41" spans="2:40" x14ac:dyDescent="0.35">
      <c r="B41" s="198" t="s">
        <v>183</v>
      </c>
    </row>
    <row r="42" spans="2:40" x14ac:dyDescent="0.35">
      <c r="B42" s="198">
        <v>6</v>
      </c>
    </row>
    <row r="43" spans="2:40" x14ac:dyDescent="0.35">
      <c r="B43" s="197" t="s">
        <v>177</v>
      </c>
    </row>
    <row r="44" spans="2:40" x14ac:dyDescent="0.35">
      <c r="B44" s="196">
        <v>43831</v>
      </c>
    </row>
    <row r="45" spans="2:40" ht="28.5" x14ac:dyDescent="0.65">
      <c r="B45" s="195" t="s">
        <v>182</v>
      </c>
    </row>
    <row r="46" spans="2:40" ht="58" x14ac:dyDescent="0.35">
      <c r="B46" s="194" t="s">
        <v>181</v>
      </c>
      <c r="C46" s="193" t="s">
        <v>180</v>
      </c>
      <c r="D46" s="193" t="s">
        <v>179</v>
      </c>
      <c r="E46" s="192" t="s">
        <v>178</v>
      </c>
      <c r="F46" s="191" t="s">
        <v>177</v>
      </c>
      <c r="G46" s="191" t="s">
        <v>176</v>
      </c>
      <c r="H46" s="191" t="s">
        <v>175</v>
      </c>
      <c r="I46" s="191" t="s">
        <v>174</v>
      </c>
      <c r="J46" s="191" t="s">
        <v>173</v>
      </c>
    </row>
    <row r="47" spans="2:40" x14ac:dyDescent="0.35">
      <c r="B47" t="s">
        <v>172</v>
      </c>
      <c r="C47" s="170" t="s">
        <v>147</v>
      </c>
      <c r="D47" s="170" t="s">
        <v>147</v>
      </c>
      <c r="E47" s="177" t="s">
        <v>147</v>
      </c>
      <c r="F47" s="180">
        <f>$B$44+0</f>
        <v>43831</v>
      </c>
      <c r="G47" s="186">
        <f t="shared" ref="G47:G55" si="17">WORKDAY(F47,I47)</f>
        <v>43914</v>
      </c>
      <c r="H47" s="179">
        <f>O3</f>
        <v>3</v>
      </c>
      <c r="I47" s="179">
        <f>Q3+W3+AA3+AH3*(I3+K3+M3)+AJ3</f>
        <v>59</v>
      </c>
      <c r="J47" s="178">
        <f>I47*$B$42</f>
        <v>354</v>
      </c>
    </row>
    <row r="48" spans="2:40" x14ac:dyDescent="0.35">
      <c r="B48" t="s">
        <v>171</v>
      </c>
      <c r="C48" s="170" t="s">
        <v>147</v>
      </c>
      <c r="D48" s="181" t="s">
        <v>147</v>
      </c>
      <c r="E48" s="177" t="s">
        <v>147</v>
      </c>
      <c r="F48" s="189">
        <f>G50</f>
        <v>44340</v>
      </c>
      <c r="G48" s="190">
        <f t="shared" si="17"/>
        <v>44482</v>
      </c>
      <c r="H48" s="179">
        <f>O4</f>
        <v>2</v>
      </c>
      <c r="I48" s="179">
        <f>(Q4+W4+AA4+AH4*(I4+K4+M4)+AJ4)</f>
        <v>102.33333333333333</v>
      </c>
      <c r="J48" s="178">
        <f>(I48*$B$42)</f>
        <v>614</v>
      </c>
    </row>
    <row r="49" spans="2:10" hidden="1" x14ac:dyDescent="0.35">
      <c r="B49" t="s">
        <v>170</v>
      </c>
      <c r="C49" s="170" t="s">
        <v>147</v>
      </c>
      <c r="D49" s="181" t="s">
        <v>147</v>
      </c>
      <c r="E49" s="177" t="s">
        <v>147</v>
      </c>
      <c r="G49" s="180">
        <f t="shared" si="17"/>
        <v>121</v>
      </c>
      <c r="H49" s="179">
        <f>O5</f>
        <v>0</v>
      </c>
      <c r="I49" s="179">
        <f>Q5+W5+AA5+AH5*(I5+K5+M5)+AJ5</f>
        <v>86.666666666666671</v>
      </c>
      <c r="J49" s="178">
        <f>I49*$B$42</f>
        <v>520</v>
      </c>
    </row>
    <row r="50" spans="2:10" x14ac:dyDescent="0.35">
      <c r="B50" t="s">
        <v>169</v>
      </c>
      <c r="C50" s="170" t="s">
        <v>147</v>
      </c>
      <c r="D50" s="181" t="s">
        <v>147</v>
      </c>
      <c r="E50" s="177" t="s">
        <v>147</v>
      </c>
      <c r="F50" s="188">
        <f>G53</f>
        <v>44230</v>
      </c>
      <c r="G50" s="189">
        <f t="shared" si="17"/>
        <v>44340</v>
      </c>
      <c r="H50" s="179">
        <f>O6</f>
        <v>2</v>
      </c>
      <c r="I50" s="179">
        <f>Q6+W6+AA6+AH6*(I6+K6+M6)+AJ6</f>
        <v>78.333333333333343</v>
      </c>
      <c r="J50" s="178">
        <f>I50*$B$42</f>
        <v>470.00000000000006</v>
      </c>
    </row>
    <row r="51" spans="2:10" hidden="1" x14ac:dyDescent="0.35">
      <c r="B51" t="s">
        <v>168</v>
      </c>
      <c r="C51" s="170" t="s">
        <v>147</v>
      </c>
      <c r="D51" s="181" t="s">
        <v>147</v>
      </c>
      <c r="E51" s="177" t="s">
        <v>147</v>
      </c>
      <c r="G51" s="185">
        <f t="shared" si="17"/>
        <v>83</v>
      </c>
      <c r="H51" s="179">
        <f>O7</f>
        <v>0</v>
      </c>
      <c r="I51" s="179">
        <f>Q7+W7+AA7+AH7*(I7+K7+M7)+AJ7</f>
        <v>60.666666666666671</v>
      </c>
      <c r="J51" s="178">
        <f>I51*$B$42</f>
        <v>364</v>
      </c>
    </row>
    <row r="52" spans="2:10" x14ac:dyDescent="0.35">
      <c r="B52" s="168" t="s">
        <v>167</v>
      </c>
      <c r="C52" s="170" t="s">
        <v>147</v>
      </c>
      <c r="D52" s="170" t="s">
        <v>166</v>
      </c>
      <c r="E52" s="177" t="s">
        <v>147</v>
      </c>
      <c r="F52" s="187">
        <f>G55</f>
        <v>43894</v>
      </c>
      <c r="G52" s="185">
        <f t="shared" si="17"/>
        <v>44047</v>
      </c>
      <c r="H52" s="174">
        <f>O8/2</f>
        <v>1</v>
      </c>
      <c r="I52" s="174">
        <f>(Q8+W8+AA8+AH8*(I8+K8+M8)+AJ8) * 2</f>
        <v>109.33333333333334</v>
      </c>
      <c r="J52" s="173">
        <f>(I52*$B$42) / 2</f>
        <v>328</v>
      </c>
    </row>
    <row r="53" spans="2:10" x14ac:dyDescent="0.35">
      <c r="B53" s="168" t="s">
        <v>165</v>
      </c>
      <c r="C53" s="170" t="s">
        <v>149</v>
      </c>
      <c r="D53" s="170" t="s">
        <v>149</v>
      </c>
      <c r="E53" s="177" t="s">
        <v>147</v>
      </c>
      <c r="F53" s="187">
        <f>G55</f>
        <v>43894</v>
      </c>
      <c r="G53" s="188">
        <f t="shared" si="17"/>
        <v>44230</v>
      </c>
      <c r="H53" s="174">
        <f>O9/3</f>
        <v>1.3333333333333333</v>
      </c>
      <c r="I53" s="174">
        <f>(Q9+W9+AA9+AH9*(I9+K9+M9)+AJ9) * 3</f>
        <v>240</v>
      </c>
      <c r="J53" s="173">
        <f>(I53*$B$42)/3</f>
        <v>480</v>
      </c>
    </row>
    <row r="54" spans="2:10" hidden="1" x14ac:dyDescent="0.35">
      <c r="B54" s="168" t="s">
        <v>164</v>
      </c>
      <c r="C54" s="170" t="s">
        <v>149</v>
      </c>
      <c r="D54" s="170" t="s">
        <v>149</v>
      </c>
      <c r="E54" s="177" t="s">
        <v>147</v>
      </c>
      <c r="G54" s="180">
        <f t="shared" si="17"/>
        <v>87</v>
      </c>
      <c r="H54" s="179">
        <f>O10</f>
        <v>0</v>
      </c>
      <c r="I54" s="179">
        <f>Q10+W10+AA10+AH10*(I10+K10+M10)+AJ10</f>
        <v>62.666666666666671</v>
      </c>
      <c r="J54" s="178">
        <f>I54*$B$42</f>
        <v>376</v>
      </c>
    </row>
    <row r="55" spans="2:10" x14ac:dyDescent="0.35">
      <c r="B55" t="s">
        <v>144</v>
      </c>
      <c r="C55" s="170" t="s">
        <v>147</v>
      </c>
      <c r="D55" s="181" t="s">
        <v>147</v>
      </c>
      <c r="E55" s="177" t="s">
        <v>147</v>
      </c>
      <c r="F55" s="180">
        <f>$B$44+0</f>
        <v>43831</v>
      </c>
      <c r="G55" s="187">
        <f t="shared" si="17"/>
        <v>43894</v>
      </c>
      <c r="H55" s="179">
        <f>O11</f>
        <v>2</v>
      </c>
      <c r="I55" s="179">
        <f>Q11+W11+AA11+AH11*(I11+K11+M11)+AJ11</f>
        <v>45.333333333333336</v>
      </c>
      <c r="J55" s="178">
        <f>I55*$B$42</f>
        <v>272</v>
      </c>
    </row>
    <row r="56" spans="2:10" x14ac:dyDescent="0.35">
      <c r="B56" t="s">
        <v>163</v>
      </c>
      <c r="C56" s="170" t="s">
        <v>147</v>
      </c>
      <c r="D56" s="181" t="s">
        <v>147</v>
      </c>
      <c r="E56" s="177" t="s">
        <v>147</v>
      </c>
      <c r="G56" s="180"/>
      <c r="H56" s="179">
        <f>O12</f>
        <v>2</v>
      </c>
      <c r="I56" s="179">
        <f>Q12+W12+AA12+AH12*(I12+K12+M12)+AJ12</f>
        <v>79</v>
      </c>
      <c r="J56" s="178">
        <f>I56*$B$42</f>
        <v>474</v>
      </c>
    </row>
    <row r="57" spans="2:10" x14ac:dyDescent="0.35">
      <c r="B57" t="s">
        <v>162</v>
      </c>
      <c r="C57" s="170" t="s">
        <v>147</v>
      </c>
      <c r="D57" s="181" t="s">
        <v>147</v>
      </c>
      <c r="E57" s="177" t="s">
        <v>149</v>
      </c>
      <c r="G57" s="180"/>
      <c r="H57" s="179">
        <f>O13</f>
        <v>0</v>
      </c>
      <c r="I57" s="179">
        <f>Q13+W13+AA13+AH13*(I13+K13+M13)+AJ13</f>
        <v>0</v>
      </c>
      <c r="J57" s="178">
        <f>I57*$B$42</f>
        <v>0</v>
      </c>
    </row>
    <row r="58" spans="2:10" x14ac:dyDescent="0.35">
      <c r="B58" t="s">
        <v>161</v>
      </c>
      <c r="C58" s="170" t="s">
        <v>149</v>
      </c>
      <c r="D58" s="170" t="s">
        <v>149</v>
      </c>
      <c r="E58" s="177" t="s">
        <v>147</v>
      </c>
      <c r="F58" s="186">
        <f>G47</f>
        <v>43914</v>
      </c>
      <c r="G58" s="184">
        <f>WORKDAY(F58,I58)</f>
        <v>44078</v>
      </c>
      <c r="H58" s="174">
        <f>(O14) /3*2</f>
        <v>2</v>
      </c>
      <c r="I58" s="174">
        <f>(Q14+W14+AA14+AH14*(I14+K14+M14)+AJ14) *3/2</f>
        <v>118.5</v>
      </c>
      <c r="J58" s="173">
        <f>(I58*$B$42) /3*2</f>
        <v>474</v>
      </c>
    </row>
    <row r="59" spans="2:10" x14ac:dyDescent="0.35">
      <c r="B59" t="s">
        <v>160</v>
      </c>
      <c r="C59" s="170" t="s">
        <v>147</v>
      </c>
      <c r="D59" s="181" t="s">
        <v>147</v>
      </c>
      <c r="E59" s="177" t="s">
        <v>149</v>
      </c>
      <c r="G59" s="180"/>
      <c r="H59" s="179">
        <f>O15</f>
        <v>0</v>
      </c>
      <c r="I59" s="179">
        <f>Q15+W15+AA15+AH15*(I15+K15+M15)+AJ15</f>
        <v>0</v>
      </c>
      <c r="J59" s="178">
        <f>I59*$B$42</f>
        <v>0</v>
      </c>
    </row>
    <row r="60" spans="2:10" x14ac:dyDescent="0.35">
      <c r="B60" t="s">
        <v>159</v>
      </c>
      <c r="C60" s="170" t="s">
        <v>147</v>
      </c>
      <c r="D60" s="181" t="s">
        <v>147</v>
      </c>
      <c r="E60" s="177" t="s">
        <v>147</v>
      </c>
      <c r="F60" s="185">
        <f>G61</f>
        <v>44054</v>
      </c>
      <c r="G60" s="176">
        <f>WORKDAY(F60,I60)</f>
        <v>44194</v>
      </c>
      <c r="H60" s="174">
        <f>O16 /3*2</f>
        <v>2</v>
      </c>
      <c r="I60" s="174">
        <f>(Q16+W16+AA16+AH16*(I16+K16+M16)+AJ16)  *3/2</f>
        <v>100</v>
      </c>
      <c r="J60" s="173">
        <f>I60*$B$42 /3*2</f>
        <v>400</v>
      </c>
    </row>
    <row r="61" spans="2:10" x14ac:dyDescent="0.35">
      <c r="B61" t="s">
        <v>158</v>
      </c>
      <c r="C61" s="170" t="s">
        <v>147</v>
      </c>
      <c r="D61" s="181" t="s">
        <v>147</v>
      </c>
      <c r="E61" s="177" t="s">
        <v>147</v>
      </c>
      <c r="F61" s="186">
        <f>G47</f>
        <v>43914</v>
      </c>
      <c r="G61" s="185">
        <f>WORKDAY(F61,I61)</f>
        <v>44054</v>
      </c>
      <c r="H61" s="174">
        <f>O17 /3*2</f>
        <v>2</v>
      </c>
      <c r="I61" s="174">
        <f>(Q17+W17+AA17+AH17*(I17+K17+M17)+AJ17) *3/2</f>
        <v>100</v>
      </c>
      <c r="J61" s="173">
        <f>(I61*$B$42) /3*2</f>
        <v>400</v>
      </c>
    </row>
    <row r="62" spans="2:10" x14ac:dyDescent="0.35">
      <c r="B62" s="168" t="s">
        <v>157</v>
      </c>
      <c r="C62" s="170" t="s">
        <v>147</v>
      </c>
      <c r="D62" s="170" t="s">
        <v>149</v>
      </c>
      <c r="E62" s="177" t="s">
        <v>149</v>
      </c>
      <c r="G62" s="180"/>
      <c r="H62" s="179">
        <f>O18</f>
        <v>0</v>
      </c>
      <c r="I62" s="179">
        <f>Q18+W18+AA18+AH18*(I18+K18+M18)+AJ18</f>
        <v>0</v>
      </c>
      <c r="J62" s="178">
        <f>I62*$B$42</f>
        <v>0</v>
      </c>
    </row>
    <row r="63" spans="2:10" x14ac:dyDescent="0.35">
      <c r="B63" t="s">
        <v>156</v>
      </c>
      <c r="C63" s="170" t="s">
        <v>147</v>
      </c>
      <c r="D63" s="181" t="s">
        <v>147</v>
      </c>
      <c r="E63" s="177" t="s">
        <v>149</v>
      </c>
      <c r="G63" s="180"/>
      <c r="H63" s="179">
        <f>O19</f>
        <v>0</v>
      </c>
      <c r="I63" s="179">
        <f>Q19+W19+AA19+AH19*(I19+K19+M19)+AJ19</f>
        <v>0</v>
      </c>
      <c r="J63" s="178">
        <f>I63*$B$42</f>
        <v>0</v>
      </c>
    </row>
    <row r="64" spans="2:10" x14ac:dyDescent="0.35">
      <c r="B64" t="s">
        <v>155</v>
      </c>
      <c r="C64" s="170" t="s">
        <v>147</v>
      </c>
      <c r="D64" s="181" t="s">
        <v>147</v>
      </c>
      <c r="E64" s="177" t="s">
        <v>149</v>
      </c>
      <c r="G64" s="180"/>
      <c r="H64" s="179">
        <f>O20</f>
        <v>0</v>
      </c>
      <c r="I64" s="179">
        <f>Q20+W20+AA20+AH20*(I20+K20+M20)+AJ20</f>
        <v>0</v>
      </c>
      <c r="J64" s="178">
        <f>I64*$B$42</f>
        <v>0</v>
      </c>
    </row>
    <row r="65" spans="2:10" x14ac:dyDescent="0.35">
      <c r="B65" t="s">
        <v>154</v>
      </c>
      <c r="C65" s="170" t="s">
        <v>147</v>
      </c>
      <c r="D65" s="170" t="s">
        <v>147</v>
      </c>
      <c r="E65" s="177" t="s">
        <v>149</v>
      </c>
      <c r="G65" s="180"/>
      <c r="H65" s="179">
        <f>O21</f>
        <v>0</v>
      </c>
      <c r="I65" s="179">
        <f>Q21+W21+AA21+AH21*(I21+K21+M21)+AJ21</f>
        <v>0</v>
      </c>
      <c r="J65" s="178">
        <f>I65*$B$42</f>
        <v>0</v>
      </c>
    </row>
    <row r="66" spans="2:10" x14ac:dyDescent="0.35">
      <c r="B66" t="s">
        <v>153</v>
      </c>
      <c r="C66" s="170" t="s">
        <v>147</v>
      </c>
      <c r="D66" s="181" t="s">
        <v>147</v>
      </c>
      <c r="E66" s="177" t="s">
        <v>149</v>
      </c>
      <c r="G66" s="180"/>
      <c r="H66" s="179">
        <f>O22</f>
        <v>0</v>
      </c>
      <c r="I66" s="179">
        <f>Q22+W22+AA22+AH22*(I22+K22+M22)+AJ22</f>
        <v>0</v>
      </c>
      <c r="J66" s="178">
        <f>I66*$B$42</f>
        <v>0</v>
      </c>
    </row>
    <row r="67" spans="2:10" x14ac:dyDescent="0.35">
      <c r="B67" t="s">
        <v>129</v>
      </c>
      <c r="C67" s="170" t="s">
        <v>147</v>
      </c>
      <c r="D67" s="181" t="s">
        <v>147</v>
      </c>
      <c r="E67" s="177" t="s">
        <v>149</v>
      </c>
      <c r="H67" s="179">
        <f>O23 /3*2</f>
        <v>0</v>
      </c>
      <c r="I67" s="179">
        <f>(Q23+W23+AA23+AH23*(I23+K23+M23)+AJ23) *3/2</f>
        <v>0</v>
      </c>
      <c r="J67" s="178">
        <f>I67*$B$42 /3*2</f>
        <v>0</v>
      </c>
    </row>
    <row r="68" spans="2:10" x14ac:dyDescent="0.35">
      <c r="B68" t="s">
        <v>152</v>
      </c>
      <c r="C68" s="170" t="s">
        <v>147</v>
      </c>
      <c r="D68" s="181" t="s">
        <v>147</v>
      </c>
      <c r="E68" s="177" t="s">
        <v>147</v>
      </c>
      <c r="F68" s="184">
        <f>G58</f>
        <v>44078</v>
      </c>
      <c r="G68" s="183">
        <f>WORKDAY(F68,I68)</f>
        <v>44239</v>
      </c>
      <c r="H68" s="174">
        <f>O24 /3*2</f>
        <v>2</v>
      </c>
      <c r="I68" s="174">
        <f>(Q24+W24+AA24+AH24*(I24+K24+M24)+AJ24)  *3/2</f>
        <v>115.5</v>
      </c>
      <c r="J68" s="173">
        <f>I68*$B$42 /3*2</f>
        <v>462</v>
      </c>
    </row>
    <row r="69" spans="2:10" x14ac:dyDescent="0.35">
      <c r="B69" t="s">
        <v>151</v>
      </c>
      <c r="C69" s="170" t="s">
        <v>147</v>
      </c>
      <c r="D69" s="170" t="s">
        <v>149</v>
      </c>
      <c r="E69" s="177" t="s">
        <v>149</v>
      </c>
      <c r="G69" s="180"/>
      <c r="H69" s="179">
        <f>O25</f>
        <v>0</v>
      </c>
      <c r="I69" s="179">
        <f>Q25+W25+AA25+AH25*(I25+K25+M25)+AJ25</f>
        <v>0</v>
      </c>
      <c r="J69" s="178">
        <f>I69*$B$42</f>
        <v>0</v>
      </c>
    </row>
    <row r="70" spans="2:10" x14ac:dyDescent="0.35">
      <c r="B70" s="182" t="s">
        <v>127</v>
      </c>
      <c r="C70" s="170" t="s">
        <v>147</v>
      </c>
      <c r="D70" s="181" t="s">
        <v>147</v>
      </c>
      <c r="E70" s="177" t="s">
        <v>149</v>
      </c>
      <c r="G70" s="180"/>
      <c r="H70" s="179">
        <f>O26</f>
        <v>0</v>
      </c>
      <c r="I70" s="179">
        <f>Q26+W26+AA26+AH26*(I26+K26+M26)+AJ26</f>
        <v>0</v>
      </c>
      <c r="J70" s="178">
        <f>I70*$B$42</f>
        <v>0</v>
      </c>
    </row>
    <row r="71" spans="2:10" x14ac:dyDescent="0.35">
      <c r="B71" t="s">
        <v>150</v>
      </c>
      <c r="C71" s="170" t="s">
        <v>147</v>
      </c>
      <c r="D71" s="170" t="s">
        <v>147</v>
      </c>
      <c r="E71" s="177" t="s">
        <v>149</v>
      </c>
      <c r="G71" s="180"/>
      <c r="H71" s="179">
        <f>O27</f>
        <v>0</v>
      </c>
      <c r="I71" s="179">
        <f>Q27+W27+AA27+AH27*(I27+K27+M27)+AJ27</f>
        <v>0</v>
      </c>
      <c r="J71" s="178">
        <f>I71*$B$42</f>
        <v>0</v>
      </c>
    </row>
    <row r="72" spans="2:10" x14ac:dyDescent="0.35">
      <c r="B72" t="s">
        <v>148</v>
      </c>
      <c r="C72" s="170" t="s">
        <v>147</v>
      </c>
      <c r="D72" s="170" t="s">
        <v>147</v>
      </c>
      <c r="E72" s="177" t="s">
        <v>147</v>
      </c>
      <c r="F72" s="176">
        <f>G60</f>
        <v>44194</v>
      </c>
      <c r="G72" s="175">
        <f>WORKDAY(F72,I72)</f>
        <v>44691</v>
      </c>
      <c r="H72" s="174">
        <f>O28/3</f>
        <v>1</v>
      </c>
      <c r="I72" s="174">
        <f>(Q28+W28+AA28+AH28*(I28+K28+M28)+AJ28) * 3</f>
        <v>355</v>
      </c>
      <c r="J72" s="173">
        <f>I72*$B$42 / 3</f>
        <v>710</v>
      </c>
    </row>
    <row r="74" spans="2:10" ht="32.5" x14ac:dyDescent="0.7">
      <c r="F74" s="172" t="s">
        <v>146</v>
      </c>
      <c r="G74" s="171">
        <f>MAX(G47:G72)</f>
        <v>44691</v>
      </c>
    </row>
  </sheetData>
  <autoFilter ref="B2:AM28" xr:uid="{459FEDEF-6C20-432E-AE09-49B6BCD79B9C}"/>
  <mergeCells count="9">
    <mergeCell ref="AM1:AM2"/>
    <mergeCell ref="AD30:AL30"/>
    <mergeCell ref="AD34:AL34"/>
    <mergeCell ref="I1:T1"/>
    <mergeCell ref="U1:X1"/>
    <mergeCell ref="Y1:AB1"/>
    <mergeCell ref="AD1:AE1"/>
    <mergeCell ref="AF1:AG1"/>
    <mergeCell ref="AH1:AK1"/>
  </mergeCells>
  <conditionalFormatting sqref="C3:D3 C5:D6 C8:D8 C10:D10 C25:D26 C12:D23">
    <cfRule type="cellIs" dxfId="63" priority="63" operator="equal">
      <formula>$A$3</formula>
    </cfRule>
    <cfRule type="cellIs" dxfId="62" priority="64" operator="equal">
      <formula>"-"</formula>
    </cfRule>
  </conditionalFormatting>
  <conditionalFormatting sqref="E3 E5:E6 E8 E10 E25:E26 E12:E23">
    <cfRule type="cellIs" dxfId="61" priority="61" operator="equal">
      <formula>"-"</formula>
    </cfRule>
    <cfRule type="cellIs" dxfId="60" priority="62" operator="equal">
      <formula>$A$3</formula>
    </cfRule>
  </conditionalFormatting>
  <conditionalFormatting sqref="E27">
    <cfRule type="cellIs" dxfId="59" priority="59" operator="equal">
      <formula>"-"</formula>
    </cfRule>
    <cfRule type="cellIs" dxfId="58" priority="60" operator="equal">
      <formula>$A$3</formula>
    </cfRule>
  </conditionalFormatting>
  <conditionalFormatting sqref="E28">
    <cfRule type="cellIs" dxfId="57" priority="57" operator="equal">
      <formula>"-"</formula>
    </cfRule>
    <cfRule type="cellIs" dxfId="56" priority="58" operator="equal">
      <formula>$A$3</formula>
    </cfRule>
  </conditionalFormatting>
  <conditionalFormatting sqref="D28">
    <cfRule type="cellIs" dxfId="55" priority="55" operator="equal">
      <formula>$A$3</formula>
    </cfRule>
    <cfRule type="cellIs" dxfId="54" priority="56" operator="equal">
      <formula>"-"</formula>
    </cfRule>
  </conditionalFormatting>
  <conditionalFormatting sqref="D27">
    <cfRule type="cellIs" dxfId="53" priority="53" operator="equal">
      <formula>$A$3</formula>
    </cfRule>
    <cfRule type="cellIs" dxfId="52" priority="54" operator="equal">
      <formula>"-"</formula>
    </cfRule>
  </conditionalFormatting>
  <conditionalFormatting sqref="C4:D4">
    <cfRule type="cellIs" dxfId="51" priority="51" operator="equal">
      <formula>$A$3</formula>
    </cfRule>
    <cfRule type="cellIs" dxfId="50" priority="52" operator="equal">
      <formula>"-"</formula>
    </cfRule>
  </conditionalFormatting>
  <conditionalFormatting sqref="E4">
    <cfRule type="cellIs" dxfId="49" priority="49" operator="equal">
      <formula>"-"</formula>
    </cfRule>
    <cfRule type="cellIs" dxfId="48" priority="50" operator="equal">
      <formula>$A$3</formula>
    </cfRule>
  </conditionalFormatting>
  <conditionalFormatting sqref="C7:D7">
    <cfRule type="cellIs" dxfId="47" priority="47" operator="equal">
      <formula>$A$3</formula>
    </cfRule>
    <cfRule type="cellIs" dxfId="46" priority="48" operator="equal">
      <formula>"-"</formula>
    </cfRule>
  </conditionalFormatting>
  <conditionalFormatting sqref="E7">
    <cfRule type="cellIs" dxfId="45" priority="45" operator="equal">
      <formula>"-"</formula>
    </cfRule>
    <cfRule type="cellIs" dxfId="44" priority="46" operator="equal">
      <formula>$A$3</formula>
    </cfRule>
  </conditionalFormatting>
  <conditionalFormatting sqref="C9:D9">
    <cfRule type="cellIs" dxfId="43" priority="43" operator="equal">
      <formula>$A$3</formula>
    </cfRule>
    <cfRule type="cellIs" dxfId="42" priority="44" operator="equal">
      <formula>"-"</formula>
    </cfRule>
  </conditionalFormatting>
  <conditionalFormatting sqref="E9">
    <cfRule type="cellIs" dxfId="41" priority="41" operator="equal">
      <formula>"-"</formula>
    </cfRule>
    <cfRule type="cellIs" dxfId="40" priority="42" operator="equal">
      <formula>$A$3</formula>
    </cfRule>
  </conditionalFormatting>
  <conditionalFormatting sqref="C24:D24">
    <cfRule type="cellIs" dxfId="39" priority="39" operator="equal">
      <formula>$A$3</formula>
    </cfRule>
    <cfRule type="cellIs" dxfId="38" priority="40" operator="equal">
      <formula>"-"</formula>
    </cfRule>
  </conditionalFormatting>
  <conditionalFormatting sqref="E24">
    <cfRule type="cellIs" dxfId="37" priority="37" operator="equal">
      <formula>"-"</formula>
    </cfRule>
    <cfRule type="cellIs" dxfId="36" priority="38" operator="equal">
      <formula>$A$3</formula>
    </cfRule>
  </conditionalFormatting>
  <conditionalFormatting sqref="C11:D11">
    <cfRule type="cellIs" dxfId="35" priority="35" operator="equal">
      <formula>$A$3</formula>
    </cfRule>
    <cfRule type="cellIs" dxfId="34" priority="36" operator="equal">
      <formula>"-"</formula>
    </cfRule>
  </conditionalFormatting>
  <conditionalFormatting sqref="E11">
    <cfRule type="cellIs" dxfId="33" priority="33" operator="equal">
      <formula>"-"</formula>
    </cfRule>
    <cfRule type="cellIs" dxfId="32" priority="34" operator="equal">
      <formula>$A$3</formula>
    </cfRule>
  </conditionalFormatting>
  <conditionalFormatting sqref="C47:D47 C49:D50 C52:D52 C54:D54 C69:D70 C56:D67">
    <cfRule type="cellIs" dxfId="31" priority="31" operator="equal">
      <formula>$A$3</formula>
    </cfRule>
    <cfRule type="cellIs" dxfId="30" priority="32" operator="equal">
      <formula>"-"</formula>
    </cfRule>
  </conditionalFormatting>
  <conditionalFormatting sqref="E47 E49:E50 E52 E54 E69:E70 E56:E67">
    <cfRule type="cellIs" dxfId="29" priority="29" operator="equal">
      <formula>"-"</formula>
    </cfRule>
    <cfRule type="cellIs" dxfId="28" priority="30" operator="equal">
      <formula>$A$3</formula>
    </cfRule>
  </conditionalFormatting>
  <conditionalFormatting sqref="E71">
    <cfRule type="cellIs" dxfId="27" priority="27" operator="equal">
      <formula>"-"</formula>
    </cfRule>
    <cfRule type="cellIs" dxfId="26" priority="28" operator="equal">
      <formula>$A$3</formula>
    </cfRule>
  </conditionalFormatting>
  <conditionalFormatting sqref="E72">
    <cfRule type="cellIs" dxfId="25" priority="25" operator="equal">
      <formula>"-"</formula>
    </cfRule>
    <cfRule type="cellIs" dxfId="24" priority="26" operator="equal">
      <formula>$A$3</formula>
    </cfRule>
  </conditionalFormatting>
  <conditionalFormatting sqref="D72">
    <cfRule type="cellIs" dxfId="23" priority="23" operator="equal">
      <formula>$A$3</formula>
    </cfRule>
    <cfRule type="cellIs" dxfId="22" priority="24" operator="equal">
      <formula>"-"</formula>
    </cfRule>
  </conditionalFormatting>
  <conditionalFormatting sqref="D71">
    <cfRule type="cellIs" dxfId="21" priority="21" operator="equal">
      <formula>$A$3</formula>
    </cfRule>
    <cfRule type="cellIs" dxfId="20" priority="22" operator="equal">
      <formula>"-"</formula>
    </cfRule>
  </conditionalFormatting>
  <conditionalFormatting sqref="C48:D48">
    <cfRule type="cellIs" dxfId="19" priority="19" operator="equal">
      <formula>$A$3</formula>
    </cfRule>
    <cfRule type="cellIs" dxfId="18" priority="20" operator="equal">
      <formula>"-"</formula>
    </cfRule>
  </conditionalFormatting>
  <conditionalFormatting sqref="E48">
    <cfRule type="cellIs" dxfId="17" priority="17" operator="equal">
      <formula>"-"</formula>
    </cfRule>
    <cfRule type="cellIs" dxfId="16" priority="18" operator="equal">
      <formula>$A$3</formula>
    </cfRule>
  </conditionalFormatting>
  <conditionalFormatting sqref="C51:D51">
    <cfRule type="cellIs" dxfId="15" priority="15" operator="equal">
      <formula>$A$3</formula>
    </cfRule>
    <cfRule type="cellIs" dxfId="14" priority="16" operator="equal">
      <formula>"-"</formula>
    </cfRule>
  </conditionalFormatting>
  <conditionalFormatting sqref="E51">
    <cfRule type="cellIs" dxfId="13" priority="13" operator="equal">
      <formula>"-"</formula>
    </cfRule>
    <cfRule type="cellIs" dxfId="12" priority="14" operator="equal">
      <formula>$A$3</formula>
    </cfRule>
  </conditionalFormatting>
  <conditionalFormatting sqref="C53:D53">
    <cfRule type="cellIs" dxfId="11" priority="11" operator="equal">
      <formula>$A$3</formula>
    </cfRule>
    <cfRule type="cellIs" dxfId="10" priority="12" operator="equal">
      <formula>"-"</formula>
    </cfRule>
  </conditionalFormatting>
  <conditionalFormatting sqref="E53">
    <cfRule type="cellIs" dxfId="9" priority="9" operator="equal">
      <formula>"-"</formula>
    </cfRule>
    <cfRule type="cellIs" dxfId="8" priority="10" operator="equal">
      <formula>$A$3</formula>
    </cfRule>
  </conditionalFormatting>
  <conditionalFormatting sqref="C68:D68">
    <cfRule type="cellIs" dxfId="7" priority="7" operator="equal">
      <formula>$A$3</formula>
    </cfRule>
    <cfRule type="cellIs" dxfId="6" priority="8" operator="equal">
      <formula>"-"</formula>
    </cfRule>
  </conditionalFormatting>
  <conditionalFormatting sqref="E68">
    <cfRule type="cellIs" dxfId="5" priority="5" operator="equal">
      <formula>"-"</formula>
    </cfRule>
    <cfRule type="cellIs" dxfId="4" priority="6" operator="equal">
      <formula>$A$3</formula>
    </cfRule>
  </conditionalFormatting>
  <conditionalFormatting sqref="C55:D55">
    <cfRule type="cellIs" dxfId="3" priority="3" operator="equal">
      <formula>$A$3</formula>
    </cfRule>
    <cfRule type="cellIs" dxfId="2" priority="4" operator="equal">
      <formula>"-"</formula>
    </cfRule>
  </conditionalFormatting>
  <conditionalFormatting sqref="E55">
    <cfRule type="cellIs" dxfId="1" priority="1" operator="equal">
      <formula>"-"</formula>
    </cfRule>
    <cfRule type="cellIs" dxfId="0" priority="2" operator="equal">
      <formula>$A$3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07D4-0223-4FE2-84BE-C56C6A5B0B6D}">
  <sheetPr filterMode="1"/>
  <dimension ref="B1:D21"/>
  <sheetViews>
    <sheetView zoomScaleNormal="100" workbookViewId="0">
      <selection activeCell="B2" sqref="B2"/>
    </sheetView>
  </sheetViews>
  <sheetFormatPr defaultColWidth="9.1796875" defaultRowHeight="13" x14ac:dyDescent="0.3"/>
  <cols>
    <col min="1" max="1" width="4.1796875" style="162" customWidth="1"/>
    <col min="2" max="2" width="37.453125" style="162" customWidth="1"/>
    <col min="3" max="3" width="9.81640625" style="162" bestFit="1" customWidth="1"/>
    <col min="4" max="4" width="10" style="163" bestFit="1" customWidth="1"/>
    <col min="5" max="16384" width="9.1796875" style="162"/>
  </cols>
  <sheetData>
    <row r="1" spans="2:4" ht="14.5" x14ac:dyDescent="0.35">
      <c r="C1" s="312"/>
    </row>
    <row r="2" spans="2:4" x14ac:dyDescent="0.3">
      <c r="B2" s="167" t="s">
        <v>130</v>
      </c>
      <c r="C2" s="167" t="s">
        <v>292</v>
      </c>
      <c r="D2" s="167" t="s">
        <v>145</v>
      </c>
    </row>
    <row r="3" spans="2:4" x14ac:dyDescent="0.3">
      <c r="B3" s="164" t="s">
        <v>131</v>
      </c>
      <c r="C3" s="164" t="s">
        <v>293</v>
      </c>
      <c r="D3" s="165">
        <v>0.9</v>
      </c>
    </row>
    <row r="4" spans="2:4" hidden="1" x14ac:dyDescent="0.3">
      <c r="B4" s="164" t="s">
        <v>132</v>
      </c>
      <c r="C4" s="164" t="s">
        <v>294</v>
      </c>
      <c r="D4" s="165">
        <v>1</v>
      </c>
    </row>
    <row r="5" spans="2:4" x14ac:dyDescent="0.3">
      <c r="B5" s="164" t="s">
        <v>133</v>
      </c>
      <c r="C5" s="164" t="s">
        <v>293</v>
      </c>
      <c r="D5" s="165">
        <v>0.9</v>
      </c>
    </row>
    <row r="6" spans="2:4" hidden="1" x14ac:dyDescent="0.3">
      <c r="B6" s="164" t="s">
        <v>134</v>
      </c>
      <c r="C6" s="164" t="s">
        <v>294</v>
      </c>
      <c r="D6" s="165">
        <v>1</v>
      </c>
    </row>
    <row r="7" spans="2:4" hidden="1" x14ac:dyDescent="0.3">
      <c r="B7" s="164" t="s">
        <v>135</v>
      </c>
      <c r="C7" s="164" t="s">
        <v>294</v>
      </c>
      <c r="D7" s="165">
        <v>1</v>
      </c>
    </row>
    <row r="8" spans="2:4" x14ac:dyDescent="0.3">
      <c r="B8" s="164" t="s">
        <v>136</v>
      </c>
      <c r="C8" s="164" t="s">
        <v>293</v>
      </c>
      <c r="D8" s="165">
        <v>1</v>
      </c>
    </row>
    <row r="9" spans="2:4" x14ac:dyDescent="0.3">
      <c r="B9" s="164" t="s">
        <v>137</v>
      </c>
      <c r="C9" s="164" t="s">
        <v>293</v>
      </c>
      <c r="D9" s="165">
        <v>1</v>
      </c>
    </row>
    <row r="10" spans="2:4" x14ac:dyDescent="0.3">
      <c r="B10" s="164" t="s">
        <v>138</v>
      </c>
      <c r="C10" s="164" t="s">
        <v>293</v>
      </c>
      <c r="D10" s="165">
        <v>1</v>
      </c>
    </row>
    <row r="11" spans="2:4" x14ac:dyDescent="0.3">
      <c r="B11" s="164" t="s">
        <v>139</v>
      </c>
      <c r="C11" s="164" t="s">
        <v>293</v>
      </c>
      <c r="D11" s="165">
        <v>0.8</v>
      </c>
    </row>
    <row r="12" spans="2:4" x14ac:dyDescent="0.3">
      <c r="B12" s="164" t="s">
        <v>140</v>
      </c>
      <c r="C12" s="164" t="s">
        <v>293</v>
      </c>
      <c r="D12" s="165">
        <v>0.8</v>
      </c>
    </row>
    <row r="13" spans="2:4" x14ac:dyDescent="0.3">
      <c r="B13" s="164" t="s">
        <v>141</v>
      </c>
      <c r="C13" s="164" t="s">
        <v>293</v>
      </c>
      <c r="D13" s="165">
        <v>0.8</v>
      </c>
    </row>
    <row r="14" spans="2:4" x14ac:dyDescent="0.3">
      <c r="B14" s="164" t="s">
        <v>142</v>
      </c>
      <c r="C14" s="164" t="s">
        <v>293</v>
      </c>
      <c r="D14" s="165">
        <v>0.8</v>
      </c>
    </row>
    <row r="15" spans="2:4" hidden="1" x14ac:dyDescent="0.3">
      <c r="B15" s="164" t="s">
        <v>143</v>
      </c>
      <c r="C15" s="164" t="s">
        <v>294</v>
      </c>
      <c r="D15" s="165">
        <v>0.85</v>
      </c>
    </row>
    <row r="16" spans="2:4" hidden="1" x14ac:dyDescent="0.3">
      <c r="B16" s="164" t="s">
        <v>127</v>
      </c>
      <c r="C16" s="164" t="s">
        <v>127</v>
      </c>
      <c r="D16" s="165">
        <v>0</v>
      </c>
    </row>
    <row r="17" spans="2:4" hidden="1" x14ac:dyDescent="0.3">
      <c r="B17" s="164" t="s">
        <v>129</v>
      </c>
      <c r="C17" s="164" t="s">
        <v>127</v>
      </c>
      <c r="D17" s="165">
        <v>1</v>
      </c>
    </row>
    <row r="18" spans="2:4" hidden="1" x14ac:dyDescent="0.3">
      <c r="B18" s="164" t="s">
        <v>128</v>
      </c>
      <c r="C18" s="164" t="s">
        <v>294</v>
      </c>
      <c r="D18" s="165">
        <v>1</v>
      </c>
    </row>
    <row r="19" spans="2:4" ht="2.25" customHeight="1" x14ac:dyDescent="0.3">
      <c r="B19" s="325"/>
      <c r="C19" s="164"/>
      <c r="D19" s="326"/>
    </row>
    <row r="20" spans="2:4" ht="13.5" thickBot="1" x14ac:dyDescent="0.35">
      <c r="C20" s="324"/>
      <c r="D20" s="166">
        <f>AVERAGEIF(C3:C18,"Portal",D3:D18)</f>
        <v>0.88888888888888884</v>
      </c>
    </row>
    <row r="21" spans="2:4" ht="13.5" thickTop="1" x14ac:dyDescent="0.3"/>
  </sheetData>
  <autoFilter ref="B2:D18" xr:uid="{9FDDCB57-D92F-4560-A1A0-47F2F9DFD717}">
    <filterColumn colId="1">
      <filters>
        <filter val="Portal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7057-A7C1-475C-AEF0-1E66BA8CA963}">
  <dimension ref="A1:J34"/>
  <sheetViews>
    <sheetView zoomScale="80" zoomScaleNormal="80" workbookViewId="0">
      <selection activeCell="E18" sqref="E18"/>
    </sheetView>
  </sheetViews>
  <sheetFormatPr defaultRowHeight="14.5" x14ac:dyDescent="0.35"/>
  <cols>
    <col min="1" max="1" width="42.1796875" style="8" bestFit="1" customWidth="1"/>
    <col min="2" max="2" width="53.7265625" style="4" customWidth="1"/>
    <col min="3" max="4" width="12.26953125" customWidth="1"/>
    <col min="5" max="5" width="15.26953125" style="15" bestFit="1" customWidth="1"/>
    <col min="6" max="9" width="14.26953125" style="15" bestFit="1" customWidth="1"/>
    <col min="10" max="10" width="15.26953125" style="15" bestFit="1" customWidth="1"/>
  </cols>
  <sheetData>
    <row r="1" spans="1:10" ht="30" customHeight="1" x14ac:dyDescent="0.35">
      <c r="A1" s="6" t="s">
        <v>0</v>
      </c>
      <c r="B1" s="6" t="s">
        <v>14</v>
      </c>
      <c r="C1" s="3" t="s">
        <v>27</v>
      </c>
      <c r="D1" s="3" t="s">
        <v>21</v>
      </c>
      <c r="E1" s="10" t="s">
        <v>24</v>
      </c>
      <c r="F1" s="10" t="s">
        <v>1</v>
      </c>
      <c r="G1" s="10" t="s">
        <v>25</v>
      </c>
      <c r="H1" s="10" t="s">
        <v>3</v>
      </c>
      <c r="I1" s="10" t="s">
        <v>4</v>
      </c>
      <c r="J1" s="10" t="s">
        <v>41</v>
      </c>
    </row>
    <row r="2" spans="1:10" x14ac:dyDescent="0.35">
      <c r="A2" s="35" t="s">
        <v>45</v>
      </c>
      <c r="B2" s="36"/>
      <c r="C2" s="36"/>
      <c r="D2" s="36"/>
      <c r="E2" s="38">
        <f>SUM(E3:E6)</f>
        <v>0</v>
      </c>
      <c r="F2" s="36"/>
      <c r="G2" s="36"/>
      <c r="H2" s="36"/>
      <c r="I2" s="36"/>
      <c r="J2" s="37"/>
    </row>
    <row r="3" spans="1:10" x14ac:dyDescent="0.35">
      <c r="A3" s="7" t="s">
        <v>8</v>
      </c>
      <c r="B3" s="20" t="s">
        <v>44</v>
      </c>
      <c r="C3" s="18"/>
      <c r="D3" s="18"/>
      <c r="E3" s="12">
        <f>C3*D3</f>
        <v>0</v>
      </c>
      <c r="F3" s="23"/>
      <c r="G3" s="23"/>
      <c r="H3" s="23"/>
      <c r="I3" s="23"/>
      <c r="J3" s="11"/>
    </row>
    <row r="4" spans="1:10" x14ac:dyDescent="0.35">
      <c r="A4" s="7" t="s">
        <v>22</v>
      </c>
      <c r="B4" s="2" t="s">
        <v>46</v>
      </c>
      <c r="C4" s="18"/>
      <c r="D4" s="18"/>
      <c r="E4" s="12">
        <f>C4*D4</f>
        <v>0</v>
      </c>
      <c r="F4" s="23"/>
      <c r="G4" s="23"/>
      <c r="H4" s="23"/>
      <c r="I4" s="23"/>
      <c r="J4" s="12"/>
    </row>
    <row r="5" spans="1:10" x14ac:dyDescent="0.35">
      <c r="A5" s="7" t="s">
        <v>9</v>
      </c>
      <c r="B5" s="2" t="s">
        <v>46</v>
      </c>
      <c r="C5" s="18"/>
      <c r="D5" s="18"/>
      <c r="E5" s="12">
        <f t="shared" ref="E5:E6" si="0">C5*D5</f>
        <v>0</v>
      </c>
      <c r="F5" s="23"/>
      <c r="G5" s="23"/>
      <c r="H5" s="23"/>
      <c r="I5" s="23"/>
      <c r="J5" s="12"/>
    </row>
    <row r="6" spans="1:10" x14ac:dyDescent="0.35">
      <c r="A6" s="7" t="s">
        <v>23</v>
      </c>
      <c r="B6" s="2" t="s">
        <v>46</v>
      </c>
      <c r="C6" s="18"/>
      <c r="D6" s="18"/>
      <c r="E6" s="12">
        <f t="shared" si="0"/>
        <v>0</v>
      </c>
      <c r="F6" s="23"/>
      <c r="G6" s="23"/>
      <c r="H6" s="23"/>
      <c r="I6" s="23"/>
      <c r="J6" s="12"/>
    </row>
    <row r="7" spans="1:10" x14ac:dyDescent="0.35">
      <c r="A7" s="24" t="s">
        <v>33</v>
      </c>
      <c r="B7" s="24"/>
      <c r="C7" s="24"/>
      <c r="D7" s="24"/>
      <c r="E7" s="34">
        <f>SUM(E8:E9)</f>
        <v>0</v>
      </c>
      <c r="F7" s="24"/>
      <c r="G7" s="24"/>
      <c r="H7" s="24"/>
      <c r="I7" s="24"/>
      <c r="J7" s="24"/>
    </row>
    <row r="8" spans="1:10" x14ac:dyDescent="0.35">
      <c r="A8" s="7" t="s">
        <v>26</v>
      </c>
      <c r="B8" s="2"/>
      <c r="C8" s="1"/>
      <c r="D8" s="1"/>
      <c r="E8" s="12">
        <f>C8*D8</f>
        <v>0</v>
      </c>
      <c r="F8" s="23"/>
      <c r="G8" s="12"/>
      <c r="H8" s="12"/>
      <c r="I8" s="12"/>
      <c r="J8" s="12"/>
    </row>
    <row r="9" spans="1:10" x14ac:dyDescent="0.35">
      <c r="A9" s="7" t="s">
        <v>31</v>
      </c>
      <c r="B9" s="2"/>
      <c r="C9" s="1"/>
      <c r="D9" s="1"/>
      <c r="E9" s="12">
        <f>C9*D9</f>
        <v>0</v>
      </c>
      <c r="F9" s="12"/>
      <c r="G9" s="12"/>
      <c r="H9" s="12"/>
      <c r="I9" s="12"/>
      <c r="J9" s="12"/>
    </row>
    <row r="10" spans="1:10" x14ac:dyDescent="0.35">
      <c r="A10" s="21"/>
      <c r="B10" s="20"/>
      <c r="C10" s="19"/>
      <c r="D10" s="19"/>
      <c r="E10" s="22"/>
      <c r="F10" s="22"/>
      <c r="G10" s="22"/>
      <c r="H10" s="22"/>
      <c r="I10" s="22"/>
      <c r="J10" s="22"/>
    </row>
    <row r="11" spans="1:10" x14ac:dyDescent="0.35">
      <c r="A11" s="24" t="s">
        <v>53</v>
      </c>
      <c r="B11" s="24"/>
      <c r="C11" s="24"/>
      <c r="D11" s="24"/>
      <c r="E11" s="34">
        <f>SUM(E12:E20)</f>
        <v>1152300</v>
      </c>
      <c r="F11" s="24"/>
      <c r="G11" s="24"/>
      <c r="H11" s="24"/>
      <c r="I11" s="24"/>
      <c r="J11" s="24"/>
    </row>
    <row r="12" spans="1:10" ht="26" x14ac:dyDescent="0.35">
      <c r="A12" s="7" t="s">
        <v>15</v>
      </c>
      <c r="B12" s="2" t="s">
        <v>20</v>
      </c>
      <c r="C12" s="18"/>
      <c r="D12" s="18"/>
      <c r="E12" s="12">
        <f>'Project Development Details'!G26</f>
        <v>156500</v>
      </c>
      <c r="F12" s="11"/>
      <c r="G12" s="11"/>
      <c r="H12" s="11"/>
      <c r="I12" s="11"/>
      <c r="J12" s="11"/>
    </row>
    <row r="13" spans="1:10" ht="26" x14ac:dyDescent="0.35">
      <c r="A13" s="17" t="s">
        <v>75</v>
      </c>
      <c r="B13" s="2" t="s">
        <v>34</v>
      </c>
      <c r="C13" s="18"/>
      <c r="D13" s="18"/>
      <c r="E13" s="12">
        <f>'Project Development Details'!G12</f>
        <v>518000</v>
      </c>
      <c r="F13" s="12"/>
      <c r="G13" s="12"/>
      <c r="H13" s="12"/>
      <c r="I13" s="12"/>
      <c r="J13" s="12"/>
    </row>
    <row r="14" spans="1:10" x14ac:dyDescent="0.35">
      <c r="A14" s="7" t="s">
        <v>16</v>
      </c>
      <c r="B14" s="2" t="s">
        <v>35</v>
      </c>
      <c r="C14" s="18"/>
      <c r="D14" s="18"/>
      <c r="E14" s="12">
        <f>'Project Development Details'!G22</f>
        <v>108000</v>
      </c>
      <c r="F14" s="12"/>
      <c r="G14" s="12"/>
      <c r="H14" s="12"/>
      <c r="I14" s="12"/>
      <c r="J14" s="12"/>
    </row>
    <row r="15" spans="1:10" ht="15.75" customHeight="1" x14ac:dyDescent="0.35">
      <c r="A15" s="17" t="s">
        <v>74</v>
      </c>
      <c r="B15" s="2" t="s">
        <v>43</v>
      </c>
      <c r="C15" s="18"/>
      <c r="D15" s="18"/>
      <c r="E15" s="12">
        <f>E13*30%+E14*30%</f>
        <v>187800</v>
      </c>
      <c r="F15" s="12"/>
      <c r="G15" s="12"/>
      <c r="H15" s="12"/>
      <c r="I15" s="12"/>
      <c r="J15" s="12"/>
    </row>
    <row r="16" spans="1:10" x14ac:dyDescent="0.35">
      <c r="A16" s="7" t="s">
        <v>17</v>
      </c>
      <c r="B16" s="2"/>
      <c r="C16" s="18"/>
      <c r="D16" s="18"/>
      <c r="E16" s="12">
        <f>'Project Development Details'!G21</f>
        <v>0</v>
      </c>
      <c r="F16" s="12"/>
      <c r="G16" s="12"/>
      <c r="H16" s="12"/>
      <c r="I16" s="12"/>
      <c r="J16" s="12"/>
    </row>
    <row r="17" spans="1:10" x14ac:dyDescent="0.35">
      <c r="A17" s="7" t="s">
        <v>30</v>
      </c>
      <c r="B17" s="2" t="s">
        <v>61</v>
      </c>
      <c r="C17" s="18"/>
      <c r="D17" s="18"/>
      <c r="E17" s="12">
        <f>'Project Development Details'!G30</f>
        <v>32000</v>
      </c>
      <c r="F17" s="12"/>
      <c r="G17" s="12"/>
      <c r="H17" s="12"/>
      <c r="I17" s="12"/>
      <c r="J17" s="12"/>
    </row>
    <row r="18" spans="1:10" x14ac:dyDescent="0.35">
      <c r="A18" s="7" t="s">
        <v>13</v>
      </c>
      <c r="B18" s="2" t="s">
        <v>32</v>
      </c>
      <c r="C18" s="18"/>
      <c r="D18" s="18"/>
      <c r="E18" s="12">
        <f>'Project Development Details'!G32</f>
        <v>120000</v>
      </c>
      <c r="F18" s="12"/>
      <c r="G18" s="12"/>
      <c r="H18" s="12"/>
      <c r="I18" s="12"/>
      <c r="J18" s="12"/>
    </row>
    <row r="19" spans="1:10" x14ac:dyDescent="0.35">
      <c r="A19" s="7" t="s">
        <v>11</v>
      </c>
      <c r="B19" s="2" t="s">
        <v>29</v>
      </c>
      <c r="C19" s="18"/>
      <c r="D19" s="18"/>
      <c r="E19" s="12">
        <f>'Project Development Details'!G29</f>
        <v>30000</v>
      </c>
      <c r="F19" s="12"/>
      <c r="G19" s="12"/>
      <c r="H19" s="12"/>
      <c r="I19" s="12"/>
      <c r="J19" s="12"/>
    </row>
    <row r="20" spans="1:10" x14ac:dyDescent="0.35">
      <c r="A20" s="7" t="s">
        <v>37</v>
      </c>
      <c r="B20" s="2" t="s">
        <v>36</v>
      </c>
      <c r="C20" s="18"/>
      <c r="D20" s="18"/>
      <c r="E20" s="12"/>
      <c r="F20" s="12"/>
      <c r="G20" s="12"/>
      <c r="H20" s="12"/>
      <c r="I20" s="12"/>
      <c r="J20" s="12"/>
    </row>
    <row r="21" spans="1:10" x14ac:dyDescent="0.35">
      <c r="A21" s="24" t="s">
        <v>12</v>
      </c>
      <c r="B21" s="24"/>
      <c r="C21" s="24"/>
      <c r="D21" s="24"/>
      <c r="E21" s="24"/>
      <c r="F21" s="34" t="e">
        <f>SUM(F22:F25)</f>
        <v>#REF!</v>
      </c>
      <c r="G21" s="34" t="e">
        <f>SUM(G22:G25)</f>
        <v>#REF!</v>
      </c>
      <c r="H21" s="34" t="e">
        <f>SUM(H22:H25)</f>
        <v>#REF!</v>
      </c>
      <c r="I21" s="34" t="e">
        <f>SUM(I22:I25)</f>
        <v>#REF!</v>
      </c>
      <c r="J21" s="24"/>
    </row>
    <row r="22" spans="1:10" x14ac:dyDescent="0.35">
      <c r="A22" s="7" t="s">
        <v>5</v>
      </c>
      <c r="B22" s="2"/>
      <c r="C22" s="1"/>
      <c r="D22" s="1"/>
      <c r="E22" s="12"/>
      <c r="F22" s="12">
        <v>0</v>
      </c>
      <c r="G22" s="12">
        <v>0</v>
      </c>
      <c r="H22" s="12">
        <v>0</v>
      </c>
      <c r="I22" s="12">
        <v>0</v>
      </c>
      <c r="J22" s="12"/>
    </row>
    <row r="23" spans="1:10" x14ac:dyDescent="0.35">
      <c r="A23" s="7" t="s">
        <v>6</v>
      </c>
      <c r="B23" s="2"/>
      <c r="C23" s="1"/>
      <c r="D23" s="1"/>
      <c r="E23" s="12" t="e">
        <f>#REF!</f>
        <v>#REF!</v>
      </c>
      <c r="F23" s="12" t="e">
        <f>#REF!</f>
        <v>#REF!</v>
      </c>
      <c r="G23" s="12" t="e">
        <f>#REF!</f>
        <v>#REF!</v>
      </c>
      <c r="H23" s="12" t="e">
        <f>#REF!</f>
        <v>#REF!</v>
      </c>
      <c r="I23" s="12" t="e">
        <f>#REF!</f>
        <v>#REF!</v>
      </c>
      <c r="J23" s="12"/>
    </row>
    <row r="24" spans="1:10" x14ac:dyDescent="0.35">
      <c r="A24" s="7" t="s">
        <v>39</v>
      </c>
      <c r="B24" s="2"/>
      <c r="C24" s="9"/>
      <c r="D24" s="9"/>
      <c r="E24" s="12"/>
      <c r="F24" s="12">
        <f>$E$11*Effort_Development!J2</f>
        <v>230460</v>
      </c>
      <c r="G24" s="12">
        <f>$E$11*Effort_Development!K2</f>
        <v>172845</v>
      </c>
      <c r="H24" s="12">
        <f>$E$11*Effort_Development!L2</f>
        <v>172845</v>
      </c>
      <c r="I24" s="12">
        <f>$E$11*Effort_Development!M2</f>
        <v>115230</v>
      </c>
      <c r="J24" s="12"/>
    </row>
    <row r="25" spans="1:10" x14ac:dyDescent="0.35">
      <c r="A25" s="7" t="s">
        <v>38</v>
      </c>
      <c r="B25" s="2" t="s">
        <v>40</v>
      </c>
      <c r="C25" s="9"/>
      <c r="D25" s="1"/>
      <c r="E25" s="12"/>
      <c r="F25" s="12">
        <f>$E$11*Effort_Development!J3</f>
        <v>288075</v>
      </c>
      <c r="G25" s="12">
        <f>$E$11*Effort_Development!K3</f>
        <v>288075</v>
      </c>
      <c r="H25" s="12">
        <f>$E$11*Effort_Development!L3</f>
        <v>288075</v>
      </c>
      <c r="I25" s="12">
        <f>$E$11*Effort_Development!M3</f>
        <v>288075</v>
      </c>
      <c r="J25" s="12"/>
    </row>
    <row r="26" spans="1:10" x14ac:dyDescent="0.35">
      <c r="A26" s="410" t="s">
        <v>10</v>
      </c>
      <c r="B26" s="410"/>
      <c r="C26" s="410"/>
      <c r="D26" s="410"/>
      <c r="E26" s="410"/>
      <c r="F26" s="410"/>
      <c r="G26" s="410"/>
      <c r="H26" s="410"/>
      <c r="I26" s="410"/>
      <c r="J26" s="410"/>
    </row>
    <row r="27" spans="1:10" x14ac:dyDescent="0.35">
      <c r="A27" s="7" t="s">
        <v>18</v>
      </c>
      <c r="B27" s="5" t="s">
        <v>19</v>
      </c>
      <c r="C27" s="9">
        <v>0.1</v>
      </c>
      <c r="D27" s="9"/>
      <c r="E27" s="13">
        <f>$E$11*$C27</f>
        <v>115230</v>
      </c>
      <c r="F27" s="13" t="e">
        <f>$C$27*F21</f>
        <v>#REF!</v>
      </c>
      <c r="G27" s="13" t="e">
        <f>$C$27*G21</f>
        <v>#REF!</v>
      </c>
      <c r="H27" s="13" t="e">
        <f>$C$27*H21</f>
        <v>#REF!</v>
      </c>
      <c r="I27" s="13" t="e">
        <f>$C$27*I21</f>
        <v>#REF!</v>
      </c>
      <c r="J27" s="13"/>
    </row>
    <row r="28" spans="1:10" x14ac:dyDescent="0.35">
      <c r="A28" s="411" t="s">
        <v>7</v>
      </c>
      <c r="B28" s="411"/>
      <c r="C28" s="411"/>
      <c r="D28" s="18"/>
      <c r="E28" s="14">
        <f>E2+E7+E11+E21+E27</f>
        <v>1267530</v>
      </c>
      <c r="F28" s="14" t="e">
        <f>F2+F7+F11+F21+F27</f>
        <v>#REF!</v>
      </c>
      <c r="G28" s="14" t="e">
        <f>G2+G7+G11+G21+G27</f>
        <v>#REF!</v>
      </c>
      <c r="H28" s="14" t="e">
        <f>H2+H7+H11+H21+H27</f>
        <v>#REF!</v>
      </c>
      <c r="I28" s="14" t="e">
        <f>I2+I7+I11+I21+I27</f>
        <v>#REF!</v>
      </c>
      <c r="J28" s="14" t="e">
        <f>SUM(E28:I28)</f>
        <v>#REF!</v>
      </c>
    </row>
    <row r="29" spans="1:10" ht="15" thickBot="1" x14ac:dyDescent="0.4">
      <c r="A29" s="42"/>
      <c r="B29" s="43"/>
      <c r="C29" s="44"/>
      <c r="D29" s="44"/>
      <c r="E29" s="45"/>
      <c r="F29" s="45"/>
      <c r="G29" s="45"/>
      <c r="H29" s="45"/>
      <c r="I29" s="45"/>
      <c r="J29" s="51" t="e">
        <f>J28/10^6</f>
        <v>#REF!</v>
      </c>
    </row>
    <row r="30" spans="1:10" ht="15" thickTop="1" x14ac:dyDescent="0.35">
      <c r="A30" s="46"/>
      <c r="B30" s="47"/>
      <c r="C30" s="48"/>
      <c r="D30" s="48"/>
      <c r="E30" s="49"/>
      <c r="F30" s="49"/>
      <c r="G30" s="49"/>
      <c r="H30" s="49"/>
      <c r="I30" s="49"/>
      <c r="J30" s="50"/>
    </row>
    <row r="31" spans="1:10" x14ac:dyDescent="0.35">
      <c r="A31" s="46"/>
      <c r="B31" s="47"/>
      <c r="C31" s="48"/>
      <c r="D31" s="48"/>
      <c r="E31" s="49"/>
      <c r="F31" s="49"/>
      <c r="G31" s="49"/>
      <c r="H31" s="49"/>
      <c r="I31" s="49"/>
      <c r="J31" s="50"/>
    </row>
    <row r="32" spans="1:10" x14ac:dyDescent="0.35">
      <c r="A32" s="46"/>
      <c r="B32" s="47"/>
      <c r="C32" s="48"/>
      <c r="D32" s="48"/>
      <c r="E32" s="49"/>
      <c r="F32" s="49"/>
      <c r="G32" s="49"/>
      <c r="H32" s="49"/>
      <c r="I32" s="49"/>
      <c r="J32" s="50"/>
    </row>
    <row r="33" spans="1:10" x14ac:dyDescent="0.35">
      <c r="A33" s="17" t="s">
        <v>68</v>
      </c>
      <c r="B33" s="39"/>
      <c r="C33" s="7"/>
      <c r="D33" s="7"/>
      <c r="E33" s="16">
        <f>SUM(E11,E7,E2)+E25</f>
        <v>1152300</v>
      </c>
      <c r="F33" s="16">
        <f>SUM(F11,F7,F2)+F25</f>
        <v>288075</v>
      </c>
      <c r="G33" s="16">
        <f>SUM(G11,G7,G2)+G25</f>
        <v>288075</v>
      </c>
      <c r="H33" s="16">
        <f>SUM(H11,H7,H2)+H25</f>
        <v>288075</v>
      </c>
      <c r="I33" s="16">
        <f>SUM(I11,I7,I2)+I25</f>
        <v>288075</v>
      </c>
      <c r="J33" s="16"/>
    </row>
    <row r="34" spans="1:10" x14ac:dyDescent="0.35">
      <c r="A34" s="17" t="s">
        <v>69</v>
      </c>
      <c r="B34" s="7">
        <f>0.1*B33</f>
        <v>0</v>
      </c>
      <c r="C34" s="7"/>
      <c r="D34" s="7"/>
      <c r="E34" s="16" t="e">
        <f>SUM(E22:E24)</f>
        <v>#REF!</v>
      </c>
      <c r="F34" s="16" t="e">
        <f t="shared" ref="F34:I34" si="1">SUM(F22:F24)</f>
        <v>#REF!</v>
      </c>
      <c r="G34" s="16" t="e">
        <f t="shared" si="1"/>
        <v>#REF!</v>
      </c>
      <c r="H34" s="16" t="e">
        <f t="shared" si="1"/>
        <v>#REF!</v>
      </c>
      <c r="I34" s="16" t="e">
        <f t="shared" si="1"/>
        <v>#REF!</v>
      </c>
      <c r="J34" s="16"/>
    </row>
  </sheetData>
  <mergeCells count="2">
    <mergeCell ref="A26:J26"/>
    <mergeCell ref="A28:C28"/>
  </mergeCells>
  <pageMargins left="0.7" right="0.7" top="0.75" bottom="0.75" header="0.3" footer="0.3"/>
  <pageSetup paperSize="9" orientation="portrait" r:id="rId1"/>
  <ignoredErrors>
    <ignoredError sqref="E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79E9-5930-4818-858B-738D3AF15CB4}">
  <sheetPr>
    <outlinePr summaryBelow="0"/>
  </sheetPr>
  <dimension ref="B1:I36"/>
  <sheetViews>
    <sheetView topLeftCell="A4" zoomScale="90" zoomScaleNormal="90" workbookViewId="0">
      <selection activeCell="B1" sqref="B1:H33"/>
    </sheetView>
  </sheetViews>
  <sheetFormatPr defaultColWidth="9.1796875" defaultRowHeight="14.5" x14ac:dyDescent="0.35"/>
  <cols>
    <col min="1" max="1" width="5.7265625" style="27" customWidth="1"/>
    <col min="2" max="2" width="50.81640625" style="25" customWidth="1"/>
    <col min="3" max="3" width="8.54296875" style="40" bestFit="1" customWidth="1"/>
    <col min="4" max="4" width="12.453125" style="26" customWidth="1"/>
    <col min="5" max="5" width="15.1796875" style="26" bestFit="1" customWidth="1"/>
    <col min="6" max="6" width="9.81640625" style="8" bestFit="1" customWidth="1"/>
    <col min="7" max="7" width="13.7265625" style="26" bestFit="1" customWidth="1"/>
    <col min="8" max="8" width="39.81640625" style="27" customWidth="1"/>
    <col min="9" max="9" width="9.1796875" style="89"/>
    <col min="10" max="16384" width="9.1796875" style="27"/>
  </cols>
  <sheetData>
    <row r="1" spans="2:9" x14ac:dyDescent="0.35">
      <c r="B1" s="55" t="s">
        <v>80</v>
      </c>
      <c r="C1" s="81"/>
      <c r="D1" s="82"/>
      <c r="H1" s="83" t="s">
        <v>89</v>
      </c>
      <c r="I1" s="87" t="s">
        <v>88</v>
      </c>
    </row>
    <row r="2" spans="2:9" x14ac:dyDescent="0.35">
      <c r="B2" s="78" t="s">
        <v>78</v>
      </c>
      <c r="C2" s="79">
        <v>0.15</v>
      </c>
      <c r="D2" s="80">
        <f>$D$3/$C$3*C2</f>
        <v>1565</v>
      </c>
      <c r="H2" s="21" t="s">
        <v>71</v>
      </c>
      <c r="I2" s="88">
        <v>100</v>
      </c>
    </row>
    <row r="3" spans="2:9" x14ac:dyDescent="0.35">
      <c r="B3" s="78" t="s">
        <v>79</v>
      </c>
      <c r="C3" s="79">
        <v>0.6</v>
      </c>
      <c r="D3" s="80">
        <f>E12+E22</f>
        <v>6260</v>
      </c>
      <c r="H3" s="21" t="s">
        <v>90</v>
      </c>
      <c r="I3" s="88">
        <v>50</v>
      </c>
    </row>
    <row r="4" spans="2:9" x14ac:dyDescent="0.35">
      <c r="B4" s="78" t="s">
        <v>82</v>
      </c>
      <c r="C4" s="79">
        <v>0.18</v>
      </c>
      <c r="D4" s="80">
        <f t="shared" ref="D4:D6" si="0">$D$3/$C$3*C4</f>
        <v>1878</v>
      </c>
      <c r="H4" s="21" t="s">
        <v>91</v>
      </c>
      <c r="I4" s="88">
        <v>30</v>
      </c>
    </row>
    <row r="5" spans="2:9" x14ac:dyDescent="0.35">
      <c r="B5" s="78" t="s">
        <v>11</v>
      </c>
      <c r="C5" s="79">
        <v>0.05</v>
      </c>
      <c r="D5" s="80">
        <f t="shared" si="0"/>
        <v>521.66666666666674</v>
      </c>
      <c r="H5" s="21" t="s">
        <v>72</v>
      </c>
      <c r="I5" s="88">
        <v>30</v>
      </c>
    </row>
    <row r="6" spans="2:9" x14ac:dyDescent="0.35">
      <c r="B6" s="78" t="s">
        <v>84</v>
      </c>
      <c r="C6" s="79">
        <v>0.02</v>
      </c>
      <c r="D6" s="80">
        <f t="shared" si="0"/>
        <v>208.66666666666669</v>
      </c>
    </row>
    <row r="7" spans="2:9" ht="17.25" customHeight="1" thickBot="1" x14ac:dyDescent="0.4">
      <c r="C7" s="74">
        <f t="shared" ref="C7:D7" si="1">SUM(C2:C6)</f>
        <v>1</v>
      </c>
      <c r="D7" s="75">
        <f t="shared" si="1"/>
        <v>10433.333333333332</v>
      </c>
      <c r="E7" s="26" t="s">
        <v>86</v>
      </c>
    </row>
    <row r="8" spans="2:9" ht="17.25" customHeight="1" thickTop="1" x14ac:dyDescent="0.35">
      <c r="C8" s="76"/>
      <c r="D8" s="77"/>
    </row>
    <row r="9" spans="2:9" ht="17.25" customHeight="1" x14ac:dyDescent="0.35">
      <c r="B9" s="25" t="s">
        <v>85</v>
      </c>
      <c r="D9" s="59"/>
    </row>
    <row r="10" spans="2:9" ht="17.25" customHeight="1" x14ac:dyDescent="0.35">
      <c r="H10" s="33" t="s">
        <v>52</v>
      </c>
      <c r="I10" s="90">
        <v>100</v>
      </c>
    </row>
    <row r="11" spans="2:9" s="28" customFormat="1" ht="29" x14ac:dyDescent="0.35">
      <c r="B11" s="55"/>
      <c r="C11" s="56" t="s">
        <v>56</v>
      </c>
      <c r="D11" s="56" t="s">
        <v>28</v>
      </c>
      <c r="E11" s="56" t="s">
        <v>76</v>
      </c>
      <c r="F11" s="84" t="s">
        <v>49</v>
      </c>
      <c r="G11" s="58" t="s">
        <v>50</v>
      </c>
      <c r="H11" s="57" t="s">
        <v>51</v>
      </c>
      <c r="I11" s="91"/>
    </row>
    <row r="12" spans="2:9" x14ac:dyDescent="0.35">
      <c r="B12" s="29" t="s">
        <v>54</v>
      </c>
      <c r="C12" s="41"/>
      <c r="D12" s="30"/>
      <c r="E12" s="61">
        <f>SUM(E13:E20)</f>
        <v>5180</v>
      </c>
      <c r="F12" s="85"/>
      <c r="G12" s="62">
        <f>SUM(G13:G20)</f>
        <v>518000</v>
      </c>
      <c r="H12" s="63"/>
    </row>
    <row r="13" spans="2:9" x14ac:dyDescent="0.35">
      <c r="B13" s="64" t="s">
        <v>55</v>
      </c>
      <c r="C13" s="53"/>
      <c r="D13" s="65"/>
      <c r="E13" s="65"/>
      <c r="F13" s="86"/>
      <c r="G13" s="66"/>
      <c r="H13" s="67"/>
    </row>
    <row r="14" spans="2:9" x14ac:dyDescent="0.35">
      <c r="B14" s="68" t="s">
        <v>63</v>
      </c>
      <c r="C14" s="53">
        <v>5</v>
      </c>
      <c r="D14" s="65">
        <f>2*40</f>
        <v>80</v>
      </c>
      <c r="E14" s="65">
        <f t="shared" ref="E14:E19" si="2">C14*D14</f>
        <v>400</v>
      </c>
      <c r="F14" s="86"/>
      <c r="G14" s="66">
        <f t="shared" ref="G14:G20" si="3">SUM(D14*$I$10*C14)</f>
        <v>40000</v>
      </c>
      <c r="H14" s="67"/>
    </row>
    <row r="15" spans="2:9" x14ac:dyDescent="0.35">
      <c r="B15" s="68" t="s">
        <v>64</v>
      </c>
      <c r="C15" s="53">
        <v>5</v>
      </c>
      <c r="D15" s="65">
        <v>80</v>
      </c>
      <c r="E15" s="65">
        <f t="shared" si="2"/>
        <v>400</v>
      </c>
      <c r="F15" s="86"/>
      <c r="G15" s="66">
        <f t="shared" si="3"/>
        <v>40000</v>
      </c>
      <c r="H15" s="67"/>
    </row>
    <row r="16" spans="2:9" x14ac:dyDescent="0.35">
      <c r="B16" s="68" t="s">
        <v>65</v>
      </c>
      <c r="C16" s="53">
        <v>5</v>
      </c>
      <c r="D16" s="65">
        <f>2*40</f>
        <v>80</v>
      </c>
      <c r="E16" s="65">
        <f t="shared" si="2"/>
        <v>400</v>
      </c>
      <c r="F16" s="86"/>
      <c r="G16" s="66">
        <f t="shared" si="3"/>
        <v>40000</v>
      </c>
      <c r="H16" s="67"/>
    </row>
    <row r="17" spans="2:8" x14ac:dyDescent="0.35">
      <c r="B17" s="69" t="s">
        <v>57</v>
      </c>
      <c r="C17" s="53">
        <v>1</v>
      </c>
      <c r="D17" s="65">
        <v>280</v>
      </c>
      <c r="E17" s="65">
        <f t="shared" si="2"/>
        <v>280</v>
      </c>
      <c r="F17" s="86"/>
      <c r="G17" s="66">
        <f t="shared" si="3"/>
        <v>28000</v>
      </c>
      <c r="H17" s="67"/>
    </row>
    <row r="18" spans="2:8" x14ac:dyDescent="0.35">
      <c r="B18" s="69" t="s">
        <v>58</v>
      </c>
      <c r="C18" s="53">
        <v>5</v>
      </c>
      <c r="D18" s="65">
        <v>200</v>
      </c>
      <c r="E18" s="65">
        <f t="shared" si="2"/>
        <v>1000</v>
      </c>
      <c r="F18" s="86"/>
      <c r="G18" s="66">
        <f t="shared" si="3"/>
        <v>100000</v>
      </c>
      <c r="H18" s="67"/>
    </row>
    <row r="19" spans="2:8" x14ac:dyDescent="0.35">
      <c r="B19" s="70" t="s">
        <v>59</v>
      </c>
      <c r="C19" s="53">
        <v>6</v>
      </c>
      <c r="D19" s="65">
        <f>10*40</f>
        <v>400</v>
      </c>
      <c r="E19" s="65">
        <f t="shared" si="2"/>
        <v>2400</v>
      </c>
      <c r="F19" s="86"/>
      <c r="G19" s="66">
        <f t="shared" si="3"/>
        <v>240000</v>
      </c>
      <c r="H19" s="71"/>
    </row>
    <row r="20" spans="2:8" ht="29" x14ac:dyDescent="0.35">
      <c r="B20" s="69" t="s">
        <v>66</v>
      </c>
      <c r="C20" s="53">
        <v>15</v>
      </c>
      <c r="D20" s="65">
        <v>20</v>
      </c>
      <c r="E20" s="65">
        <f>C20*D20</f>
        <v>300</v>
      </c>
      <c r="F20" s="85"/>
      <c r="G20" s="66">
        <f t="shared" si="3"/>
        <v>30000</v>
      </c>
      <c r="H20" s="67"/>
    </row>
    <row r="21" spans="2:8" x14ac:dyDescent="0.35">
      <c r="B21" s="29"/>
      <c r="C21" s="41"/>
      <c r="D21" s="30"/>
      <c r="E21" s="30"/>
      <c r="F21" s="85"/>
      <c r="G21" s="31"/>
      <c r="H21" s="67"/>
    </row>
    <row r="22" spans="2:8" x14ac:dyDescent="0.35">
      <c r="B22" s="29" t="s">
        <v>92</v>
      </c>
      <c r="C22" s="41"/>
      <c r="D22" s="54"/>
      <c r="E22" s="72">
        <f>SUM(E23:E24)</f>
        <v>1080</v>
      </c>
      <c r="F22" s="86"/>
      <c r="G22" s="62">
        <f>SUM(G23:G25)</f>
        <v>108000</v>
      </c>
      <c r="H22" s="67"/>
    </row>
    <row r="23" spans="2:8" x14ac:dyDescent="0.35">
      <c r="B23" s="64" t="s">
        <v>81</v>
      </c>
      <c r="C23" s="53">
        <v>15</v>
      </c>
      <c r="D23" s="54">
        <v>40</v>
      </c>
      <c r="E23" s="54">
        <f>C23*D23</f>
        <v>600</v>
      </c>
      <c r="F23" s="86"/>
      <c r="G23" s="31">
        <f>SUM(D23*$I$10*C23)</f>
        <v>60000</v>
      </c>
      <c r="H23" s="67"/>
    </row>
    <row r="24" spans="2:8" x14ac:dyDescent="0.35">
      <c r="B24" s="64" t="s">
        <v>60</v>
      </c>
      <c r="C24" s="53">
        <v>6</v>
      </c>
      <c r="D24" s="54">
        <v>80</v>
      </c>
      <c r="E24" s="54">
        <f>C24*D24</f>
        <v>480</v>
      </c>
      <c r="F24" s="86"/>
      <c r="G24" s="31">
        <f>SUM(D24*$I$10*C24)</f>
        <v>48000</v>
      </c>
      <c r="H24" s="67"/>
    </row>
    <row r="25" spans="2:8" x14ac:dyDescent="0.35">
      <c r="B25" s="52"/>
      <c r="C25" s="53"/>
      <c r="D25" s="54"/>
      <c r="E25" s="54"/>
      <c r="F25" s="86"/>
      <c r="G25" s="31"/>
      <c r="H25" s="67"/>
    </row>
    <row r="26" spans="2:8" x14ac:dyDescent="0.35">
      <c r="B26" s="29" t="s">
        <v>83</v>
      </c>
      <c r="C26" s="41"/>
      <c r="D26" s="54"/>
      <c r="E26" s="60">
        <f>D2</f>
        <v>1565</v>
      </c>
      <c r="F26" s="86">
        <v>1</v>
      </c>
      <c r="G26" s="31">
        <f>SUM(E26*$I$10*F26)</f>
        <v>156500</v>
      </c>
      <c r="H26" s="67"/>
    </row>
    <row r="27" spans="2:8" x14ac:dyDescent="0.35">
      <c r="B27" s="29" t="s">
        <v>77</v>
      </c>
      <c r="C27" s="41"/>
      <c r="D27" s="54"/>
      <c r="E27" s="60">
        <f>D4</f>
        <v>1878</v>
      </c>
      <c r="F27" s="86">
        <v>1</v>
      </c>
      <c r="G27" s="31">
        <f>SUM(E27*$I$10*F27)</f>
        <v>187800</v>
      </c>
      <c r="H27" s="67"/>
    </row>
    <row r="28" spans="2:8" x14ac:dyDescent="0.35">
      <c r="B28" s="29"/>
      <c r="C28" s="41"/>
      <c r="D28" s="54"/>
      <c r="E28" s="54"/>
      <c r="F28" s="86"/>
      <c r="G28" s="31"/>
      <c r="H28" s="67"/>
    </row>
    <row r="29" spans="2:8" x14ac:dyDescent="0.35">
      <c r="B29" s="29" t="s">
        <v>11</v>
      </c>
      <c r="C29" s="41">
        <v>1</v>
      </c>
      <c r="D29" s="30">
        <v>300</v>
      </c>
      <c r="E29" s="60">
        <f>D5</f>
        <v>521.66666666666674</v>
      </c>
      <c r="F29" s="85"/>
      <c r="G29" s="31">
        <f>SUM(D29*$I$10*C29)</f>
        <v>30000</v>
      </c>
      <c r="H29" s="67" t="s">
        <v>62</v>
      </c>
    </row>
    <row r="30" spans="2:8" x14ac:dyDescent="0.35">
      <c r="B30" s="29" t="s">
        <v>67</v>
      </c>
      <c r="C30" s="73"/>
      <c r="D30" s="54">
        <v>320</v>
      </c>
      <c r="E30" s="60">
        <f>D6</f>
        <v>208.66666666666669</v>
      </c>
      <c r="F30" s="86">
        <v>1</v>
      </c>
      <c r="G30" s="31">
        <f>SUM(D30*$I$10*F30)</f>
        <v>32000</v>
      </c>
      <c r="H30" s="67"/>
    </row>
    <row r="31" spans="2:8" x14ac:dyDescent="0.35">
      <c r="B31" s="29"/>
      <c r="C31" s="41"/>
      <c r="D31" s="30"/>
      <c r="E31" s="60"/>
      <c r="F31" s="85"/>
      <c r="G31" s="31"/>
      <c r="H31" s="67"/>
    </row>
    <row r="32" spans="2:8" x14ac:dyDescent="0.35">
      <c r="B32" s="29" t="s">
        <v>85</v>
      </c>
      <c r="C32" s="41">
        <v>12</v>
      </c>
      <c r="D32" s="54">
        <v>600</v>
      </c>
      <c r="E32" s="54">
        <v>600</v>
      </c>
      <c r="F32" s="86">
        <v>2</v>
      </c>
      <c r="G32" s="31">
        <f>SUM(D32*$I$10*F32)</f>
        <v>120000</v>
      </c>
      <c r="H32" s="67"/>
    </row>
    <row r="33" spans="2:8" x14ac:dyDescent="0.35">
      <c r="B33" s="67"/>
      <c r="C33" s="67"/>
      <c r="D33" s="67"/>
      <c r="E33" s="67"/>
      <c r="F33" s="86"/>
      <c r="G33" s="67"/>
      <c r="H33" s="67"/>
    </row>
    <row r="36" spans="2:8" x14ac:dyDescent="0.35">
      <c r="H36" s="3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8BDE2B25754D896149302446BD81" ma:contentTypeVersion="4" ma:contentTypeDescription="Create a new document." ma:contentTypeScope="" ma:versionID="5a622c95cd6ead8fa8194a50f100b401">
  <xsd:schema xmlns:xsd="http://www.w3.org/2001/XMLSchema" xmlns:xs="http://www.w3.org/2001/XMLSchema" xmlns:p="http://schemas.microsoft.com/office/2006/metadata/properties" xmlns:ns2="04433624-1a94-42fa-84d2-280d3af2e600" targetNamespace="http://schemas.microsoft.com/office/2006/metadata/properties" ma:root="true" ma:fieldsID="87158f57bdeec7e55ef03dfcbf1c0d3a" ns2:_="">
    <xsd:import namespace="04433624-1a94-42fa-84d2-280d3af2e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33624-1a94-42fa-84d2-280d3af2e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CDAAB9-DD39-4AD0-8CD0-C2C54E65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06481-ABE2-42FC-A875-2E4C40E1BA92}">
  <ds:schemaRefs>
    <ds:schemaRef ds:uri="http://schemas.microsoft.com/office/2006/metadata/properties"/>
    <ds:schemaRef ds:uri="04433624-1a94-42fa-84d2-280d3af2e60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D68EC9-1A92-472F-9677-7180AB598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33624-1a94-42fa-84d2-280d3af2e6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Dashboard</vt:lpstr>
      <vt:lpstr>Overall_Cost</vt:lpstr>
      <vt:lpstr>Effort_Development</vt:lpstr>
      <vt:lpstr>Cost_Development</vt:lpstr>
      <vt:lpstr>Estimates_Architect</vt:lpstr>
      <vt:lpstr>Feature_Coverage</vt:lpstr>
      <vt:lpstr>Overall_Cost_BK</vt:lpstr>
      <vt:lpstr>Project Development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Gupta</dc:creator>
  <cp:lastModifiedBy>Aryan Mohan</cp:lastModifiedBy>
  <dcterms:created xsi:type="dcterms:W3CDTF">2019-11-21T10:00:45Z</dcterms:created>
  <dcterms:modified xsi:type="dcterms:W3CDTF">2020-01-14T09:32:55Z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0x01010046358BDE2B25754D896149302446BD81</vt:lpwstr>
  </property>
  <property fmtid="{D5CDD505-2E9C-101B-9397-08002B2CF9AE}" pid="3" name="MSIP_Label_74c35f9b-eda0-4196-8334-7edc09744420_Enabled">
    <vt:lpwstr>True</vt:lpwstr>
  </property>
  <property fmtid="{D5CDD505-2E9C-101B-9397-08002B2CF9AE}" pid="4" name="MSIP_Label_74c35f9b-eda0-4196-8334-7edc09744420_SiteId">
    <vt:lpwstr>a45fe71a-f480-4e42-ad5e-aff33165aa35</vt:lpwstr>
  </property>
  <property fmtid="{D5CDD505-2E9C-101B-9397-08002B2CF9AE}" pid="5" name="MSIP_Label_74c35f9b-eda0-4196-8334-7edc09744420_Owner">
    <vt:lpwstr>arun.gupta@nagarro.com</vt:lpwstr>
  </property>
  <property fmtid="{D5CDD505-2E9C-101B-9397-08002B2CF9AE}" pid="6" name="MSIP_Label_74c35f9b-eda0-4196-8334-7edc09744420_SetDate">
    <vt:lpwstr>2019-12-17T15:12:01.0543668Z</vt:lpwstr>
  </property>
  <property fmtid="{D5CDD505-2E9C-101B-9397-08002B2CF9AE}" pid="7" name="MSIP_Label_74c35f9b-eda0-4196-8334-7edc09744420_Name">
    <vt:lpwstr>Confidential</vt:lpwstr>
  </property>
  <property fmtid="{D5CDD505-2E9C-101B-9397-08002B2CF9AE}" pid="8" name="MSIP_Label_74c35f9b-eda0-4196-8334-7edc09744420_Application">
    <vt:lpwstr>Microsoft Azure Information Protection</vt:lpwstr>
  </property>
  <property fmtid="{D5CDD505-2E9C-101B-9397-08002B2CF9AE}" pid="9" name="MSIP_Label_74c35f9b-eda0-4196-8334-7edc09744420_ActionId">
    <vt:lpwstr>7cbe3632-d7da-46ab-9404-8b4740f41aa6</vt:lpwstr>
  </property>
  <property fmtid="{D5CDD505-2E9C-101B-9397-08002B2CF9AE}" pid="10" name="MSIP_Label_74c35f9b-eda0-4196-8334-7edc09744420_Extended_MSFT_Method">
    <vt:lpwstr>Manual</vt:lpwstr>
  </property>
  <property fmtid="{D5CDD505-2E9C-101B-9397-08002B2CF9AE}" pid="11" name="MSIP_Label_f605dc35-ad60-4173-98ce-5805a9dbcddf_Enabled">
    <vt:lpwstr>True</vt:lpwstr>
  </property>
  <property fmtid="{D5CDD505-2E9C-101B-9397-08002B2CF9AE}" pid="12" name="MSIP_Label_f605dc35-ad60-4173-98ce-5805a9dbcddf_SiteId">
    <vt:lpwstr>a45fe71a-f480-4e42-ad5e-aff33165aa35</vt:lpwstr>
  </property>
  <property fmtid="{D5CDD505-2E9C-101B-9397-08002B2CF9AE}" pid="13" name="MSIP_Label_f605dc35-ad60-4173-98ce-5805a9dbcddf_Owner">
    <vt:lpwstr>arun.gupta@nagarro.com</vt:lpwstr>
  </property>
  <property fmtid="{D5CDD505-2E9C-101B-9397-08002B2CF9AE}" pid="14" name="MSIP_Label_f605dc35-ad60-4173-98ce-5805a9dbcddf_SetDate">
    <vt:lpwstr>2019-12-17T15:12:01.0543668Z</vt:lpwstr>
  </property>
  <property fmtid="{D5CDD505-2E9C-101B-9397-08002B2CF9AE}" pid="15" name="MSIP_Label_f605dc35-ad60-4173-98ce-5805a9dbcddf_Name">
    <vt:lpwstr>Nagarro External - No Protection</vt:lpwstr>
  </property>
  <property fmtid="{D5CDD505-2E9C-101B-9397-08002B2CF9AE}" pid="16" name="MSIP_Label_f605dc35-ad60-4173-98ce-5805a9dbcddf_Application">
    <vt:lpwstr>Microsoft Azure Information Protection</vt:lpwstr>
  </property>
  <property fmtid="{D5CDD505-2E9C-101B-9397-08002B2CF9AE}" pid="17" name="MSIP_Label_f605dc35-ad60-4173-98ce-5805a9dbcddf_ActionId">
    <vt:lpwstr>7cbe3632-d7da-46ab-9404-8b4740f41aa6</vt:lpwstr>
  </property>
  <property fmtid="{D5CDD505-2E9C-101B-9397-08002B2CF9AE}" pid="18" name="MSIP_Label_f605dc35-ad60-4173-98ce-5805a9dbcddf_Parent">
    <vt:lpwstr>74c35f9b-eda0-4196-8334-7edc09744420</vt:lpwstr>
  </property>
  <property fmtid="{D5CDD505-2E9C-101B-9397-08002B2CF9AE}" pid="19" name="MSIP_Label_f605dc35-ad60-4173-98ce-5805a9dbcddf_Extended_MSFT_Method">
    <vt:lpwstr>Manual</vt:lpwstr>
  </property>
  <property fmtid="{D5CDD505-2E9C-101B-9397-08002B2CF9AE}" pid="20" name="Sensitivity">
    <vt:lpwstr>Confidential Nagarro External - No Protection</vt:lpwstr>
  </property>
</Properties>
</file>