
<file path=[Content_Types].xml><?xml version="1.0" encoding="utf-8"?>
<Types xmlns="http://schemas.openxmlformats.org/package/2006/content-types">
  <Default Extension="tmp" ContentType="image/png"/>
  <Default Extension="png" ContentType="image/png"/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av17\Downloads\cce\"/>
    </mc:Choice>
  </mc:AlternateContent>
  <bookViews>
    <workbookView xWindow="-105" yWindow="-105" windowWidth="23258" windowHeight="12458" activeTab="15"/>
  </bookViews>
  <sheets>
    <sheet name="Financials&gt;" sheetId="9" r:id="rId1"/>
    <sheet name="Profile" sheetId="24" r:id="rId2"/>
    <sheet name="Historical FS" sheetId="7" r:id="rId3"/>
    <sheet name="Commom Size Statement" sheetId="19" r:id="rId4"/>
    <sheet name="Ratio Analysis" sheetId="10" r:id="rId5"/>
    <sheet name="Forecasting" sheetId="11" r:id="rId6"/>
    <sheet name=" DCF&gt;" sheetId="13" r:id="rId7"/>
    <sheet name="WACC" sheetId="12" r:id="rId8"/>
    <sheet name="Beta" sheetId="16" r:id="rId9"/>
    <sheet name="Beta comps" sheetId="17" r:id="rId10"/>
    <sheet name="RM" sheetId="18" r:id="rId11"/>
    <sheet name="Intrinsic Growth" sheetId="21" r:id="rId12"/>
    <sheet name="DCF" sheetId="22" r:id="rId13"/>
    <sheet name="Relative P" sheetId="23" r:id="rId14"/>
    <sheet name="Data&gt;" sheetId="8" r:id="rId15"/>
    <sheet name="Data Sheet" sheetId="6" r:id="rId16"/>
    <sheet name="Cash Flow data" sheetId="4" r:id="rId17"/>
    <sheet name="Data Room" sheetId="20" r:id="rId18"/>
  </sheets>
  <definedNames>
    <definedName name="_xlnm._FilterDatabase" localSheetId="8" hidden="1">Beta!$B$9:$D$9</definedName>
    <definedName name="_xlnm.Print_Area" localSheetId="1">Profile!$A$1:$L$60</definedName>
    <definedName name="UPDATE">'Data Sheet'!$E$1</definedName>
  </definedNames>
  <calcPr calcId="191028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51" i="24" l="1"/>
  <c r="K49" i="24"/>
  <c r="K48" i="24"/>
  <c r="K47" i="24"/>
  <c r="K46" i="24"/>
  <c r="F18" i="24"/>
  <c r="E18" i="24"/>
  <c r="D18" i="24"/>
  <c r="C18" i="24"/>
  <c r="G26" i="24"/>
  <c r="G25" i="24"/>
  <c r="G22" i="24"/>
  <c r="G18" i="24"/>
  <c r="D17" i="24"/>
  <c r="E17" i="24"/>
  <c r="F17" i="24"/>
  <c r="G17" i="24"/>
  <c r="C17" i="24"/>
  <c r="D16" i="24"/>
  <c r="E16" i="24"/>
  <c r="F16" i="24"/>
  <c r="G16" i="24"/>
  <c r="C16" i="24"/>
  <c r="D15" i="24"/>
  <c r="E15" i="24"/>
  <c r="F15" i="24"/>
  <c r="G15" i="24"/>
  <c r="C15" i="24"/>
  <c r="D14" i="24"/>
  <c r="E14" i="24"/>
  <c r="F14" i="24"/>
  <c r="G14" i="24"/>
  <c r="C14" i="24"/>
  <c r="D13" i="24"/>
  <c r="E13" i="24"/>
  <c r="F13" i="24"/>
  <c r="G13" i="24"/>
  <c r="C13" i="24"/>
  <c r="D12" i="24"/>
  <c r="E12" i="24"/>
  <c r="F12" i="24"/>
  <c r="G12" i="24"/>
  <c r="C12" i="24"/>
  <c r="D11" i="24"/>
  <c r="E11" i="24"/>
  <c r="F11" i="24"/>
  <c r="G11" i="24"/>
  <c r="C11" i="24"/>
  <c r="D10" i="24"/>
  <c r="E10" i="24"/>
  <c r="F10" i="24"/>
  <c r="G10" i="24"/>
  <c r="C10" i="24"/>
  <c r="D9" i="24"/>
  <c r="E9" i="24"/>
  <c r="F9" i="24"/>
  <c r="G9" i="24"/>
  <c r="C9" i="24"/>
  <c r="H9" i="7"/>
  <c r="C30" i="10"/>
  <c r="E17" i="22"/>
  <c r="F9" i="21"/>
  <c r="G9" i="21"/>
  <c r="H9" i="21"/>
  <c r="I9" i="21"/>
  <c r="F10" i="21"/>
  <c r="G10" i="21"/>
  <c r="H10" i="21"/>
  <c r="I10" i="21"/>
  <c r="I28" i="10"/>
  <c r="J28" i="10"/>
  <c r="K28" i="10"/>
  <c r="L28" i="10"/>
  <c r="D28" i="10"/>
  <c r="E28" i="10"/>
  <c r="F28" i="10"/>
  <c r="G28" i="10"/>
  <c r="C28" i="10"/>
  <c r="C8" i="10"/>
  <c r="F43" i="21"/>
  <c r="G43" i="21"/>
  <c r="H43" i="21"/>
  <c r="I43" i="21"/>
  <c r="E43" i="21"/>
  <c r="F32" i="21"/>
  <c r="G32" i="21"/>
  <c r="H32" i="21"/>
  <c r="I32" i="21"/>
  <c r="E32" i="21"/>
  <c r="F22" i="21"/>
  <c r="G22" i="21"/>
  <c r="H22" i="21"/>
  <c r="I22" i="21"/>
  <c r="F23" i="21"/>
  <c r="G23" i="21"/>
  <c r="H23" i="21"/>
  <c r="I23" i="21"/>
  <c r="F24" i="21"/>
  <c r="G24" i="21"/>
  <c r="H24" i="21"/>
  <c r="I24" i="21"/>
  <c r="F25" i="21"/>
  <c r="G25" i="21"/>
  <c r="H25" i="21"/>
  <c r="I25" i="21"/>
  <c r="F26" i="21"/>
  <c r="G26" i="21"/>
  <c r="H26" i="21"/>
  <c r="I26" i="21"/>
  <c r="F27" i="21"/>
  <c r="G27" i="21"/>
  <c r="H27" i="21"/>
  <c r="I27" i="21"/>
  <c r="F28" i="21"/>
  <c r="G28" i="21"/>
  <c r="H28" i="21"/>
  <c r="I28" i="21"/>
  <c r="F29" i="21"/>
  <c r="G29" i="21"/>
  <c r="H29" i="21"/>
  <c r="I29" i="21"/>
  <c r="F30" i="21"/>
  <c r="G30" i="21"/>
  <c r="H30" i="21"/>
  <c r="I30" i="21"/>
  <c r="F31" i="21"/>
  <c r="F33" i="21" s="1"/>
  <c r="G31" i="21"/>
  <c r="G33" i="21" s="1"/>
  <c r="H31" i="21"/>
  <c r="H33" i="21" s="1"/>
  <c r="I31" i="21"/>
  <c r="I33" i="21" s="1"/>
  <c r="E23" i="21"/>
  <c r="E24" i="21"/>
  <c r="E25" i="21"/>
  <c r="E26" i="21"/>
  <c r="E27" i="21"/>
  <c r="E28" i="21"/>
  <c r="E29" i="21"/>
  <c r="E30" i="21"/>
  <c r="E31" i="21"/>
  <c r="E33" i="21"/>
  <c r="E22" i="21"/>
  <c r="F16" i="21"/>
  <c r="G16" i="21"/>
  <c r="H16" i="21"/>
  <c r="I16" i="21"/>
  <c r="E16" i="21"/>
  <c r="F15" i="21"/>
  <c r="G15" i="21"/>
  <c r="H15" i="21"/>
  <c r="I15" i="21"/>
  <c r="E15" i="21"/>
  <c r="F14" i="21"/>
  <c r="F17" i="21" s="1"/>
  <c r="G14" i="21"/>
  <c r="G17" i="21" s="1"/>
  <c r="H14" i="21"/>
  <c r="H17" i="21" s="1"/>
  <c r="I14" i="21"/>
  <c r="I17" i="21" s="1"/>
  <c r="E14" i="21"/>
  <c r="E10" i="21"/>
  <c r="E9" i="21"/>
  <c r="F8" i="21"/>
  <c r="F11" i="21" s="1"/>
  <c r="G8" i="21"/>
  <c r="G11" i="21" s="1"/>
  <c r="H8" i="21"/>
  <c r="H11" i="21" s="1"/>
  <c r="I8" i="21"/>
  <c r="I11" i="21" s="1"/>
  <c r="E8" i="21"/>
  <c r="F5" i="21"/>
  <c r="G5" i="21"/>
  <c r="H5" i="21"/>
  <c r="I5" i="21"/>
  <c r="E5" i="21"/>
  <c r="E41" i="21" s="1"/>
  <c r="L11" i="23"/>
  <c r="L12" i="23"/>
  <c r="L13" i="23"/>
  <c r="L14" i="23"/>
  <c r="L15" i="23"/>
  <c r="L16" i="23"/>
  <c r="L17" i="23"/>
  <c r="L18" i="23"/>
  <c r="L19" i="23"/>
  <c r="K11" i="23"/>
  <c r="K12" i="23"/>
  <c r="K13" i="23"/>
  <c r="K14" i="23"/>
  <c r="K15" i="23"/>
  <c r="K16" i="23"/>
  <c r="K17" i="23"/>
  <c r="K18" i="23"/>
  <c r="K19" i="23"/>
  <c r="J11" i="23"/>
  <c r="J12" i="23"/>
  <c r="J13" i="23"/>
  <c r="J14" i="23"/>
  <c r="J15" i="23"/>
  <c r="J16" i="23"/>
  <c r="J17" i="23"/>
  <c r="J18" i="23"/>
  <c r="J19" i="23"/>
  <c r="L10" i="23"/>
  <c r="K10" i="23"/>
  <c r="J10" i="23"/>
  <c r="J68" i="20"/>
  <c r="G11" i="23" s="1"/>
  <c r="J69" i="20"/>
  <c r="G12" i="23" s="1"/>
  <c r="J70" i="20"/>
  <c r="G13" i="23" s="1"/>
  <c r="J71" i="20"/>
  <c r="G14" i="23" s="1"/>
  <c r="J72" i="20"/>
  <c r="G15" i="23" s="1"/>
  <c r="J73" i="20"/>
  <c r="G16" i="23" s="1"/>
  <c r="J74" i="20"/>
  <c r="G17" i="23" s="1"/>
  <c r="J75" i="20"/>
  <c r="G18" i="23" s="1"/>
  <c r="J76" i="20"/>
  <c r="G19" i="23" s="1"/>
  <c r="J67" i="20"/>
  <c r="G10" i="23" s="1"/>
  <c r="E11" i="23"/>
  <c r="E12" i="23"/>
  <c r="E13" i="23"/>
  <c r="E14" i="23"/>
  <c r="E15" i="23"/>
  <c r="E16" i="23"/>
  <c r="E17" i="23"/>
  <c r="E18" i="23"/>
  <c r="E19" i="23"/>
  <c r="E10" i="23"/>
  <c r="D11" i="23"/>
  <c r="D12" i="23"/>
  <c r="D13" i="23"/>
  <c r="D14" i="23"/>
  <c r="D15" i="23"/>
  <c r="D16" i="23"/>
  <c r="D17" i="23"/>
  <c r="D18" i="23"/>
  <c r="D19" i="23"/>
  <c r="D10" i="23"/>
  <c r="B19" i="23"/>
  <c r="B11" i="23"/>
  <c r="B12" i="23"/>
  <c r="B13" i="23"/>
  <c r="B14" i="23"/>
  <c r="B15" i="23"/>
  <c r="B16" i="23"/>
  <c r="B17" i="23"/>
  <c r="B18" i="23"/>
  <c r="B10" i="23"/>
  <c r="F68" i="20"/>
  <c r="H68" i="20" s="1"/>
  <c r="F69" i="20"/>
  <c r="H69" i="20" s="1"/>
  <c r="F70" i="20"/>
  <c r="H70" i="20" s="1"/>
  <c r="F71" i="20"/>
  <c r="H71" i="20" s="1"/>
  <c r="F72" i="20"/>
  <c r="H72" i="20" s="1"/>
  <c r="F73" i="20"/>
  <c r="H73" i="20" s="1"/>
  <c r="F74" i="20"/>
  <c r="H74" i="20" s="1"/>
  <c r="F75" i="20"/>
  <c r="H75" i="20" s="1"/>
  <c r="F76" i="20"/>
  <c r="H76" i="20" s="1"/>
  <c r="F84" i="20"/>
  <c r="H84" i="20" s="1"/>
  <c r="F85" i="20"/>
  <c r="H85" i="20" s="1"/>
  <c r="F86" i="20"/>
  <c r="H86" i="20" s="1"/>
  <c r="F87" i="20"/>
  <c r="H87" i="20" s="1"/>
  <c r="F88" i="20"/>
  <c r="H88" i="20" s="1"/>
  <c r="F89" i="20"/>
  <c r="H89" i="20" s="1"/>
  <c r="F90" i="20"/>
  <c r="H90" i="20" s="1"/>
  <c r="F91" i="20"/>
  <c r="H91" i="20" s="1"/>
  <c r="F92" i="20"/>
  <c r="H92" i="20" s="1"/>
  <c r="F93" i="20"/>
  <c r="H93" i="20" s="1"/>
  <c r="F94" i="20"/>
  <c r="H94" i="20" s="1"/>
  <c r="F95" i="20"/>
  <c r="H95" i="20" s="1"/>
  <c r="F96" i="20"/>
  <c r="H96" i="20" s="1"/>
  <c r="F97" i="20"/>
  <c r="H97" i="20" s="1"/>
  <c r="F98" i="20"/>
  <c r="H98" i="20" s="1"/>
  <c r="F99" i="20"/>
  <c r="H99" i="20" s="1"/>
  <c r="F100" i="20"/>
  <c r="H100" i="20" s="1"/>
  <c r="F101" i="20"/>
  <c r="H101" i="20" s="1"/>
  <c r="F102" i="20"/>
  <c r="H102" i="20" s="1"/>
  <c r="F103" i="20"/>
  <c r="H103" i="20" s="1"/>
  <c r="F67" i="20"/>
  <c r="H67" i="20" s="1"/>
  <c r="D39" i="22"/>
  <c r="D36" i="22"/>
  <c r="D35" i="22"/>
  <c r="D26" i="22"/>
  <c r="G12" i="22"/>
  <c r="H12" i="22" s="1"/>
  <c r="I12" i="22" s="1"/>
  <c r="J12" i="22" s="1"/>
  <c r="E17" i="21"/>
  <c r="B14" i="21" a="1"/>
  <c r="B14" i="21"/>
  <c r="F19" i="21"/>
  <c r="E11" i="21"/>
  <c r="E19" i="21" s="1"/>
  <c r="E35" i="21" s="1"/>
  <c r="B9" i="21" a="1"/>
  <c r="B9" i="21"/>
  <c r="B8" i="21"/>
  <c r="F41" i="21"/>
  <c r="F56" i="21" s="1"/>
  <c r="G41" i="21"/>
  <c r="G56" i="21" s="1"/>
  <c r="H41" i="21"/>
  <c r="H56" i="21" s="1"/>
  <c r="E56" i="21"/>
  <c r="J16" i="19"/>
  <c r="D42" i="19"/>
  <c r="E42" i="19"/>
  <c r="F42" i="19"/>
  <c r="G42" i="19"/>
  <c r="H42" i="19"/>
  <c r="I42" i="19"/>
  <c r="J42" i="19"/>
  <c r="K42" i="19"/>
  <c r="L42" i="19"/>
  <c r="D43" i="19"/>
  <c r="E43" i="19"/>
  <c r="F43" i="19"/>
  <c r="G43" i="19"/>
  <c r="H43" i="19"/>
  <c r="I43" i="19"/>
  <c r="J43" i="19"/>
  <c r="K43" i="19"/>
  <c r="L43" i="19"/>
  <c r="C43" i="19"/>
  <c r="E41" i="19"/>
  <c r="F41" i="19"/>
  <c r="G41" i="19"/>
  <c r="H41" i="19"/>
  <c r="I41" i="19"/>
  <c r="J41" i="19"/>
  <c r="K41" i="19"/>
  <c r="L41" i="19"/>
  <c r="D41" i="19"/>
  <c r="C42" i="19"/>
  <c r="C41" i="19"/>
  <c r="D40" i="19"/>
  <c r="E40" i="19"/>
  <c r="F40" i="19"/>
  <c r="G40" i="19"/>
  <c r="H40" i="19"/>
  <c r="I40" i="19"/>
  <c r="J40" i="19"/>
  <c r="K40" i="19"/>
  <c r="L40" i="19"/>
  <c r="C40" i="19"/>
  <c r="C74" i="6"/>
  <c r="D74" i="6"/>
  <c r="E74" i="6"/>
  <c r="F74" i="6"/>
  <c r="G74" i="6"/>
  <c r="H74" i="6"/>
  <c r="I74" i="6"/>
  <c r="J74" i="6"/>
  <c r="K74" i="6"/>
  <c r="B74" i="6"/>
  <c r="D37" i="19"/>
  <c r="E37" i="19"/>
  <c r="F37" i="19"/>
  <c r="G37" i="19"/>
  <c r="H37" i="19"/>
  <c r="I37" i="19"/>
  <c r="J37" i="19"/>
  <c r="K37" i="19"/>
  <c r="L37" i="19"/>
  <c r="D38" i="19"/>
  <c r="E38" i="19"/>
  <c r="F38" i="19"/>
  <c r="G38" i="19"/>
  <c r="H38" i="19"/>
  <c r="I38" i="19"/>
  <c r="J38" i="19"/>
  <c r="K38" i="19"/>
  <c r="L38" i="19"/>
  <c r="D39" i="19"/>
  <c r="E39" i="19"/>
  <c r="F39" i="19"/>
  <c r="G39" i="19"/>
  <c r="H39" i="19"/>
  <c r="I39" i="19"/>
  <c r="J39" i="19"/>
  <c r="K39" i="19"/>
  <c r="L39" i="19"/>
  <c r="C38" i="19"/>
  <c r="C39" i="19"/>
  <c r="C37" i="19"/>
  <c r="L36" i="19"/>
  <c r="D36" i="19"/>
  <c r="E36" i="19"/>
  <c r="F36" i="19"/>
  <c r="G36" i="19"/>
  <c r="H36" i="19"/>
  <c r="I36" i="19"/>
  <c r="J36" i="19"/>
  <c r="K36" i="19"/>
  <c r="C36" i="19"/>
  <c r="D30" i="19"/>
  <c r="E30" i="19"/>
  <c r="F30" i="19"/>
  <c r="G30" i="19"/>
  <c r="H30" i="19"/>
  <c r="I30" i="19"/>
  <c r="J30" i="19"/>
  <c r="K30" i="19"/>
  <c r="L30" i="19"/>
  <c r="D33" i="19"/>
  <c r="E33" i="19"/>
  <c r="F33" i="19"/>
  <c r="G33" i="19"/>
  <c r="H33" i="19"/>
  <c r="I33" i="19"/>
  <c r="J33" i="19"/>
  <c r="K33" i="19"/>
  <c r="L33" i="19"/>
  <c r="D34" i="19"/>
  <c r="E34" i="19"/>
  <c r="F34" i="19"/>
  <c r="G34" i="19"/>
  <c r="H34" i="19"/>
  <c r="I34" i="19"/>
  <c r="J34" i="19"/>
  <c r="K34" i="19"/>
  <c r="L34" i="19"/>
  <c r="C34" i="19"/>
  <c r="C32" i="19"/>
  <c r="D32" i="19"/>
  <c r="E32" i="19"/>
  <c r="F32" i="19"/>
  <c r="G32" i="19"/>
  <c r="H32" i="19"/>
  <c r="I32" i="19"/>
  <c r="J32" i="19"/>
  <c r="K32" i="19"/>
  <c r="L32" i="19"/>
  <c r="C33" i="19"/>
  <c r="D31" i="19"/>
  <c r="E31" i="19"/>
  <c r="F31" i="19"/>
  <c r="G31" i="19"/>
  <c r="H31" i="19"/>
  <c r="I31" i="19"/>
  <c r="J31" i="19"/>
  <c r="K31" i="19"/>
  <c r="L31" i="19"/>
  <c r="C31" i="19"/>
  <c r="C30" i="19"/>
  <c r="B32" i="19"/>
  <c r="B33" i="19"/>
  <c r="B34" i="19"/>
  <c r="B37" i="19"/>
  <c r="B38" i="19"/>
  <c r="B39" i="19"/>
  <c r="B40" i="19"/>
  <c r="B41" i="19"/>
  <c r="B42" i="19"/>
  <c r="B43" i="19"/>
  <c r="B31" i="19"/>
  <c r="C10" i="19"/>
  <c r="D10" i="19"/>
  <c r="E10" i="19"/>
  <c r="F10" i="19"/>
  <c r="G10" i="19"/>
  <c r="H10" i="19"/>
  <c r="I10" i="19"/>
  <c r="J10" i="19"/>
  <c r="K10" i="19"/>
  <c r="L10" i="19"/>
  <c r="C11" i="19"/>
  <c r="D11" i="19"/>
  <c r="E11" i="19"/>
  <c r="F11" i="19"/>
  <c r="G11" i="19"/>
  <c r="H11" i="19"/>
  <c r="I11" i="19"/>
  <c r="J11" i="19"/>
  <c r="K11" i="19"/>
  <c r="L11" i="19"/>
  <c r="C12" i="19"/>
  <c r="D12" i="19"/>
  <c r="E12" i="19"/>
  <c r="F12" i="19"/>
  <c r="G12" i="19"/>
  <c r="H12" i="19"/>
  <c r="I12" i="19"/>
  <c r="J12" i="19"/>
  <c r="K12" i="19"/>
  <c r="L12" i="19"/>
  <c r="C13" i="19"/>
  <c r="D13" i="19"/>
  <c r="E13" i="19"/>
  <c r="F13" i="19"/>
  <c r="G13" i="19"/>
  <c r="H13" i="19"/>
  <c r="I13" i="19"/>
  <c r="J13" i="19"/>
  <c r="K13" i="19"/>
  <c r="L13" i="19"/>
  <c r="C14" i="19"/>
  <c r="D14" i="19"/>
  <c r="E14" i="19"/>
  <c r="F14" i="19"/>
  <c r="G14" i="19"/>
  <c r="H14" i="19"/>
  <c r="I14" i="19"/>
  <c r="J14" i="19"/>
  <c r="K14" i="19"/>
  <c r="L14" i="19"/>
  <c r="C15" i="19"/>
  <c r="D15" i="19"/>
  <c r="E15" i="19"/>
  <c r="F15" i="19"/>
  <c r="G15" i="19"/>
  <c r="H15" i="19"/>
  <c r="I15" i="19"/>
  <c r="J15" i="19"/>
  <c r="K15" i="19"/>
  <c r="L15" i="19"/>
  <c r="C16" i="19"/>
  <c r="D16" i="19"/>
  <c r="E16" i="19"/>
  <c r="F16" i="19"/>
  <c r="G16" i="19"/>
  <c r="H16" i="19"/>
  <c r="I16" i="19"/>
  <c r="K16" i="19"/>
  <c r="L16" i="19"/>
  <c r="C17" i="19"/>
  <c r="D17" i="19"/>
  <c r="E17" i="19"/>
  <c r="F17" i="19"/>
  <c r="G17" i="19"/>
  <c r="H17" i="19"/>
  <c r="I17" i="19"/>
  <c r="J17" i="19"/>
  <c r="K17" i="19"/>
  <c r="L17" i="19"/>
  <c r="C18" i="19"/>
  <c r="D18" i="19"/>
  <c r="E18" i="19"/>
  <c r="F18" i="19"/>
  <c r="G18" i="19"/>
  <c r="H18" i="19"/>
  <c r="I18" i="19"/>
  <c r="J18" i="19"/>
  <c r="K18" i="19"/>
  <c r="L18" i="19"/>
  <c r="C19" i="19"/>
  <c r="D19" i="19"/>
  <c r="E19" i="19"/>
  <c r="F19" i="19"/>
  <c r="G19" i="19"/>
  <c r="H19" i="19"/>
  <c r="I19" i="19"/>
  <c r="J19" i="19"/>
  <c r="K19" i="19"/>
  <c r="L19" i="19"/>
  <c r="C20" i="19"/>
  <c r="D20" i="19"/>
  <c r="E20" i="19"/>
  <c r="F20" i="19"/>
  <c r="G20" i="19"/>
  <c r="H20" i="19"/>
  <c r="I20" i="19"/>
  <c r="J20" i="19"/>
  <c r="K20" i="19"/>
  <c r="L20" i="19"/>
  <c r="C21" i="19"/>
  <c r="D21" i="19"/>
  <c r="E21" i="19"/>
  <c r="F21" i="19"/>
  <c r="G21" i="19"/>
  <c r="H21" i="19"/>
  <c r="I21" i="19"/>
  <c r="J21" i="19"/>
  <c r="K21" i="19"/>
  <c r="L21" i="19"/>
  <c r="C22" i="19"/>
  <c r="D22" i="19"/>
  <c r="E22" i="19"/>
  <c r="F22" i="19"/>
  <c r="G22" i="19"/>
  <c r="H22" i="19"/>
  <c r="I22" i="19"/>
  <c r="J22" i="19"/>
  <c r="K22" i="19"/>
  <c r="L22" i="19"/>
  <c r="C23" i="19"/>
  <c r="D23" i="19"/>
  <c r="E23" i="19"/>
  <c r="F23" i="19"/>
  <c r="G23" i="19"/>
  <c r="H23" i="19"/>
  <c r="I23" i="19"/>
  <c r="J23" i="19"/>
  <c r="K23" i="19"/>
  <c r="L23" i="19"/>
  <c r="D9" i="19"/>
  <c r="E9" i="19"/>
  <c r="F9" i="19"/>
  <c r="G9" i="19"/>
  <c r="H9" i="19"/>
  <c r="I9" i="19"/>
  <c r="J9" i="19"/>
  <c r="K9" i="19"/>
  <c r="L9" i="19"/>
  <c r="C9" i="19"/>
  <c r="B9" i="19"/>
  <c r="B23" i="19"/>
  <c r="B10" i="19"/>
  <c r="B11" i="19"/>
  <c r="B12" i="19"/>
  <c r="B13" i="19"/>
  <c r="B14" i="19"/>
  <c r="B15" i="19"/>
  <c r="B16" i="19"/>
  <c r="B17" i="19"/>
  <c r="B18" i="19"/>
  <c r="B19" i="19"/>
  <c r="B20" i="19"/>
  <c r="B21" i="19"/>
  <c r="B22" i="19"/>
  <c r="D7" i="19"/>
  <c r="E7" i="19"/>
  <c r="F7" i="19"/>
  <c r="G7" i="19"/>
  <c r="H7" i="19"/>
  <c r="I7" i="19"/>
  <c r="J7" i="19"/>
  <c r="K7" i="19"/>
  <c r="L7" i="19"/>
  <c r="C7" i="19"/>
  <c r="F15" i="12"/>
  <c r="F16" i="12"/>
  <c r="F17" i="12"/>
  <c r="F18" i="12"/>
  <c r="F19" i="12"/>
  <c r="F14" i="12"/>
  <c r="E15" i="12"/>
  <c r="E16" i="12"/>
  <c r="E17" i="12"/>
  <c r="E18" i="12"/>
  <c r="E19" i="12"/>
  <c r="E14" i="12"/>
  <c r="D12" i="18"/>
  <c r="D13" i="18"/>
  <c r="D14" i="18"/>
  <c r="D15" i="18"/>
  <c r="D16" i="18"/>
  <c r="D17" i="18"/>
  <c r="D18" i="18"/>
  <c r="D19" i="18"/>
  <c r="D20" i="18"/>
  <c r="D21" i="18"/>
  <c r="D22" i="18"/>
  <c r="D23" i="18"/>
  <c r="D24" i="18"/>
  <c r="D25" i="18"/>
  <c r="D26" i="18"/>
  <c r="D27" i="18"/>
  <c r="D28" i="18"/>
  <c r="D29" i="18"/>
  <c r="D30" i="18"/>
  <c r="D31" i="18"/>
  <c r="D32" i="18"/>
  <c r="D9" i="18"/>
  <c r="D10" i="18"/>
  <c r="D11" i="18"/>
  <c r="C8" i="18"/>
  <c r="D8" i="18" s="1"/>
  <c r="L35" i="12"/>
  <c r="AT13" i="16"/>
  <c r="AT14" i="16"/>
  <c r="AT15" i="16"/>
  <c r="AT16" i="16"/>
  <c r="AT17" i="16"/>
  <c r="AT18" i="16"/>
  <c r="AT19" i="16"/>
  <c r="AT20" i="16"/>
  <c r="AT21" i="16"/>
  <c r="AT22" i="16"/>
  <c r="AT23" i="16"/>
  <c r="AT24" i="16"/>
  <c r="AT25" i="16"/>
  <c r="AT26" i="16"/>
  <c r="AT27" i="16"/>
  <c r="AT28" i="16"/>
  <c r="AT29" i="16"/>
  <c r="AT30" i="16"/>
  <c r="AT31" i="16"/>
  <c r="AT32" i="16"/>
  <c r="AT33" i="16"/>
  <c r="AT34" i="16"/>
  <c r="AT35" i="16"/>
  <c r="AT36" i="16"/>
  <c r="AT37" i="16"/>
  <c r="AT38" i="16"/>
  <c r="AT39" i="16"/>
  <c r="AT40" i="16"/>
  <c r="AT41" i="16"/>
  <c r="AT42" i="16"/>
  <c r="AT43" i="16"/>
  <c r="AT44" i="16"/>
  <c r="AT45" i="16"/>
  <c r="AT46" i="16"/>
  <c r="AT47" i="16"/>
  <c r="AT48" i="16"/>
  <c r="AT49" i="16"/>
  <c r="AT50" i="16"/>
  <c r="AT51" i="16"/>
  <c r="AT52" i="16"/>
  <c r="AT53" i="16"/>
  <c r="AT54" i="16"/>
  <c r="AT55" i="16"/>
  <c r="AT56" i="16"/>
  <c r="AT57" i="16"/>
  <c r="AT58" i="16"/>
  <c r="AT59" i="16"/>
  <c r="AT60" i="16"/>
  <c r="AT61" i="16"/>
  <c r="AT62" i="16"/>
  <c r="AT63" i="16"/>
  <c r="AT64" i="16"/>
  <c r="AT65" i="16"/>
  <c r="AT66" i="16"/>
  <c r="AT67" i="16"/>
  <c r="AT68" i="16"/>
  <c r="AT69" i="16"/>
  <c r="AT70" i="16"/>
  <c r="AT71" i="16"/>
  <c r="AT72" i="16"/>
  <c r="AT73" i="16"/>
  <c r="AT74" i="16"/>
  <c r="AT75" i="16"/>
  <c r="AT76" i="16"/>
  <c r="AT77" i="16"/>
  <c r="AT78" i="16"/>
  <c r="AT79" i="16"/>
  <c r="AT80" i="16"/>
  <c r="AT81" i="16"/>
  <c r="AT82" i="16"/>
  <c r="AT83" i="16"/>
  <c r="AT84" i="16"/>
  <c r="AT85" i="16"/>
  <c r="AT86" i="16"/>
  <c r="AT87" i="16"/>
  <c r="AT88" i="16"/>
  <c r="AT89" i="16"/>
  <c r="AT90" i="16"/>
  <c r="AT91" i="16"/>
  <c r="AT92" i="16"/>
  <c r="AT93" i="16"/>
  <c r="AT94" i="16"/>
  <c r="AT95" i="16"/>
  <c r="AT96" i="16"/>
  <c r="AT97" i="16"/>
  <c r="AT98" i="16"/>
  <c r="AT99" i="16"/>
  <c r="AT100" i="16"/>
  <c r="AT101" i="16"/>
  <c r="AT102" i="16"/>
  <c r="AT103" i="16"/>
  <c r="AT104" i="16"/>
  <c r="AT105" i="16"/>
  <c r="AT106" i="16"/>
  <c r="AT107" i="16"/>
  <c r="AT108" i="16"/>
  <c r="AT109" i="16"/>
  <c r="AT110" i="16"/>
  <c r="AT111" i="16"/>
  <c r="AT112" i="16"/>
  <c r="AT113" i="16"/>
  <c r="AT114" i="16"/>
  <c r="AT12" i="16"/>
  <c r="C35" i="12"/>
  <c r="I16" i="12"/>
  <c r="I17" i="12"/>
  <c r="I18" i="12"/>
  <c r="I14" i="12"/>
  <c r="AL13" i="16"/>
  <c r="AL14" i="16"/>
  <c r="AL15" i="16"/>
  <c r="AL16" i="16"/>
  <c r="AL17" i="16"/>
  <c r="AL18" i="16"/>
  <c r="AL19" i="16"/>
  <c r="AL20" i="16"/>
  <c r="AL21" i="16"/>
  <c r="AL22" i="16"/>
  <c r="AL23" i="16"/>
  <c r="AL24" i="16"/>
  <c r="AL25" i="16"/>
  <c r="AL26" i="16"/>
  <c r="AL27" i="16"/>
  <c r="AL28" i="16"/>
  <c r="AL29" i="16"/>
  <c r="AL30" i="16"/>
  <c r="AL31" i="16"/>
  <c r="AL32" i="16"/>
  <c r="AL33" i="16"/>
  <c r="AL34" i="16"/>
  <c r="AL35" i="16"/>
  <c r="AL36" i="16"/>
  <c r="AL37" i="16"/>
  <c r="AL38" i="16"/>
  <c r="AL39" i="16"/>
  <c r="AL40" i="16"/>
  <c r="AL41" i="16"/>
  <c r="AL42" i="16"/>
  <c r="AL43" i="16"/>
  <c r="AL44" i="16"/>
  <c r="AL45" i="16"/>
  <c r="AL46" i="16"/>
  <c r="AL47" i="16"/>
  <c r="AL48" i="16"/>
  <c r="AL49" i="16"/>
  <c r="AL50" i="16"/>
  <c r="AL51" i="16"/>
  <c r="AL52" i="16"/>
  <c r="AL53" i="16"/>
  <c r="AL54" i="16"/>
  <c r="AL55" i="16"/>
  <c r="AL56" i="16"/>
  <c r="AL57" i="16"/>
  <c r="AL58" i="16"/>
  <c r="AL59" i="16"/>
  <c r="AL60" i="16"/>
  <c r="AL61" i="16"/>
  <c r="AL62" i="16"/>
  <c r="AL63" i="16"/>
  <c r="AL64" i="16"/>
  <c r="AL65" i="16"/>
  <c r="AL66" i="16"/>
  <c r="AL67" i="16"/>
  <c r="AL68" i="16"/>
  <c r="AL69" i="16"/>
  <c r="AL70" i="16"/>
  <c r="AL71" i="16"/>
  <c r="AL72" i="16"/>
  <c r="AL73" i="16"/>
  <c r="AL74" i="16"/>
  <c r="AL75" i="16"/>
  <c r="AL76" i="16"/>
  <c r="AL77" i="16"/>
  <c r="AL78" i="16"/>
  <c r="AL79" i="16"/>
  <c r="AL80" i="16"/>
  <c r="AL81" i="16"/>
  <c r="AL82" i="16"/>
  <c r="AL83" i="16"/>
  <c r="AL84" i="16"/>
  <c r="AL85" i="16"/>
  <c r="AL86" i="16"/>
  <c r="AL87" i="16"/>
  <c r="AL88" i="16"/>
  <c r="AL89" i="16"/>
  <c r="AL90" i="16"/>
  <c r="AL91" i="16"/>
  <c r="AL92" i="16"/>
  <c r="AL93" i="16"/>
  <c r="AL94" i="16"/>
  <c r="AL95" i="16"/>
  <c r="AL96" i="16"/>
  <c r="AL97" i="16"/>
  <c r="AL98" i="16"/>
  <c r="AL99" i="16"/>
  <c r="AL100" i="16"/>
  <c r="AL101" i="16"/>
  <c r="AL102" i="16"/>
  <c r="AL103" i="16"/>
  <c r="AL104" i="16"/>
  <c r="AL105" i="16"/>
  <c r="AL106" i="16"/>
  <c r="AL107" i="16"/>
  <c r="AL108" i="16"/>
  <c r="AL109" i="16"/>
  <c r="AL110" i="16"/>
  <c r="AL111" i="16"/>
  <c r="AL112" i="16"/>
  <c r="AL113" i="16"/>
  <c r="AL114" i="16"/>
  <c r="AL12" i="16"/>
  <c r="AD13" i="16"/>
  <c r="AD14" i="16"/>
  <c r="AD15" i="16"/>
  <c r="AD16" i="16"/>
  <c r="AD17" i="16"/>
  <c r="AD18" i="16"/>
  <c r="AD19" i="16"/>
  <c r="AD20" i="16"/>
  <c r="AD21" i="16"/>
  <c r="AD22" i="16"/>
  <c r="AD23" i="16"/>
  <c r="AD24" i="16"/>
  <c r="AD25" i="16"/>
  <c r="AD26" i="16"/>
  <c r="AD27" i="16"/>
  <c r="AD28" i="16"/>
  <c r="AD29" i="16"/>
  <c r="AD30" i="16"/>
  <c r="AD31" i="16"/>
  <c r="AD32" i="16"/>
  <c r="AD33" i="16"/>
  <c r="AD34" i="16"/>
  <c r="AD35" i="16"/>
  <c r="AD36" i="16"/>
  <c r="AD37" i="16"/>
  <c r="AD38" i="16"/>
  <c r="AD39" i="16"/>
  <c r="AD40" i="16"/>
  <c r="AD41" i="16"/>
  <c r="AD42" i="16"/>
  <c r="AD43" i="16"/>
  <c r="AD44" i="16"/>
  <c r="AD45" i="16"/>
  <c r="AD46" i="16"/>
  <c r="AD47" i="16"/>
  <c r="AD48" i="16"/>
  <c r="AD49" i="16"/>
  <c r="AD50" i="16"/>
  <c r="AD51" i="16"/>
  <c r="AD52" i="16"/>
  <c r="AD53" i="16"/>
  <c r="AD54" i="16"/>
  <c r="AD55" i="16"/>
  <c r="AD56" i="16"/>
  <c r="AD57" i="16"/>
  <c r="AD58" i="16"/>
  <c r="AD59" i="16"/>
  <c r="AD60" i="16"/>
  <c r="AD61" i="16"/>
  <c r="AD62" i="16"/>
  <c r="AD63" i="16"/>
  <c r="AD64" i="16"/>
  <c r="AD65" i="16"/>
  <c r="AD66" i="16"/>
  <c r="AD67" i="16"/>
  <c r="AD68" i="16"/>
  <c r="AD69" i="16"/>
  <c r="AD70" i="16"/>
  <c r="AD71" i="16"/>
  <c r="AD72" i="16"/>
  <c r="AD73" i="16"/>
  <c r="AD74" i="16"/>
  <c r="AD75" i="16"/>
  <c r="AD76" i="16"/>
  <c r="AD77" i="16"/>
  <c r="AD78" i="16"/>
  <c r="AD79" i="16"/>
  <c r="AD80" i="16"/>
  <c r="AD81" i="16"/>
  <c r="AD82" i="16"/>
  <c r="AD83" i="16"/>
  <c r="AD84" i="16"/>
  <c r="AD85" i="16"/>
  <c r="AD86" i="16"/>
  <c r="AD87" i="16"/>
  <c r="AD88" i="16"/>
  <c r="AD89" i="16"/>
  <c r="AD90" i="16"/>
  <c r="AD91" i="16"/>
  <c r="AD92" i="16"/>
  <c r="AD93" i="16"/>
  <c r="AD94" i="16"/>
  <c r="AD95" i="16"/>
  <c r="AD96" i="16"/>
  <c r="AD97" i="16"/>
  <c r="AD98" i="16"/>
  <c r="AD99" i="16"/>
  <c r="AD100" i="16"/>
  <c r="AD101" i="16"/>
  <c r="AD102" i="16"/>
  <c r="AD103" i="16"/>
  <c r="AD104" i="16"/>
  <c r="AD105" i="16"/>
  <c r="AD106" i="16"/>
  <c r="AD107" i="16"/>
  <c r="AD108" i="16"/>
  <c r="AD109" i="16"/>
  <c r="AD110" i="16"/>
  <c r="AD111" i="16"/>
  <c r="AD112" i="16"/>
  <c r="AD113" i="16"/>
  <c r="AD114" i="16"/>
  <c r="AD12" i="16"/>
  <c r="V13" i="16"/>
  <c r="V14" i="16"/>
  <c r="V15" i="16"/>
  <c r="V16" i="16"/>
  <c r="V17" i="16"/>
  <c r="V18" i="16"/>
  <c r="V19" i="16"/>
  <c r="V20" i="16"/>
  <c r="V21" i="16"/>
  <c r="V22" i="16"/>
  <c r="V23" i="16"/>
  <c r="V24" i="16"/>
  <c r="V25" i="16"/>
  <c r="V26" i="16"/>
  <c r="V27" i="16"/>
  <c r="V28" i="16"/>
  <c r="V29" i="16"/>
  <c r="V30" i="16"/>
  <c r="V31" i="16"/>
  <c r="V32" i="16"/>
  <c r="V33" i="16"/>
  <c r="V34" i="16"/>
  <c r="V35" i="16"/>
  <c r="V36" i="16"/>
  <c r="V37" i="16"/>
  <c r="V38" i="16"/>
  <c r="V39" i="16"/>
  <c r="V40" i="16"/>
  <c r="V41" i="16"/>
  <c r="V42" i="16"/>
  <c r="V43" i="16"/>
  <c r="V44" i="16"/>
  <c r="V45" i="16"/>
  <c r="V46" i="16"/>
  <c r="V47" i="16"/>
  <c r="V48" i="16"/>
  <c r="V49" i="16"/>
  <c r="V50" i="16"/>
  <c r="V51" i="16"/>
  <c r="V52" i="16"/>
  <c r="V53" i="16"/>
  <c r="V54" i="16"/>
  <c r="V55" i="16"/>
  <c r="V56" i="16"/>
  <c r="V57" i="16"/>
  <c r="V58" i="16"/>
  <c r="V59" i="16"/>
  <c r="V60" i="16"/>
  <c r="V61" i="16"/>
  <c r="V62" i="16"/>
  <c r="V63" i="16"/>
  <c r="V64" i="16"/>
  <c r="V65" i="16"/>
  <c r="V66" i="16"/>
  <c r="V67" i="16"/>
  <c r="V68" i="16"/>
  <c r="V69" i="16"/>
  <c r="V70" i="16"/>
  <c r="V71" i="16"/>
  <c r="V72" i="16"/>
  <c r="V73" i="16"/>
  <c r="V74" i="16"/>
  <c r="V75" i="16"/>
  <c r="V76" i="16"/>
  <c r="V77" i="16"/>
  <c r="V78" i="16"/>
  <c r="V79" i="16"/>
  <c r="V80" i="16"/>
  <c r="V81" i="16"/>
  <c r="V82" i="16"/>
  <c r="V83" i="16"/>
  <c r="V84" i="16"/>
  <c r="V85" i="16"/>
  <c r="V86" i="16"/>
  <c r="V87" i="16"/>
  <c r="V88" i="16"/>
  <c r="V89" i="16"/>
  <c r="V90" i="16"/>
  <c r="V91" i="16"/>
  <c r="V92" i="16"/>
  <c r="V93" i="16"/>
  <c r="V94" i="16"/>
  <c r="V95" i="16"/>
  <c r="V96" i="16"/>
  <c r="V97" i="16"/>
  <c r="V98" i="16"/>
  <c r="V99" i="16"/>
  <c r="V100" i="16"/>
  <c r="V101" i="16"/>
  <c r="V102" i="16"/>
  <c r="V103" i="16"/>
  <c r="V104" i="16"/>
  <c r="V105" i="16"/>
  <c r="V106" i="16"/>
  <c r="V107" i="16"/>
  <c r="V108" i="16"/>
  <c r="V109" i="16"/>
  <c r="V110" i="16"/>
  <c r="V111" i="16"/>
  <c r="V112" i="16"/>
  <c r="V113" i="16"/>
  <c r="V114" i="16"/>
  <c r="V12" i="16"/>
  <c r="N13" i="16"/>
  <c r="N14" i="16"/>
  <c r="N15" i="16"/>
  <c r="N16" i="16"/>
  <c r="N17" i="16"/>
  <c r="N18" i="16"/>
  <c r="N19" i="16"/>
  <c r="N20" i="16"/>
  <c r="N21" i="16"/>
  <c r="N22" i="16"/>
  <c r="N23" i="16"/>
  <c r="N24" i="16"/>
  <c r="N25" i="16"/>
  <c r="N26" i="16"/>
  <c r="N27" i="16"/>
  <c r="N28" i="16"/>
  <c r="N29" i="16"/>
  <c r="N30" i="16"/>
  <c r="N31" i="16"/>
  <c r="N32" i="16"/>
  <c r="N33" i="16"/>
  <c r="N34" i="16"/>
  <c r="N35" i="16"/>
  <c r="N36" i="16"/>
  <c r="N37" i="16"/>
  <c r="N38" i="16"/>
  <c r="N39" i="16"/>
  <c r="N40" i="16"/>
  <c r="N41" i="16"/>
  <c r="N42" i="16"/>
  <c r="N43" i="16"/>
  <c r="N44" i="16"/>
  <c r="N45" i="16"/>
  <c r="N46" i="16"/>
  <c r="N47" i="16"/>
  <c r="N48" i="16"/>
  <c r="N49" i="16"/>
  <c r="N50" i="16"/>
  <c r="N51" i="16"/>
  <c r="N52" i="16"/>
  <c r="N53" i="16"/>
  <c r="N54" i="16"/>
  <c r="N55" i="16"/>
  <c r="N56" i="16"/>
  <c r="N57" i="16"/>
  <c r="N58" i="16"/>
  <c r="N59" i="16"/>
  <c r="N60" i="16"/>
  <c r="N61" i="16"/>
  <c r="N62" i="16"/>
  <c r="N63" i="16"/>
  <c r="N64" i="16"/>
  <c r="N65" i="16"/>
  <c r="N66" i="16"/>
  <c r="N67" i="16"/>
  <c r="N68" i="16"/>
  <c r="N69" i="16"/>
  <c r="N70" i="16"/>
  <c r="N71" i="16"/>
  <c r="N72" i="16"/>
  <c r="N73" i="16"/>
  <c r="N74" i="16"/>
  <c r="N75" i="16"/>
  <c r="N76" i="16"/>
  <c r="N77" i="16"/>
  <c r="N78" i="16"/>
  <c r="N79" i="16"/>
  <c r="N80" i="16"/>
  <c r="N81" i="16"/>
  <c r="N82" i="16"/>
  <c r="N83" i="16"/>
  <c r="N84" i="16"/>
  <c r="N85" i="16"/>
  <c r="N86" i="16"/>
  <c r="N87" i="16"/>
  <c r="N88" i="16"/>
  <c r="N89" i="16"/>
  <c r="N90" i="16"/>
  <c r="N91" i="16"/>
  <c r="N92" i="16"/>
  <c r="N93" i="16"/>
  <c r="N94" i="16"/>
  <c r="N95" i="16"/>
  <c r="N96" i="16"/>
  <c r="N97" i="16"/>
  <c r="N98" i="16"/>
  <c r="N99" i="16"/>
  <c r="N100" i="16"/>
  <c r="N101" i="16"/>
  <c r="N102" i="16"/>
  <c r="N103" i="16"/>
  <c r="N104" i="16"/>
  <c r="N105" i="16"/>
  <c r="N106" i="16"/>
  <c r="N107" i="16"/>
  <c r="N108" i="16"/>
  <c r="N109" i="16"/>
  <c r="N110" i="16"/>
  <c r="N111" i="16"/>
  <c r="N112" i="16"/>
  <c r="N113" i="16"/>
  <c r="N114" i="16"/>
  <c r="N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2" i="16"/>
  <c r="D13" i="16"/>
  <c r="D14" i="16"/>
  <c r="D15" i="16"/>
  <c r="D16" i="16"/>
  <c r="D17" i="16"/>
  <c r="D18" i="16"/>
  <c r="D19" i="16"/>
  <c r="D20" i="16"/>
  <c r="D21" i="16"/>
  <c r="D22" i="16"/>
  <c r="D23" i="16"/>
  <c r="D24" i="16"/>
  <c r="D25" i="16"/>
  <c r="D26" i="16"/>
  <c r="D27" i="16"/>
  <c r="D28" i="16"/>
  <c r="D29" i="16"/>
  <c r="D30" i="16"/>
  <c r="D31" i="16"/>
  <c r="D32" i="16"/>
  <c r="D33" i="16"/>
  <c r="D34" i="16"/>
  <c r="D35" i="16"/>
  <c r="D36" i="16"/>
  <c r="D37" i="16"/>
  <c r="D38" i="16"/>
  <c r="D39" i="16"/>
  <c r="D40" i="16"/>
  <c r="D41" i="16"/>
  <c r="D42" i="16"/>
  <c r="D43" i="16"/>
  <c r="D44" i="16"/>
  <c r="D45" i="16"/>
  <c r="D46" i="16"/>
  <c r="D47" i="16"/>
  <c r="D48" i="16"/>
  <c r="D49" i="16"/>
  <c r="D50" i="16"/>
  <c r="D51" i="16"/>
  <c r="D52" i="16"/>
  <c r="D53" i="16"/>
  <c r="D54" i="16"/>
  <c r="D55" i="16"/>
  <c r="D56" i="16"/>
  <c r="D57" i="16"/>
  <c r="D58" i="16"/>
  <c r="D59" i="16"/>
  <c r="D60" i="16"/>
  <c r="D61" i="16"/>
  <c r="D62" i="16"/>
  <c r="D63" i="16"/>
  <c r="D64" i="16"/>
  <c r="D65" i="16"/>
  <c r="D66" i="16"/>
  <c r="D67" i="16"/>
  <c r="D68" i="16"/>
  <c r="D69" i="16"/>
  <c r="D70" i="16"/>
  <c r="D71" i="16"/>
  <c r="D72" i="16"/>
  <c r="D73" i="16"/>
  <c r="D74" i="16"/>
  <c r="D75" i="16"/>
  <c r="D76" i="16"/>
  <c r="D77" i="16"/>
  <c r="D78" i="16"/>
  <c r="D79" i="16"/>
  <c r="D80" i="16"/>
  <c r="D81" i="16"/>
  <c r="D82" i="16"/>
  <c r="D83" i="16"/>
  <c r="D84" i="16"/>
  <c r="D85" i="16"/>
  <c r="D86" i="16"/>
  <c r="D87" i="16"/>
  <c r="D88" i="16"/>
  <c r="D89" i="16"/>
  <c r="D90" i="16"/>
  <c r="D91" i="16"/>
  <c r="D92" i="16"/>
  <c r="D93" i="16"/>
  <c r="D94" i="16"/>
  <c r="D95" i="16"/>
  <c r="D96" i="16"/>
  <c r="D97" i="16"/>
  <c r="D98" i="16"/>
  <c r="D99" i="16"/>
  <c r="D100" i="16"/>
  <c r="D101" i="16"/>
  <c r="D102" i="16"/>
  <c r="D103" i="16"/>
  <c r="D104" i="16"/>
  <c r="D105" i="16"/>
  <c r="D106" i="16"/>
  <c r="D107" i="16"/>
  <c r="D108" i="16"/>
  <c r="D109" i="16"/>
  <c r="D110" i="16"/>
  <c r="D111" i="16"/>
  <c r="D112" i="16"/>
  <c r="D113" i="16"/>
  <c r="D114" i="16"/>
  <c r="D12" i="16"/>
  <c r="H14" i="12"/>
  <c r="H15" i="12"/>
  <c r="H16" i="12"/>
  <c r="H17" i="12"/>
  <c r="H18" i="12"/>
  <c r="H20" i="12"/>
  <c r="E34" i="12" s="1"/>
  <c r="L44" i="12" s="1"/>
  <c r="E27" i="12"/>
  <c r="E28" i="12" s="1"/>
  <c r="L43" i="12" s="1"/>
  <c r="G21" i="12"/>
  <c r="G20" i="12"/>
  <c r="L5" i="11"/>
  <c r="G5" i="11"/>
  <c r="M8" i="11"/>
  <c r="M9" i="11" s="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L8" i="11"/>
  <c r="L9" i="11" s="1"/>
  <c r="L10" i="11" s="1"/>
  <c r="L11" i="11" s="1"/>
  <c r="L12" i="11" s="1"/>
  <c r="L13" i="11" s="1"/>
  <c r="L14" i="11" s="1"/>
  <c r="L15" i="11" s="1"/>
  <c r="L16" i="11" s="1"/>
  <c r="L17" i="11" s="1"/>
  <c r="B5" i="11"/>
  <c r="H8" i="11"/>
  <c r="H9" i="11" s="1"/>
  <c r="H10" i="11" s="1"/>
  <c r="H11" i="11" s="1"/>
  <c r="H12" i="11" s="1"/>
  <c r="H13" i="11" s="1"/>
  <c r="H14" i="11" s="1"/>
  <c r="H15" i="11" s="1"/>
  <c r="H16" i="11" s="1"/>
  <c r="H17" i="11" s="1"/>
  <c r="H18" i="11" s="1"/>
  <c r="H19" i="11" s="1"/>
  <c r="H20" i="11" s="1"/>
  <c r="H21" i="11" s="1"/>
  <c r="G8" i="11"/>
  <c r="G9" i="11" s="1"/>
  <c r="G10" i="11" s="1"/>
  <c r="G11" i="11" s="1"/>
  <c r="G12" i="11" s="1"/>
  <c r="G13" i="11" s="1"/>
  <c r="G14" i="11" s="1"/>
  <c r="G15" i="11" s="1"/>
  <c r="G16" i="11" s="1"/>
  <c r="G17" i="11" s="1"/>
  <c r="D7" i="11" a="1"/>
  <c r="D7" i="11"/>
  <c r="E9" i="11"/>
  <c r="E10" i="11"/>
  <c r="E11" i="11"/>
  <c r="E12" i="11"/>
  <c r="E13" i="11"/>
  <c r="E14" i="11"/>
  <c r="E15" i="11"/>
  <c r="E16" i="11"/>
  <c r="E8" i="11"/>
  <c r="C8" i="11"/>
  <c r="C9" i="11" s="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B8" i="11"/>
  <c r="B9" i="11" s="1"/>
  <c r="B10" i="11" s="1"/>
  <c r="B11" i="11" s="1"/>
  <c r="B12" i="11" s="1"/>
  <c r="B13" i="11" s="1"/>
  <c r="B14" i="11" s="1"/>
  <c r="B15" i="11" s="1"/>
  <c r="B16" i="11" s="1"/>
  <c r="B17" i="11" s="1"/>
  <c r="C24" i="7"/>
  <c r="D24" i="7"/>
  <c r="E24" i="7"/>
  <c r="F24" i="7"/>
  <c r="G24" i="7"/>
  <c r="H24" i="7"/>
  <c r="I24" i="7"/>
  <c r="J24" i="7"/>
  <c r="K24" i="7"/>
  <c r="L24" i="7"/>
  <c r="L6" i="10"/>
  <c r="K6" i="10"/>
  <c r="J6" i="10"/>
  <c r="I6" i="10"/>
  <c r="H6" i="10"/>
  <c r="G6" i="10"/>
  <c r="F6" i="10"/>
  <c r="E6" i="10"/>
  <c r="D6" i="10"/>
  <c r="C6" i="10"/>
  <c r="D98" i="7"/>
  <c r="E98" i="7"/>
  <c r="F98" i="7"/>
  <c r="G98" i="7"/>
  <c r="H98" i="7"/>
  <c r="I98" i="7"/>
  <c r="J98" i="7"/>
  <c r="K98" i="7"/>
  <c r="L98" i="7"/>
  <c r="D99" i="7"/>
  <c r="E99" i="7"/>
  <c r="F99" i="7"/>
  <c r="G99" i="7"/>
  <c r="H99" i="7"/>
  <c r="I99" i="7"/>
  <c r="J99" i="7"/>
  <c r="K99" i="7"/>
  <c r="L99" i="7"/>
  <c r="D100" i="7"/>
  <c r="E100" i="7"/>
  <c r="F100" i="7"/>
  <c r="G100" i="7"/>
  <c r="H100" i="7"/>
  <c r="I100" i="7"/>
  <c r="J100" i="7"/>
  <c r="K100" i="7"/>
  <c r="L100" i="7"/>
  <c r="D101" i="7"/>
  <c r="E101" i="7"/>
  <c r="F101" i="7"/>
  <c r="G101" i="7"/>
  <c r="H101" i="7"/>
  <c r="I101" i="7"/>
  <c r="J101" i="7"/>
  <c r="K101" i="7"/>
  <c r="L101" i="7"/>
  <c r="D102" i="7"/>
  <c r="E102" i="7"/>
  <c r="F102" i="7"/>
  <c r="G102" i="7"/>
  <c r="H102" i="7"/>
  <c r="I102" i="7"/>
  <c r="J102" i="7"/>
  <c r="K102" i="7"/>
  <c r="L102" i="7"/>
  <c r="C99" i="7"/>
  <c r="C100" i="7"/>
  <c r="C101" i="7"/>
  <c r="C102" i="7"/>
  <c r="C98" i="7"/>
  <c r="C104" i="7" s="1"/>
  <c r="C51" i="7"/>
  <c r="D85" i="7"/>
  <c r="E85" i="7"/>
  <c r="F85" i="7"/>
  <c r="G85" i="7"/>
  <c r="H85" i="7"/>
  <c r="I85" i="7"/>
  <c r="J85" i="7"/>
  <c r="K85" i="7"/>
  <c r="L85" i="7"/>
  <c r="D86" i="7"/>
  <c r="E86" i="7"/>
  <c r="F86" i="7"/>
  <c r="G86" i="7"/>
  <c r="H86" i="7"/>
  <c r="I86" i="7"/>
  <c r="J86" i="7"/>
  <c r="K86" i="7"/>
  <c r="L86" i="7"/>
  <c r="D87" i="7"/>
  <c r="E87" i="7"/>
  <c r="F87" i="7"/>
  <c r="G87" i="7"/>
  <c r="H87" i="7"/>
  <c r="I87" i="7"/>
  <c r="J87" i="7"/>
  <c r="K87" i="7"/>
  <c r="L87" i="7"/>
  <c r="D88" i="7"/>
  <c r="E88" i="7"/>
  <c r="F88" i="7"/>
  <c r="G88" i="7"/>
  <c r="H88" i="7"/>
  <c r="I88" i="7"/>
  <c r="J88" i="7"/>
  <c r="K88" i="7"/>
  <c r="L88" i="7"/>
  <c r="D89" i="7"/>
  <c r="E89" i="7"/>
  <c r="F89" i="7"/>
  <c r="G89" i="7"/>
  <c r="H89" i="7"/>
  <c r="I89" i="7"/>
  <c r="J89" i="7"/>
  <c r="K89" i="7"/>
  <c r="L89" i="7"/>
  <c r="D90" i="7"/>
  <c r="E90" i="7"/>
  <c r="F90" i="7"/>
  <c r="G90" i="7"/>
  <c r="H90" i="7"/>
  <c r="I90" i="7"/>
  <c r="J90" i="7"/>
  <c r="K90" i="7"/>
  <c r="L90" i="7"/>
  <c r="D91" i="7"/>
  <c r="E91" i="7"/>
  <c r="F91" i="7"/>
  <c r="G91" i="7"/>
  <c r="H91" i="7"/>
  <c r="I91" i="7"/>
  <c r="J91" i="7"/>
  <c r="K91" i="7"/>
  <c r="L91" i="7"/>
  <c r="D92" i="7"/>
  <c r="E92" i="7"/>
  <c r="F92" i="7"/>
  <c r="G92" i="7"/>
  <c r="H92" i="7"/>
  <c r="I92" i="7"/>
  <c r="J92" i="7"/>
  <c r="K92" i="7"/>
  <c r="L92" i="7"/>
  <c r="D93" i="7"/>
  <c r="E93" i="7"/>
  <c r="F93" i="7"/>
  <c r="G93" i="7"/>
  <c r="H93" i="7"/>
  <c r="I93" i="7"/>
  <c r="J93" i="7"/>
  <c r="K93" i="7"/>
  <c r="L93" i="7"/>
  <c r="C86" i="7"/>
  <c r="C87" i="7"/>
  <c r="C88" i="7"/>
  <c r="C89" i="7"/>
  <c r="C90" i="7"/>
  <c r="C91" i="7"/>
  <c r="C92" i="7"/>
  <c r="C93" i="7"/>
  <c r="C85" i="7"/>
  <c r="C95" i="7" s="1"/>
  <c r="D74" i="7"/>
  <c r="E74" i="7"/>
  <c r="F74" i="7"/>
  <c r="G74" i="7"/>
  <c r="H74" i="7"/>
  <c r="I74" i="7"/>
  <c r="J74" i="7"/>
  <c r="K74" i="7"/>
  <c r="L74" i="7"/>
  <c r="D75" i="7"/>
  <c r="E75" i="7"/>
  <c r="F75" i="7"/>
  <c r="G75" i="7"/>
  <c r="H75" i="7"/>
  <c r="I75" i="7"/>
  <c r="J75" i="7"/>
  <c r="K75" i="7"/>
  <c r="L75" i="7"/>
  <c r="D76" i="7"/>
  <c r="E76" i="7"/>
  <c r="F76" i="7"/>
  <c r="G76" i="7"/>
  <c r="H76" i="7"/>
  <c r="I76" i="7"/>
  <c r="J76" i="7"/>
  <c r="K76" i="7"/>
  <c r="L76" i="7"/>
  <c r="D77" i="7"/>
  <c r="E77" i="7"/>
  <c r="F77" i="7"/>
  <c r="G77" i="7"/>
  <c r="H77" i="7"/>
  <c r="I77" i="7"/>
  <c r="J77" i="7"/>
  <c r="K77" i="7"/>
  <c r="L77" i="7"/>
  <c r="D78" i="7"/>
  <c r="E78" i="7"/>
  <c r="F78" i="7"/>
  <c r="G78" i="7"/>
  <c r="H78" i="7"/>
  <c r="I78" i="7"/>
  <c r="J78" i="7"/>
  <c r="K78" i="7"/>
  <c r="L78" i="7"/>
  <c r="D79" i="7"/>
  <c r="E79" i="7"/>
  <c r="F79" i="7"/>
  <c r="G79" i="7"/>
  <c r="H79" i="7"/>
  <c r="I79" i="7"/>
  <c r="J79" i="7"/>
  <c r="K79" i="7"/>
  <c r="L79" i="7"/>
  <c r="D80" i="7"/>
  <c r="E80" i="7"/>
  <c r="F80" i="7"/>
  <c r="G80" i="7"/>
  <c r="H80" i="7"/>
  <c r="I80" i="7"/>
  <c r="J80" i="7"/>
  <c r="K80" i="7"/>
  <c r="L80" i="7"/>
  <c r="C80" i="7"/>
  <c r="C75" i="7"/>
  <c r="C76" i="7"/>
  <c r="C77" i="7"/>
  <c r="C78" i="7"/>
  <c r="C79" i="7"/>
  <c r="C74" i="7"/>
  <c r="C82" i="7" s="1"/>
  <c r="D60" i="7"/>
  <c r="E60" i="7"/>
  <c r="F60" i="7"/>
  <c r="G60" i="7"/>
  <c r="H60" i="7"/>
  <c r="I60" i="7"/>
  <c r="J60" i="7"/>
  <c r="K60" i="7"/>
  <c r="L60" i="7"/>
  <c r="C60" i="7"/>
  <c r="D63" i="7"/>
  <c r="E63" i="7"/>
  <c r="F63" i="7"/>
  <c r="G63" i="7"/>
  <c r="H63" i="7"/>
  <c r="I63" i="7"/>
  <c r="J63" i="7"/>
  <c r="K63" i="7"/>
  <c r="L63" i="7"/>
  <c r="D64" i="7"/>
  <c r="E64" i="7"/>
  <c r="F64" i="7"/>
  <c r="G64" i="7"/>
  <c r="H64" i="7"/>
  <c r="I64" i="7"/>
  <c r="J64" i="7"/>
  <c r="K64" i="7"/>
  <c r="L64" i="7"/>
  <c r="D65" i="7"/>
  <c r="E65" i="7"/>
  <c r="F65" i="7"/>
  <c r="G65" i="7"/>
  <c r="H65" i="7"/>
  <c r="I65" i="7"/>
  <c r="J65" i="7"/>
  <c r="K65" i="7"/>
  <c r="L65" i="7"/>
  <c r="C65" i="7"/>
  <c r="C64" i="7"/>
  <c r="C63" i="7"/>
  <c r="C66" i="7" s="1"/>
  <c r="D59" i="7"/>
  <c r="E59" i="7"/>
  <c r="F59" i="7"/>
  <c r="G59" i="7"/>
  <c r="H59" i="7"/>
  <c r="I59" i="7"/>
  <c r="J59" i="7"/>
  <c r="K59" i="7"/>
  <c r="L59" i="7"/>
  <c r="C59" i="7"/>
  <c r="D58" i="7"/>
  <c r="E58" i="7"/>
  <c r="F58" i="7"/>
  <c r="G58" i="7"/>
  <c r="H58" i="7"/>
  <c r="I58" i="7"/>
  <c r="J58" i="7"/>
  <c r="K58" i="7"/>
  <c r="L58" i="7"/>
  <c r="C58" i="7"/>
  <c r="D57" i="7"/>
  <c r="D61" i="7" s="1"/>
  <c r="E57" i="7"/>
  <c r="E61" i="7" s="1"/>
  <c r="F57" i="7"/>
  <c r="F61" i="7" s="1"/>
  <c r="G57" i="7"/>
  <c r="G61" i="7" s="1"/>
  <c r="H57" i="7"/>
  <c r="H61" i="7" s="1"/>
  <c r="I57" i="7"/>
  <c r="I61" i="7" s="1"/>
  <c r="J57" i="7"/>
  <c r="J61" i="7" s="1"/>
  <c r="K57" i="7"/>
  <c r="K61" i="7" s="1"/>
  <c r="L57" i="7"/>
  <c r="L61" i="7" s="1"/>
  <c r="C57" i="7"/>
  <c r="C61" i="7" s="1"/>
  <c r="D51" i="7"/>
  <c r="E51" i="7"/>
  <c r="F51" i="7"/>
  <c r="G51" i="7"/>
  <c r="H51" i="7"/>
  <c r="I51" i="7"/>
  <c r="J51" i="7"/>
  <c r="K51" i="7"/>
  <c r="L51" i="7"/>
  <c r="D52" i="7"/>
  <c r="E52" i="7"/>
  <c r="F52" i="7"/>
  <c r="G52" i="7"/>
  <c r="H52" i="7"/>
  <c r="I52" i="7"/>
  <c r="J52" i="7"/>
  <c r="K52" i="7"/>
  <c r="L52" i="7"/>
  <c r="D53" i="7"/>
  <c r="E53" i="7"/>
  <c r="F53" i="7"/>
  <c r="G53" i="7"/>
  <c r="H53" i="7"/>
  <c r="I53" i="7"/>
  <c r="J53" i="7"/>
  <c r="K53" i="7"/>
  <c r="L53" i="7"/>
  <c r="D54" i="7"/>
  <c r="E54" i="7"/>
  <c r="F54" i="7"/>
  <c r="G54" i="7"/>
  <c r="H54" i="7"/>
  <c r="I54" i="7"/>
  <c r="J54" i="7"/>
  <c r="K54" i="7"/>
  <c r="L54" i="7"/>
  <c r="C52" i="7"/>
  <c r="C53" i="7"/>
  <c r="C54" i="7"/>
  <c r="C55" i="7"/>
  <c r="D39" i="7"/>
  <c r="D44" i="7" s="1"/>
  <c r="E39" i="7"/>
  <c r="E44" i="7" s="1"/>
  <c r="E12" i="10" s="1"/>
  <c r="F39" i="7"/>
  <c r="F44" i="7" s="1"/>
  <c r="F12" i="10" s="1"/>
  <c r="G39" i="7"/>
  <c r="G44" i="7" s="1"/>
  <c r="G12" i="10" s="1"/>
  <c r="H39" i="7"/>
  <c r="H44" i="7" s="1"/>
  <c r="H12" i="10" s="1"/>
  <c r="I39" i="7"/>
  <c r="I44" i="7" s="1"/>
  <c r="I12" i="10" s="1"/>
  <c r="J39" i="7"/>
  <c r="J44" i="7" s="1"/>
  <c r="J12" i="10" s="1"/>
  <c r="K39" i="7"/>
  <c r="K44" i="7" s="1"/>
  <c r="K12" i="10" s="1"/>
  <c r="L39" i="7"/>
  <c r="L44" i="7" s="1"/>
  <c r="L12" i="10" s="1"/>
  <c r="C39" i="7"/>
  <c r="C44" i="7" s="1"/>
  <c r="D33" i="7"/>
  <c r="E33" i="7"/>
  <c r="F33" i="7"/>
  <c r="G33" i="7"/>
  <c r="H33" i="7"/>
  <c r="I33" i="7"/>
  <c r="J33" i="7"/>
  <c r="K33" i="7"/>
  <c r="L33" i="7"/>
  <c r="C33" i="7"/>
  <c r="D27" i="7"/>
  <c r="E27" i="7"/>
  <c r="F27" i="7"/>
  <c r="G27" i="7"/>
  <c r="H27" i="7"/>
  <c r="I27" i="7"/>
  <c r="J27" i="7"/>
  <c r="K27" i="7"/>
  <c r="L27" i="7"/>
  <c r="C27" i="7"/>
  <c r="D18" i="7"/>
  <c r="E18" i="7"/>
  <c r="F18" i="7"/>
  <c r="G18" i="7"/>
  <c r="H18" i="7"/>
  <c r="I18" i="7"/>
  <c r="J18" i="7"/>
  <c r="K18" i="7"/>
  <c r="L18" i="7"/>
  <c r="C18" i="7"/>
  <c r="C12" i="7"/>
  <c r="D12" i="7"/>
  <c r="E12" i="7"/>
  <c r="F12" i="7"/>
  <c r="G12" i="7"/>
  <c r="H12" i="7"/>
  <c r="I12" i="7"/>
  <c r="J12" i="7"/>
  <c r="K12" i="7"/>
  <c r="L12" i="7"/>
  <c r="I9" i="7"/>
  <c r="J9" i="7"/>
  <c r="K9" i="7"/>
  <c r="L9" i="7"/>
  <c r="D6" i="7"/>
  <c r="E6" i="7"/>
  <c r="F6" i="7"/>
  <c r="G6" i="7"/>
  <c r="H6" i="7"/>
  <c r="I6" i="7"/>
  <c r="J6" i="7"/>
  <c r="K6" i="7"/>
  <c r="L6" i="7"/>
  <c r="C6" i="7"/>
  <c r="D9" i="7"/>
  <c r="E9" i="7"/>
  <c r="F9" i="7"/>
  <c r="G9" i="7"/>
  <c r="C9" i="7"/>
  <c r="B6" i="6"/>
  <c r="B4" i="4"/>
  <c r="C4" i="4"/>
  <c r="D4" i="4"/>
  <c r="E4" i="4"/>
  <c r="F4" i="4"/>
  <c r="G4" i="4"/>
  <c r="H4" i="4"/>
  <c r="I4" i="4"/>
  <c r="B5" i="4"/>
  <c r="C5" i="4"/>
  <c r="D5" i="4"/>
  <c r="E5" i="4"/>
  <c r="F5" i="4"/>
  <c r="G5" i="4"/>
  <c r="H5" i="4"/>
  <c r="I5" i="4"/>
  <c r="B6" i="4"/>
  <c r="C6" i="4"/>
  <c r="D6" i="4"/>
  <c r="E6" i="4"/>
  <c r="F6" i="4"/>
  <c r="G6" i="4"/>
  <c r="H6" i="4"/>
  <c r="I6" i="4"/>
  <c r="B7" i="4"/>
  <c r="C7" i="4"/>
  <c r="D7" i="4"/>
  <c r="E7" i="4"/>
  <c r="F7" i="4"/>
  <c r="G7" i="4"/>
  <c r="H7" i="4"/>
  <c r="I7" i="4"/>
  <c r="E1" i="6"/>
  <c r="B3" i="4"/>
  <c r="C3" i="4"/>
  <c r="D3" i="4"/>
  <c r="E3" i="4"/>
  <c r="F3" i="4"/>
  <c r="G3" i="4"/>
  <c r="H3" i="4"/>
  <c r="I3" i="4"/>
  <c r="A1" i="4"/>
  <c r="I19" i="21" l="1"/>
  <c r="H19" i="21"/>
  <c r="G19" i="21"/>
  <c r="G44" i="21" s="1"/>
  <c r="F44" i="21"/>
  <c r="G10" i="18"/>
  <c r="G12" i="18" s="1"/>
  <c r="B18" i="11"/>
  <c r="D17" i="11"/>
  <c r="E17" i="11" s="1"/>
  <c r="C25" i="7"/>
  <c r="C34" i="10"/>
  <c r="C33" i="10"/>
  <c r="C32" i="10"/>
  <c r="C31" i="10"/>
  <c r="H25" i="7"/>
  <c r="H15" i="7"/>
  <c r="H34" i="10"/>
  <c r="H33" i="10"/>
  <c r="H32" i="10"/>
  <c r="H39" i="10" s="1"/>
  <c r="H31" i="10"/>
  <c r="H38" i="10" s="1"/>
  <c r="H30" i="10"/>
  <c r="H37" i="10" s="1"/>
  <c r="H40" i="10" s="1"/>
  <c r="G25" i="7"/>
  <c r="G15" i="7"/>
  <c r="G34" i="10"/>
  <c r="G33" i="10"/>
  <c r="G32" i="10"/>
  <c r="G39" i="10" s="1"/>
  <c r="G31" i="10"/>
  <c r="G38" i="10" s="1"/>
  <c r="G30" i="10"/>
  <c r="G37" i="10" s="1"/>
  <c r="G40" i="10" s="1"/>
  <c r="F25" i="7"/>
  <c r="F15" i="7"/>
  <c r="F34" i="10"/>
  <c r="F33" i="10"/>
  <c r="F32" i="10"/>
  <c r="F39" i="10" s="1"/>
  <c r="F31" i="10"/>
  <c r="F38" i="10" s="1"/>
  <c r="F30" i="10"/>
  <c r="F37" i="10" s="1"/>
  <c r="F40" i="10" s="1"/>
  <c r="E25" i="7"/>
  <c r="E15" i="7"/>
  <c r="E34" i="10"/>
  <c r="E33" i="10"/>
  <c r="E32" i="10"/>
  <c r="E39" i="10" s="1"/>
  <c r="E31" i="10"/>
  <c r="E38" i="10" s="1"/>
  <c r="E30" i="10"/>
  <c r="E37" i="10" s="1"/>
  <c r="E40" i="10" s="1"/>
  <c r="E10" i="7"/>
  <c r="D25" i="7"/>
  <c r="D15" i="7"/>
  <c r="D10" i="7"/>
  <c r="D8" i="10" s="1"/>
  <c r="D34" i="10"/>
  <c r="D33" i="10"/>
  <c r="D32" i="10"/>
  <c r="D39" i="10" s="1"/>
  <c r="D31" i="10"/>
  <c r="D38" i="10" s="1"/>
  <c r="D30" i="10"/>
  <c r="D37" i="10" s="1"/>
  <c r="D40" i="10" s="1"/>
  <c r="L25" i="7"/>
  <c r="L15" i="7"/>
  <c r="L34" i="10"/>
  <c r="L33" i="10"/>
  <c r="L32" i="10"/>
  <c r="L39" i="10" s="1"/>
  <c r="L31" i="10"/>
  <c r="L38" i="10" s="1"/>
  <c r="L30" i="10"/>
  <c r="L37" i="10" s="1"/>
  <c r="L40" i="10" s="1"/>
  <c r="K25" i="7"/>
  <c r="K15" i="7"/>
  <c r="K34" i="10"/>
  <c r="K33" i="10"/>
  <c r="K32" i="10"/>
  <c r="K39" i="10" s="1"/>
  <c r="K31" i="10"/>
  <c r="K38" i="10" s="1"/>
  <c r="K30" i="10"/>
  <c r="K37" i="10" s="1"/>
  <c r="K40" i="10" s="1"/>
  <c r="J25" i="7"/>
  <c r="J15" i="7"/>
  <c r="J34" i="10"/>
  <c r="J33" i="10"/>
  <c r="J32" i="10"/>
  <c r="J39" i="10" s="1"/>
  <c r="J31" i="10"/>
  <c r="J38" i="10" s="1"/>
  <c r="J30" i="10"/>
  <c r="J37" i="10" s="1"/>
  <c r="J40" i="10" s="1"/>
  <c r="I25" i="7"/>
  <c r="I15" i="7"/>
  <c r="I34" i="10"/>
  <c r="I33" i="10"/>
  <c r="I32" i="10"/>
  <c r="I39" i="10" s="1"/>
  <c r="I31" i="10"/>
  <c r="I38" i="10" s="1"/>
  <c r="I30" i="10"/>
  <c r="I37" i="10" s="1"/>
  <c r="I40" i="10" s="1"/>
  <c r="L13" i="7"/>
  <c r="K13" i="7"/>
  <c r="J13" i="7"/>
  <c r="I13" i="7"/>
  <c r="H13" i="7"/>
  <c r="G13" i="7"/>
  <c r="F13" i="7"/>
  <c r="E13" i="7"/>
  <c r="D13" i="7"/>
  <c r="C13" i="7"/>
  <c r="C106" i="7"/>
  <c r="C44" i="10"/>
  <c r="C42" i="10"/>
  <c r="N33" i="23"/>
  <c r="P33" i="23"/>
  <c r="O33" i="23"/>
  <c r="O31" i="23"/>
  <c r="P31" i="23"/>
  <c r="N31" i="23"/>
  <c r="F10" i="23"/>
  <c r="F19" i="23"/>
  <c r="F18" i="23"/>
  <c r="F17" i="23"/>
  <c r="F16" i="23"/>
  <c r="F15" i="23"/>
  <c r="F14" i="23"/>
  <c r="F13" i="23"/>
  <c r="F12" i="23"/>
  <c r="F11" i="23"/>
  <c r="I41" i="21"/>
  <c r="I56" i="21" s="1"/>
  <c r="E5" i="22"/>
  <c r="F5" i="22" s="1"/>
  <c r="G5" i="22" s="1"/>
  <c r="H5" i="22" s="1"/>
  <c r="I5" i="22" s="1"/>
  <c r="J5" i="22" s="1"/>
  <c r="I35" i="21"/>
  <c r="H35" i="21"/>
  <c r="G35" i="21"/>
  <c r="F35" i="21"/>
  <c r="G50" i="21"/>
  <c r="F50" i="21"/>
  <c r="C34" i="12"/>
  <c r="C36" i="12" s="1"/>
  <c r="I15" i="12"/>
  <c r="I19" i="12"/>
  <c r="H19" i="12"/>
  <c r="H21" i="12" s="1"/>
  <c r="D36" i="12"/>
  <c r="E36" i="12" s="1"/>
  <c r="E35" i="12" s="1"/>
  <c r="D35" i="12"/>
  <c r="D34" i="12"/>
  <c r="D38" i="12" s="1"/>
  <c r="I21" i="12"/>
  <c r="I20" i="12"/>
  <c r="L18" i="11"/>
  <c r="G18" i="11"/>
  <c r="D12" i="10"/>
  <c r="L82" i="7"/>
  <c r="K82" i="7"/>
  <c r="J82" i="7"/>
  <c r="I82" i="7"/>
  <c r="H82" i="7"/>
  <c r="G82" i="7"/>
  <c r="F82" i="7"/>
  <c r="E82" i="7"/>
  <c r="D82" i="7"/>
  <c r="L95" i="7"/>
  <c r="K95" i="7"/>
  <c r="J95" i="7"/>
  <c r="I95" i="7"/>
  <c r="H95" i="7"/>
  <c r="G95" i="7"/>
  <c r="F95" i="7"/>
  <c r="E95" i="7"/>
  <c r="D95" i="7"/>
  <c r="L104" i="7"/>
  <c r="K104" i="7"/>
  <c r="J104" i="7"/>
  <c r="I104" i="7"/>
  <c r="H104" i="7"/>
  <c r="G104" i="7"/>
  <c r="F104" i="7"/>
  <c r="E104" i="7"/>
  <c r="D104" i="7"/>
  <c r="C68" i="7"/>
  <c r="E66" i="7"/>
  <c r="E68" i="7" s="1"/>
  <c r="L55" i="7"/>
  <c r="K55" i="7"/>
  <c r="J55" i="7"/>
  <c r="I55" i="7"/>
  <c r="H55" i="7"/>
  <c r="G55" i="7"/>
  <c r="F55" i="7"/>
  <c r="E55" i="7"/>
  <c r="D55" i="7"/>
  <c r="L66" i="7"/>
  <c r="L68" i="7" s="1"/>
  <c r="L69" i="7" s="1"/>
  <c r="K66" i="7"/>
  <c r="K68" i="7" s="1"/>
  <c r="K69" i="7" s="1"/>
  <c r="J66" i="7"/>
  <c r="J68" i="7" s="1"/>
  <c r="J69" i="7" s="1"/>
  <c r="I66" i="7"/>
  <c r="I68" i="7" s="1"/>
  <c r="I69" i="7" s="1"/>
  <c r="H66" i="7"/>
  <c r="H68" i="7" s="1"/>
  <c r="H69" i="7" s="1"/>
  <c r="G66" i="7"/>
  <c r="G68" i="7" s="1"/>
  <c r="G69" i="7" s="1"/>
  <c r="F66" i="7"/>
  <c r="F68" i="7" s="1"/>
  <c r="F69" i="7" s="1"/>
  <c r="D66" i="7"/>
  <c r="D68" i="7" s="1"/>
  <c r="D69" i="7" s="1"/>
  <c r="L19" i="7"/>
  <c r="L20" i="10" s="1"/>
  <c r="C15" i="7"/>
  <c r="H10" i="7"/>
  <c r="H8" i="10" s="1"/>
  <c r="I10" i="7"/>
  <c r="I8" i="10" s="1"/>
  <c r="G10" i="7"/>
  <c r="G8" i="10" s="1"/>
  <c r="F10" i="7"/>
  <c r="F8" i="10" s="1"/>
  <c r="E8" i="10"/>
  <c r="L10" i="7"/>
  <c r="L8" i="10" s="1"/>
  <c r="K10" i="7"/>
  <c r="K8" i="10" s="1"/>
  <c r="J10" i="7"/>
  <c r="J8" i="10" s="1"/>
  <c r="C19" i="7"/>
  <c r="C20" i="10" s="1"/>
  <c r="K19" i="7"/>
  <c r="K20" i="10" s="1"/>
  <c r="J19" i="7"/>
  <c r="J20" i="10" s="1"/>
  <c r="I19" i="7"/>
  <c r="I20" i="10" s="1"/>
  <c r="H19" i="7"/>
  <c r="H20" i="10" s="1"/>
  <c r="G19" i="7"/>
  <c r="G20" i="10" s="1"/>
  <c r="F19" i="7"/>
  <c r="F20" i="10" s="1"/>
  <c r="E19" i="7"/>
  <c r="E20" i="10" s="1"/>
  <c r="D19" i="7"/>
  <c r="D20" i="10" s="1"/>
  <c r="C28" i="7"/>
  <c r="C21" i="10" s="1"/>
  <c r="L28" i="7"/>
  <c r="L21" i="10" s="1"/>
  <c r="K28" i="7"/>
  <c r="K21" i="10" s="1"/>
  <c r="J28" i="7"/>
  <c r="J21" i="10" s="1"/>
  <c r="I28" i="7"/>
  <c r="I21" i="10" s="1"/>
  <c r="H28" i="7"/>
  <c r="H21" i="10" s="1"/>
  <c r="G28" i="7"/>
  <c r="G21" i="10" s="1"/>
  <c r="F28" i="7"/>
  <c r="F21" i="10" s="1"/>
  <c r="E28" i="7"/>
  <c r="E21" i="10" s="1"/>
  <c r="D28" i="7"/>
  <c r="D21" i="10" s="1"/>
  <c r="C1" i="4"/>
  <c r="F45" i="21" l="1"/>
  <c r="G45" i="21"/>
  <c r="H45" i="21"/>
  <c r="I45" i="21"/>
  <c r="H44" i="21"/>
  <c r="H50" i="21" s="1"/>
  <c r="I44" i="21"/>
  <c r="I50" i="21" s="1"/>
  <c r="B19" i="11"/>
  <c r="D18" i="11"/>
  <c r="E18" i="11" s="1"/>
  <c r="O21" i="10"/>
  <c r="N21" i="10"/>
  <c r="O20" i="10"/>
  <c r="N20" i="10"/>
  <c r="O8" i="10"/>
  <c r="N8" i="10"/>
  <c r="C21" i="7"/>
  <c r="C16" i="7"/>
  <c r="C69" i="7"/>
  <c r="C43" i="10"/>
  <c r="D44" i="10"/>
  <c r="D43" i="10"/>
  <c r="D42" i="10"/>
  <c r="E44" i="10"/>
  <c r="E43" i="10"/>
  <c r="E42" i="10"/>
  <c r="F44" i="10"/>
  <c r="F43" i="10"/>
  <c r="F42" i="10"/>
  <c r="G44" i="10"/>
  <c r="G43" i="10"/>
  <c r="G42" i="10"/>
  <c r="H44" i="10"/>
  <c r="H43" i="10"/>
  <c r="H42" i="10"/>
  <c r="I44" i="10"/>
  <c r="I43" i="10"/>
  <c r="I42" i="10"/>
  <c r="J44" i="10"/>
  <c r="J43" i="10"/>
  <c r="J42" i="10"/>
  <c r="K44" i="10"/>
  <c r="K43" i="10"/>
  <c r="K42" i="10"/>
  <c r="L44" i="10"/>
  <c r="L43" i="10"/>
  <c r="L42" i="10"/>
  <c r="O12" i="10"/>
  <c r="N12" i="10"/>
  <c r="O42" i="10"/>
  <c r="N42" i="10"/>
  <c r="O44" i="10"/>
  <c r="N44" i="10"/>
  <c r="I21" i="7"/>
  <c r="I30" i="7" s="1"/>
  <c r="I36" i="7" s="1"/>
  <c r="I16" i="7"/>
  <c r="J21" i="7"/>
  <c r="J30" i="7" s="1"/>
  <c r="J36" i="7" s="1"/>
  <c r="J16" i="7"/>
  <c r="K21" i="7"/>
  <c r="K30" i="7" s="1"/>
  <c r="K36" i="7" s="1"/>
  <c r="K16" i="7"/>
  <c r="L21" i="7"/>
  <c r="L30" i="7" s="1"/>
  <c r="L36" i="7" s="1"/>
  <c r="L16" i="7"/>
  <c r="D21" i="7"/>
  <c r="D30" i="7" s="1"/>
  <c r="D36" i="7" s="1"/>
  <c r="D16" i="7"/>
  <c r="E21" i="7"/>
  <c r="E30" i="7" s="1"/>
  <c r="E36" i="7" s="1"/>
  <c r="E16" i="7"/>
  <c r="F21" i="7"/>
  <c r="F30" i="7" s="1"/>
  <c r="F36" i="7" s="1"/>
  <c r="F16" i="7"/>
  <c r="G21" i="7"/>
  <c r="G30" i="7" s="1"/>
  <c r="G36" i="7" s="1"/>
  <c r="G16" i="7"/>
  <c r="H21" i="7"/>
  <c r="H16" i="7"/>
  <c r="C37" i="10"/>
  <c r="O30" i="10"/>
  <c r="N30" i="10"/>
  <c r="C38" i="10"/>
  <c r="O31" i="10"/>
  <c r="N31" i="10"/>
  <c r="C39" i="10"/>
  <c r="O32" i="10"/>
  <c r="N32" i="10"/>
  <c r="O33" i="10"/>
  <c r="N33" i="10"/>
  <c r="O34" i="10"/>
  <c r="N34" i="10"/>
  <c r="P11" i="23"/>
  <c r="H11" i="23"/>
  <c r="P12" i="23"/>
  <c r="H12" i="23"/>
  <c r="P13" i="23"/>
  <c r="H13" i="23"/>
  <c r="P14" i="23"/>
  <c r="H14" i="23"/>
  <c r="P15" i="23"/>
  <c r="H15" i="23"/>
  <c r="P16" i="23"/>
  <c r="H16" i="23"/>
  <c r="P17" i="23"/>
  <c r="H17" i="23"/>
  <c r="P18" i="23"/>
  <c r="H18" i="23"/>
  <c r="P19" i="23"/>
  <c r="H19" i="23"/>
  <c r="P10" i="23"/>
  <c r="H10" i="23"/>
  <c r="E38" i="12"/>
  <c r="L34" i="12" s="1"/>
  <c r="L41" i="12"/>
  <c r="L19" i="11"/>
  <c r="G19" i="11"/>
  <c r="D106" i="7"/>
  <c r="E106" i="7"/>
  <c r="F106" i="7"/>
  <c r="G106" i="7"/>
  <c r="H106" i="7"/>
  <c r="I106" i="7"/>
  <c r="J106" i="7"/>
  <c r="K106" i="7"/>
  <c r="L106" i="7"/>
  <c r="E69" i="7"/>
  <c r="C22" i="7"/>
  <c r="C15" i="10" s="1"/>
  <c r="H30" i="7" l="1"/>
  <c r="H36" i="7" s="1"/>
  <c r="H28" i="10"/>
  <c r="D19" i="11"/>
  <c r="E19" i="11" s="1"/>
  <c r="B20" i="11"/>
  <c r="O39" i="10"/>
  <c r="N39" i="10"/>
  <c r="O38" i="10"/>
  <c r="N38" i="10"/>
  <c r="C40" i="10"/>
  <c r="O37" i="10"/>
  <c r="N37" i="10"/>
  <c r="H22" i="10"/>
  <c r="H14" i="10"/>
  <c r="G22" i="10"/>
  <c r="G14" i="10"/>
  <c r="F22" i="10"/>
  <c r="F14" i="10"/>
  <c r="E22" i="10"/>
  <c r="E14" i="10"/>
  <c r="D22" i="10"/>
  <c r="D14" i="10"/>
  <c r="L22" i="10"/>
  <c r="L14" i="10"/>
  <c r="K22" i="10"/>
  <c r="K14" i="10"/>
  <c r="J22" i="10"/>
  <c r="J14" i="10"/>
  <c r="I22" i="10"/>
  <c r="I14" i="10"/>
  <c r="O43" i="10"/>
  <c r="N43" i="10"/>
  <c r="C22" i="10"/>
  <c r="C14" i="10"/>
  <c r="C24" i="10"/>
  <c r="C16" i="10"/>
  <c r="C30" i="7"/>
  <c r="H24" i="10"/>
  <c r="H16" i="10"/>
  <c r="G24" i="10"/>
  <c r="G16" i="10"/>
  <c r="F24" i="10"/>
  <c r="F16" i="10"/>
  <c r="E24" i="10"/>
  <c r="E16" i="10"/>
  <c r="I7" i="11" a="1"/>
  <c r="D9" i="10"/>
  <c r="D24" i="10"/>
  <c r="D16" i="10"/>
  <c r="D10" i="10"/>
  <c r="L9" i="10"/>
  <c r="E7" i="22"/>
  <c r="L24" i="10"/>
  <c r="L16" i="10"/>
  <c r="K24" i="10"/>
  <c r="K16" i="10"/>
  <c r="J24" i="10"/>
  <c r="J16" i="10"/>
  <c r="I24" i="10"/>
  <c r="I16" i="10"/>
  <c r="P21" i="23"/>
  <c r="P22" i="23"/>
  <c r="P23" i="23"/>
  <c r="P24" i="23"/>
  <c r="P32" i="23" s="1"/>
  <c r="P25" i="23"/>
  <c r="O10" i="23"/>
  <c r="N10" i="23"/>
  <c r="O19" i="23"/>
  <c r="N19" i="23"/>
  <c r="O18" i="23"/>
  <c r="N18" i="23"/>
  <c r="O17" i="23"/>
  <c r="N17" i="23"/>
  <c r="O16" i="23"/>
  <c r="N16" i="23"/>
  <c r="O15" i="23"/>
  <c r="N15" i="23"/>
  <c r="O14" i="23"/>
  <c r="N14" i="23"/>
  <c r="O13" i="23"/>
  <c r="N13" i="23"/>
  <c r="O12" i="23"/>
  <c r="N12" i="23"/>
  <c r="O11" i="23"/>
  <c r="G23" i="24" s="1"/>
  <c r="N11" i="23"/>
  <c r="G24" i="24" s="1"/>
  <c r="L20" i="11"/>
  <c r="G20" i="11"/>
  <c r="H9" i="10"/>
  <c r="G9" i="10"/>
  <c r="F9" i="10"/>
  <c r="E9" i="10"/>
  <c r="K9" i="10"/>
  <c r="J9" i="10"/>
  <c r="I9" i="10"/>
  <c r="C31" i="7"/>
  <c r="C17" i="10" s="1"/>
  <c r="C36" i="7"/>
  <c r="C26" i="10" s="1"/>
  <c r="C34" i="7"/>
  <c r="H22" i="7"/>
  <c r="H15" i="10" s="1"/>
  <c r="G22" i="7"/>
  <c r="G15" i="10" s="1"/>
  <c r="F22" i="7"/>
  <c r="F15" i="10" s="1"/>
  <c r="E22" i="7"/>
  <c r="E15" i="10" s="1"/>
  <c r="D22" i="7"/>
  <c r="D15" i="10" s="1"/>
  <c r="L22" i="7"/>
  <c r="L15" i="10" s="1"/>
  <c r="K22" i="7"/>
  <c r="K15" i="10" s="1"/>
  <c r="J22" i="7"/>
  <c r="J15" i="10" s="1"/>
  <c r="I22" i="7"/>
  <c r="I15" i="10" s="1"/>
  <c r="D20" i="11" l="1"/>
  <c r="E20" i="11" s="1"/>
  <c r="B21" i="11"/>
  <c r="D21" i="11" s="1"/>
  <c r="E21" i="11" s="1"/>
  <c r="O14" i="10"/>
  <c r="N14" i="10"/>
  <c r="O22" i="10"/>
  <c r="N22" i="10"/>
  <c r="O40" i="10"/>
  <c r="N40" i="10"/>
  <c r="O15" i="10"/>
  <c r="N15" i="10"/>
  <c r="F36" i="21"/>
  <c r="F37" i="21" s="1"/>
  <c r="F39" i="21" s="1"/>
  <c r="I10" i="10"/>
  <c r="G36" i="21"/>
  <c r="G37" i="21" s="1"/>
  <c r="G39" i="21" s="1"/>
  <c r="J10" i="10"/>
  <c r="H36" i="21"/>
  <c r="H37" i="21" s="1"/>
  <c r="H39" i="21" s="1"/>
  <c r="K10" i="10"/>
  <c r="I36" i="21"/>
  <c r="I37" i="21" s="1"/>
  <c r="I39" i="21" s="1"/>
  <c r="L10" i="10"/>
  <c r="F7" i="22"/>
  <c r="E9" i="22"/>
  <c r="O16" i="10"/>
  <c r="N16" i="10"/>
  <c r="O24" i="10"/>
  <c r="N24" i="10"/>
  <c r="O28" i="10"/>
  <c r="N28" i="10"/>
  <c r="O9" i="10"/>
  <c r="N9" i="10"/>
  <c r="I7" i="11"/>
  <c r="J16" i="11"/>
  <c r="J15" i="11"/>
  <c r="J14" i="11"/>
  <c r="J13" i="11"/>
  <c r="J12" i="11"/>
  <c r="J11" i="11"/>
  <c r="J10" i="11"/>
  <c r="J9" i="11"/>
  <c r="J8" i="11"/>
  <c r="E10" i="10"/>
  <c r="F10" i="10"/>
  <c r="G10" i="10"/>
  <c r="E36" i="21"/>
  <c r="E37" i="21" s="1"/>
  <c r="E39" i="21" s="1"/>
  <c r="H10" i="10"/>
  <c r="N25" i="23"/>
  <c r="N24" i="23"/>
  <c r="N30" i="23" s="1"/>
  <c r="N32" i="23" s="1"/>
  <c r="N34" i="23" s="1"/>
  <c r="N23" i="23"/>
  <c r="N22" i="23"/>
  <c r="N21" i="23"/>
  <c r="O21" i="23"/>
  <c r="O22" i="23"/>
  <c r="O23" i="23"/>
  <c r="O24" i="23"/>
  <c r="O30" i="23" s="1"/>
  <c r="O32" i="23" s="1"/>
  <c r="O34" i="23" s="1"/>
  <c r="O25" i="23"/>
  <c r="P30" i="23"/>
  <c r="P34" i="23"/>
  <c r="L21" i="11"/>
  <c r="G21" i="11"/>
  <c r="I31" i="7"/>
  <c r="I17" i="10" s="1"/>
  <c r="I26" i="10"/>
  <c r="I34" i="7"/>
  <c r="J31" i="7"/>
  <c r="J17" i="10" s="1"/>
  <c r="J34" i="7"/>
  <c r="K31" i="7"/>
  <c r="K17" i="10" s="1"/>
  <c r="K34" i="7"/>
  <c r="L31" i="7"/>
  <c r="L17" i="10" s="1"/>
  <c r="L34" i="7"/>
  <c r="D31" i="7"/>
  <c r="D17" i="10" s="1"/>
  <c r="D34" i="7"/>
  <c r="E31" i="7"/>
  <c r="E17" i="10" s="1"/>
  <c r="E34" i="7"/>
  <c r="F31" i="7"/>
  <c r="F17" i="10" s="1"/>
  <c r="F34" i="7"/>
  <c r="G31" i="7"/>
  <c r="G17" i="10" s="1"/>
  <c r="G34" i="7"/>
  <c r="H31" i="7"/>
  <c r="H17" i="10" s="1"/>
  <c r="H34" i="7"/>
  <c r="C37" i="7"/>
  <c r="C18" i="10" s="1"/>
  <c r="C41" i="7"/>
  <c r="H11" i="10" l="1"/>
  <c r="H26" i="10"/>
  <c r="G11" i="10"/>
  <c r="G26" i="10"/>
  <c r="F11" i="10"/>
  <c r="F26" i="10"/>
  <c r="E11" i="10"/>
  <c r="E26" i="10"/>
  <c r="D26" i="10"/>
  <c r="D11" i="10"/>
  <c r="O17" i="10"/>
  <c r="N17" i="10"/>
  <c r="L11" i="10"/>
  <c r="L26" i="10"/>
  <c r="K11" i="10"/>
  <c r="K26" i="10"/>
  <c r="J11" i="10"/>
  <c r="J26" i="10"/>
  <c r="E59" i="21"/>
  <c r="E46" i="21"/>
  <c r="E48" i="21" s="1"/>
  <c r="O10" i="10"/>
  <c r="N10" i="10"/>
  <c r="I18" i="11"/>
  <c r="I19" i="11"/>
  <c r="J19" i="11" s="1"/>
  <c r="I20" i="11"/>
  <c r="J20" i="11" s="1"/>
  <c r="I21" i="11"/>
  <c r="I17" i="11"/>
  <c r="J17" i="11" s="1"/>
  <c r="F9" i="22"/>
  <c r="G7" i="22"/>
  <c r="I46" i="21"/>
  <c r="I48" i="21" s="1"/>
  <c r="H46" i="21"/>
  <c r="H48" i="21" s="1"/>
  <c r="G46" i="21"/>
  <c r="G48" i="21" s="1"/>
  <c r="G59" i="21"/>
  <c r="F46" i="21"/>
  <c r="F48" i="21" s="1"/>
  <c r="F59" i="21"/>
  <c r="J21" i="11"/>
  <c r="I11" i="10"/>
  <c r="C45" i="7"/>
  <c r="C47" i="7" s="1"/>
  <c r="C25" i="10" s="1"/>
  <c r="C27" i="10" s="1"/>
  <c r="H37" i="7"/>
  <c r="H18" i="10" s="1"/>
  <c r="H41" i="7"/>
  <c r="G37" i="7"/>
  <c r="G18" i="10" s="1"/>
  <c r="G41" i="7"/>
  <c r="F37" i="7"/>
  <c r="F18" i="10" s="1"/>
  <c r="F41" i="7"/>
  <c r="E37" i="7"/>
  <c r="E18" i="10" s="1"/>
  <c r="E41" i="7"/>
  <c r="D37" i="7"/>
  <c r="D18" i="10" s="1"/>
  <c r="D41" i="7"/>
  <c r="L37" i="7"/>
  <c r="L18" i="10" s="1"/>
  <c r="L41" i="7"/>
  <c r="K37" i="7"/>
  <c r="K18" i="10" s="1"/>
  <c r="K41" i="7"/>
  <c r="J37" i="7"/>
  <c r="J18" i="10" s="1"/>
  <c r="J41" i="7"/>
  <c r="I37" i="7"/>
  <c r="I18" i="10" s="1"/>
  <c r="I41" i="7"/>
  <c r="I51" i="21" l="1"/>
  <c r="I58" i="21" s="1"/>
  <c r="F51" i="21"/>
  <c r="G51" i="21"/>
  <c r="G58" i="21" s="1"/>
  <c r="H51" i="21"/>
  <c r="H58" i="21" s="1"/>
  <c r="N7" i="11" a="1"/>
  <c r="O18" i="10"/>
  <c r="N18" i="10"/>
  <c r="F58" i="21"/>
  <c r="F61" i="21" s="1"/>
  <c r="I54" i="21"/>
  <c r="G61" i="21"/>
  <c r="G9" i="22"/>
  <c r="H7" i="22"/>
  <c r="J18" i="11"/>
  <c r="O11" i="10"/>
  <c r="N11" i="10"/>
  <c r="O26" i="10"/>
  <c r="N26" i="10"/>
  <c r="I42" i="7"/>
  <c r="I45" i="7"/>
  <c r="I47" i="7" s="1"/>
  <c r="I25" i="10" s="1"/>
  <c r="I27" i="10" s="1"/>
  <c r="J45" i="7"/>
  <c r="J47" i="7" s="1"/>
  <c r="J25" i="10" s="1"/>
  <c r="J27" i="10" s="1"/>
  <c r="K45" i="7"/>
  <c r="K47" i="7" s="1"/>
  <c r="K25" i="10" s="1"/>
  <c r="K27" i="10" s="1"/>
  <c r="L45" i="7"/>
  <c r="L47" i="7" s="1"/>
  <c r="L25" i="10" s="1"/>
  <c r="L27" i="10" s="1"/>
  <c r="D42" i="7"/>
  <c r="D45" i="7"/>
  <c r="D47" i="7" s="1"/>
  <c r="D25" i="10" s="1"/>
  <c r="E45" i="7"/>
  <c r="E47" i="7" s="1"/>
  <c r="E25" i="10" s="1"/>
  <c r="E27" i="10" s="1"/>
  <c r="F45" i="7"/>
  <c r="F47" i="7" s="1"/>
  <c r="F25" i="10" s="1"/>
  <c r="F27" i="10" s="1"/>
  <c r="G45" i="7"/>
  <c r="G47" i="7" s="1"/>
  <c r="G25" i="10" s="1"/>
  <c r="G27" i="10" s="1"/>
  <c r="H45" i="7"/>
  <c r="H47" i="7" s="1"/>
  <c r="H25" i="10" s="1"/>
  <c r="H27" i="10" s="1"/>
  <c r="J42" i="7"/>
  <c r="K42" i="7"/>
  <c r="L42" i="7"/>
  <c r="E42" i="7"/>
  <c r="F42" i="7"/>
  <c r="G42" i="7"/>
  <c r="H42" i="7"/>
  <c r="J18" i="16"/>
  <c r="J15" i="12" s="1"/>
  <c r="J9" i="16"/>
  <c r="J15" i="16"/>
  <c r="Y18" i="16"/>
  <c r="J16" i="12" s="1"/>
  <c r="K16" i="12" s="1"/>
  <c r="Z9" i="16"/>
  <c r="Q18" i="16"/>
  <c r="J14" i="12" s="1"/>
  <c r="Z15" i="16"/>
  <c r="R9" i="16"/>
  <c r="R15" i="16"/>
  <c r="AG18" i="16"/>
  <c r="J18" i="12" s="1"/>
  <c r="K18" i="12" s="1"/>
  <c r="AH9" i="16"/>
  <c r="AH15" i="16"/>
  <c r="AO18" i="16"/>
  <c r="J19" i="12" s="1"/>
  <c r="K19" i="12" s="1"/>
  <c r="AP9" i="16"/>
  <c r="AP15" i="16"/>
  <c r="I53" i="21" l="1"/>
  <c r="E10" i="22" s="1"/>
  <c r="K14" i="12"/>
  <c r="K15" i="12"/>
  <c r="I59" i="21" s="1"/>
  <c r="H59" i="21"/>
  <c r="D27" i="10"/>
  <c r="O25" i="10"/>
  <c r="N25" i="10"/>
  <c r="H9" i="22"/>
  <c r="I7" i="22"/>
  <c r="F10" i="22"/>
  <c r="E11" i="22"/>
  <c r="N7" i="11"/>
  <c r="O16" i="11"/>
  <c r="O15" i="11"/>
  <c r="O14" i="11"/>
  <c r="O13" i="11"/>
  <c r="O12" i="11"/>
  <c r="O11" i="11"/>
  <c r="O10" i="11"/>
  <c r="O9" i="11"/>
  <c r="O8" i="11"/>
  <c r="H61" i="21" l="1"/>
  <c r="I61" i="21"/>
  <c r="N18" i="11"/>
  <c r="N19" i="11"/>
  <c r="O19" i="11" s="1"/>
  <c r="N20" i="11"/>
  <c r="O20" i="11" s="1"/>
  <c r="N21" i="11"/>
  <c r="N17" i="11"/>
  <c r="O17" i="11" s="1"/>
  <c r="G10" i="22"/>
  <c r="F11" i="22"/>
  <c r="I9" i="22"/>
  <c r="J7" i="22"/>
  <c r="J9" i="22" s="1"/>
  <c r="J11" i="22" s="1"/>
  <c r="O27" i="10"/>
  <c r="N27" i="10"/>
  <c r="O21" i="11" l="1"/>
  <c r="I64" i="21"/>
  <c r="I63" i="21"/>
  <c r="D24" i="22"/>
  <c r="H10" i="22"/>
  <c r="G11" i="22"/>
  <c r="O18" i="11"/>
  <c r="I10" i="22" l="1"/>
  <c r="I11" i="22" s="1"/>
  <c r="H11" i="22"/>
  <c r="AW18" i="16"/>
  <c r="J17" i="12"/>
  <c r="AX9" i="16"/>
  <c r="AX15" i="16"/>
  <c r="K17" i="12"/>
  <c r="J21" i="12"/>
  <c r="J20" i="12"/>
  <c r="K21" i="12"/>
  <c r="L33" i="12"/>
  <c r="L36" i="12"/>
  <c r="L28" i="12"/>
  <c r="L29" i="12"/>
  <c r="L40" i="12"/>
  <c r="L46" i="12"/>
  <c r="E19" i="22"/>
  <c r="F13" i="22"/>
  <c r="F15" i="22" s="1"/>
  <c r="D32" i="22" s="1"/>
  <c r="J13" i="22"/>
  <c r="I13" i="22"/>
  <c r="H13" i="22"/>
  <c r="G13" i="22"/>
  <c r="D25" i="22"/>
  <c r="K20" i="12"/>
  <c r="D28" i="22"/>
  <c r="D33" i="22" s="1"/>
  <c r="J15" i="22"/>
  <c r="G15" i="22"/>
  <c r="I15" i="22"/>
  <c r="H15" i="22"/>
  <c r="D34" i="22" l="1"/>
  <c r="D38" i="22" s="1"/>
  <c r="D41" i="22" s="1"/>
  <c r="F23" i="22"/>
  <c r="D45" i="22" l="1"/>
  <c r="D44" i="22"/>
  <c r="B16" i="21"/>
  <c r="B15" i="21"/>
  <c r="B10" i="21"/>
  <c r="N16" i="11"/>
  <c r="N15" i="11"/>
  <c r="N14" i="11"/>
  <c r="N13" i="11"/>
  <c r="N12" i="11"/>
  <c r="N11" i="11"/>
  <c r="N10" i="11"/>
  <c r="N9" i="11"/>
  <c r="N8" i="11"/>
  <c r="I16" i="11"/>
  <c r="I15" i="11"/>
  <c r="I14" i="11"/>
  <c r="I13" i="11"/>
  <c r="I12" i="11"/>
  <c r="I11" i="11"/>
  <c r="I10" i="11"/>
  <c r="I9" i="11"/>
  <c r="I8" i="11"/>
  <c r="D16" i="11"/>
  <c r="D15" i="11"/>
  <c r="D14" i="11"/>
  <c r="D13" i="11"/>
  <c r="D12" i="11"/>
  <c r="D11" i="11"/>
  <c r="D10" i="11"/>
  <c r="D9" i="11"/>
  <c r="D8" i="1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<sst xmlns="http://schemas.openxmlformats.org/spreadsheetml/2006/main" count="1060" uniqueCount="509">
  <si>
    <t>INFOSYS LTD</t>
  </si>
  <si>
    <t>BSE:500209  NSE:INFY</t>
  </si>
  <si>
    <t>Historical Financial statement</t>
  </si>
  <si>
    <t>Years</t>
  </si>
  <si>
    <t>#</t>
  </si>
  <si>
    <t>Income statement</t>
  </si>
  <si>
    <t>Sales</t>
  </si>
  <si>
    <t>Sales growth</t>
  </si>
  <si>
    <t>-</t>
  </si>
  <si>
    <t>COGS</t>
  </si>
  <si>
    <t>COGS% Sales</t>
  </si>
  <si>
    <t>Gross profit</t>
  </si>
  <si>
    <t>Gross Margin</t>
  </si>
  <si>
    <t>Selling &amp; General expenses</t>
  </si>
  <si>
    <t>S&amp;G Expenses % of sales</t>
  </si>
  <si>
    <t>EBITDA</t>
  </si>
  <si>
    <t xml:space="preserve"> EBIDTA Margin</t>
  </si>
  <si>
    <t>Interest</t>
  </si>
  <si>
    <t>Interest % of sales</t>
  </si>
  <si>
    <t>Depreciation</t>
  </si>
  <si>
    <t>Depreciation % of sales</t>
  </si>
  <si>
    <t>Earnings Before Tax</t>
  </si>
  <si>
    <t>EBT % of Sales</t>
  </si>
  <si>
    <t>Tax</t>
  </si>
  <si>
    <t>Effective Tax Rate</t>
  </si>
  <si>
    <t xml:space="preserve">Net Profit </t>
  </si>
  <si>
    <t>Net Margins</t>
  </si>
  <si>
    <t>No. of equity shares</t>
  </si>
  <si>
    <t>Earning Per Share</t>
  </si>
  <si>
    <t>Eps Growth</t>
  </si>
  <si>
    <t>Dividend Per Share</t>
  </si>
  <si>
    <t>Dividend Payout Ratio</t>
  </si>
  <si>
    <t>Retained Earnings</t>
  </si>
  <si>
    <t xml:space="preserve"> </t>
  </si>
  <si>
    <t>Balance Sheet</t>
  </si>
  <si>
    <t>Equity Share Capital</t>
  </si>
  <si>
    <t>Reserves</t>
  </si>
  <si>
    <t>Borrowings</t>
  </si>
  <si>
    <t>Other Liabilities</t>
  </si>
  <si>
    <t>Total Liabilities</t>
  </si>
  <si>
    <t>Fixed Assets Net Block</t>
  </si>
  <si>
    <t>Capital Work in Progress</t>
  </si>
  <si>
    <t>Investments</t>
  </si>
  <si>
    <t>Other Assets</t>
  </si>
  <si>
    <t>Total  Non Current Assets</t>
  </si>
  <si>
    <t>Receivables</t>
  </si>
  <si>
    <t>Inventory</t>
  </si>
  <si>
    <t>Cash &amp; Bank</t>
  </si>
  <si>
    <t>Total  Current Assets</t>
  </si>
  <si>
    <t>Total Assets</t>
  </si>
  <si>
    <t>Check</t>
  </si>
  <si>
    <t>Cashflow Statement</t>
  </si>
  <si>
    <t xml:space="preserve"> Operating Activities</t>
  </si>
  <si>
    <t>Profit from operations</t>
  </si>
  <si>
    <t>Payables</t>
  </si>
  <si>
    <t>Loans Advances</t>
  </si>
  <si>
    <t>Other WC items</t>
  </si>
  <si>
    <t>Working capital changes</t>
  </si>
  <si>
    <t>Direct taxes</t>
  </si>
  <si>
    <t>Cashflow from Operating Activities</t>
  </si>
  <si>
    <t>Investing activity</t>
  </si>
  <si>
    <t>Fixed assets purchased</t>
  </si>
  <si>
    <t>Fixed assets sold</t>
  </si>
  <si>
    <t>Investments purchased</t>
  </si>
  <si>
    <t>Investments sold</t>
  </si>
  <si>
    <t>Interest received</t>
  </si>
  <si>
    <t>Dividends received</t>
  </si>
  <si>
    <t>Acquisition of companies</t>
  </si>
  <si>
    <t>Inter corporate deposits</t>
  </si>
  <si>
    <t>Other investing items</t>
  </si>
  <si>
    <t>Cashflow from Investing Activities</t>
  </si>
  <si>
    <t>Financing activities</t>
  </si>
  <si>
    <t>Proceeds from shares</t>
  </si>
  <si>
    <t>Repayment of borrowings</t>
  </si>
  <si>
    <t>Dividends paid</t>
  </si>
  <si>
    <t>Financial liabilities</t>
  </si>
  <si>
    <t>Other financing items</t>
  </si>
  <si>
    <t>Cashflow from financing Activities</t>
  </si>
  <si>
    <t>Net Cashflow</t>
  </si>
  <si>
    <t>Common Size Income Statement</t>
  </si>
  <si>
    <t>Particulars</t>
  </si>
  <si>
    <t>Common Size Balance Sheet</t>
  </si>
  <si>
    <t xml:space="preserve"> Total liabilities</t>
  </si>
  <si>
    <t>Ratio Analysis</t>
  </si>
  <si>
    <t>Trends</t>
  </si>
  <si>
    <t>Mean</t>
  </si>
  <si>
    <t>Median</t>
  </si>
  <si>
    <t>Sales Growth</t>
  </si>
  <si>
    <t>EBIDTA Growth</t>
  </si>
  <si>
    <t>EBT Growth</t>
  </si>
  <si>
    <t>Net Profit Growth</t>
  </si>
  <si>
    <t>Dividend Growth</t>
  </si>
  <si>
    <t>EBIDTA Margin</t>
  </si>
  <si>
    <t>EBIT Margin</t>
  </si>
  <si>
    <t>EBT Margin</t>
  </si>
  <si>
    <t>Net profit Margin</t>
  </si>
  <si>
    <t>Operating Income % of sales</t>
  </si>
  <si>
    <t>Return on capital employed</t>
  </si>
  <si>
    <t>Retained Earning %</t>
  </si>
  <si>
    <t>Return On Equity %</t>
  </si>
  <si>
    <t>self Sustained Growth Rate</t>
  </si>
  <si>
    <t>Interest Coverage Ratio</t>
  </si>
  <si>
    <t>Debtor Turnover Ratio</t>
  </si>
  <si>
    <t>Creditor Turnover Ratio</t>
  </si>
  <si>
    <t>Inventory Turnover Ratio</t>
  </si>
  <si>
    <t>Fixed Asets Turnover Ratio</t>
  </si>
  <si>
    <t>Capital Turnover Ratio</t>
  </si>
  <si>
    <t>(In days)</t>
  </si>
  <si>
    <t>Debtor Days</t>
  </si>
  <si>
    <t>Payable Days</t>
  </si>
  <si>
    <t>Inventory Days</t>
  </si>
  <si>
    <t>Cash Conversion Cycle</t>
  </si>
  <si>
    <t>CFO/Sales</t>
  </si>
  <si>
    <t>CFO/Total Asset</t>
  </si>
  <si>
    <t>CFO/Debt</t>
  </si>
  <si>
    <t>Year weight</t>
  </si>
  <si>
    <t>Year</t>
  </si>
  <si>
    <t>EBIDTA</t>
  </si>
  <si>
    <t>EPS</t>
  </si>
  <si>
    <t>EPS Growth</t>
  </si>
  <si>
    <t>Weighted average cost of capital</t>
  </si>
  <si>
    <t>All figures are in INR unless stated otherwise</t>
  </si>
  <si>
    <t>Peer Comps</t>
  </si>
  <si>
    <t>Debt/</t>
  </si>
  <si>
    <t>Levered</t>
  </si>
  <si>
    <t>Unlevered</t>
  </si>
  <si>
    <t>Name of the comp</t>
  </si>
  <si>
    <t>Country</t>
  </si>
  <si>
    <t>Total Debt</t>
  </si>
  <si>
    <t>Total Equity</t>
  </si>
  <si>
    <r>
      <t xml:space="preserve">Tax rate </t>
    </r>
    <r>
      <rPr>
        <vertAlign val="superscript"/>
        <sz val="11"/>
        <color theme="1"/>
        <rFont val="Calibri"/>
        <family val="2"/>
        <scheme val="minor"/>
      </rPr>
      <t>1</t>
    </r>
  </si>
  <si>
    <t>Equity</t>
  </si>
  <si>
    <t>Capital</t>
  </si>
  <si>
    <r>
      <t xml:space="preserve">Beta </t>
    </r>
    <r>
      <rPr>
        <vertAlign val="superscript"/>
        <sz val="11"/>
        <color theme="1"/>
        <rFont val="Calibri"/>
        <family val="2"/>
        <scheme val="minor"/>
      </rPr>
      <t>2</t>
    </r>
  </si>
  <si>
    <r>
      <t xml:space="preserve">Beta </t>
    </r>
    <r>
      <rPr>
        <vertAlign val="superscript"/>
        <sz val="11"/>
        <color theme="1"/>
        <rFont val="Calibri"/>
        <family val="2"/>
        <scheme val="minor"/>
      </rPr>
      <t>3</t>
    </r>
  </si>
  <si>
    <t>TCS</t>
  </si>
  <si>
    <t>India</t>
  </si>
  <si>
    <t>Infosys</t>
  </si>
  <si>
    <t>HCL Technologies</t>
  </si>
  <si>
    <t>Wipro</t>
  </si>
  <si>
    <t>LTIMindtree</t>
  </si>
  <si>
    <t>Tech Mahindra</t>
  </si>
  <si>
    <t>Average</t>
  </si>
  <si>
    <t>Cost of debt</t>
  </si>
  <si>
    <t>Cost of Equity</t>
  </si>
  <si>
    <t>Pre- tax cost of debt</t>
  </si>
  <si>
    <t>Risk free rate</t>
  </si>
  <si>
    <t>Tax rate</t>
  </si>
  <si>
    <t>Equity Risk Premium</t>
  </si>
  <si>
    <t>Post-tax cost of debt</t>
  </si>
  <si>
    <t>Levered Beta 4</t>
  </si>
  <si>
    <t>Capital Structure</t>
  </si>
  <si>
    <t xml:space="preserve">Levered Beta </t>
  </si>
  <si>
    <t>Current</t>
  </si>
  <si>
    <t>Target</t>
  </si>
  <si>
    <t>Comps Median Unlevered Beta</t>
  </si>
  <si>
    <t>Target Debt/Equity</t>
  </si>
  <si>
    <t>Market Capitalisation</t>
  </si>
  <si>
    <t>Tax Rate</t>
  </si>
  <si>
    <t>Total capital</t>
  </si>
  <si>
    <t>Levered Beta</t>
  </si>
  <si>
    <t>Debt/Equity</t>
  </si>
  <si>
    <t>Weighted Average Cost Of Capital</t>
  </si>
  <si>
    <t>Notes</t>
  </si>
  <si>
    <t>1. Tax rate considered as marginal tax rate for the country</t>
  </si>
  <si>
    <t>Equity weight</t>
  </si>
  <si>
    <t>2. Levered beta is based n five year monthly data</t>
  </si>
  <si>
    <t>3. Unlevered beta= levered beta*(1+(1-tax rate)*debt/ equity</t>
  </si>
  <si>
    <t>Cost of Debt</t>
  </si>
  <si>
    <t>4. Levered beta= Unlevered beta*(1+(1-tax rate)*debt/ equity</t>
  </si>
  <si>
    <t>Debt Weight</t>
  </si>
  <si>
    <t>5.Cost of debt= Interest Expense/Total debt</t>
  </si>
  <si>
    <t xml:space="preserve"> Beta -2 Year Weekly</t>
  </si>
  <si>
    <t>Infosys weekly Returns</t>
  </si>
  <si>
    <t>Nifty weekly returns</t>
  </si>
  <si>
    <t>Beta Drifting</t>
  </si>
  <si>
    <t>TCS weekly Returns</t>
  </si>
  <si>
    <t>HCL Technologies weekly Returns</t>
  </si>
  <si>
    <t>LTIMindtree weekly Returns</t>
  </si>
  <si>
    <t>Tech Mahindra weekly Returns</t>
  </si>
  <si>
    <t>Wipro weekly Returns</t>
  </si>
  <si>
    <t>Date</t>
  </si>
  <si>
    <t>Closing Price</t>
  </si>
  <si>
    <t>Weekly Return</t>
  </si>
  <si>
    <t>weekly returns</t>
  </si>
  <si>
    <t>Levered Raw Beta</t>
  </si>
  <si>
    <t>Raw Beta Weight</t>
  </si>
  <si>
    <t>Market Beta</t>
  </si>
  <si>
    <t>17-09-2023</t>
  </si>
  <si>
    <t>Raw Market  Beta Weight</t>
  </si>
  <si>
    <t>24-09-2023</t>
  </si>
  <si>
    <t>Adjusted Beta</t>
  </si>
  <si>
    <t>15-10-2023</t>
  </si>
  <si>
    <t>22-10-2023</t>
  </si>
  <si>
    <t>Beta</t>
  </si>
  <si>
    <t>29-10-2023</t>
  </si>
  <si>
    <t>19-11-2023</t>
  </si>
  <si>
    <t>26-11-2023</t>
  </si>
  <si>
    <t>17-12-2023</t>
  </si>
  <si>
    <t>24-12-2023</t>
  </si>
  <si>
    <t>31-12-2023</t>
  </si>
  <si>
    <t>14-01-2024</t>
  </si>
  <si>
    <t>21-01-2024</t>
  </si>
  <si>
    <t>28-01-2024</t>
  </si>
  <si>
    <t>18-02-2024</t>
  </si>
  <si>
    <t>25-02-2024</t>
  </si>
  <si>
    <t>17-03-2024</t>
  </si>
  <si>
    <t>24-03-2024</t>
  </si>
  <si>
    <t>31-03-2024</t>
  </si>
  <si>
    <t>14-04-2024</t>
  </si>
  <si>
    <t>21-04-2024</t>
  </si>
  <si>
    <t>28-04-2024</t>
  </si>
  <si>
    <t>19-05-2024</t>
  </si>
  <si>
    <t>26-05-2024</t>
  </si>
  <si>
    <t>16-06-2024</t>
  </si>
  <si>
    <t>23-06-2024</t>
  </si>
  <si>
    <t>30-06-2024</t>
  </si>
  <si>
    <t>14-07-2024</t>
  </si>
  <si>
    <t>21-07-2024</t>
  </si>
  <si>
    <t>28-07-2024</t>
  </si>
  <si>
    <t>18-08-2024</t>
  </si>
  <si>
    <t>25-08-2024</t>
  </si>
  <si>
    <t>15-09-2024</t>
  </si>
  <si>
    <t>22-09-2024</t>
  </si>
  <si>
    <t>29-09-2024</t>
  </si>
  <si>
    <t>13-10-2024</t>
  </si>
  <si>
    <t>20-10-2024</t>
  </si>
  <si>
    <t>27-10-2024</t>
  </si>
  <si>
    <t>17-11-2024</t>
  </si>
  <si>
    <t>24-11-2024</t>
  </si>
  <si>
    <t>15-12-2024</t>
  </si>
  <si>
    <t>22-12-2024</t>
  </si>
  <si>
    <t>29-12-2024</t>
  </si>
  <si>
    <t>19-01-2025</t>
  </si>
  <si>
    <t>26-01-2025</t>
  </si>
  <si>
    <t>16-02-2025</t>
  </si>
  <si>
    <t>23-02-2025</t>
  </si>
  <si>
    <t>16-03-2025</t>
  </si>
  <si>
    <t>23-03-2025</t>
  </si>
  <si>
    <t>30-03-2025</t>
  </si>
  <si>
    <t>13-04-2025</t>
  </si>
  <si>
    <t>20-04-2025</t>
  </si>
  <si>
    <t>27-04-2025</t>
  </si>
  <si>
    <t>18-05-2025</t>
  </si>
  <si>
    <t>25-05-2025</t>
  </si>
  <si>
    <t>15-06-2025</t>
  </si>
  <si>
    <t>22-06-2025</t>
  </si>
  <si>
    <t>29-06-2025</t>
  </si>
  <si>
    <t>13-07-2025</t>
  </si>
  <si>
    <t>20-07-2025</t>
  </si>
  <si>
    <t>27-07-2025</t>
  </si>
  <si>
    <t>17-08-2025</t>
  </si>
  <si>
    <t>24-08-2025</t>
  </si>
  <si>
    <t>Beta comparision</t>
  </si>
  <si>
    <t>S.No.</t>
  </si>
  <si>
    <t>Name</t>
  </si>
  <si>
    <t>CMP Rs.</t>
  </si>
  <si>
    <t>Mar Cap Rs.Cr.</t>
  </si>
  <si>
    <t>Debt Rs.Cr.</t>
  </si>
  <si>
    <t>Debt / Eq</t>
  </si>
  <si>
    <t>Return on Market</t>
  </si>
  <si>
    <t>returns</t>
  </si>
  <si>
    <t>Annual Returns in %</t>
  </si>
  <si>
    <t>Average return</t>
  </si>
  <si>
    <t>Dividend Yield</t>
  </si>
  <si>
    <t>Total Market Return</t>
  </si>
  <si>
    <t>Calculation Of ROIC</t>
  </si>
  <si>
    <t>Current Assets</t>
  </si>
  <si>
    <t>Total Current Assets</t>
  </si>
  <si>
    <t>Current Liabilities</t>
  </si>
  <si>
    <t>Total Current Liabilities</t>
  </si>
  <si>
    <t>Net Working Capital</t>
  </si>
  <si>
    <t>Non Current Assets</t>
  </si>
  <si>
    <t>Land</t>
  </si>
  <si>
    <t>Building</t>
  </si>
  <si>
    <t>Plant Machinery</t>
  </si>
  <si>
    <t>Equipments</t>
  </si>
  <si>
    <t>Computers</t>
  </si>
  <si>
    <t>Furniture n fittings</t>
  </si>
  <si>
    <t>Vehicles</t>
  </si>
  <si>
    <t>Intangible Assets</t>
  </si>
  <si>
    <t>Other fixed assets</t>
  </si>
  <si>
    <t>Gross block</t>
  </si>
  <si>
    <t>Accumulated Depreciation</t>
  </si>
  <si>
    <t>Net Non Current Assets</t>
  </si>
  <si>
    <t>Invested Capital</t>
  </si>
  <si>
    <t>EBIT</t>
  </si>
  <si>
    <t>NOPAT</t>
  </si>
  <si>
    <t>ROIC</t>
  </si>
  <si>
    <t>Calculation Of Reinvestment Rate</t>
  </si>
  <si>
    <t>Net Capex</t>
  </si>
  <si>
    <t>Change in Working Capital</t>
  </si>
  <si>
    <t>Net invested capital</t>
  </si>
  <si>
    <t>Tax  Rate</t>
  </si>
  <si>
    <t>EBIT ( 1-t)</t>
  </si>
  <si>
    <t>Reinvestment</t>
  </si>
  <si>
    <t>Reinvestment Rate</t>
  </si>
  <si>
    <t>4 Year Average</t>
  </si>
  <si>
    <t>4 Year Median</t>
  </si>
  <si>
    <t>Calculation Of Growth Rate</t>
  </si>
  <si>
    <t>Intrinsic growth rate</t>
  </si>
  <si>
    <t>Calculation Of PV Of FCFF</t>
  </si>
  <si>
    <t>EBIT(1-T)</t>
  </si>
  <si>
    <t>Less: Reinvestment Rate</t>
  </si>
  <si>
    <t>Free Cahflow to Firm (FCFF)</t>
  </si>
  <si>
    <t>Mid year convention</t>
  </si>
  <si>
    <t>Discounting Factor</t>
  </si>
  <si>
    <t>PV Of FCFF</t>
  </si>
  <si>
    <t>Expected Growth</t>
  </si>
  <si>
    <t>Terminal Growth</t>
  </si>
  <si>
    <t>WACC</t>
  </si>
  <si>
    <t>Calculation Of Terminal Value</t>
  </si>
  <si>
    <t>Sensitivity Analysis</t>
  </si>
  <si>
    <t>FCFF(n+1)</t>
  </si>
  <si>
    <t>Terminal Growth Rate</t>
  </si>
  <si>
    <t>Terminal Value</t>
  </si>
  <si>
    <t>Calculation Of Equity Value</t>
  </si>
  <si>
    <t>PV Of Terminal Value</t>
  </si>
  <si>
    <t>Enterprise Value</t>
  </si>
  <si>
    <t>Add:Cash</t>
  </si>
  <si>
    <t>Less: Debt</t>
  </si>
  <si>
    <t>Value Of Equity</t>
  </si>
  <si>
    <t>No. Of Shares</t>
  </si>
  <si>
    <t>Equity Value Per Share</t>
  </si>
  <si>
    <t>Share Price</t>
  </si>
  <si>
    <t>Discount/Premium</t>
  </si>
  <si>
    <t>Assumptions</t>
  </si>
  <si>
    <t>1.The terminal growth rate is based on India's lomg term GDP growth rate</t>
  </si>
  <si>
    <t>Comparable Company Valuation</t>
  </si>
  <si>
    <t>Market Data</t>
  </si>
  <si>
    <t>Financials</t>
  </si>
  <si>
    <t>Valuation</t>
  </si>
  <si>
    <t xml:space="preserve">Company </t>
  </si>
  <si>
    <t>Ticker</t>
  </si>
  <si>
    <t>Shares Outstanding</t>
  </si>
  <si>
    <t>Equity Value</t>
  </si>
  <si>
    <t>Net Debt</t>
  </si>
  <si>
    <t>Revenue</t>
  </si>
  <si>
    <t>Net Income</t>
  </si>
  <si>
    <t>EV/Revenue</t>
  </si>
  <si>
    <t>EV/EBIDTA</t>
  </si>
  <si>
    <t>P/E</t>
  </si>
  <si>
    <t>High</t>
  </si>
  <si>
    <t>75th percentile</t>
  </si>
  <si>
    <t>25th percentile</t>
  </si>
  <si>
    <t>Infosys Comparable Valuation</t>
  </si>
  <si>
    <t>Implied Enterprise Value</t>
  </si>
  <si>
    <t>Implied Market Value</t>
  </si>
  <si>
    <t>No. Of Shares Outstanding</t>
  </si>
  <si>
    <t>Implied Value Per Share</t>
  </si>
  <si>
    <t xml:space="preserve">INFOSYS LTD - 1 Page Profile </t>
  </si>
  <si>
    <t>Infosys Ltd provides consulting, technology, outsourcing and next-generation digital services to enable clients to execute strategies for their digital transformation. It is the 2nd largest Information Technology company in India behind TCS.</t>
  </si>
  <si>
    <t>INR (crs.)</t>
  </si>
  <si>
    <t>Key Financial Metrics</t>
  </si>
  <si>
    <t>Share price over years</t>
  </si>
  <si>
    <t>Total Sales</t>
  </si>
  <si>
    <t>Sales Growth (Y-O-Y)</t>
  </si>
  <si>
    <t>Gross profit Margins</t>
  </si>
  <si>
    <t>EBIDTA Margins</t>
  </si>
  <si>
    <t>EBIT Margins</t>
  </si>
  <si>
    <t>Net Profit Margins</t>
  </si>
  <si>
    <t>Earnings Per Share(in Rs.)</t>
  </si>
  <si>
    <t>EPS Growth (Y-O-Y)</t>
  </si>
  <si>
    <t>Dividend Payout Ratio(Y-O-Y)</t>
  </si>
  <si>
    <t>Key Financial Ratios</t>
  </si>
  <si>
    <t>Volume  over years</t>
  </si>
  <si>
    <t>Price to Earnings</t>
  </si>
  <si>
    <t>Return on Equity</t>
  </si>
  <si>
    <t>Return on Capital Employed</t>
  </si>
  <si>
    <t>Top 10 Shareholdings</t>
  </si>
  <si>
    <t>Total Shares (cr)</t>
  </si>
  <si>
    <t xml:space="preserve">ShareHolding </t>
  </si>
  <si>
    <t>% Of Holding</t>
  </si>
  <si>
    <t>Market Value (cr)</t>
  </si>
  <si>
    <t>Shareholding Pattern</t>
  </si>
  <si>
    <t xml:space="preserve">LIFE INSURANCE CORPORATION OF INDIA </t>
  </si>
  <si>
    <t>SBI MUTUAL FUND</t>
  </si>
  <si>
    <t>ICICI PRUDENTIAL MUTUAL FUND</t>
  </si>
  <si>
    <t>SUDHA GOPALAKRISHNAN</t>
  </si>
  <si>
    <t>National Pension System Trust</t>
  </si>
  <si>
    <t>UTI MUTUAL FUND</t>
  </si>
  <si>
    <t>HDFC MUTUAL FUND</t>
  </si>
  <si>
    <t>ROHAN MURTY</t>
  </si>
  <si>
    <t>NIPPON LIFE INDIA TRUSTEE</t>
  </si>
  <si>
    <t>SBI LIFE INSURANCE CO. LTD</t>
  </si>
  <si>
    <t>Manegerial Persons</t>
  </si>
  <si>
    <t>Designation</t>
  </si>
  <si>
    <t>Location</t>
  </si>
  <si>
    <t>Remuneration (In Cr)</t>
  </si>
  <si>
    <t>Salil Parekh</t>
  </si>
  <si>
    <t>CEO &amp;MD</t>
  </si>
  <si>
    <t>Share price as on6/09/25</t>
  </si>
  <si>
    <t>Karmesh Gul Baswani</t>
  </si>
  <si>
    <t>Segment Head-CPG,Logistics &amp; Retail</t>
  </si>
  <si>
    <t>UK</t>
  </si>
  <si>
    <t>No. Of Shares O/S</t>
  </si>
  <si>
    <t>Indrapreet Sahwani</t>
  </si>
  <si>
    <t>Chief Legal &amp;Compliance Officer</t>
  </si>
  <si>
    <t>US</t>
  </si>
  <si>
    <t>Market Capitalization</t>
  </si>
  <si>
    <t>Martha King</t>
  </si>
  <si>
    <t>Chief Client Officer</t>
  </si>
  <si>
    <t>Less: Cash &amp;Equivalents</t>
  </si>
  <si>
    <t>Jasmeet Singh</t>
  </si>
  <si>
    <t>Segment Head-Manufacturing</t>
  </si>
  <si>
    <t>Add : Total Debt</t>
  </si>
  <si>
    <t>Anand Swaminathan</t>
  </si>
  <si>
    <t>Segment Head- communication &amp;Media</t>
  </si>
  <si>
    <t>Add: Minority Interest</t>
  </si>
  <si>
    <t>Recent Updates</t>
  </si>
  <si>
    <t xml:space="preserve">Bank CTBC Indonesia adopts Infosys Finacle cloud solution,enhancing core banking &amp; customer experience                                                                                </t>
  </si>
  <si>
    <t>Infosys board to consider equity share buyback at meeting on September 11, 2025</t>
  </si>
  <si>
    <t>Infosys partners with Glion Arena Kode as official digital innovation and GX partner</t>
  </si>
  <si>
    <t>Infosys approved to acquire 75% of Versent Group,a Telstra subsidiary , to expand its digital transformation services in Australia</t>
  </si>
  <si>
    <t>COMPANY NAME</t>
  </si>
  <si>
    <t>LATEST VERSION</t>
  </si>
  <si>
    <t>PLEASE DO NOT MAKE ANY CHANGES TO THIS SHEET</t>
  </si>
  <si>
    <t>CURRENT VERSION</t>
  </si>
  <si>
    <t>META</t>
  </si>
  <si>
    <t>Number of shares</t>
  </si>
  <si>
    <t>Face Value</t>
  </si>
  <si>
    <t>Current Price</t>
  </si>
  <si>
    <t>PROFIT &amp; LOSS</t>
  </si>
  <si>
    <t>Report Date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</si>
  <si>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</si>
  <si>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</si>
  <si>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</si>
  <si>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</si>
  <si>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</si>
  <si>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</si>
  <si>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</si>
  <si>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Other Income</t>
  </si>
  <si>
    <t>Profit before tax</t>
  </si>
  <si>
    <t>Net profit</t>
  </si>
  <si>
    <t>Dividend Amount</t>
  </si>
  <si>
    <t>Price to earning</t>
  </si>
  <si>
    <t>Quarters</t>
  </si>
  <si>
    <t>Expenses</t>
  </si>
  <si>
    <t>Operating Profit</t>
  </si>
  <si>
    <t>BALANCE SHEET</t>
  </si>
  <si>
    <t>Total</t>
  </si>
  <si>
    <t>Net Block</t>
  </si>
  <si>
    <t>No. of Equity Shares</t>
  </si>
  <si>
    <t>New Bonus Shares</t>
  </si>
  <si>
    <t>Face value</t>
  </si>
  <si>
    <t>other asset</t>
  </si>
  <si>
    <t>CASH FLOW:</t>
  </si>
  <si>
    <t>Cash from Operating Activity</t>
  </si>
  <si>
    <t>Cash from Investing Activity</t>
  </si>
  <si>
    <t>Cash from Financing Activity</t>
  </si>
  <si>
    <t>Net Cash Flow</t>
  </si>
  <si>
    <t>PRICE:</t>
  </si>
  <si>
    <t>DERIVED:</t>
  </si>
  <si>
    <t>Adjusted Equity Shares in Cr</t>
  </si>
  <si>
    <t>SCREENER.IN</t>
  </si>
  <si>
    <t>Narration</t>
  </si>
  <si>
    <t>Cash from Operating Activity -</t>
  </si>
  <si>
    <t>Cash from Investing Activity -</t>
  </si>
  <si>
    <t>Cash from Financing Activity -</t>
  </si>
  <si>
    <t>Equity Capital</t>
  </si>
  <si>
    <r>
      <t>Borrowings </t>
    </r>
    <r>
      <rPr>
        <sz val="11"/>
        <color rgb="FF665EFD"/>
        <rFont val="Calibri"/>
        <family val="2"/>
        <scheme val="minor"/>
      </rPr>
      <t>-</t>
    </r>
  </si>
  <si>
    <t>Lease Liabilities</t>
  </si>
  <si>
    <r>
      <t>Other Liabilities </t>
    </r>
    <r>
      <rPr>
        <sz val="11"/>
        <color rgb="FF665EFD"/>
        <rFont val="Calibri"/>
        <family val="2"/>
        <scheme val="minor"/>
      </rPr>
      <t>-</t>
    </r>
  </si>
  <si>
    <t>Non controlling int</t>
  </si>
  <si>
    <t>Trade Payables</t>
  </si>
  <si>
    <t>Advance from Customers</t>
  </si>
  <si>
    <t>Other liability items</t>
  </si>
  <si>
    <r>
      <t>Fixed Assets </t>
    </r>
    <r>
      <rPr>
        <sz val="11"/>
        <color rgb="FF665EFD"/>
        <rFont val="Calibri"/>
        <family val="2"/>
        <scheme val="minor"/>
      </rPr>
      <t>-</t>
    </r>
  </si>
  <si>
    <t>Gross Block</t>
  </si>
  <si>
    <t>CWIP</t>
  </si>
  <si>
    <r>
      <t>Other Assets </t>
    </r>
    <r>
      <rPr>
        <sz val="11"/>
        <color rgb="FF665EFD"/>
        <rFont val="Calibri"/>
        <family val="2"/>
        <scheme val="minor"/>
      </rPr>
      <t>-</t>
    </r>
  </si>
  <si>
    <t>Trade receivables</t>
  </si>
  <si>
    <t>Cash Equivalents</t>
  </si>
  <si>
    <t>Loans n Advances</t>
  </si>
  <si>
    <t>Other asset items</t>
  </si>
  <si>
    <r>
      <t>Cash from Operating Activity </t>
    </r>
    <r>
      <rPr>
        <sz val="11"/>
        <color rgb="FF665EFD"/>
        <rFont val="Calibri"/>
        <family val="2"/>
        <scheme val="minor"/>
      </rPr>
      <t>-</t>
    </r>
  </si>
  <si>
    <r>
      <t>Cash from Investing Activity </t>
    </r>
    <r>
      <rPr>
        <sz val="11"/>
        <color rgb="FF665EFD"/>
        <rFont val="Calibri"/>
        <family val="2"/>
        <scheme val="minor"/>
      </rPr>
      <t>-</t>
    </r>
  </si>
  <si>
    <r>
      <t>Cash from Financing Activity </t>
    </r>
    <r>
      <rPr>
        <sz val="11"/>
        <color rgb="FF665EFD"/>
        <rFont val="Calibri"/>
        <family val="2"/>
        <scheme val="minor"/>
      </rPr>
      <t>-</t>
    </r>
  </si>
  <si>
    <t>No. Eq. Shares Cr.</t>
  </si>
  <si>
    <t>Market Cap</t>
  </si>
  <si>
    <t>EV</t>
  </si>
  <si>
    <t>Cash End Rs.Cr.</t>
  </si>
  <si>
    <t>net debt</t>
  </si>
  <si>
    <t xml:space="preserve">Sales </t>
  </si>
  <si>
    <t>NP 12M Rs.Cr.</t>
  </si>
  <si>
    <t>Persistent Sys</t>
  </si>
  <si>
    <t>Coforge</t>
  </si>
  <si>
    <t>Mphasis</t>
  </si>
  <si>
    <t>Hexaware Tech.</t>
  </si>
  <si>
    <t>Tata Elxsi</t>
  </si>
  <si>
    <t>KPIT Technologi.</t>
  </si>
  <si>
    <t>Zensar Tech.</t>
  </si>
  <si>
    <t>Intellect Design</t>
  </si>
  <si>
    <t>Newgen Software</t>
  </si>
  <si>
    <t>Birlasoft Ltd</t>
  </si>
  <si>
    <t>Sonata Software</t>
  </si>
  <si>
    <t>Latent View</t>
  </si>
  <si>
    <t>Happiest Minds</t>
  </si>
  <si>
    <t>Mastek</t>
  </si>
  <si>
    <t>Rategain Travel</t>
  </si>
  <si>
    <t>Aurionpro Sol.</t>
  </si>
  <si>
    <t>Magellanic Cloud</t>
  </si>
  <si>
    <t>ASM Technologies</t>
  </si>
  <si>
    <t>63 Moons Tech.</t>
  </si>
  <si>
    <t>Ceinsys Tech</t>
  </si>
  <si>
    <t>Saksoft</t>
  </si>
  <si>
    <t>Accelya Solution</t>
  </si>
  <si>
    <t>InfoBeans Tech.</t>
  </si>
  <si>
    <t>TAC Infosec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</si>
</sst>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164" formatCode="_(* #,##0.00_);_(* \(#,##0.00\);_(* &quot;-&quot;??_);_(@_)"/>
    <numFmt numFmtId="165" formatCode="_ * #,##0.00_ ;_ * \-#,##0.00_ ;_ * &quot;-&quot;??_ ;_ @_ "/>
    <numFmt numFmtId="166" formatCode="[$-409]mmm\-yy;@"/>
    <numFmt numFmtId="167" formatCode="[$₹-4009]\ #,##0.00;[$₹-4009]\ \-#,##0.00"/>
    <numFmt numFmtId="168" formatCode="0.000"/>
    <numFmt numFmtId="169" formatCode="0.00_);\(0.00\)"/>
    <numFmt numFmtId="170" formatCode="0.0"/>
    <numFmt numFmtId="171" formatCode="0.0_);\(0.0\)"/>
    <numFmt numFmtId="172" formatCode="0.00\x"/>
    <numFmt numFmtId="173" formatCode="0\A"/>
    <numFmt numFmtId="174" formatCode="0\E"/>
  </numFmts>
  <fonts count="3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BFBFBF"/>
      <name val="Calibri"/>
      <family val="2"/>
      <scheme val="minor"/>
    </font>
    <font>
      <i/>
      <sz val="11"/>
      <color theme="0" tint="-0.249977111117893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0"/>
      <color rgb="FF242424"/>
      <name val="Aptos Narrow"/>
      <charset val="1"/>
    </font>
    <font>
      <sz val="11"/>
      <color rgb="FF0275D8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22222F"/>
      <name val="Calibri"/>
      <family val="2"/>
      <scheme val="minor"/>
    </font>
    <font>
      <sz val="11"/>
      <color rgb="FF665EFD"/>
      <name val="Calibri"/>
      <family val="2"/>
      <scheme val="minor"/>
    </font>
    <font>
      <b/>
      <sz val="11"/>
      <color rgb="FF606F7B"/>
      <name val="Calibri"/>
      <family val="2"/>
      <scheme val="minor"/>
    </font>
    <font>
      <b/>
      <sz val="11"/>
      <color rgb="FF22222F"/>
      <name val="Calibri"/>
      <family val="2"/>
      <scheme val="minor"/>
    </font>
    <font>
      <sz val="11"/>
      <color rgb="FF606F7B"/>
      <name val="Calibri"/>
      <family val="2"/>
      <scheme val="minor"/>
    </font>
    <font>
      <b/>
      <sz val="11"/>
      <color rgb="FF074069"/>
      <name val="Calibri"/>
      <family val="2"/>
      <scheme val="minor"/>
    </font>
    <font>
      <b/>
      <sz val="24"/>
      <color theme="1"/>
      <name val="Calibri"/>
      <family val="2"/>
      <scheme val="minor"/>
    </font>
    <font>
      <i/>
      <sz val="9"/>
      <color theme="1" tint="0.499984740745262"/>
      <name val="Calibri"/>
      <family val="2"/>
      <scheme val="minor"/>
    </font>
    <font>
      <i/>
      <sz val="11"/>
      <color theme="1" tint="0.499984740745262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FFFFFF"/>
      <name val="Calibri"/>
      <family val="2"/>
    </font>
    <font>
      <sz val="12"/>
      <color rgb="FF000000"/>
      <name val="Calibri"/>
      <family val="2"/>
    </font>
    <font>
      <sz val="12"/>
      <color rgb="FFFFFFFF"/>
      <name val="Calibri"/>
      <family val="2"/>
    </font>
    <font>
      <sz val="11"/>
      <color rgb="FFFFFFFF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0275D8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7406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2060"/>
        <bgColor rgb="FF000000"/>
      </patternFill>
    </fill>
    <fill>
      <patternFill patternType="solid">
        <fgColor rgb="FFFFFFFF"/>
        <bgColor rgb="FF000000"/>
      </patternFill>
    </fill>
  </fills>
  <borders count="2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dashed">
        <color rgb="FF000000"/>
      </top>
      <bottom/>
      <diagonal/>
    </border>
    <border>
      <left/>
      <right/>
      <top style="dashed">
        <color theme="0" tint="-0.34998626667073579"/>
      </top>
      <bottom style="dashed">
        <color theme="0" tint="-0.34998626667073579"/>
      </bottom>
      <diagonal/>
    </border>
    <border>
      <left/>
      <right/>
      <top style="dashed">
        <color theme="0" tint="-0.34998626667073579"/>
      </top>
      <bottom/>
      <diagonal/>
    </border>
    <border>
      <left/>
      <right/>
      <top/>
      <bottom style="dashed">
        <color theme="0" tint="-0.34998626667073579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DBE4F0"/>
      </bottom>
      <diagonal/>
    </border>
    <border>
      <left/>
      <right/>
      <top style="thick">
        <color rgb="FFDBE4F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/>
      <top/>
      <bottom style="dashed">
        <color theme="0" tint="-0.14999847407452621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dashed">
        <color theme="0" tint="-0.249977111117893"/>
      </bottom>
      <diagonal/>
    </border>
    <border>
      <left/>
      <right/>
      <top/>
      <bottom style="dashed">
        <color rgb="FFD9D9D9"/>
      </bottom>
      <diagonal/>
    </border>
    <border>
      <left/>
      <right/>
      <top style="dashed">
        <color rgb="FFD9D9D9"/>
      </top>
      <bottom/>
      <diagonal/>
    </border>
    <border>
      <left/>
      <right/>
      <top style="dashed">
        <color rgb="FFD9D9D9"/>
      </top>
      <bottom style="dashed">
        <color rgb="FFD9D9D9"/>
      </bottom>
      <diagonal/>
    </border>
  </borders>
  <cellStyleXfs count="4">
    <xf numFmtId="0" fontId="0" fillId="0" borderId="0"/>
    <xf numFmtId="165" fontId="4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6" fillId="2" borderId="0" applyNumberFormat="0" applyBorder="0" applyAlignment="0" applyProtection="0"/>
  </cellStyleXfs>
  <cellXfs count="227">
    <xf numFmtId="0" fontId="0" fillId="0" borderId="0" xfId="0"/>
    <xf numFmtId="165" fontId="2" fillId="0" borderId="0" xfId="1" applyFont="1" applyBorder="1"/>
    <xf numFmtId="0" fontId="2" fillId="0" borderId="0" xfId="0" applyFont="1"/>
    <xf numFmtId="165" fontId="0" fillId="0" borderId="0" xfId="1" applyFont="1" applyBorder="1"/>
    <xf numFmtId="10" fontId="0" fillId="0" borderId="0" xfId="0" applyNumberFormat="1"/>
    <xf numFmtId="165" fontId="4" fillId="0" borderId="0" xfId="1" applyFont="1" applyBorder="1"/>
    <xf numFmtId="0" fontId="3" fillId="3" borderId="0" xfId="0" applyFont="1" applyFill="1"/>
    <xf numFmtId="166" fontId="3" fillId="3" borderId="0" xfId="0" applyNumberFormat="1" applyFont="1" applyFill="1" applyAlignment="1">
      <alignment horizontal="center"/>
    </xf>
    <xf numFmtId="10" fontId="2" fillId="0" borderId="0" xfId="0" applyNumberFormat="1" applyFont="1"/>
    <xf numFmtId="166" fontId="3" fillId="3" borderId="0" xfId="1" applyNumberFormat="1" applyFont="1" applyFill="1" applyBorder="1"/>
    <xf numFmtId="166" fontId="7" fillId="0" borderId="0" xfId="1" applyNumberFormat="1" applyFont="1" applyFill="1" applyBorder="1"/>
    <xf numFmtId="164" fontId="0" fillId="0" borderId="0" xfId="1" applyNumberFormat="1" applyFont="1" applyBorder="1"/>
    <xf numFmtId="166" fontId="0" fillId="0" borderId="0" xfId="0" applyNumberFormat="1"/>
    <xf numFmtId="0" fontId="6" fillId="4" borderId="0" xfId="0" applyFont="1" applyFill="1"/>
    <xf numFmtId="166" fontId="6" fillId="4" borderId="0" xfId="0" applyNumberFormat="1" applyFont="1" applyFill="1" applyAlignment="1">
      <alignment horizontal="right"/>
    </xf>
    <xf numFmtId="0" fontId="6" fillId="5" borderId="0" xfId="0" applyFont="1" applyFill="1"/>
    <xf numFmtId="166" fontId="6" fillId="5" borderId="0" xfId="0" applyNumberFormat="1" applyFont="1" applyFill="1" applyAlignment="1">
      <alignment horizontal="right"/>
    </xf>
    <xf numFmtId="0" fontId="2" fillId="6" borderId="0" xfId="0" applyFont="1" applyFill="1"/>
    <xf numFmtId="0" fontId="0" fillId="6" borderId="0" xfId="0" applyFill="1"/>
    <xf numFmtId="167" fontId="0" fillId="0" borderId="0" xfId="0" applyNumberFormat="1"/>
    <xf numFmtId="0" fontId="8" fillId="0" borderId="0" xfId="0" applyFont="1"/>
    <xf numFmtId="2" fontId="8" fillId="0" borderId="0" xfId="0" applyNumberFormat="1" applyFont="1"/>
    <xf numFmtId="0" fontId="0" fillId="0" borderId="0" xfId="0" applyAlignment="1">
      <alignment wrapText="1"/>
    </xf>
    <xf numFmtId="0" fontId="9" fillId="0" borderId="0" xfId="0" applyFont="1"/>
    <xf numFmtId="10" fontId="0" fillId="0" borderId="0" xfId="0" applyNumberFormat="1" applyAlignment="1">
      <alignment horizontal="right"/>
    </xf>
    <xf numFmtId="10" fontId="8" fillId="0" borderId="0" xfId="0" applyNumberFormat="1" applyFont="1"/>
    <xf numFmtId="10" fontId="10" fillId="0" borderId="0" xfId="0" applyNumberFormat="1" applyFont="1" applyAlignment="1">
      <alignment wrapText="1"/>
    </xf>
    <xf numFmtId="167" fontId="2" fillId="0" borderId="0" xfId="0" applyNumberFormat="1" applyFont="1"/>
    <xf numFmtId="167" fontId="2" fillId="0" borderId="0" xfId="0" applyNumberFormat="1" applyFont="1" applyAlignment="1">
      <alignment wrapText="1"/>
    </xf>
    <xf numFmtId="167" fontId="2" fillId="0" borderId="1" xfId="0" applyNumberFormat="1" applyFont="1" applyBorder="1"/>
    <xf numFmtId="165" fontId="2" fillId="0" borderId="2" xfId="1" applyFont="1" applyBorder="1"/>
    <xf numFmtId="167" fontId="2" fillId="0" borderId="2" xfId="0" applyNumberFormat="1" applyFont="1" applyBorder="1"/>
    <xf numFmtId="17" fontId="0" fillId="0" borderId="0" xfId="0" applyNumberFormat="1"/>
    <xf numFmtId="3" fontId="0" fillId="0" borderId="0" xfId="0" applyNumberFormat="1"/>
    <xf numFmtId="0" fontId="2" fillId="0" borderId="0" xfId="0" applyFont="1" applyAlignment="1">
      <alignment wrapText="1"/>
    </xf>
    <xf numFmtId="3" fontId="2" fillId="0" borderId="0" xfId="0" applyNumberFormat="1" applyFont="1"/>
    <xf numFmtId="0" fontId="11" fillId="0" borderId="0" xfId="0" applyFont="1"/>
    <xf numFmtId="0" fontId="2" fillId="0" borderId="1" xfId="0" applyFont="1" applyBorder="1"/>
    <xf numFmtId="0" fontId="0" fillId="0" borderId="1" xfId="0" applyBorder="1"/>
    <xf numFmtId="167" fontId="2" fillId="0" borderId="1" xfId="0" applyNumberFormat="1" applyFont="1" applyBorder="1" applyAlignment="1">
      <alignment wrapText="1"/>
    </xf>
    <xf numFmtId="167" fontId="2" fillId="0" borderId="3" xfId="0" applyNumberFormat="1" applyFont="1" applyBorder="1"/>
    <xf numFmtId="0" fontId="0" fillId="0" borderId="0" xfId="0" applyAlignment="1">
      <alignment horizontal="right"/>
    </xf>
    <xf numFmtId="10" fontId="0" fillId="0" borderId="0" xfId="0" applyNumberFormat="1" applyAlignment="1">
      <alignment wrapText="1"/>
    </xf>
    <xf numFmtId="2" fontId="0" fillId="0" borderId="0" xfId="0" applyNumberFormat="1"/>
    <xf numFmtId="1" fontId="0" fillId="0" borderId="0" xfId="0" applyNumberFormat="1"/>
    <xf numFmtId="0" fontId="6" fillId="4" borderId="0" xfId="0" applyFont="1" applyFill="1" applyAlignment="1">
      <alignment horizontal="right"/>
    </xf>
    <xf numFmtId="0" fontId="0" fillId="0" borderId="4" xfId="0" applyBorder="1"/>
    <xf numFmtId="10" fontId="0" fillId="0" borderId="4" xfId="0" applyNumberFormat="1" applyBorder="1"/>
    <xf numFmtId="0" fontId="0" fillId="0" borderId="6" xfId="0" applyBorder="1"/>
    <xf numFmtId="2" fontId="0" fillId="0" borderId="6" xfId="0" applyNumberFormat="1" applyBorder="1"/>
    <xf numFmtId="1" fontId="0" fillId="0" borderId="5" xfId="0" applyNumberFormat="1" applyBorder="1"/>
    <xf numFmtId="2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6" fillId="7" borderId="0" xfId="0" applyFont="1" applyFill="1" applyAlignment="1">
      <alignment horizontal="left"/>
    </xf>
    <xf numFmtId="0" fontId="6" fillId="7" borderId="0" xfId="0" applyFont="1" applyFill="1" applyAlignment="1">
      <alignment horizontal="right"/>
    </xf>
    <xf numFmtId="2" fontId="0" fillId="0" borderId="0" xfId="0" applyNumberFormat="1" applyAlignment="1">
      <alignment horizontal="right" wrapText="1"/>
    </xf>
    <xf numFmtId="0" fontId="0" fillId="8" borderId="0" xfId="0" applyFill="1" applyAlignment="1">
      <alignment horizontal="left"/>
    </xf>
    <xf numFmtId="2" fontId="0" fillId="8" borderId="0" xfId="0" applyNumberFormat="1" applyFill="1" applyAlignment="1">
      <alignment horizontal="right"/>
    </xf>
    <xf numFmtId="10" fontId="0" fillId="8" borderId="0" xfId="0" applyNumberFormat="1" applyFill="1"/>
    <xf numFmtId="0" fontId="12" fillId="7" borderId="0" xfId="0" applyFont="1" applyFill="1"/>
    <xf numFmtId="0" fontId="6" fillId="7" borderId="0" xfId="0" applyFont="1" applyFill="1"/>
    <xf numFmtId="0" fontId="0" fillId="0" borderId="0" xfId="0" applyAlignment="1">
      <alignment vertical="top"/>
    </xf>
    <xf numFmtId="0" fontId="0" fillId="0" borderId="7" xfId="0" applyBorder="1"/>
    <xf numFmtId="0" fontId="0" fillId="0" borderId="7" xfId="0" applyBorder="1" applyAlignment="1">
      <alignment vertical="top"/>
    </xf>
    <xf numFmtId="0" fontId="14" fillId="0" borderId="0" xfId="0" applyFont="1"/>
    <xf numFmtId="0" fontId="15" fillId="0" borderId="0" xfId="0" applyFont="1" applyAlignment="1">
      <alignment wrapText="1"/>
    </xf>
    <xf numFmtId="0" fontId="15" fillId="0" borderId="0" xfId="0" applyFont="1"/>
    <xf numFmtId="11" fontId="15" fillId="0" borderId="0" xfId="0" applyNumberFormat="1" applyFont="1"/>
    <xf numFmtId="0" fontId="0" fillId="8" borderId="0" xfId="0" applyFill="1"/>
    <xf numFmtId="0" fontId="2" fillId="0" borderId="7" xfId="0" applyFont="1" applyBorder="1"/>
    <xf numFmtId="0" fontId="2" fillId="0" borderId="1" xfId="0" applyFont="1" applyBorder="1" applyAlignment="1">
      <alignment horizontal="right"/>
    </xf>
    <xf numFmtId="0" fontId="2" fillId="0" borderId="7" xfId="0" applyFont="1" applyBorder="1" applyAlignment="1">
      <alignment horizontal="right"/>
    </xf>
    <xf numFmtId="10" fontId="15" fillId="0" borderId="0" xfId="0" applyNumberFormat="1" applyFont="1"/>
    <xf numFmtId="10" fontId="2" fillId="0" borderId="1" xfId="0" applyNumberFormat="1" applyFont="1" applyBorder="1"/>
    <xf numFmtId="10" fontId="0" fillId="0" borderId="1" xfId="0" applyNumberFormat="1" applyBorder="1"/>
    <xf numFmtId="10" fontId="2" fillId="0" borderId="7" xfId="0" applyNumberFormat="1" applyFont="1" applyBorder="1"/>
    <xf numFmtId="10" fontId="0" fillId="0" borderId="7" xfId="0" applyNumberFormat="1" applyBorder="1"/>
    <xf numFmtId="0" fontId="0" fillId="0" borderId="3" xfId="0" applyBorder="1"/>
    <xf numFmtId="10" fontId="0" fillId="0" borderId="3" xfId="0" applyNumberFormat="1" applyBorder="1"/>
    <xf numFmtId="2" fontId="0" fillId="0" borderId="3" xfId="0" applyNumberFormat="1" applyBorder="1"/>
    <xf numFmtId="2" fontId="15" fillId="0" borderId="0" xfId="0" applyNumberFormat="1" applyFont="1"/>
    <xf numFmtId="0" fontId="16" fillId="0" borderId="0" xfId="0" applyFont="1"/>
    <xf numFmtId="0" fontId="13" fillId="0" borderId="0" xfId="0" applyFont="1"/>
    <xf numFmtId="4" fontId="0" fillId="0" borderId="0" xfId="0" applyNumberFormat="1"/>
    <xf numFmtId="14" fontId="0" fillId="0" borderId="0" xfId="0" applyNumberFormat="1"/>
    <xf numFmtId="0" fontId="17" fillId="9" borderId="0" xfId="0" applyFont="1" applyFill="1"/>
    <xf numFmtId="14" fontId="17" fillId="9" borderId="0" xfId="0" applyNumberFormat="1" applyFont="1" applyFill="1"/>
    <xf numFmtId="0" fontId="18" fillId="9" borderId="7" xfId="0" applyFont="1" applyFill="1" applyBorder="1"/>
    <xf numFmtId="4" fontId="17" fillId="9" borderId="0" xfId="0" applyNumberFormat="1" applyFont="1" applyFill="1"/>
    <xf numFmtId="0" fontId="3" fillId="5" borderId="0" xfId="0" applyFont="1" applyFill="1"/>
    <xf numFmtId="2" fontId="2" fillId="0" borderId="0" xfId="0" applyNumberFormat="1" applyFont="1"/>
    <xf numFmtId="2" fontId="0" fillId="8" borderId="0" xfId="0" applyNumberFormat="1" applyFill="1"/>
    <xf numFmtId="0" fontId="2" fillId="0" borderId="8" xfId="0" applyFont="1" applyBorder="1"/>
    <xf numFmtId="2" fontId="2" fillId="0" borderId="9" xfId="0" applyNumberFormat="1" applyFont="1" applyBorder="1"/>
    <xf numFmtId="0" fontId="0" fillId="7" borderId="0" xfId="0" applyFill="1"/>
    <xf numFmtId="0" fontId="18" fillId="9" borderId="0" xfId="0" applyFont="1" applyFill="1"/>
    <xf numFmtId="2" fontId="0" fillId="0" borderId="1" xfId="0" applyNumberFormat="1" applyBorder="1"/>
    <xf numFmtId="2" fontId="0" fillId="0" borderId="7" xfId="0" applyNumberFormat="1" applyBorder="1"/>
    <xf numFmtId="0" fontId="17" fillId="9" borderId="0" xfId="0" applyFont="1" applyFill="1" applyAlignment="1">
      <alignment horizontal="right"/>
    </xf>
    <xf numFmtId="0" fontId="17" fillId="9" borderId="0" xfId="0" applyFont="1" applyFill="1" applyAlignment="1">
      <alignment horizontal="left"/>
    </xf>
    <xf numFmtId="10" fontId="0" fillId="8" borderId="3" xfId="0" applyNumberFormat="1" applyFill="1" applyBorder="1"/>
    <xf numFmtId="0" fontId="2" fillId="0" borderId="2" xfId="0" applyFont="1" applyBorder="1"/>
    <xf numFmtId="10" fontId="2" fillId="8" borderId="2" xfId="0" applyNumberFormat="1" applyFont="1" applyFill="1" applyBorder="1"/>
    <xf numFmtId="166" fontId="2" fillId="0" borderId="7" xfId="0" applyNumberFormat="1" applyFont="1" applyBorder="1"/>
    <xf numFmtId="166" fontId="2" fillId="0" borderId="0" xfId="0" applyNumberFormat="1" applyFont="1"/>
    <xf numFmtId="0" fontId="20" fillId="9" borderId="0" xfId="0" applyFont="1" applyFill="1"/>
    <xf numFmtId="17" fontId="22" fillId="9" borderId="10" xfId="0" applyNumberFormat="1" applyFont="1" applyFill="1" applyBorder="1" applyAlignment="1">
      <alignment wrapText="1"/>
    </xf>
    <xf numFmtId="0" fontId="19" fillId="9" borderId="0" xfId="0" applyFont="1" applyFill="1"/>
    <xf numFmtId="0" fontId="0" fillId="5" borderId="0" xfId="0" applyFill="1"/>
    <xf numFmtId="0" fontId="23" fillId="9" borderId="0" xfId="0" applyFont="1" applyFill="1"/>
    <xf numFmtId="17" fontId="6" fillId="7" borderId="0" xfId="0" applyNumberFormat="1" applyFont="1" applyFill="1"/>
    <xf numFmtId="0" fontId="0" fillId="0" borderId="12" xfId="0" applyBorder="1"/>
    <xf numFmtId="0" fontId="2" fillId="0" borderId="12" xfId="0" applyFont="1" applyBorder="1"/>
    <xf numFmtId="0" fontId="0" fillId="0" borderId="2" xfId="0" applyBorder="1"/>
    <xf numFmtId="10" fontId="2" fillId="0" borderId="12" xfId="0" applyNumberFormat="1" applyFont="1" applyBorder="1"/>
    <xf numFmtId="0" fontId="20" fillId="5" borderId="11" xfId="0" applyFont="1" applyFill="1" applyBorder="1"/>
    <xf numFmtId="3" fontId="20" fillId="5" borderId="11" xfId="0" applyNumberFormat="1" applyFont="1" applyFill="1" applyBorder="1" applyAlignment="1">
      <alignment wrapText="1"/>
    </xf>
    <xf numFmtId="3" fontId="20" fillId="5" borderId="11" xfId="0" applyNumberFormat="1" applyFont="1" applyFill="1" applyBorder="1"/>
    <xf numFmtId="17" fontId="6" fillId="5" borderId="0" xfId="0" applyNumberFormat="1" applyFont="1" applyFill="1"/>
    <xf numFmtId="2" fontId="2" fillId="0" borderId="1" xfId="0" applyNumberFormat="1" applyFont="1" applyBorder="1"/>
    <xf numFmtId="4" fontId="2" fillId="0" borderId="1" xfId="0" applyNumberFormat="1" applyFont="1" applyBorder="1"/>
    <xf numFmtId="4" fontId="0" fillId="0" borderId="12" xfId="0" applyNumberFormat="1" applyBorder="1"/>
    <xf numFmtId="4" fontId="2" fillId="0" borderId="0" xfId="0" applyNumberFormat="1" applyFont="1"/>
    <xf numFmtId="0" fontId="2" fillId="0" borderId="13" xfId="0" applyFont="1" applyBorder="1"/>
    <xf numFmtId="10" fontId="2" fillId="0" borderId="13" xfId="0" applyNumberFormat="1" applyFont="1" applyBorder="1"/>
    <xf numFmtId="0" fontId="0" fillId="0" borderId="13" xfId="0" applyBorder="1"/>
    <xf numFmtId="0" fontId="0" fillId="10" borderId="0" xfId="0" applyFill="1"/>
    <xf numFmtId="10" fontId="0" fillId="10" borderId="0" xfId="0" applyNumberFormat="1" applyFill="1"/>
    <xf numFmtId="10" fontId="15" fillId="8" borderId="0" xfId="0" applyNumberFormat="1" applyFont="1" applyFill="1"/>
    <xf numFmtId="0" fontId="0" fillId="8" borderId="13" xfId="0" applyFill="1" applyBorder="1"/>
    <xf numFmtId="168" fontId="0" fillId="0" borderId="0" xfId="0" applyNumberFormat="1"/>
    <xf numFmtId="2" fontId="0" fillId="0" borderId="13" xfId="0" applyNumberFormat="1" applyBorder="1"/>
    <xf numFmtId="2" fontId="2" fillId="0" borderId="2" xfId="0" applyNumberFormat="1" applyFont="1" applyBorder="1"/>
    <xf numFmtId="2" fontId="2" fillId="0" borderId="12" xfId="0" applyNumberFormat="1" applyFont="1" applyBorder="1"/>
    <xf numFmtId="0" fontId="6" fillId="7" borderId="0" xfId="0" applyFont="1" applyFill="1" applyAlignment="1">
      <alignment wrapText="1"/>
    </xf>
    <xf numFmtId="0" fontId="25" fillId="0" borderId="7" xfId="0" applyFont="1" applyBorder="1"/>
    <xf numFmtId="170" fontId="0" fillId="0" borderId="0" xfId="0" applyNumberFormat="1"/>
    <xf numFmtId="171" fontId="0" fillId="0" borderId="0" xfId="0" applyNumberFormat="1"/>
    <xf numFmtId="169" fontId="0" fillId="0" borderId="0" xfId="0" applyNumberFormat="1"/>
    <xf numFmtId="0" fontId="0" fillId="10" borderId="0" xfId="0" applyFill="1" applyAlignment="1">
      <alignment horizontal="left"/>
    </xf>
    <xf numFmtId="170" fontId="0" fillId="10" borderId="0" xfId="0" applyNumberFormat="1" applyFill="1"/>
    <xf numFmtId="169" fontId="0" fillId="10" borderId="0" xfId="0" applyNumberFormat="1" applyFill="1"/>
    <xf numFmtId="0" fontId="2" fillId="10" borderId="0" xfId="0" applyFont="1" applyFill="1"/>
    <xf numFmtId="0" fontId="3" fillId="7" borderId="7" xfId="0" applyFont="1" applyFill="1" applyBorder="1"/>
    <xf numFmtId="0" fontId="2" fillId="8" borderId="12" xfId="0" applyFont="1" applyFill="1" applyBorder="1"/>
    <xf numFmtId="170" fontId="2" fillId="8" borderId="12" xfId="0" applyNumberFormat="1" applyFont="1" applyFill="1" applyBorder="1"/>
    <xf numFmtId="0" fontId="26" fillId="0" borderId="1" xfId="0" applyFont="1" applyBorder="1"/>
    <xf numFmtId="0" fontId="11" fillId="0" borderId="2" xfId="0" applyFont="1" applyBorder="1"/>
    <xf numFmtId="0" fontId="0" fillId="0" borderId="17" xfId="0" applyBorder="1"/>
    <xf numFmtId="2" fontId="0" fillId="0" borderId="17" xfId="0" applyNumberFormat="1" applyBorder="1"/>
    <xf numFmtId="0" fontId="2" fillId="0" borderId="0" xfId="0" applyFont="1" applyAlignment="1">
      <alignment horizontal="right"/>
    </xf>
    <xf numFmtId="0" fontId="0" fillId="7" borderId="0" xfId="0" applyFill="1" applyAlignment="1">
      <alignment horizontal="left"/>
    </xf>
    <xf numFmtId="14" fontId="0" fillId="7" borderId="0" xfId="0" applyNumberFormat="1" applyFill="1"/>
    <xf numFmtId="4" fontId="0" fillId="7" borderId="0" xfId="0" applyNumberFormat="1" applyFill="1"/>
    <xf numFmtId="10" fontId="0" fillId="7" borderId="0" xfId="0" applyNumberFormat="1" applyFill="1"/>
    <xf numFmtId="4" fontId="2" fillId="0" borderId="2" xfId="0" applyNumberFormat="1" applyFont="1" applyBorder="1"/>
    <xf numFmtId="10" fontId="15" fillId="10" borderId="0" xfId="0" applyNumberFormat="1" applyFont="1" applyFill="1"/>
    <xf numFmtId="0" fontId="27" fillId="0" borderId="0" xfId="0" applyFont="1"/>
    <xf numFmtId="0" fontId="28" fillId="0" borderId="0" xfId="0" applyFont="1"/>
    <xf numFmtId="172" fontId="0" fillId="0" borderId="0" xfId="0" applyNumberFormat="1"/>
    <xf numFmtId="173" fontId="0" fillId="0" borderId="0" xfId="0" applyNumberFormat="1" applyAlignment="1">
      <alignment horizontal="right"/>
    </xf>
    <xf numFmtId="174" fontId="0" fillId="8" borderId="0" xfId="0" applyNumberFormat="1" applyFill="1" applyAlignment="1">
      <alignment horizontal="right"/>
    </xf>
    <xf numFmtId="172" fontId="0" fillId="10" borderId="0" xfId="0" applyNumberFormat="1" applyFill="1"/>
    <xf numFmtId="172" fontId="2" fillId="10" borderId="0" xfId="0" applyNumberFormat="1" applyFont="1" applyFill="1"/>
    <xf numFmtId="166" fontId="6" fillId="4" borderId="0" xfId="0" applyNumberFormat="1" applyFont="1" applyFill="1" applyAlignment="1">
      <alignment horizontal="center" vertical="center"/>
    </xf>
    <xf numFmtId="0" fontId="0" fillId="0" borderId="18" xfId="0" applyBorder="1"/>
    <xf numFmtId="0" fontId="0" fillId="0" borderId="19" xfId="0" applyBorder="1"/>
    <xf numFmtId="2" fontId="6" fillId="0" borderId="0" xfId="0" applyNumberFormat="1" applyFont="1"/>
    <xf numFmtId="9" fontId="2" fillId="0" borderId="0" xfId="0" applyNumberFormat="1" applyFont="1"/>
    <xf numFmtId="9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left"/>
    </xf>
    <xf numFmtId="0" fontId="30" fillId="12" borderId="0" xfId="0" applyFont="1" applyFill="1" applyBorder="1" applyAlignment="1"/>
    <xf numFmtId="16" fontId="34" fillId="11" borderId="0" xfId="0" applyNumberFormat="1" applyFont="1" applyFill="1" applyBorder="1" applyAlignment="1"/>
    <xf numFmtId="10" fontId="35" fillId="0" borderId="22" xfId="0" applyNumberFormat="1" applyFont="1" applyBorder="1" applyAlignment="1"/>
    <xf numFmtId="10" fontId="30" fillId="0" borderId="22" xfId="0" applyNumberFormat="1" applyFont="1" applyBorder="1" applyAlignment="1"/>
    <xf numFmtId="0" fontId="34" fillId="0" borderId="0" xfId="0" applyFont="1" applyBorder="1" applyAlignment="1"/>
    <xf numFmtId="10" fontId="30" fillId="0" borderId="20" xfId="0" applyNumberFormat="1" applyFont="1" applyBorder="1" applyAlignment="1"/>
    <xf numFmtId="0" fontId="32" fillId="0" borderId="20" xfId="0" applyFont="1" applyBorder="1" applyAlignment="1">
      <alignment wrapText="1"/>
    </xf>
    <xf numFmtId="0" fontId="30" fillId="0" borderId="20" xfId="0" applyFont="1" applyBorder="1" applyAlignment="1">
      <alignment wrapText="1"/>
    </xf>
    <xf numFmtId="0" fontId="35" fillId="0" borderId="22" xfId="0" applyFont="1" applyBorder="1" applyAlignment="1">
      <alignment wrapText="1"/>
    </xf>
    <xf numFmtId="0" fontId="30" fillId="0" borderId="22" xfId="0" applyFont="1" applyBorder="1" applyAlignment="1">
      <alignment wrapText="1"/>
    </xf>
    <xf numFmtId="0" fontId="30" fillId="0" borderId="21" xfId="0" applyFont="1" applyBorder="1" applyAlignment="1">
      <alignment wrapText="1"/>
    </xf>
    <xf numFmtId="0" fontId="34" fillId="0" borderId="0" xfId="0" applyFont="1" applyBorder="1" applyAlignment="1">
      <alignment wrapText="1"/>
    </xf>
    <xf numFmtId="0" fontId="30" fillId="11" borderId="0" xfId="0" applyFont="1" applyFill="1" applyBorder="1" applyAlignment="1">
      <alignment wrapText="1"/>
    </xf>
    <xf numFmtId="0" fontId="32" fillId="12" borderId="20" xfId="0" applyFont="1" applyFill="1" applyBorder="1" applyAlignment="1"/>
    <xf numFmtId="0" fontId="30" fillId="0" borderId="0" xfId="0" applyFont="1" applyBorder="1" applyAlignment="1">
      <alignment wrapText="1"/>
    </xf>
    <xf numFmtId="0" fontId="30" fillId="0" borderId="0" xfId="0" applyFont="1" applyBorder="1" applyAlignment="1"/>
    <xf numFmtId="0" fontId="30" fillId="11" borderId="0" xfId="0" applyFont="1" applyFill="1" applyBorder="1" applyAlignment="1"/>
    <xf numFmtId="0" fontId="30" fillId="0" borderId="22" xfId="0" applyFont="1" applyBorder="1" applyAlignment="1"/>
    <xf numFmtId="0" fontId="30" fillId="0" borderId="21" xfId="0" applyFont="1" applyBorder="1" applyAlignment="1"/>
    <xf numFmtId="0" fontId="34" fillId="11" borderId="0" xfId="0" applyFont="1" applyFill="1" applyBorder="1" applyAlignment="1"/>
    <xf numFmtId="0" fontId="30" fillId="0" borderId="20" xfId="0" applyFont="1" applyBorder="1" applyAlignment="1"/>
    <xf numFmtId="0" fontId="33" fillId="11" borderId="0" xfId="0" applyFont="1" applyFill="1" applyBorder="1" applyAlignment="1">
      <alignment wrapText="1"/>
    </xf>
    <xf numFmtId="2" fontId="30" fillId="0" borderId="22" xfId="0" applyNumberFormat="1" applyFont="1" applyBorder="1" applyAlignment="1"/>
    <xf numFmtId="0" fontId="33" fillId="11" borderId="0" xfId="0" applyFont="1" applyFill="1" applyBorder="1" applyAlignment="1"/>
    <xf numFmtId="2" fontId="30" fillId="0" borderId="21" xfId="0" applyNumberFormat="1" applyFont="1" applyBorder="1" applyAlignment="1"/>
    <xf numFmtId="0" fontId="23" fillId="5" borderId="0" xfId="0" applyFont="1" applyFill="1"/>
    <xf numFmtId="3" fontId="20" fillId="5" borderId="0" xfId="0" applyNumberFormat="1" applyFont="1" applyFill="1" applyAlignment="1">
      <alignment wrapText="1"/>
    </xf>
    <xf numFmtId="0" fontId="20" fillId="5" borderId="11" xfId="0" applyFont="1" applyFill="1" applyBorder="1" applyAlignment="1">
      <alignment wrapText="1"/>
    </xf>
    <xf numFmtId="0" fontId="20" fillId="5" borderId="0" xfId="0" applyFont="1" applyFill="1"/>
    <xf numFmtId="0" fontId="20" fillId="5" borderId="0" xfId="0" applyFont="1" applyFill="1" applyAlignment="1">
      <alignment wrapText="1"/>
    </xf>
    <xf numFmtId="17" fontId="24" fillId="5" borderId="10" xfId="0" applyNumberFormat="1" applyFont="1" applyFill="1" applyBorder="1" applyAlignment="1">
      <alignment wrapText="1"/>
    </xf>
    <xf numFmtId="0" fontId="36" fillId="0" borderId="12" xfId="0" applyFont="1" applyBorder="1" applyAlignment="1"/>
    <xf numFmtId="0" fontId="1" fillId="5" borderId="0" xfId="0" applyFont="1" applyFill="1"/>
    <xf numFmtId="0" fontId="6" fillId="4" borderId="0" xfId="0" applyFont="1" applyFill="1" applyAlignment="1">
      <alignment horizontal="center"/>
    </xf>
    <xf numFmtId="0" fontId="12" fillId="7" borderId="0" xfId="0" applyFont="1" applyFill="1" applyAlignment="1">
      <alignment horizontal="center" wrapText="1"/>
    </xf>
    <xf numFmtId="0" fontId="3" fillId="7" borderId="0" xfId="0" applyFont="1" applyFill="1" applyAlignment="1">
      <alignment horizontal="center"/>
    </xf>
    <xf numFmtId="0" fontId="12" fillId="4" borderId="0" xfId="0" applyFont="1" applyFill="1" applyAlignment="1">
      <alignment horizontal="center"/>
    </xf>
    <xf numFmtId="0" fontId="6" fillId="7" borderId="0" xfId="0" applyFont="1" applyFill="1" applyAlignment="1">
      <alignment horizontal="center"/>
    </xf>
    <xf numFmtId="0" fontId="6" fillId="7" borderId="14" xfId="0" applyFont="1" applyFill="1" applyBorder="1" applyAlignment="1">
      <alignment horizontal="center"/>
    </xf>
    <xf numFmtId="0" fontId="6" fillId="7" borderId="15" xfId="0" applyFont="1" applyFill="1" applyBorder="1" applyAlignment="1">
      <alignment horizontal="center"/>
    </xf>
    <xf numFmtId="0" fontId="6" fillId="7" borderId="16" xfId="0" applyFont="1" applyFill="1" applyBorder="1" applyAlignment="1">
      <alignment horizontal="center"/>
    </xf>
    <xf numFmtId="0" fontId="30" fillId="11" borderId="0" xfId="0" applyFont="1" applyFill="1" applyBorder="1" applyAlignment="1"/>
    <xf numFmtId="0" fontId="30" fillId="0" borderId="22" xfId="0" applyFont="1" applyBorder="1" applyAlignment="1"/>
    <xf numFmtId="0" fontId="30" fillId="0" borderId="21" xfId="0" applyFont="1" applyBorder="1" applyAlignment="1"/>
    <xf numFmtId="0" fontId="36" fillId="0" borderId="12" xfId="0" applyFont="1" applyBorder="1" applyAlignment="1"/>
    <xf numFmtId="0" fontId="30" fillId="0" borderId="0" xfId="0" applyFont="1" applyBorder="1" applyAlignment="1"/>
    <xf numFmtId="0" fontId="30" fillId="0" borderId="0" xfId="0" applyFont="1" applyBorder="1" applyAlignment="1">
      <alignment wrapText="1"/>
    </xf>
    <xf numFmtId="0" fontId="34" fillId="11" borderId="0" xfId="0" applyFont="1" applyFill="1" applyBorder="1" applyAlignment="1"/>
    <xf numFmtId="0" fontId="30" fillId="0" borderId="20" xfId="0" applyFont="1" applyBorder="1" applyAlignment="1"/>
    <xf numFmtId="0" fontId="36" fillId="0" borderId="12" xfId="0" applyFont="1" applyBorder="1" applyAlignment="1">
      <alignment wrapText="1"/>
    </xf>
    <xf numFmtId="0" fontId="33" fillId="11" borderId="0" xfId="0" applyFont="1" applyFill="1" applyBorder="1" applyAlignment="1">
      <alignment wrapText="1"/>
    </xf>
    <xf numFmtId="0" fontId="34" fillId="11" borderId="0" xfId="0" applyFont="1" applyFill="1" applyBorder="1" applyAlignment="1">
      <alignment horizontal="center"/>
    </xf>
    <xf numFmtId="0" fontId="31" fillId="11" borderId="0" xfId="0" applyFont="1" applyFill="1" applyBorder="1" applyAlignment="1">
      <alignment wrapText="1"/>
    </xf>
    <xf numFmtId="0" fontId="32" fillId="12" borderId="0" xfId="0" applyFont="1" applyFill="1" applyBorder="1" applyAlignment="1">
      <alignment horizontal="center" vertical="center" wrapText="1"/>
    </xf>
    <xf numFmtId="165" fontId="5" fillId="0" borderId="0" xfId="2" applyNumberFormat="1" applyBorder="1" applyAlignment="1" applyProtection="1">
      <alignment horizontal="center"/>
    </xf>
    <xf numFmtId="165" fontId="3" fillId="2" borderId="0" xfId="3" applyNumberFormat="1" applyFont="1" applyBorder="1" applyAlignment="1">
      <alignment horizontal="center"/>
    </xf>
  </cellXfs>
  <cellStyles count="4">
    <cellStyle name="Accent6" xfId="3" builtinId="49"/>
    <cellStyle name="Comma" xfId="1" builtinId="3"/>
    <cellStyle name="Hyperlink" xfId="2" builtinId="8"/>
    <cellStyle name="Normal" xfId="0" builtinId="0"/>
  </cellStyles>
  <dxfs count="1">
    <dxf>
      <font>
        <b/>
        <i val="0"/>
        <color theme="0"/>
      </font>
      <fill>
        <patternFill>
          <bgColor theme="5"/>
        </patternFill>
      </fill>
    </dxf>
  </dxfs>
  <tableStyles count="0" defaultTableStyle="TableStyleMedium9" defaultPivotStyle="PivotStyleLight16"/>
  <colors>
    <mruColors>
      <color rgb="FF074069"/>
      <color rgb="FF205C87"/>
      <color rgb="FF0275D8"/>
      <color rgb="FF80D4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Forecasting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Forecasting!$C$6</c:f>
              <c:strCache>
                <c:ptCount val="1"/>
                <c:pt idx="0">
                  <c:v>Year</c:v>
                </c:pt>
              </c:strCache>
            </c:strRef>
          </c:tx>
          <c:spPr>
            <a:solidFill>
              <a:srgbClr val="FFFFFF"/>
            </a:solidFill>
            <a:ln>
              <a:noFill/>
            </a:ln>
            <a:effectLst/>
          </c:spPr>
          <c:invertIfNegative val="0"/>
          <c:cat>
            <c:numRef>
              <c:f>Forecasting!$C$7:$C$21</c:f>
              <c:numCache>
                <c:formatCode>0\A</c:formatCode>
                <c:ptCount val="1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 formatCode="0\E">
                  <c:v>2026</c:v>
                </c:pt>
                <c:pt idx="11" formatCode="0\E">
                  <c:v>2027</c:v>
                </c:pt>
                <c:pt idx="12" formatCode="0\E">
                  <c:v>2028</c:v>
                </c:pt>
                <c:pt idx="13" formatCode="0\E">
                  <c:v>2029</c:v>
                </c:pt>
                <c:pt idx="14" formatCode="0\E">
                  <c:v>2030</c:v>
                </c:pt>
              </c:numCache>
            </c:numRef>
          </c:cat>
          <c:val>
            <c:numRef>
              <c:f>Forecasting!$C$7:$C$21</c:f>
              <c:numCache>
                <c:formatCode>0\A</c:formatCode>
                <c:ptCount val="1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 formatCode="0\E">
                  <c:v>2026</c:v>
                </c:pt>
                <c:pt idx="11" formatCode="0\E">
                  <c:v>2027</c:v>
                </c:pt>
                <c:pt idx="12" formatCode="0\E">
                  <c:v>2028</c:v>
                </c:pt>
                <c:pt idx="13" formatCode="0\E">
                  <c:v>2029</c:v>
                </c:pt>
                <c:pt idx="14" formatCode="0\E">
                  <c:v>2030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09-450D-B8F8-C90103D74D07}"/>
            </c:ext>
          </c:extLst>
        </c:ser>
        <c:ser>
          <c:idx val="1"/>
          <c:order val="1"/>
          <c:tx>
            <c:strRef>
              <c:f>Forecasting!$D$6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cat>
            <c:numRef>
              <c:f>Forecasting!$C$7:$C$21</c:f>
              <c:numCache>
                <c:formatCode>0\A</c:formatCode>
                <c:ptCount val="1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 formatCode="0\E">
                  <c:v>2026</c:v>
                </c:pt>
                <c:pt idx="11" formatCode="0\E">
                  <c:v>2027</c:v>
                </c:pt>
                <c:pt idx="12" formatCode="0\E">
                  <c:v>2028</c:v>
                </c:pt>
                <c:pt idx="13" formatCode="0\E">
                  <c:v>2029</c:v>
                </c:pt>
                <c:pt idx="14" formatCode="0\E">
                  <c:v>2030</c:v>
                </c:pt>
              </c:numCache>
            </c:numRef>
          </c:cat>
          <c:val>
            <c:numRef>
              <c:f>Forecasting!$D$7:$D$21</c:f>
              <c:numCache>
                <c:formatCode>0.00</c:formatCode>
                <c:ptCount val="15"/>
                <c:pt idx="0">
                  <c:v>62441</c:v>
                </c:pt>
                <c:pt idx="1">
                  <c:v>68484</c:v>
                </c:pt>
                <c:pt idx="2">
                  <c:v>70522</c:v>
                </c:pt>
                <c:pt idx="3">
                  <c:v>82675</c:v>
                </c:pt>
                <c:pt idx="4">
                  <c:v>90791</c:v>
                </c:pt>
                <c:pt idx="5">
                  <c:v>100472</c:v>
                </c:pt>
                <c:pt idx="6">
                  <c:v>121641</c:v>
                </c:pt>
                <c:pt idx="7">
                  <c:v>146767</c:v>
                </c:pt>
                <c:pt idx="8">
                  <c:v>153670</c:v>
                </c:pt>
                <c:pt idx="9">
                  <c:v>162990</c:v>
                </c:pt>
                <c:pt idx="10">
                  <c:v>173013.53333333333</c:v>
                </c:pt>
                <c:pt idx="11">
                  <c:v>185189.57575757575</c:v>
                </c:pt>
                <c:pt idx="12">
                  <c:v>197365.61818181816</c:v>
                </c:pt>
                <c:pt idx="13">
                  <c:v>209541.66060606064</c:v>
                </c:pt>
                <c:pt idx="14">
                  <c:v>221717.70303030306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809-450D-B8F8-C90103D74D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49091592"/>
        <c:axId val="49093640"/>
      </c:barChart>
      <c:catAx>
        <c:axId val="49091592"/>
        <c:scaling>
          <c:orientation val="minMax"/>
        </c:scaling>
        <c:delete val="0"/>
        <c:axPos val="b"/>
        <c:numFmt formatCode="0\A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93640"/>
        <c:crosses val="autoZero"/>
        <c:auto val="1"/>
        <c:lblAlgn val="ctr"/>
        <c:lblOffset val="100"/>
        <c:noMultiLvlLbl val="0"/>
      </c:catAx>
      <c:valAx>
        <c:axId val="49093640"/>
        <c:scaling>
          <c:orientation val="minMax"/>
        </c:scaling>
        <c:delete val="0"/>
        <c:axPos val="l"/>
        <c:numFmt formatCode="0\A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91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EBIDTA Forecasting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Forecasting!$H$6</c:f>
              <c:strCache>
                <c:ptCount val="1"/>
                <c:pt idx="0">
                  <c:v>Year</c:v>
                </c:pt>
              </c:strCache>
            </c:strRef>
          </c:tx>
          <c:spPr>
            <a:solidFill>
              <a:srgbClr val="FFFFFF"/>
            </a:solidFill>
            <a:ln>
              <a:noFill/>
            </a:ln>
            <a:effectLst/>
          </c:spPr>
          <c:invertIfNegative val="0"/>
          <c:cat>
            <c:numRef>
              <c:f>Forecasting!$H$7:$H$21</c:f>
              <c:numCache>
                <c:formatCode>0\A</c:formatCode>
                <c:ptCount val="1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 formatCode="0\E">
                  <c:v>2026</c:v>
                </c:pt>
                <c:pt idx="11" formatCode="0\E">
                  <c:v>2027</c:v>
                </c:pt>
                <c:pt idx="12" formatCode="0\E">
                  <c:v>2028</c:v>
                </c:pt>
                <c:pt idx="13" formatCode="0\E">
                  <c:v>2029</c:v>
                </c:pt>
                <c:pt idx="14" formatCode="0\E">
                  <c:v>2030</c:v>
                </c:pt>
              </c:numCache>
            </c:numRef>
          </c:cat>
          <c:val>
            <c:numRef>
              <c:f>Forecasting!$H$7:$H$21</c:f>
              <c:numCache>
                <c:formatCode>0\A</c:formatCode>
                <c:ptCount val="1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 formatCode="0\E">
                  <c:v>2026</c:v>
                </c:pt>
                <c:pt idx="11" formatCode="0\E">
                  <c:v>2027</c:v>
                </c:pt>
                <c:pt idx="12" formatCode="0\E">
                  <c:v>2028</c:v>
                </c:pt>
                <c:pt idx="13" formatCode="0\E">
                  <c:v>2029</c:v>
                </c:pt>
                <c:pt idx="14" formatCode="0\E">
                  <c:v>2030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06-4BE2-B47C-64BD58B01E11}"/>
            </c:ext>
          </c:extLst>
        </c:ser>
        <c:ser>
          <c:idx val="1"/>
          <c:order val="1"/>
          <c:tx>
            <c:strRef>
              <c:f>Forecasting!$I$6</c:f>
              <c:strCache>
                <c:ptCount val="1"/>
                <c:pt idx="0">
                  <c:v>EBIDTA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cat>
            <c:numRef>
              <c:f>Forecasting!$H$7:$H$21</c:f>
              <c:numCache>
                <c:formatCode>0\A</c:formatCode>
                <c:ptCount val="1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 formatCode="0\E">
                  <c:v>2026</c:v>
                </c:pt>
                <c:pt idx="11" formatCode="0\E">
                  <c:v>2027</c:v>
                </c:pt>
                <c:pt idx="12" formatCode="0\E">
                  <c:v>2028</c:v>
                </c:pt>
                <c:pt idx="13" formatCode="0\E">
                  <c:v>2029</c:v>
                </c:pt>
                <c:pt idx="14" formatCode="0\E">
                  <c:v>2030</c:v>
                </c:pt>
              </c:numCache>
            </c:numRef>
          </c:cat>
          <c:val>
            <c:numRef>
              <c:f>Forecasting!$I$7:$I$21</c:f>
              <c:numCache>
                <c:formatCode>0.00</c:formatCode>
                <c:ptCount val="15"/>
                <c:pt idx="0">
                  <c:v>17079</c:v>
                </c:pt>
                <c:pt idx="1">
                  <c:v>18604</c:v>
                </c:pt>
                <c:pt idx="2">
                  <c:v>18822</c:v>
                </c:pt>
                <c:pt idx="3">
                  <c:v>20170</c:v>
                </c:pt>
                <c:pt idx="4">
                  <c:v>22267</c:v>
                </c:pt>
                <c:pt idx="5">
                  <c:v>27889</c:v>
                </c:pt>
                <c:pt idx="6">
                  <c:v>31491</c:v>
                </c:pt>
                <c:pt idx="7">
                  <c:v>35130</c:v>
                </c:pt>
                <c:pt idx="8">
                  <c:v>36425</c:v>
                </c:pt>
                <c:pt idx="9">
                  <c:v>39236</c:v>
                </c:pt>
                <c:pt idx="10">
                  <c:v>41554.133333333331</c:v>
                </c:pt>
                <c:pt idx="11">
                  <c:v>44252.8303030303</c:v>
                </c:pt>
                <c:pt idx="12">
                  <c:v>46951.527272727268</c:v>
                </c:pt>
                <c:pt idx="13">
                  <c:v>49650.224242424243</c:v>
                </c:pt>
                <c:pt idx="14">
                  <c:v>52348.921212121211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006-4BE2-B47C-64BD58B01E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01467656"/>
        <c:axId val="101469704"/>
      </c:barChart>
      <c:catAx>
        <c:axId val="101467656"/>
        <c:scaling>
          <c:orientation val="minMax"/>
        </c:scaling>
        <c:delete val="0"/>
        <c:axPos val="b"/>
        <c:numFmt formatCode="0\A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469704"/>
        <c:crosses val="autoZero"/>
        <c:auto val="1"/>
        <c:lblAlgn val="ctr"/>
        <c:lblOffset val="100"/>
        <c:noMultiLvlLbl val="0"/>
      </c:catAx>
      <c:valAx>
        <c:axId val="101469704"/>
        <c:scaling>
          <c:orientation val="minMax"/>
        </c:scaling>
        <c:delete val="0"/>
        <c:axPos val="l"/>
        <c:numFmt formatCode="0\A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467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EPS Forecasting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Forecasting!$M$6</c:f>
              <c:strCache>
                <c:ptCount val="1"/>
                <c:pt idx="0">
                  <c:v>Year</c:v>
                </c:pt>
              </c:strCache>
            </c:strRef>
          </c:tx>
          <c:spPr>
            <a:solidFill>
              <a:srgbClr val="FFFFFF"/>
            </a:solidFill>
            <a:ln>
              <a:noFill/>
            </a:ln>
            <a:effectLst/>
          </c:spPr>
          <c:invertIfNegative val="0"/>
          <c:cat>
            <c:numRef>
              <c:f>Forecasting!$M$7:$M$21</c:f>
              <c:numCache>
                <c:formatCode>0\A</c:formatCode>
                <c:ptCount val="1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 formatCode="0\E">
                  <c:v>2026</c:v>
                </c:pt>
                <c:pt idx="11" formatCode="0\E">
                  <c:v>2027</c:v>
                </c:pt>
                <c:pt idx="12" formatCode="0\E">
                  <c:v>2028</c:v>
                </c:pt>
                <c:pt idx="13" formatCode="0\E">
                  <c:v>2029</c:v>
                </c:pt>
                <c:pt idx="14" formatCode="0\E">
                  <c:v>2030</c:v>
                </c:pt>
              </c:numCache>
            </c:numRef>
          </c:cat>
          <c:val>
            <c:numRef>
              <c:f>Forecasting!$M$7:$M$21</c:f>
              <c:numCache>
                <c:formatCode>0\A</c:formatCode>
                <c:ptCount val="1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 formatCode="0\E">
                  <c:v>2026</c:v>
                </c:pt>
                <c:pt idx="11" formatCode="0\E">
                  <c:v>2027</c:v>
                </c:pt>
                <c:pt idx="12" formatCode="0\E">
                  <c:v>2028</c:v>
                </c:pt>
                <c:pt idx="13" formatCode="0\E">
                  <c:v>2029</c:v>
                </c:pt>
                <c:pt idx="14" formatCode="0\E">
                  <c:v>2030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A8-4A9F-AC4F-01F0E04D2A69}"/>
            </c:ext>
          </c:extLst>
        </c:ser>
        <c:ser>
          <c:idx val="1"/>
          <c:order val="1"/>
          <c:tx>
            <c:strRef>
              <c:f>Forecasting!$N$6</c:f>
              <c:strCache>
                <c:ptCount val="1"/>
                <c:pt idx="0">
                  <c:v>EPS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cat>
            <c:numRef>
              <c:f>Forecasting!$M$7:$M$21</c:f>
              <c:numCache>
                <c:formatCode>0\A</c:formatCode>
                <c:ptCount val="1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 formatCode="0\E">
                  <c:v>2026</c:v>
                </c:pt>
                <c:pt idx="11" formatCode="0\E">
                  <c:v>2027</c:v>
                </c:pt>
                <c:pt idx="12" formatCode="0\E">
                  <c:v>2028</c:v>
                </c:pt>
                <c:pt idx="13" formatCode="0\E">
                  <c:v>2029</c:v>
                </c:pt>
                <c:pt idx="14" formatCode="0\E">
                  <c:v>2030</c:v>
                </c:pt>
              </c:numCache>
            </c:numRef>
          </c:cat>
          <c:val>
            <c:numRef>
              <c:f>Forecasting!$N$7:$N$21</c:f>
              <c:numCache>
                <c:formatCode>0.00</c:formatCode>
                <c:ptCount val="15"/>
                <c:pt idx="0">
                  <c:v>22.571235769172162</c:v>
                </c:pt>
                <c:pt idx="1">
                  <c:v>24.604366660136268</c:v>
                </c:pt>
                <c:pt idx="2">
                  <c:v>29.114967263403692</c:v>
                </c:pt>
                <c:pt idx="3">
                  <c:v>28.6754102863421</c:v>
                </c:pt>
                <c:pt idx="4">
                  <c:v>32.486499178210849</c:v>
                </c:pt>
                <c:pt idx="5">
                  <c:v>40.420588166263762</c:v>
                </c:pt>
                <c:pt idx="6">
                  <c:v>47.189008011030019</c:v>
                </c:pt>
                <c:pt idx="7">
                  <c:v>51.600539941184977</c:v>
                </c:pt>
                <c:pt idx="8">
                  <c:v>51.885133344575877</c:v>
                </c:pt>
                <c:pt idx="9">
                  <c:v>55.738810102809815</c:v>
                </c:pt>
                <c:pt idx="10">
                  <c:v>60.607865250474262</c:v>
                </c:pt>
                <c:pt idx="11">
                  <c:v>64.640448773776313</c:v>
                </c:pt>
                <c:pt idx="12">
                  <c:v>68.673032297078365</c:v>
                </c:pt>
                <c:pt idx="13">
                  <c:v>72.70561582038043</c:v>
                </c:pt>
                <c:pt idx="14">
                  <c:v>76.738199343682481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CA8-4A9F-AC4F-01F0E04D2A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49101832"/>
        <c:axId val="49141768"/>
      </c:barChart>
      <c:catAx>
        <c:axId val="49101832"/>
        <c:scaling>
          <c:orientation val="minMax"/>
        </c:scaling>
        <c:delete val="0"/>
        <c:axPos val="b"/>
        <c:numFmt formatCode="0\A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41768"/>
        <c:crosses val="autoZero"/>
        <c:auto val="1"/>
        <c:lblAlgn val="ctr"/>
        <c:lblOffset val="100"/>
        <c:noMultiLvlLbl val="0"/>
      </c:catAx>
      <c:valAx>
        <c:axId val="49141768"/>
        <c:scaling>
          <c:orientation val="minMax"/>
          <c:max val="100"/>
        </c:scaling>
        <c:delete val="0"/>
        <c:axPos val="l"/>
        <c:numFmt formatCode="0\A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01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2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3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tmp"/><Relationship Id="rId2" Type="http://schemas.openxmlformats.org/officeDocument/2006/relationships/image" Target="../media/image3.tmp"/><Relationship Id="rId1" Type="http://schemas.openxmlformats.org/officeDocument/2006/relationships/image" Target="../media/image2.tmp"/><Relationship Id="rId4" Type="http://schemas.openxmlformats.org/officeDocument/2006/relationships/image" Target="../media/image5.tmp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6.png"/><Relationship Id="rId4" Type="http://schemas.openxmlformats.org/officeDocument/2006/relationships/chart" Target="../charts/chart3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3</xdr:row>
      <xdr:rowOff>114300</xdr:rowOff>
    </xdr:from>
    <xdr:to>
      <xdr:col>1</xdr:col>
      <xdr:colOff>1028700</xdr:colOff>
      <xdr:row>3</xdr:row>
      <xdr:rowOff>495300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BB7BF1E-9D73-645E-0264-9A7353AC5C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" y="695325"/>
          <a:ext cx="1000125" cy="381000"/>
        </a:xfrm>
        <a:prstGeom prst="rect">
          <a:avLst/>
        </a:prstGeom>
      </xdr:spPr>
    </xdr:pic>
    <xdr:clientData/>
  </xdr:twoCellAnchor>
  <xdr:twoCellAnchor editAs="oneCell">
    <xdr:from>
      <xdr:col>7</xdr:col>
      <xdr:colOff>152400</xdr:colOff>
      <xdr:row>7</xdr:row>
      <xdr:rowOff>171450</xdr:rowOff>
    </xdr:from>
    <xdr:to>
      <xdr:col>11</xdr:col>
      <xdr:colOff>419100</xdr:colOff>
      <xdr:row>18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1E9BC84-503D-7B38-30AF-6241EFBEAAC4}"/>
            </a:ext>
            <a:ext uri="{147F2762-F138-4A5C-976F-8EAC2B608ADB}">
              <a16:predDERef xmlns:a16="http://schemas.microsoft.com/office/drawing/2014/main" pred="{8BB7BF1E-9D73-645E-0264-9A7353AC5C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48500" y="1962150"/>
          <a:ext cx="3076575" cy="1943100"/>
        </a:xfrm>
        <a:prstGeom prst="rect">
          <a:avLst/>
        </a:prstGeom>
      </xdr:spPr>
    </xdr:pic>
    <xdr:clientData/>
  </xdr:twoCellAnchor>
  <xdr:twoCellAnchor editAs="oneCell">
    <xdr:from>
      <xdr:col>7</xdr:col>
      <xdr:colOff>104775</xdr:colOff>
      <xdr:row>20</xdr:row>
      <xdr:rowOff>47625</xdr:rowOff>
    </xdr:from>
    <xdr:to>
      <xdr:col>12</xdr:col>
      <xdr:colOff>57150</xdr:colOff>
      <xdr:row>26</xdr:row>
      <xdr:rowOff>161925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BCAC7D9-75E1-8175-7F93-885EB3DCBCEF}"/>
            </a:ext>
            <a:ext uri="{147F2762-F138-4A5C-976F-8EAC2B608ADB}">
              <a16:predDERef xmlns:a16="http://schemas.microsoft.com/office/drawing/2014/main" pred="{21E9BC84-503D-7B38-30AF-6241EFBEAA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00875" y="4314825"/>
          <a:ext cx="3371850" cy="1257300"/>
        </a:xfrm>
        <a:prstGeom prst="rect">
          <a:avLst/>
        </a:prstGeom>
      </xdr:spPr>
    </xdr:pic>
    <xdr:clientData/>
  </xdr:twoCellAnchor>
  <xdr:twoCellAnchor editAs="oneCell">
    <xdr:from>
      <xdr:col>7</xdr:col>
      <xdr:colOff>180975</xdr:colOff>
      <xdr:row>30</xdr:row>
      <xdr:rowOff>57150</xdr:rowOff>
    </xdr:from>
    <xdr:to>
      <xdr:col>12</xdr:col>
      <xdr:colOff>342900</xdr:colOff>
      <xdr:row>40</xdr:row>
      <xdr:rowOff>38100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59F2ECD-E279-A159-652B-062B9A6183F3}"/>
            </a:ext>
            <a:ext uri="{147F2762-F138-4A5C-976F-8EAC2B608ADB}">
              <a16:predDERef xmlns:a16="http://schemas.microsoft.com/office/drawing/2014/main" pred="{EBCAC7D9-75E1-8175-7F93-885EB3DCBC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077075" y="6229350"/>
          <a:ext cx="3581400" cy="20859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723900</xdr:colOff>
      <xdr:row>1</xdr:row>
      <xdr:rowOff>47625</xdr:rowOff>
    </xdr:from>
    <xdr:to>
      <xdr:col>11</xdr:col>
      <xdr:colOff>781050</xdr:colOff>
      <xdr:row>2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A10AB0E-B874-2EE0-E798-50F700F9F4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53625" y="238125"/>
          <a:ext cx="1038225" cy="5238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200025</xdr:colOff>
      <xdr:row>1</xdr:row>
      <xdr:rowOff>19050</xdr:rowOff>
    </xdr:from>
    <xdr:to>
      <xdr:col>12</xdr:col>
      <xdr:colOff>0</xdr:colOff>
      <xdr:row>2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56D61A3-4EB4-44EC-A50B-BED28FAA80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24775" y="209550"/>
          <a:ext cx="1019175" cy="50482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247650</xdr:colOff>
      <xdr:row>1</xdr:row>
      <xdr:rowOff>85725</xdr:rowOff>
    </xdr:from>
    <xdr:to>
      <xdr:col>14</xdr:col>
      <xdr:colOff>523875</xdr:colOff>
      <xdr:row>2</xdr:row>
      <xdr:rowOff>161925</xdr:rowOff>
    </xdr:to>
    <xdr:pic>
      <xdr:nvPicPr>
        <xdr:cNvPr id="4" name="Picture 1">
          <a:extLst>
            <a:ext uri="{FF2B5EF4-FFF2-40B4-BE49-F238E27FC236}">
              <a16:creationId xmlns:a16="http://schemas.microsoft.com/office/drawing/2014/main" id="{7EF38522-66A0-4F0A-A03B-286052CD90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82475" y="276225"/>
          <a:ext cx="1019175" cy="42862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590550</xdr:colOff>
      <xdr:row>1</xdr:row>
      <xdr:rowOff>66675</xdr:rowOff>
    </xdr:from>
    <xdr:to>
      <xdr:col>14</xdr:col>
      <xdr:colOff>809625</xdr:colOff>
      <xdr:row>2</xdr:row>
      <xdr:rowOff>171450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FC9925D0-C89C-42F8-B4A4-71AE005E4C53}"/>
            </a:ext>
            <a:ext uri="{147F2762-F138-4A5C-976F-8EAC2B608ADB}">
              <a16:predDERef xmlns:a16="http://schemas.microsoft.com/office/drawing/2014/main" pred="{38DA04BC-FA77-574A-A3D3-BBCFE49338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58200" y="257175"/>
          <a:ext cx="1019175" cy="50482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22</xdr:row>
      <xdr:rowOff>95250</xdr:rowOff>
    </xdr:from>
    <xdr:to>
      <xdr:col>4</xdr:col>
      <xdr:colOff>866775</xdr:colOff>
      <xdr:row>33</xdr:row>
      <xdr:rowOff>9525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A8493B6-637B-24B1-9E98-2DAE0BB02C42}"/>
            </a:ext>
            <a:ext uri="{147F2762-F138-4A5C-976F-8EAC2B608ADB}">
              <a16:predDERef xmlns:a16="http://schemas.microsoft.com/office/drawing/2014/main" pred="{FC9925D0-C89C-42F8-B4A4-71AE005E4C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161925</xdr:colOff>
      <xdr:row>22</xdr:row>
      <xdr:rowOff>95250</xdr:rowOff>
    </xdr:from>
    <xdr:to>
      <xdr:col>10</xdr:col>
      <xdr:colOff>28575</xdr:colOff>
      <xdr:row>33</xdr:row>
      <xdr:rowOff>38100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3916BE2-81D5-A439-A129-A0EA415E2586}"/>
            </a:ext>
            <a:ext uri="{147F2762-F138-4A5C-976F-8EAC2B608ADB}">
              <a16:predDERef xmlns:a16="http://schemas.microsoft.com/office/drawing/2014/main" pred="{5A8493B6-637B-24B1-9E98-2DAE0BB02C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171450</xdr:colOff>
      <xdr:row>22</xdr:row>
      <xdr:rowOff>76200</xdr:rowOff>
    </xdr:from>
    <xdr:to>
      <xdr:col>15</xdr:col>
      <xdr:colOff>38100</xdr:colOff>
      <xdr:row>32</xdr:row>
      <xdr:rowOff>133350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C0A884D-0CD1-99B5-D10C-5430CDEABBA7}"/>
            </a:ext>
            <a:ext uri="{147F2762-F138-4A5C-976F-8EAC2B608ADB}">
              <a16:predDERef xmlns:a16="http://schemas.microsoft.com/office/drawing/2014/main" pred="{B3916BE2-81D5-A439-A129-A0EA415E25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152400</xdr:colOff>
      <xdr:row>1</xdr:row>
      <xdr:rowOff>57150</xdr:rowOff>
    </xdr:from>
    <xdr:to>
      <xdr:col>10</xdr:col>
      <xdr:colOff>514350</xdr:colOff>
      <xdr:row>2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4535290-5EF5-44BD-BC98-71D37F2A2B9F}"/>
            </a:ext>
            <a:ext uri="{147F2762-F138-4A5C-976F-8EAC2B608ADB}">
              <a16:predDERef xmlns:a16="http://schemas.microsoft.com/office/drawing/2014/main" pred="{38DA04BC-FA77-574A-A3D3-BBCFE49338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39100" y="247650"/>
          <a:ext cx="1019175" cy="50482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48</xdr:col>
      <xdr:colOff>104775</xdr:colOff>
      <xdr:row>1</xdr:row>
      <xdr:rowOff>47625</xdr:rowOff>
    </xdr:from>
    <xdr:to>
      <xdr:col>49</xdr:col>
      <xdr:colOff>514350</xdr:colOff>
      <xdr:row>2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9062EC0-B979-4BE9-A28E-229C715CF7F3}"/>
            </a:ext>
            <a:ext uri="{147F2762-F138-4A5C-976F-8EAC2B608ADB}">
              <a16:predDERef xmlns:a16="http://schemas.microsoft.com/office/drawing/2014/main" pred="{38DA04BC-FA77-574A-A3D3-BBCFE49338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546800" y="238125"/>
          <a:ext cx="1019175" cy="50482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1</xdr:row>
      <xdr:rowOff>95250</xdr:rowOff>
    </xdr:from>
    <xdr:to>
      <xdr:col>7</xdr:col>
      <xdr:colOff>333375</xdr:colOff>
      <xdr:row>2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80E5785-0E3F-4D27-AF90-81AF014275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62475" y="285750"/>
          <a:ext cx="1019175" cy="4572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762000</xdr:colOff>
      <xdr:row>1</xdr:row>
      <xdr:rowOff>28575</xdr:rowOff>
    </xdr:from>
    <xdr:to>
      <xdr:col>6</xdr:col>
      <xdr:colOff>542925</xdr:colOff>
      <xdr:row>2</xdr:row>
      <xdr:rowOff>133350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CE5E72E-2D32-494C-94CF-3E8E6E8E2A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57675" y="219075"/>
          <a:ext cx="1019175" cy="504825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504825</xdr:colOff>
      <xdr:row>1</xdr:row>
      <xdr:rowOff>47625</xdr:rowOff>
    </xdr:from>
    <xdr:to>
      <xdr:col>8</xdr:col>
      <xdr:colOff>600075</xdr:colOff>
      <xdr:row>2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2A810A-3404-47DF-A8FD-78EB2F7013F3}"/>
            </a:ext>
            <a:ext uri="{147F2762-F138-4A5C-976F-8EAC2B608ADB}">
              <a16:predDERef xmlns:a16="http://schemas.microsoft.com/office/drawing/2014/main" pred="{38DA04BC-FA77-574A-A3D3-BBCFE49338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62700" y="238125"/>
          <a:ext cx="1019175" cy="504825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76200</xdr:colOff>
      <xdr:row>1</xdr:row>
      <xdr:rowOff>28575</xdr:rowOff>
    </xdr:from>
    <xdr:to>
      <xdr:col>9</xdr:col>
      <xdr:colOff>419100</xdr:colOff>
      <xdr:row>2</xdr:row>
      <xdr:rowOff>133350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15E2A29-BC1B-44FC-8E1C-5368ACF2DD12}"/>
            </a:ext>
            <a:ext uri="{147F2762-F138-4A5C-976F-8EAC2B608ADB}">
              <a16:predDERef xmlns:a16="http://schemas.microsoft.com/office/drawing/2014/main" pred="{38DA04BC-FA77-574A-A3D3-BBCFE49338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10425" y="219075"/>
          <a:ext cx="1019175" cy="504825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361950</xdr:colOff>
      <xdr:row>1</xdr:row>
      <xdr:rowOff>57150</xdr:rowOff>
    </xdr:from>
    <xdr:to>
      <xdr:col>15</xdr:col>
      <xdr:colOff>561975</xdr:colOff>
      <xdr:row>2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E3AF887-598E-42F6-B352-3E7548E95D99}"/>
            </a:ext>
            <a:ext uri="{147F2762-F138-4A5C-976F-8EAC2B608ADB}">
              <a16:predDERef xmlns:a16="http://schemas.microsoft.com/office/drawing/2014/main" pred="{38DA04BC-FA77-574A-A3D3-BBCFE49338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25050" y="247650"/>
          <a:ext cx="1019175" cy="504825"/>
        </a:xfrm>
        <a:prstGeom prst="rect">
          <a:avLst/>
        </a:prstGeom>
      </xdr:spPr>
    </xdr:pic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FDFB691-6A81-4B35-A922-3115DA3DF2F4}">
  <we:reference id="wa200005502" version="1.0.0.12" store="en-US" storeType="OMEX"/>
  <we:alternateReferences>
    <we:reference id="WA200005502" version="1.0.0.12" store="" storeType="OMEX"/>
  </we:alternateReferences>
  <we:properties>
    <we:property name="docId" value="&quot;6ZeOgQuFkglliBn9bf2SB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 xmlns=""/>
    </a:ext>
    <a:ext xmlns:a="http://schemas.openxmlformats.org/drawingml/2006/main" uri="{7C84B067-C214-45C3-A712-C9D94CD141B2}">
      <we:customFunctionIdList xmlns="">
        <we:customFunctionIds>_xldudf_GPT</we:customFunctionIds>
        <we:customFunctionIds>_xldudf_GPT_CREATE_PROMPT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creener.in/exce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74069"/>
  </sheetPr>
  <dimension ref="C3"/>
  <sheetViews>
    <sheetView showGridLines="0" workbookViewId="0">
      <selection activeCell="B3" sqref="B3"/>
    </sheetView>
  </sheetViews>
  <sheetFormatPr defaultRowHeight="14.25"/>
  <cols>
    <col min="1" max="1" width="1.86328125" customWidth="1"/>
    <col min="2" max="2" width="28.59765625" bestFit="1" customWidth="1"/>
    <col min="3" max="3" width="10.1328125" bestFit="1" customWidth="1"/>
  </cols>
  <sheetData>
    <row r="3" spans="3:3">
      <c r="C3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L60"/>
  <sheetViews>
    <sheetView showGridLines="0" zoomScale="54" workbookViewId="0">
      <selection activeCell="P4" sqref="P4"/>
    </sheetView>
  </sheetViews>
  <sheetFormatPr defaultRowHeight="14.25"/>
  <cols>
    <col min="1" max="1" width="1.86328125" customWidth="1"/>
    <col min="2" max="2" width="36.59765625" bestFit="1" customWidth="1"/>
    <col min="3" max="3" width="16.1328125" customWidth="1"/>
    <col min="4" max="4" width="13.73046875" customWidth="1"/>
    <col min="5" max="6" width="11.1328125" bestFit="1" customWidth="1"/>
    <col min="7" max="7" width="12.86328125" customWidth="1"/>
    <col min="8" max="8" width="3.59765625" customWidth="1"/>
    <col min="9" max="9" width="19.265625" bestFit="1" customWidth="1"/>
    <col min="11" max="11" width="10.1328125" bestFit="1" customWidth="1"/>
  </cols>
  <sheetData>
    <row r="2" spans="2:12">
      <c r="B2" s="185"/>
      <c r="C2" s="186"/>
      <c r="D2" s="186"/>
      <c r="E2" s="186"/>
      <c r="F2" s="186"/>
      <c r="G2" s="186"/>
      <c r="H2" s="216"/>
      <c r="I2" s="216"/>
      <c r="J2" s="186"/>
      <c r="K2" s="186"/>
      <c r="L2" s="186"/>
    </row>
    <row r="3" spans="2:12" ht="15.75">
      <c r="B3" s="223" t="s">
        <v>350</v>
      </c>
      <c r="C3" s="223"/>
      <c r="D3" s="223"/>
      <c r="E3" s="223"/>
      <c r="F3" s="223"/>
      <c r="G3" s="223"/>
      <c r="H3" s="223"/>
      <c r="I3" s="223"/>
      <c r="J3" s="223"/>
      <c r="K3" s="223"/>
      <c r="L3" s="187"/>
    </row>
    <row r="4" spans="2:12" ht="50.25" customHeight="1">
      <c r="C4" s="224" t="s">
        <v>351</v>
      </c>
      <c r="D4" s="224"/>
      <c r="E4" s="224"/>
      <c r="F4" s="224"/>
      <c r="G4" s="224"/>
      <c r="H4" s="224"/>
      <c r="I4" s="224"/>
      <c r="J4" s="224"/>
      <c r="K4" s="224"/>
      <c r="L4" s="171"/>
    </row>
    <row r="5" spans="2:12" ht="15" customHeight="1">
      <c r="B5" s="177"/>
      <c r="C5" s="184"/>
      <c r="D5" s="184"/>
      <c r="E5" s="184"/>
      <c r="F5" s="184"/>
      <c r="G5" s="184"/>
      <c r="H5" s="184"/>
      <c r="I5" s="184"/>
      <c r="J5" s="184"/>
      <c r="K5" s="184"/>
      <c r="L5" s="191"/>
    </row>
    <row r="6" spans="2:12">
      <c r="B6" s="185" t="s">
        <v>352</v>
      </c>
      <c r="C6" s="186"/>
      <c r="D6" s="186"/>
      <c r="E6" s="186"/>
      <c r="F6" s="186"/>
      <c r="G6" s="186"/>
      <c r="H6" s="216"/>
      <c r="I6" s="216"/>
      <c r="J6" s="186"/>
      <c r="K6" s="186"/>
      <c r="L6" s="186"/>
    </row>
    <row r="7" spans="2:12" ht="15" customHeight="1">
      <c r="B7" s="192" t="s">
        <v>353</v>
      </c>
      <c r="C7" s="172">
        <v>45737</v>
      </c>
      <c r="D7" s="172">
        <v>45738</v>
      </c>
      <c r="E7" s="172">
        <v>45739</v>
      </c>
      <c r="F7" s="172">
        <v>45740</v>
      </c>
      <c r="G7" s="172">
        <v>45741</v>
      </c>
      <c r="H7" s="186"/>
      <c r="I7" s="222" t="s">
        <v>354</v>
      </c>
      <c r="J7" s="222"/>
      <c r="K7" s="222"/>
      <c r="L7" s="222"/>
    </row>
    <row r="8" spans="2:12">
      <c r="B8" s="185"/>
      <c r="C8" s="186"/>
      <c r="D8" s="186"/>
      <c r="E8" s="186"/>
      <c r="F8" s="186"/>
      <c r="G8" s="186"/>
      <c r="H8" s="216"/>
      <c r="I8" s="216"/>
      <c r="J8" s="186"/>
      <c r="K8" s="186"/>
      <c r="L8" s="186"/>
    </row>
    <row r="9" spans="2:12">
      <c r="B9" s="178" t="s">
        <v>355</v>
      </c>
      <c r="C9" s="191">
        <f>'Data Sheet'!G17</f>
        <v>100472</v>
      </c>
      <c r="D9" s="191">
        <f>'Data Sheet'!H17</f>
        <v>121641</v>
      </c>
      <c r="E9" s="191">
        <f>'Data Sheet'!I17</f>
        <v>146767</v>
      </c>
      <c r="F9" s="191">
        <f>'Data Sheet'!J17</f>
        <v>153670</v>
      </c>
      <c r="G9" s="191">
        <f>'Data Sheet'!K17</f>
        <v>162990</v>
      </c>
      <c r="H9" s="216"/>
      <c r="I9" s="216"/>
      <c r="J9" s="186"/>
      <c r="K9" s="186"/>
      <c r="L9" s="186"/>
    </row>
    <row r="10" spans="2:12">
      <c r="B10" s="179" t="s">
        <v>356</v>
      </c>
      <c r="C10" s="173">
        <f>'Historical FS'!H10</f>
        <v>0.10662951173574475</v>
      </c>
      <c r="D10" s="173">
        <f>'Historical FS'!I10</f>
        <v>0.21069551715900947</v>
      </c>
      <c r="E10" s="173">
        <f>'Historical FS'!J10</f>
        <v>0.20655864387829759</v>
      </c>
      <c r="F10" s="173">
        <f>'Historical FS'!K10</f>
        <v>4.7033733741236095E-2</v>
      </c>
      <c r="G10" s="173">
        <f>'Historical FS'!L10</f>
        <v>6.0649443612936782E-2</v>
      </c>
      <c r="H10" s="216"/>
      <c r="I10" s="216"/>
      <c r="J10" s="186"/>
      <c r="K10" s="186"/>
      <c r="L10" s="186"/>
    </row>
    <row r="11" spans="2:12">
      <c r="B11" s="179" t="s">
        <v>357</v>
      </c>
      <c r="C11" s="173">
        <f>'Historical FS'!H16</f>
        <v>0.31831754120550998</v>
      </c>
      <c r="D11" s="173">
        <f>'Historical FS'!I16</f>
        <v>0.30271043480405457</v>
      </c>
      <c r="E11" s="173">
        <f>'Historical FS'!J16</f>
        <v>0.28539794367943749</v>
      </c>
      <c r="F11" s="173">
        <f>'Historical FS'!K16</f>
        <v>0.28398516301164833</v>
      </c>
      <c r="G11" s="173">
        <f>'Historical FS'!L16</f>
        <v>0.2847107184489846</v>
      </c>
      <c r="H11" s="216"/>
      <c r="I11" s="216"/>
      <c r="J11" s="186"/>
      <c r="K11" s="186"/>
      <c r="L11" s="186"/>
    </row>
    <row r="12" spans="2:12">
      <c r="B12" s="179" t="s">
        <v>358</v>
      </c>
      <c r="C12" s="173">
        <f>'Historical FS'!H22</f>
        <v>0.27757982323433394</v>
      </c>
      <c r="D12" s="173">
        <f>'Historical FS'!I22</f>
        <v>0.25888475102966929</v>
      </c>
      <c r="E12" s="173">
        <f>'Historical FS'!J22</f>
        <v>0.23935898396778568</v>
      </c>
      <c r="F12" s="173">
        <f>'Historical FS'!K22</f>
        <v>0.23703390381987374</v>
      </c>
      <c r="G12" s="173">
        <f>'Historical FS'!L22</f>
        <v>0.24072642493404503</v>
      </c>
      <c r="H12" s="216"/>
      <c r="I12" s="216"/>
      <c r="J12" s="186"/>
      <c r="K12" s="186"/>
      <c r="L12" s="186"/>
    </row>
    <row r="13" spans="2:12">
      <c r="B13" s="179" t="s">
        <v>359</v>
      </c>
      <c r="C13" s="173">
        <f>('Historical FS'!H21-'Historical FS'!H27)/'Historical FS'!H9</f>
        <v>0.24506330121824987</v>
      </c>
      <c r="D13" s="173">
        <f>('Historical FS'!I21-'Historical FS'!I27)/'Historical FS'!I9</f>
        <v>0.23030885967724699</v>
      </c>
      <c r="E13" s="173">
        <f>('Historical FS'!J21-'Historical FS'!J27)/'Historical FS'!J9</f>
        <v>0.21057185879659596</v>
      </c>
      <c r="F13" s="173">
        <f>('Historical FS'!K21-'Historical FS'!K27)/'Historical FS'!K9</f>
        <v>0.20659204789483959</v>
      </c>
      <c r="G13" s="173">
        <f>('Historical FS'!L21-'Historical FS'!L27)/'Historical FS'!L9</f>
        <v>0.21120314129701209</v>
      </c>
      <c r="H13" s="216"/>
      <c r="I13" s="216"/>
      <c r="J13" s="186"/>
      <c r="K13" s="186"/>
      <c r="L13" s="186"/>
    </row>
    <row r="14" spans="2:12">
      <c r="B14" s="179" t="s">
        <v>360</v>
      </c>
      <c r="C14" s="173">
        <f>'Historical FS'!H37</f>
        <v>0.17141094036149376</v>
      </c>
      <c r="D14" s="173">
        <f>'Historical FS'!I37</f>
        <v>0.16319333119589613</v>
      </c>
      <c r="E14" s="173">
        <f>'Historical FS'!J37</f>
        <v>0.14585703870761138</v>
      </c>
      <c r="F14" s="173">
        <f>'Historical FS'!K37</f>
        <v>0.14015097286392919</v>
      </c>
      <c r="G14" s="173">
        <f>'Historical FS'!L37</f>
        <v>0.14203325357383889</v>
      </c>
      <c r="H14" s="216"/>
      <c r="I14" s="216"/>
      <c r="K14" s="186"/>
      <c r="L14" s="186"/>
    </row>
    <row r="15" spans="2:12">
      <c r="B15" s="180" t="s">
        <v>361</v>
      </c>
      <c r="C15" s="193">
        <f>'Historical FS'!H41</f>
        <v>40.420588166263762</v>
      </c>
      <c r="D15" s="193">
        <f>'Historical FS'!I41</f>
        <v>47.189008011030019</v>
      </c>
      <c r="E15" s="193">
        <f>'Historical FS'!J41</f>
        <v>51.600539941184977</v>
      </c>
      <c r="F15" s="193">
        <f>'Historical FS'!K41</f>
        <v>51.885133344575877</v>
      </c>
      <c r="G15" s="193">
        <f>'Historical FS'!L41</f>
        <v>55.738810102809815</v>
      </c>
      <c r="H15" s="216"/>
      <c r="I15" s="216"/>
      <c r="J15" s="186"/>
      <c r="K15" s="186"/>
      <c r="L15" s="186"/>
    </row>
    <row r="16" spans="2:12">
      <c r="B16" s="179" t="s">
        <v>362</v>
      </c>
      <c r="C16" s="173">
        <f>'Historical FS'!H42</f>
        <v>0.24422726944288353</v>
      </c>
      <c r="D16" s="173">
        <f>'Historical FS'!I42</f>
        <v>0.16744981089650213</v>
      </c>
      <c r="E16" s="173">
        <f>'Historical FS'!J42</f>
        <v>9.3486430762091954E-2</v>
      </c>
      <c r="F16" s="173">
        <f>'Historical FS'!K42</f>
        <v>5.5153183225462588E-3</v>
      </c>
      <c r="G16" s="173">
        <f>'Historical FS'!L42</f>
        <v>7.4273236085588668E-2</v>
      </c>
      <c r="H16" s="216"/>
      <c r="I16" s="216"/>
      <c r="J16" s="186"/>
      <c r="K16" s="186"/>
      <c r="L16" s="186"/>
    </row>
    <row r="17" spans="2:12">
      <c r="B17" s="180" t="s">
        <v>30</v>
      </c>
      <c r="C17" s="193">
        <f>'Historical FS'!H44</f>
        <v>26.919520266622857</v>
      </c>
      <c r="D17" s="193">
        <f>'Historical FS'!I44</f>
        <v>30.921149594694178</v>
      </c>
      <c r="E17" s="193">
        <f>'Historical FS'!J44</f>
        <v>33.913127320059779</v>
      </c>
      <c r="F17" s="193">
        <f>'Historical FS'!K44</f>
        <v>45.901370787058234</v>
      </c>
      <c r="G17" s="193">
        <f>'Historical FS'!L44</f>
        <v>42.924421544314157</v>
      </c>
      <c r="H17" s="216"/>
      <c r="I17" s="216"/>
      <c r="J17" s="186"/>
      <c r="K17" s="186"/>
      <c r="L17" s="186"/>
    </row>
    <row r="18" spans="2:12">
      <c r="B18" s="180" t="s">
        <v>363</v>
      </c>
      <c r="C18" s="174">
        <f>'Historical FS'!H45</f>
        <v>0.66598536755312976</v>
      </c>
      <c r="D18" s="174">
        <f>'Historical FS'!I45</f>
        <v>0.6552616996624856</v>
      </c>
      <c r="E18" s="174">
        <f>'Historical FS'!J45</f>
        <v>0.65722427243425052</v>
      </c>
      <c r="F18" s="174">
        <f>'Historical FS'!K45</f>
        <v>0.8846728885174352</v>
      </c>
      <c r="G18" s="174">
        <f>'Historical FS'!L45</f>
        <v>0.77009935205183577</v>
      </c>
      <c r="H18" s="216"/>
      <c r="I18" s="216"/>
      <c r="J18" s="186"/>
      <c r="K18" s="186"/>
      <c r="L18" s="186"/>
    </row>
    <row r="19" spans="2:12">
      <c r="B19" s="185"/>
      <c r="C19" s="186"/>
      <c r="D19" s="186"/>
      <c r="E19" s="186"/>
      <c r="F19" s="186"/>
      <c r="G19" s="186"/>
      <c r="H19" s="216"/>
      <c r="I19" s="216"/>
      <c r="J19" s="186"/>
      <c r="K19" s="186"/>
      <c r="L19" s="186"/>
    </row>
    <row r="20" spans="2:12" ht="15" customHeight="1">
      <c r="B20" s="192" t="s">
        <v>364</v>
      </c>
      <c r="C20" s="190"/>
      <c r="D20" s="190"/>
      <c r="E20" s="190"/>
      <c r="F20" s="190"/>
      <c r="G20" s="172">
        <v>45741</v>
      </c>
      <c r="H20" s="186"/>
      <c r="I20" s="222" t="s">
        <v>365</v>
      </c>
      <c r="J20" s="222"/>
      <c r="K20" s="222"/>
      <c r="L20" s="222"/>
    </row>
    <row r="21" spans="2:12">
      <c r="B21" s="185"/>
      <c r="C21" s="186"/>
      <c r="D21" s="186"/>
      <c r="E21" s="186"/>
      <c r="F21" s="186"/>
      <c r="G21" s="186"/>
      <c r="H21" s="216"/>
      <c r="I21" s="216"/>
      <c r="J21" s="186"/>
      <c r="K21" s="186"/>
      <c r="L21" s="186"/>
    </row>
    <row r="22" spans="2:12">
      <c r="B22" s="178" t="s">
        <v>366</v>
      </c>
      <c r="C22" s="191"/>
      <c r="D22" s="191"/>
      <c r="E22" s="191"/>
      <c r="F22" s="191"/>
      <c r="G22" s="191">
        <f>'Data Sheet'!K32</f>
        <v>24.42</v>
      </c>
      <c r="H22" s="216"/>
      <c r="I22" s="216"/>
      <c r="J22" s="186"/>
      <c r="K22" s="186"/>
      <c r="L22" s="186"/>
    </row>
    <row r="23" spans="2:12">
      <c r="B23" s="180" t="s">
        <v>340</v>
      </c>
      <c r="C23" s="188"/>
      <c r="D23" s="188"/>
      <c r="E23" s="188"/>
      <c r="F23" s="188"/>
      <c r="G23" s="188">
        <f>'Relative P'!O11</f>
        <v>13.730746832765305</v>
      </c>
      <c r="H23" s="216"/>
      <c r="I23" s="216"/>
      <c r="J23" s="186"/>
      <c r="K23" s="186"/>
      <c r="L23" s="186"/>
    </row>
    <row r="24" spans="2:12">
      <c r="B24" s="180" t="s">
        <v>339</v>
      </c>
      <c r="C24" s="188"/>
      <c r="D24" s="188"/>
      <c r="E24" s="188"/>
      <c r="F24" s="188"/>
      <c r="G24" s="188">
        <f>'Relative P'!N11</f>
        <v>3.5200996902756181</v>
      </c>
      <c r="H24" s="216"/>
      <c r="I24" s="216"/>
      <c r="J24" s="186"/>
      <c r="K24" s="186"/>
      <c r="L24" s="186"/>
    </row>
    <row r="25" spans="2:12">
      <c r="B25" s="180" t="s">
        <v>367</v>
      </c>
      <c r="C25" s="188"/>
      <c r="D25" s="188"/>
      <c r="E25" s="188"/>
      <c r="F25" s="188"/>
      <c r="G25" s="174">
        <f>'Ratio Analysis'!L26</f>
        <v>0.24160387401114614</v>
      </c>
      <c r="H25" s="216"/>
      <c r="I25" s="216"/>
      <c r="J25" s="186"/>
      <c r="K25" s="186"/>
      <c r="L25" s="186"/>
    </row>
    <row r="26" spans="2:12">
      <c r="B26" s="180" t="s">
        <v>368</v>
      </c>
      <c r="C26" s="188"/>
      <c r="D26" s="188"/>
      <c r="E26" s="188"/>
      <c r="F26" s="188"/>
      <c r="G26" s="174">
        <f>'Ratio Analysis'!L24</f>
        <v>0.33085684079004279</v>
      </c>
      <c r="H26" s="216"/>
      <c r="I26" s="216"/>
      <c r="J26" s="186"/>
      <c r="K26" s="186"/>
      <c r="L26" s="186"/>
    </row>
    <row r="27" spans="2:12">
      <c r="B27" s="185"/>
      <c r="C27" s="186"/>
      <c r="D27" s="186"/>
      <c r="E27" s="186"/>
      <c r="F27" s="186"/>
      <c r="G27" s="186"/>
      <c r="H27" s="216"/>
      <c r="I27" s="216"/>
      <c r="J27" s="186"/>
      <c r="K27" s="186"/>
      <c r="L27" s="186"/>
    </row>
    <row r="28" spans="2:12">
      <c r="B28" s="182">
        <v>100</v>
      </c>
      <c r="C28" s="186"/>
      <c r="D28" s="186"/>
      <c r="E28" s="186"/>
      <c r="F28" s="186"/>
      <c r="G28" s="186"/>
      <c r="H28" s="216"/>
      <c r="I28" s="216"/>
      <c r="J28" s="186"/>
      <c r="K28" s="186"/>
      <c r="L28" s="186"/>
    </row>
    <row r="29" spans="2:12" ht="15" customHeight="1">
      <c r="B29" s="192" t="s">
        <v>369</v>
      </c>
      <c r="C29" s="194" t="s">
        <v>370</v>
      </c>
      <c r="D29" s="194" t="s">
        <v>371</v>
      </c>
      <c r="E29" s="192" t="s">
        <v>372</v>
      </c>
      <c r="F29" s="221" t="s">
        <v>373</v>
      </c>
      <c r="G29" s="221"/>
      <c r="H29" s="186"/>
      <c r="I29" s="190" t="s">
        <v>374</v>
      </c>
      <c r="J29" s="190"/>
      <c r="K29" s="190"/>
      <c r="L29" s="172"/>
    </row>
    <row r="30" spans="2:12">
      <c r="B30" s="185"/>
      <c r="C30" s="186"/>
      <c r="D30" s="186"/>
      <c r="E30" s="175"/>
      <c r="F30" s="186"/>
      <c r="G30" s="186"/>
      <c r="H30" s="216"/>
      <c r="I30" s="216"/>
      <c r="J30" s="186"/>
      <c r="K30" s="186"/>
      <c r="L30" s="186"/>
    </row>
    <row r="31" spans="2:12">
      <c r="B31" s="178" t="s">
        <v>375</v>
      </c>
      <c r="C31" s="191">
        <v>40.39</v>
      </c>
      <c r="D31" s="191">
        <v>10.88</v>
      </c>
      <c r="E31" s="176">
        <v>0.10879999999999999</v>
      </c>
      <c r="F31" s="219">
        <v>57993.64</v>
      </c>
      <c r="G31" s="219"/>
      <c r="H31" s="216"/>
      <c r="I31" s="216"/>
      <c r="J31" s="186"/>
      <c r="K31" s="186"/>
      <c r="L31" s="186"/>
    </row>
    <row r="32" spans="2:12">
      <c r="B32" s="180" t="s">
        <v>376</v>
      </c>
      <c r="C32" s="188">
        <v>16.760000000000002</v>
      </c>
      <c r="D32" s="188">
        <v>4.5199999999999996</v>
      </c>
      <c r="E32" s="174">
        <v>4.5199999999999997E-2</v>
      </c>
      <c r="F32" s="213">
        <v>24062.78</v>
      </c>
      <c r="G32" s="213"/>
      <c r="H32" s="216"/>
      <c r="I32" s="216"/>
      <c r="J32" s="186"/>
      <c r="K32" s="186"/>
      <c r="L32" s="186"/>
    </row>
    <row r="33" spans="2:12">
      <c r="B33" s="180" t="s">
        <v>377</v>
      </c>
      <c r="C33" s="188">
        <v>12.92</v>
      </c>
      <c r="D33" s="188">
        <v>3.48</v>
      </c>
      <c r="E33" s="174">
        <v>3.4799999999999998E-2</v>
      </c>
      <c r="F33" s="213">
        <v>18560.11</v>
      </c>
      <c r="G33" s="213"/>
      <c r="H33" s="216"/>
      <c r="I33" s="216"/>
      <c r="J33" s="186"/>
      <c r="K33" s="186"/>
      <c r="L33" s="186"/>
    </row>
    <row r="34" spans="2:12">
      <c r="B34" s="180" t="s">
        <v>378</v>
      </c>
      <c r="C34" s="188">
        <v>9.5399999999999991</v>
      </c>
      <c r="D34" s="188">
        <v>2.57</v>
      </c>
      <c r="E34" s="174">
        <v>2.5700000000000001E-2</v>
      </c>
      <c r="F34" s="213">
        <v>13693.27</v>
      </c>
      <c r="G34" s="213"/>
      <c r="H34" s="216"/>
      <c r="I34" s="216"/>
      <c r="J34" s="186"/>
      <c r="K34" s="186"/>
      <c r="L34" s="186"/>
    </row>
    <row r="35" spans="2:12">
      <c r="B35" s="180" t="s">
        <v>379</v>
      </c>
      <c r="C35" s="188">
        <v>7.99</v>
      </c>
      <c r="D35" s="188">
        <v>2.15</v>
      </c>
      <c r="E35" s="174">
        <v>2.1499999999999998E-2</v>
      </c>
      <c r="F35" s="213">
        <v>11472.61</v>
      </c>
      <c r="G35" s="213"/>
      <c r="H35" s="216"/>
      <c r="I35" s="216"/>
      <c r="J35" s="186"/>
      <c r="K35" s="186"/>
      <c r="L35" s="186"/>
    </row>
    <row r="36" spans="2:12">
      <c r="B36" s="180" t="s">
        <v>380</v>
      </c>
      <c r="C36" s="188">
        <v>6.99</v>
      </c>
      <c r="D36" s="188">
        <v>1.88</v>
      </c>
      <c r="E36" s="174">
        <v>1.8800000000000001E-2</v>
      </c>
      <c r="F36" s="213">
        <v>10039.25</v>
      </c>
      <c r="G36" s="213"/>
      <c r="H36" s="216"/>
      <c r="I36" s="216"/>
      <c r="J36" s="186"/>
      <c r="K36" s="186"/>
      <c r="L36" s="186"/>
    </row>
    <row r="37" spans="2:12">
      <c r="B37" s="180" t="s">
        <v>381</v>
      </c>
      <c r="C37" s="188">
        <v>6.67</v>
      </c>
      <c r="D37" s="188">
        <v>1.8</v>
      </c>
      <c r="E37" s="174">
        <v>1.7999999999999999E-2</v>
      </c>
      <c r="F37" s="213">
        <v>9585.0300000000007</v>
      </c>
      <c r="G37" s="213"/>
      <c r="H37" s="216"/>
      <c r="I37" s="216"/>
      <c r="J37" s="186"/>
      <c r="K37" s="186"/>
      <c r="L37" s="186"/>
    </row>
    <row r="38" spans="2:12">
      <c r="B38" s="180" t="s">
        <v>382</v>
      </c>
      <c r="C38" s="188">
        <v>6.08</v>
      </c>
      <c r="D38" s="188">
        <v>1.64</v>
      </c>
      <c r="E38" s="174">
        <v>1.6400000000000001E-2</v>
      </c>
      <c r="F38" s="213">
        <v>8732.73</v>
      </c>
      <c r="G38" s="213"/>
      <c r="H38" s="216"/>
      <c r="I38" s="216"/>
      <c r="J38" s="186"/>
      <c r="K38" s="186"/>
      <c r="L38" s="186"/>
    </row>
    <row r="39" spans="2:12">
      <c r="B39" s="180" t="s">
        <v>383</v>
      </c>
      <c r="C39" s="188">
        <v>5.79</v>
      </c>
      <c r="D39" s="188">
        <v>1.56</v>
      </c>
      <c r="E39" s="174">
        <v>1.5599999999999999E-2</v>
      </c>
      <c r="F39" s="213">
        <v>8316.5400000000009</v>
      </c>
      <c r="G39" s="213"/>
      <c r="H39" s="216"/>
      <c r="I39" s="216"/>
      <c r="J39" s="186"/>
      <c r="K39" s="186"/>
      <c r="L39" s="186"/>
    </row>
    <row r="40" spans="2:12">
      <c r="B40" s="180" t="s">
        <v>384</v>
      </c>
      <c r="C40" s="188">
        <v>5.21</v>
      </c>
      <c r="D40" s="188">
        <v>1.4</v>
      </c>
      <c r="E40" s="174">
        <v>1.4E-2</v>
      </c>
      <c r="F40" s="213">
        <v>7478.8</v>
      </c>
      <c r="G40" s="213"/>
      <c r="H40" s="216"/>
      <c r="I40" s="216"/>
      <c r="J40" s="186"/>
      <c r="K40" s="186"/>
      <c r="L40" s="186"/>
    </row>
    <row r="41" spans="2:12">
      <c r="B41" s="185"/>
      <c r="C41" s="186"/>
      <c r="D41" s="186"/>
      <c r="E41" s="186"/>
      <c r="F41" s="186"/>
      <c r="G41" s="186"/>
      <c r="H41" s="216"/>
      <c r="I41" s="216"/>
      <c r="J41" s="186"/>
      <c r="K41" s="186"/>
      <c r="L41" s="186"/>
    </row>
    <row r="42" spans="2:12">
      <c r="B42" s="185"/>
      <c r="C42" s="186"/>
      <c r="D42" s="186"/>
      <c r="E42" s="186"/>
      <c r="F42" s="186"/>
      <c r="G42" s="186"/>
      <c r="H42" s="216"/>
      <c r="I42" s="216"/>
      <c r="J42" s="186"/>
      <c r="K42" s="186"/>
      <c r="L42" s="186"/>
    </row>
    <row r="43" spans="2:12" ht="15" customHeight="1">
      <c r="B43" s="192" t="s">
        <v>385</v>
      </c>
      <c r="C43" s="218" t="s">
        <v>386</v>
      </c>
      <c r="D43" s="218"/>
      <c r="E43" s="218"/>
      <c r="F43" s="190" t="s">
        <v>387</v>
      </c>
      <c r="G43" s="190" t="s">
        <v>388</v>
      </c>
      <c r="H43" s="186"/>
      <c r="I43" s="218" t="s">
        <v>151</v>
      </c>
      <c r="J43" s="218"/>
      <c r="K43" s="218"/>
      <c r="L43" s="172"/>
    </row>
    <row r="44" spans="2:12">
      <c r="B44" s="185"/>
      <c r="C44" s="186"/>
      <c r="D44" s="186"/>
      <c r="E44" s="186"/>
      <c r="F44" s="186"/>
      <c r="G44" s="186"/>
      <c r="H44" s="216"/>
      <c r="I44" s="216"/>
      <c r="J44" s="186"/>
      <c r="K44" s="186"/>
      <c r="L44" s="186"/>
    </row>
    <row r="45" spans="2:12">
      <c r="B45" s="178" t="s">
        <v>389</v>
      </c>
      <c r="C45" s="219" t="s">
        <v>390</v>
      </c>
      <c r="D45" s="219"/>
      <c r="E45" s="219"/>
      <c r="F45" s="191" t="s">
        <v>136</v>
      </c>
      <c r="G45" s="191">
        <v>80.62</v>
      </c>
      <c r="H45" s="186"/>
      <c r="I45" s="219" t="s">
        <v>391</v>
      </c>
      <c r="J45" s="219"/>
      <c r="K45" s="191">
        <v>1444.6</v>
      </c>
      <c r="L45" s="186"/>
    </row>
    <row r="46" spans="2:12">
      <c r="B46" s="180" t="s">
        <v>392</v>
      </c>
      <c r="C46" s="188" t="s">
        <v>393</v>
      </c>
      <c r="D46" s="188"/>
      <c r="E46" s="188"/>
      <c r="F46" s="188" t="s">
        <v>394</v>
      </c>
      <c r="G46" s="188">
        <v>21.64</v>
      </c>
      <c r="H46" s="186"/>
      <c r="I46" s="214" t="s">
        <v>395</v>
      </c>
      <c r="J46" s="214"/>
      <c r="K46" s="195">
        <f>'Data Sheet'!B6</f>
        <v>415.43700900430645</v>
      </c>
      <c r="L46" s="186"/>
    </row>
    <row r="47" spans="2:12">
      <c r="B47" s="180" t="s">
        <v>396</v>
      </c>
      <c r="C47" s="213" t="s">
        <v>397</v>
      </c>
      <c r="D47" s="213"/>
      <c r="E47" s="213"/>
      <c r="F47" s="188" t="s">
        <v>398</v>
      </c>
      <c r="G47" s="188">
        <v>20.9</v>
      </c>
      <c r="H47" s="186"/>
      <c r="I47" s="220" t="s">
        <v>399</v>
      </c>
      <c r="J47" s="220"/>
      <c r="K47" s="202">
        <f>K45*K46</f>
        <v>600140.30320762109</v>
      </c>
      <c r="L47" s="186"/>
    </row>
    <row r="48" spans="2:12">
      <c r="B48" s="180" t="s">
        <v>400</v>
      </c>
      <c r="C48" s="213" t="s">
        <v>401</v>
      </c>
      <c r="D48" s="213"/>
      <c r="E48" s="213"/>
      <c r="F48" s="188" t="s">
        <v>398</v>
      </c>
      <c r="G48" s="188">
        <v>16.8</v>
      </c>
      <c r="H48" s="186"/>
      <c r="I48" s="219" t="s">
        <v>402</v>
      </c>
      <c r="J48" s="219"/>
      <c r="K48" s="191">
        <f>-'Data Sheet'!K69</f>
        <v>-24455</v>
      </c>
      <c r="L48" s="186"/>
    </row>
    <row r="49" spans="2:12">
      <c r="B49" s="180" t="s">
        <v>403</v>
      </c>
      <c r="C49" s="213" t="s">
        <v>404</v>
      </c>
      <c r="D49" s="213"/>
      <c r="E49" s="213"/>
      <c r="F49" s="188" t="s">
        <v>398</v>
      </c>
      <c r="G49" s="188">
        <v>14.88</v>
      </c>
      <c r="H49" s="186"/>
      <c r="I49" s="213" t="s">
        <v>405</v>
      </c>
      <c r="J49" s="213"/>
      <c r="K49" s="188">
        <f>'Data Sheet'!K59</f>
        <v>8227</v>
      </c>
      <c r="L49" s="186"/>
    </row>
    <row r="50" spans="2:12">
      <c r="B50" s="180" t="s">
        <v>406</v>
      </c>
      <c r="C50" s="213" t="s">
        <v>407</v>
      </c>
      <c r="D50" s="213"/>
      <c r="E50" s="213"/>
      <c r="F50" s="188" t="s">
        <v>398</v>
      </c>
      <c r="G50" s="188">
        <v>12.71</v>
      </c>
      <c r="H50" s="186"/>
      <c r="I50" s="214" t="s">
        <v>408</v>
      </c>
      <c r="J50" s="214"/>
      <c r="K50" s="189">
        <v>37</v>
      </c>
      <c r="L50" s="186"/>
    </row>
    <row r="51" spans="2:12">
      <c r="B51" s="181"/>
      <c r="C51" s="189"/>
      <c r="D51" s="189"/>
      <c r="E51" s="189"/>
      <c r="F51" s="189"/>
      <c r="G51" s="189"/>
      <c r="H51" s="186"/>
      <c r="I51" s="215" t="s">
        <v>318</v>
      </c>
      <c r="J51" s="215"/>
      <c r="K51" s="202">
        <f>SUM(K47:K50)</f>
        <v>583949.30320762109</v>
      </c>
      <c r="L51" s="186"/>
    </row>
    <row r="52" spans="2:12">
      <c r="B52" s="185"/>
      <c r="C52" s="186"/>
      <c r="D52" s="186"/>
      <c r="E52" s="186"/>
      <c r="F52" s="186"/>
      <c r="G52" s="186"/>
      <c r="H52" s="216"/>
      <c r="I52" s="216"/>
      <c r="J52" s="186"/>
      <c r="K52" s="186"/>
      <c r="L52" s="186"/>
    </row>
    <row r="53" spans="2:12" ht="15" customHeight="1">
      <c r="B53" s="192" t="s">
        <v>409</v>
      </c>
      <c r="C53" s="190"/>
      <c r="D53" s="190"/>
      <c r="E53" s="190"/>
      <c r="F53" s="190"/>
      <c r="G53" s="190"/>
      <c r="H53" s="212"/>
      <c r="I53" s="212"/>
      <c r="J53" s="187"/>
      <c r="K53" s="187"/>
      <c r="L53" s="172"/>
    </row>
    <row r="54" spans="2:12">
      <c r="B54" s="185"/>
      <c r="C54" s="186"/>
      <c r="D54" s="186"/>
      <c r="E54" s="186"/>
      <c r="F54" s="186"/>
      <c r="G54" s="186"/>
      <c r="H54" s="216"/>
      <c r="I54" s="216"/>
      <c r="J54" s="186"/>
      <c r="K54" s="186"/>
      <c r="L54" s="186"/>
    </row>
    <row r="55" spans="2:12">
      <c r="B55" s="217" t="s">
        <v>410</v>
      </c>
      <c r="C55" s="217"/>
      <c r="D55" s="217"/>
      <c r="E55" s="217"/>
      <c r="F55" s="217"/>
      <c r="G55" s="217"/>
      <c r="H55" s="217"/>
      <c r="I55" s="217"/>
      <c r="J55" s="217"/>
      <c r="K55" s="217"/>
      <c r="L55" s="186"/>
    </row>
    <row r="56" spans="2:12">
      <c r="B56" s="217" t="s">
        <v>411</v>
      </c>
      <c r="C56" s="217"/>
      <c r="D56" s="217"/>
      <c r="E56" s="217"/>
      <c r="F56" s="217"/>
      <c r="G56" s="217"/>
      <c r="H56" s="217"/>
      <c r="I56" s="217"/>
      <c r="J56" s="217"/>
      <c r="K56" s="217"/>
      <c r="L56" s="186"/>
    </row>
    <row r="57" spans="2:12">
      <c r="B57" s="217" t="s">
        <v>412</v>
      </c>
      <c r="C57" s="217"/>
      <c r="D57" s="217"/>
      <c r="E57" s="217"/>
      <c r="F57" s="217"/>
      <c r="G57" s="217"/>
      <c r="H57" s="217"/>
      <c r="I57" s="217"/>
      <c r="J57" s="217"/>
      <c r="K57" s="217"/>
      <c r="L57" s="186"/>
    </row>
    <row r="58" spans="2:12">
      <c r="B58" s="217" t="s">
        <v>413</v>
      </c>
      <c r="C58" s="217"/>
      <c r="D58" s="217"/>
      <c r="E58" s="217"/>
      <c r="F58" s="217"/>
      <c r="G58" s="217"/>
      <c r="H58" s="217"/>
      <c r="I58" s="217"/>
      <c r="J58" s="217"/>
      <c r="K58" s="217"/>
      <c r="L58" s="217"/>
    </row>
    <row r="59" spans="2:12">
      <c r="B59" s="185"/>
      <c r="C59" s="186"/>
      <c r="D59" s="186"/>
      <c r="E59" s="186"/>
      <c r="F59" s="186"/>
      <c r="G59" s="186"/>
      <c r="H59" s="216"/>
      <c r="I59" s="216"/>
      <c r="J59" s="186"/>
      <c r="K59" s="186"/>
      <c r="L59" s="186"/>
    </row>
    <row r="60" spans="2:12">
      <c r="B60" s="183"/>
      <c r="C60" s="187"/>
      <c r="D60" s="187"/>
      <c r="E60" s="187"/>
      <c r="F60" s="187"/>
      <c r="G60" s="187"/>
      <c r="H60" s="212"/>
      <c r="I60" s="212"/>
      <c r="J60" s="187"/>
      <c r="K60" s="187"/>
      <c r="L60" s="187"/>
    </row>
  </sheetData>
  <mergeCells count="74">
    <mergeCell ref="H14:I14"/>
    <mergeCell ref="H2:I2"/>
    <mergeCell ref="B3:K3"/>
    <mergeCell ref="H6:I6"/>
    <mergeCell ref="H8:I8"/>
    <mergeCell ref="C4:K4"/>
    <mergeCell ref="I7:L7"/>
    <mergeCell ref="H9:I9"/>
    <mergeCell ref="H10:I10"/>
    <mergeCell ref="H11:I11"/>
    <mergeCell ref="H12:I12"/>
    <mergeCell ref="H13:I13"/>
    <mergeCell ref="H26:I26"/>
    <mergeCell ref="H15:I15"/>
    <mergeCell ref="H16:I16"/>
    <mergeCell ref="H17:I17"/>
    <mergeCell ref="H18:I18"/>
    <mergeCell ref="H19:I19"/>
    <mergeCell ref="I20:L20"/>
    <mergeCell ref="H21:I21"/>
    <mergeCell ref="H22:I22"/>
    <mergeCell ref="H23:I23"/>
    <mergeCell ref="H24:I24"/>
    <mergeCell ref="H25:I25"/>
    <mergeCell ref="H27:I27"/>
    <mergeCell ref="H28:I28"/>
    <mergeCell ref="F29:G29"/>
    <mergeCell ref="H30:I30"/>
    <mergeCell ref="F31:G31"/>
    <mergeCell ref="H31:I31"/>
    <mergeCell ref="F32:G32"/>
    <mergeCell ref="H32:I32"/>
    <mergeCell ref="F33:G33"/>
    <mergeCell ref="H33:I33"/>
    <mergeCell ref="F34:G34"/>
    <mergeCell ref="H34:I34"/>
    <mergeCell ref="F35:G35"/>
    <mergeCell ref="H35:I35"/>
    <mergeCell ref="F36:G36"/>
    <mergeCell ref="H36:I36"/>
    <mergeCell ref="F37:G37"/>
    <mergeCell ref="H37:I37"/>
    <mergeCell ref="F38:G38"/>
    <mergeCell ref="H38:I38"/>
    <mergeCell ref="F39:G39"/>
    <mergeCell ref="H39:I39"/>
    <mergeCell ref="F40:G40"/>
    <mergeCell ref="H40:I40"/>
    <mergeCell ref="C49:E49"/>
    <mergeCell ref="I49:J49"/>
    <mergeCell ref="H41:I41"/>
    <mergeCell ref="H42:I42"/>
    <mergeCell ref="C43:E43"/>
    <mergeCell ref="I43:K43"/>
    <mergeCell ref="H44:I44"/>
    <mergeCell ref="C45:E45"/>
    <mergeCell ref="I45:J45"/>
    <mergeCell ref="I46:J46"/>
    <mergeCell ref="C47:E47"/>
    <mergeCell ref="I47:J47"/>
    <mergeCell ref="C48:E48"/>
    <mergeCell ref="I48:J48"/>
    <mergeCell ref="H60:I60"/>
    <mergeCell ref="C50:E50"/>
    <mergeCell ref="I50:J50"/>
    <mergeCell ref="I51:J51"/>
    <mergeCell ref="H52:I52"/>
    <mergeCell ref="H53:I53"/>
    <mergeCell ref="H54:I54"/>
    <mergeCell ref="B55:K55"/>
    <mergeCell ref="B56:K56"/>
    <mergeCell ref="B57:K57"/>
    <mergeCell ref="B58:L58"/>
    <mergeCell ref="H59:I59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N107"/>
  <sheetViews>
    <sheetView showGridLines="0" zoomScale="66" workbookViewId="0">
      <pane ySplit="6" topLeftCell="A82" activePane="bottomLeft" state="frozen"/>
      <selection pane="bottomLeft" sqref="A1:L7"/>
    </sheetView>
  </sheetViews>
  <sheetFormatPr defaultRowHeight="14.25"/>
  <cols>
    <col min="1" max="1" width="1.86328125" customWidth="1"/>
    <col min="2" max="2" width="36.265625" customWidth="1"/>
    <col min="3" max="3" width="13.3984375" customWidth="1"/>
    <col min="4" max="4" width="12.59765625" customWidth="1"/>
    <col min="5" max="5" width="12" customWidth="1"/>
    <col min="6" max="7" width="12.1328125" customWidth="1"/>
    <col min="8" max="8" width="13.1328125" customWidth="1"/>
    <col min="9" max="9" width="12.1328125" bestFit="1" customWidth="1"/>
    <col min="10" max="10" width="12.73046875" customWidth="1"/>
    <col min="11" max="11" width="14.73046875" customWidth="1"/>
    <col min="12" max="12" width="12.86328125" customWidth="1"/>
  </cols>
  <sheetData>
    <row r="2" spans="1:13" ht="30.75">
      <c r="B2" s="146" t="s">
        <v>0</v>
      </c>
      <c r="C2" s="38"/>
      <c r="D2" s="38"/>
      <c r="E2" s="38"/>
      <c r="F2" s="38"/>
      <c r="G2" s="38"/>
      <c r="H2" s="38"/>
      <c r="I2" s="38"/>
      <c r="J2" s="38"/>
      <c r="K2" s="38"/>
      <c r="L2" s="38"/>
    </row>
    <row r="3" spans="1:13">
      <c r="B3" s="69" t="s">
        <v>1</v>
      </c>
      <c r="C3" s="62"/>
      <c r="D3" s="62"/>
      <c r="E3" s="62"/>
      <c r="F3" s="62"/>
      <c r="G3" s="62"/>
      <c r="H3" s="62"/>
      <c r="I3" s="62"/>
      <c r="J3" s="62"/>
      <c r="K3" s="62"/>
      <c r="L3" s="62"/>
    </row>
    <row r="5" spans="1:13">
      <c r="B5" s="204" t="s">
        <v>2</v>
      </c>
      <c r="C5" s="204"/>
      <c r="D5" s="204"/>
      <c r="E5" s="204"/>
      <c r="F5" s="204"/>
      <c r="G5" s="204"/>
      <c r="H5" s="204"/>
      <c r="I5" s="204"/>
      <c r="J5" s="204"/>
      <c r="K5" s="204"/>
      <c r="L5" s="204"/>
      <c r="M5" s="15"/>
    </row>
    <row r="6" spans="1:13">
      <c r="B6" s="13" t="s">
        <v>3</v>
      </c>
      <c r="C6" s="14">
        <f>'Data Sheet'!B16</f>
        <v>42460</v>
      </c>
      <c r="D6" s="14">
        <f>'Data Sheet'!C16</f>
        <v>42825</v>
      </c>
      <c r="E6" s="14">
        <f>'Data Sheet'!D16</f>
        <v>43190</v>
      </c>
      <c r="F6" s="14">
        <f>'Data Sheet'!E16</f>
        <v>43555</v>
      </c>
      <c r="G6" s="14">
        <f>'Data Sheet'!F16</f>
        <v>43921</v>
      </c>
      <c r="H6" s="14">
        <f>'Data Sheet'!G16</f>
        <v>44286</v>
      </c>
      <c r="I6" s="14">
        <f>'Data Sheet'!H16</f>
        <v>44651</v>
      </c>
      <c r="J6" s="14">
        <f>'Data Sheet'!I16</f>
        <v>45016</v>
      </c>
      <c r="K6" s="14">
        <f>'Data Sheet'!J16</f>
        <v>45382</v>
      </c>
      <c r="L6" s="14">
        <f>'Data Sheet'!K16</f>
        <v>45747</v>
      </c>
      <c r="M6" s="16"/>
    </row>
    <row r="7" spans="1:13">
      <c r="B7" s="15"/>
      <c r="C7" s="15"/>
      <c r="D7" s="15"/>
      <c r="E7" s="15"/>
      <c r="F7" s="15"/>
      <c r="G7" s="15"/>
      <c r="H7" s="15"/>
      <c r="I7" s="15"/>
      <c r="J7" s="15"/>
    </row>
    <row r="8" spans="1:13">
      <c r="A8" t="s">
        <v>4</v>
      </c>
      <c r="B8" s="17" t="s">
        <v>5</v>
      </c>
      <c r="C8" s="18"/>
      <c r="D8" s="18"/>
      <c r="E8" s="18"/>
      <c r="F8" s="18"/>
      <c r="G8" s="18"/>
      <c r="H8" s="18"/>
      <c r="I8" s="18"/>
      <c r="J8" s="18"/>
      <c r="K8" s="18"/>
      <c r="L8" s="18"/>
    </row>
    <row r="9" spans="1:13">
      <c r="B9" t="s">
        <v>6</v>
      </c>
      <c r="C9" s="19">
        <f>IFERROR('Data Sheet'!B17,0)</f>
        <v>62441</v>
      </c>
      <c r="D9" s="19">
        <f>IFERROR('Data Sheet'!C17,0)</f>
        <v>68484</v>
      </c>
      <c r="E9" s="19">
        <f>IFERROR('Data Sheet'!D17,0)</f>
        <v>70522</v>
      </c>
      <c r="F9" s="19">
        <f>IFERROR('Data Sheet'!E17,0)</f>
        <v>82675</v>
      </c>
      <c r="G9" s="19">
        <f>IFERROR('Data Sheet'!F17,0)</f>
        <v>90791</v>
      </c>
      <c r="H9" s="19">
        <f>IFERROR('Data Sheet'!G17,0)</f>
        <v>100472</v>
      </c>
      <c r="I9" s="19">
        <f>IFERROR('Data Sheet'!H17,0)</f>
        <v>121641</v>
      </c>
      <c r="J9" s="19">
        <f>IFERROR('Data Sheet'!I17,0)</f>
        <v>146767</v>
      </c>
      <c r="K9" s="19">
        <f>IFERROR('Data Sheet'!J17,0)</f>
        <v>153670</v>
      </c>
      <c r="L9" s="19">
        <f>IFERROR('Data Sheet'!K17,0)</f>
        <v>162990</v>
      </c>
    </row>
    <row r="10" spans="1:13">
      <c r="B10" s="20" t="s">
        <v>7</v>
      </c>
      <c r="C10" s="24" t="s">
        <v>8</v>
      </c>
      <c r="D10" s="25">
        <f>IFERROR(D9/C9-1,0)</f>
        <v>9.67793597155715E-2</v>
      </c>
      <c r="E10" s="25">
        <f>IFERROR(E9/D9-1,0)</f>
        <v>2.9758775772443125E-2</v>
      </c>
      <c r="F10" s="25">
        <f t="shared" ref="F10:I10" si="0">IFERROR(F9/E9-1,0)</f>
        <v>0.17232920223476356</v>
      </c>
      <c r="G10" s="25">
        <f t="shared" si="0"/>
        <v>9.8167523435137571E-2</v>
      </c>
      <c r="H10" s="25">
        <f t="shared" si="0"/>
        <v>0.10662951173574475</v>
      </c>
      <c r="I10" s="25">
        <f t="shared" si="0"/>
        <v>0.21069551715900947</v>
      </c>
      <c r="J10" s="25">
        <f t="shared" ref="J10" si="1">IFERROR(J9/I9-1,0)</f>
        <v>0.20655864387829759</v>
      </c>
      <c r="K10" s="25">
        <f t="shared" ref="K10" si="2">IFERROR(K9/J9-1,0)</f>
        <v>4.7033733741236095E-2</v>
      </c>
      <c r="L10" s="25">
        <f t="shared" ref="L10" si="3">IFERROR(L9/K9-1,0)</f>
        <v>6.0649443612936782E-2</v>
      </c>
    </row>
    <row r="11" spans="1:13">
      <c r="G11" s="21"/>
    </row>
    <row r="12" spans="1:13" ht="16.5" customHeight="1">
      <c r="B12" t="s">
        <v>9</v>
      </c>
      <c r="C12" s="19">
        <f>SUM('Data Sheet'!B20:B22)</f>
        <v>40492</v>
      </c>
      <c r="D12" s="19">
        <f>SUM('Data Sheet'!C20:C22)</f>
        <v>44609</v>
      </c>
      <c r="E12" s="19">
        <f>SUM('Data Sheet'!D20:D22)</f>
        <v>46395</v>
      </c>
      <c r="F12" s="19">
        <f>SUM('Data Sheet'!E20:E22)</f>
        <v>55446</v>
      </c>
      <c r="G12" s="19">
        <f>SUM('Data Sheet'!F20:F22)</f>
        <v>62210</v>
      </c>
      <c r="H12" s="19">
        <f>SUM('Data Sheet'!G20:G22)</f>
        <v>68490</v>
      </c>
      <c r="I12" s="19">
        <f>SUM('Data Sheet'!H20:H22)</f>
        <v>84819</v>
      </c>
      <c r="J12" s="19">
        <f>SUM('Data Sheet'!I20:I22)</f>
        <v>104880</v>
      </c>
      <c r="K12" s="19">
        <f>SUM('Data Sheet'!J20:J22)</f>
        <v>110030</v>
      </c>
      <c r="L12" s="19">
        <f>SUM('Data Sheet'!K20:K22)</f>
        <v>116585</v>
      </c>
    </row>
    <row r="13" spans="1:13">
      <c r="B13" s="23" t="s">
        <v>10</v>
      </c>
      <c r="C13" s="25">
        <f>IFERROR(C12/C9,0)</f>
        <v>0.64848416905558848</v>
      </c>
      <c r="D13" s="25">
        <f t="shared" ref="D13:L13" si="4">IFERROR(D12/D9,0)</f>
        <v>0.65137842415746738</v>
      </c>
      <c r="E13" s="25">
        <f t="shared" si="4"/>
        <v>0.65787981055557132</v>
      </c>
      <c r="F13" s="25">
        <f t="shared" si="4"/>
        <v>0.67065013607499246</v>
      </c>
      <c r="G13" s="25">
        <f t="shared" si="4"/>
        <v>0.68520007489729162</v>
      </c>
      <c r="H13" s="25">
        <f t="shared" si="4"/>
        <v>0.68168245879448996</v>
      </c>
      <c r="I13" s="25">
        <f t="shared" si="4"/>
        <v>0.69728956519594543</v>
      </c>
      <c r="J13" s="25">
        <f t="shared" si="4"/>
        <v>0.71460205632056251</v>
      </c>
      <c r="K13" s="25">
        <f t="shared" si="4"/>
        <v>0.71601483698835167</v>
      </c>
      <c r="L13" s="25">
        <f t="shared" si="4"/>
        <v>0.71528928155101545</v>
      </c>
    </row>
    <row r="15" spans="1:13">
      <c r="B15" s="2" t="s">
        <v>11</v>
      </c>
      <c r="C15" s="40">
        <f>IFERROR(C9-C12,0)</f>
        <v>21949</v>
      </c>
      <c r="D15" s="40">
        <f t="shared" ref="D15:L15" si="5">IFERROR(D9-D12,0)</f>
        <v>23875</v>
      </c>
      <c r="E15" s="40">
        <f t="shared" si="5"/>
        <v>24127</v>
      </c>
      <c r="F15" s="40">
        <f t="shared" si="5"/>
        <v>27229</v>
      </c>
      <c r="G15" s="40">
        <f t="shared" si="5"/>
        <v>28581</v>
      </c>
      <c r="H15" s="40">
        <f t="shared" si="5"/>
        <v>31982</v>
      </c>
      <c r="I15" s="40">
        <f t="shared" si="5"/>
        <v>36822</v>
      </c>
      <c r="J15" s="40">
        <f t="shared" si="5"/>
        <v>41887</v>
      </c>
      <c r="K15" s="40">
        <f t="shared" si="5"/>
        <v>43640</v>
      </c>
      <c r="L15" s="40">
        <f t="shared" si="5"/>
        <v>46405</v>
      </c>
    </row>
    <row r="16" spans="1:13">
      <c r="B16" s="23" t="s">
        <v>12</v>
      </c>
      <c r="C16" s="25">
        <f>IFERROR(C15/C9,0)</f>
        <v>0.35151583094441152</v>
      </c>
      <c r="D16" s="25">
        <f t="shared" ref="D16:L16" si="6">IFERROR(D15/D9,0)</f>
        <v>0.34862157584253256</v>
      </c>
      <c r="E16" s="25">
        <f t="shared" si="6"/>
        <v>0.34212018944442868</v>
      </c>
      <c r="F16" s="25">
        <f t="shared" si="6"/>
        <v>0.32934986392500754</v>
      </c>
      <c r="G16" s="25">
        <f t="shared" si="6"/>
        <v>0.31479992510270843</v>
      </c>
      <c r="H16" s="25">
        <f t="shared" si="6"/>
        <v>0.31831754120550998</v>
      </c>
      <c r="I16" s="25">
        <f t="shared" si="6"/>
        <v>0.30271043480405457</v>
      </c>
      <c r="J16" s="25">
        <f t="shared" si="6"/>
        <v>0.28539794367943749</v>
      </c>
      <c r="K16" s="25">
        <f t="shared" si="6"/>
        <v>0.28398516301164833</v>
      </c>
      <c r="L16" s="25">
        <f t="shared" si="6"/>
        <v>0.2847107184489846</v>
      </c>
    </row>
    <row r="18" spans="2:12" ht="17.25" customHeight="1">
      <c r="B18" t="s">
        <v>13</v>
      </c>
      <c r="C18" s="19">
        <f>IFERROR('Data Sheet'!B23+'Data Sheet'!B24,0)</f>
        <v>4870</v>
      </c>
      <c r="D18" s="19">
        <f>IFERROR('Data Sheet'!C23+'Data Sheet'!C24,0)</f>
        <v>5271</v>
      </c>
      <c r="E18" s="19">
        <f>IFERROR('Data Sheet'!D23+'Data Sheet'!D24,0)</f>
        <v>5305</v>
      </c>
      <c r="F18" s="19">
        <f>IFERROR('Data Sheet'!E23+'Data Sheet'!E24,0)</f>
        <v>7059</v>
      </c>
      <c r="G18" s="19">
        <f>IFERROR('Data Sheet'!F23+'Data Sheet'!F24,0)</f>
        <v>6314</v>
      </c>
      <c r="H18" s="19">
        <f>IFERROR('Data Sheet'!G23+'Data Sheet'!G24,0)</f>
        <v>4093</v>
      </c>
      <c r="I18" s="19">
        <f>IFERROR('Data Sheet'!H23+'Data Sheet'!H24,0)</f>
        <v>5331</v>
      </c>
      <c r="J18" s="19">
        <f>IFERROR('Data Sheet'!I23+'Data Sheet'!I24,0)</f>
        <v>6757</v>
      </c>
      <c r="K18" s="19">
        <f>IFERROR('Data Sheet'!J23+'Data Sheet'!J24,0)</f>
        <v>7215</v>
      </c>
      <c r="L18" s="19">
        <f>IFERROR('Data Sheet'!K23+'Data Sheet'!K24,0)</f>
        <v>7169</v>
      </c>
    </row>
    <row r="19" spans="2:12">
      <c r="B19" s="23" t="s">
        <v>14</v>
      </c>
      <c r="C19" s="25">
        <f>IFERROR(C18/C9,0)</f>
        <v>7.7993625982927889E-2</v>
      </c>
      <c r="D19" s="25">
        <f t="shared" ref="D19:K19" si="7">IFERROR(D18/D9,0)</f>
        <v>7.6966882775538814E-2</v>
      </c>
      <c r="E19" s="25">
        <f t="shared" si="7"/>
        <v>7.5224752559484978E-2</v>
      </c>
      <c r="F19" s="25">
        <f t="shared" si="7"/>
        <v>8.5382521923193233E-2</v>
      </c>
      <c r="G19" s="25">
        <f t="shared" si="7"/>
        <v>6.9544338095185648E-2</v>
      </c>
      <c r="H19" s="25">
        <f t="shared" si="7"/>
        <v>4.0737717971176049E-2</v>
      </c>
      <c r="I19" s="25">
        <f t="shared" si="7"/>
        <v>4.3825683774385282E-2</v>
      </c>
      <c r="J19" s="25">
        <f t="shared" si="7"/>
        <v>4.6038959711651804E-2</v>
      </c>
      <c r="K19" s="25">
        <f t="shared" si="7"/>
        <v>4.6951259191774584E-2</v>
      </c>
      <c r="L19" s="25">
        <f>IFERROR(L18/L9,0)</f>
        <v>4.3984293514939564E-2</v>
      </c>
    </row>
    <row r="21" spans="2:12">
      <c r="B21" s="2" t="s">
        <v>15</v>
      </c>
      <c r="C21" s="40">
        <f>IFERROR(C15-C18,0)</f>
        <v>17079</v>
      </c>
      <c r="D21" s="40">
        <f t="shared" ref="D21:L21" si="8">IFERROR(D15-D18,0)</f>
        <v>18604</v>
      </c>
      <c r="E21" s="40">
        <f t="shared" si="8"/>
        <v>18822</v>
      </c>
      <c r="F21" s="40">
        <f t="shared" si="8"/>
        <v>20170</v>
      </c>
      <c r="G21" s="40">
        <f t="shared" si="8"/>
        <v>22267</v>
      </c>
      <c r="H21" s="40">
        <f t="shared" si="8"/>
        <v>27889</v>
      </c>
      <c r="I21" s="40">
        <f t="shared" si="8"/>
        <v>31491</v>
      </c>
      <c r="J21" s="40">
        <f t="shared" si="8"/>
        <v>35130</v>
      </c>
      <c r="K21" s="40">
        <f t="shared" si="8"/>
        <v>36425</v>
      </c>
      <c r="L21" s="40">
        <f t="shared" si="8"/>
        <v>39236</v>
      </c>
    </row>
    <row r="22" spans="2:12">
      <c r="B22" s="23" t="s">
        <v>16</v>
      </c>
      <c r="C22" s="25">
        <f>IFERROR(C21/C9,0)</f>
        <v>0.27352220496148366</v>
      </c>
      <c r="D22" s="25">
        <f t="shared" ref="D22:L22" si="9">IFERROR(D21/D9,0)</f>
        <v>0.27165469306699375</v>
      </c>
      <c r="E22" s="25">
        <f t="shared" si="9"/>
        <v>0.26689543688494372</v>
      </c>
      <c r="F22" s="25">
        <f t="shared" si="9"/>
        <v>0.24396734200181433</v>
      </c>
      <c r="G22" s="25">
        <f t="shared" si="9"/>
        <v>0.24525558700752279</v>
      </c>
      <c r="H22" s="25">
        <f t="shared" si="9"/>
        <v>0.27757982323433394</v>
      </c>
      <c r="I22" s="25">
        <f t="shared" si="9"/>
        <v>0.25888475102966929</v>
      </c>
      <c r="J22" s="25">
        <f t="shared" si="9"/>
        <v>0.23935898396778568</v>
      </c>
      <c r="K22" s="25">
        <f t="shared" si="9"/>
        <v>0.23703390381987374</v>
      </c>
      <c r="L22" s="25">
        <f t="shared" si="9"/>
        <v>0.24072642493404503</v>
      </c>
    </row>
    <row r="24" spans="2:12">
      <c r="B24" t="s">
        <v>17</v>
      </c>
      <c r="C24" s="19">
        <f>IFERROR('Data Sheet'!B27,0)</f>
        <v>0</v>
      </c>
      <c r="D24" s="19">
        <f>IFERROR('Data Sheet'!C27,0)</f>
        <v>0</v>
      </c>
      <c r="E24" s="19">
        <f>IFERROR('Data Sheet'!D27,0)</f>
        <v>0</v>
      </c>
      <c r="F24" s="19">
        <f>IFERROR('Data Sheet'!E27,0)</f>
        <v>0</v>
      </c>
      <c r="G24" s="19">
        <f>IFERROR('Data Sheet'!F27,0)</f>
        <v>170</v>
      </c>
      <c r="H24" s="19">
        <f>IFERROR('Data Sheet'!G27,0)</f>
        <v>195</v>
      </c>
      <c r="I24" s="19">
        <f>IFERROR('Data Sheet'!H27,0)</f>
        <v>200</v>
      </c>
      <c r="J24" s="19">
        <f>IFERROR('Data Sheet'!I27,0)</f>
        <v>284</v>
      </c>
      <c r="K24" s="19">
        <f>IFERROR('Data Sheet'!J27,0)</f>
        <v>470</v>
      </c>
      <c r="L24" s="19">
        <f>IFERROR('Data Sheet'!K27,0)</f>
        <v>416</v>
      </c>
    </row>
    <row r="25" spans="2:12">
      <c r="B25" s="23" t="s">
        <v>18</v>
      </c>
      <c r="C25" s="25">
        <f>IFERROR(C24/C9,0)</f>
        <v>0</v>
      </c>
      <c r="D25" s="25">
        <f t="shared" ref="D25:L25" si="10">IFERROR(D24/D9,0)</f>
        <v>0</v>
      </c>
      <c r="E25" s="25">
        <f t="shared" si="10"/>
        <v>0</v>
      </c>
      <c r="F25" s="25">
        <f t="shared" si="10"/>
        <v>0</v>
      </c>
      <c r="G25" s="25">
        <f t="shared" si="10"/>
        <v>1.8724322895441179E-3</v>
      </c>
      <c r="H25" s="25">
        <f t="shared" si="10"/>
        <v>1.9408392387928975E-3</v>
      </c>
      <c r="I25" s="25">
        <f t="shared" si="10"/>
        <v>1.6441824713706726E-3</v>
      </c>
      <c r="J25" s="25">
        <f t="shared" si="10"/>
        <v>1.9350398931639945E-3</v>
      </c>
      <c r="K25" s="25">
        <f t="shared" si="10"/>
        <v>3.0585019847725646E-3</v>
      </c>
      <c r="L25" s="25">
        <f t="shared" si="10"/>
        <v>2.5523038223203877E-3</v>
      </c>
    </row>
    <row r="27" spans="2:12">
      <c r="B27" t="s">
        <v>19</v>
      </c>
      <c r="C27" s="19">
        <f>IFERROR('Data Sheet'!B26,0)</f>
        <v>1459</v>
      </c>
      <c r="D27" s="19">
        <f>IFERROR('Data Sheet'!C26,0)</f>
        <v>1703</v>
      </c>
      <c r="E27" s="19">
        <f>IFERROR('Data Sheet'!D26,0)</f>
        <v>1863</v>
      </c>
      <c r="F27" s="19">
        <f>IFERROR('Data Sheet'!E26,0)</f>
        <v>2011</v>
      </c>
      <c r="G27" s="19">
        <f>IFERROR('Data Sheet'!F26,0)</f>
        <v>2893</v>
      </c>
      <c r="H27" s="19">
        <f>IFERROR('Data Sheet'!G26,0)</f>
        <v>3267</v>
      </c>
      <c r="I27" s="19">
        <f>IFERROR('Data Sheet'!H26,0)</f>
        <v>3476</v>
      </c>
      <c r="J27" s="19">
        <f>IFERROR('Data Sheet'!I26,0)</f>
        <v>4225</v>
      </c>
      <c r="K27" s="19">
        <f>IFERROR('Data Sheet'!J26,0)</f>
        <v>4678</v>
      </c>
      <c r="L27" s="19">
        <f>IFERROR('Data Sheet'!K26,0)</f>
        <v>4812</v>
      </c>
    </row>
    <row r="28" spans="2:12">
      <c r="B28" s="23" t="s">
        <v>20</v>
      </c>
      <c r="C28" s="25">
        <f t="shared" ref="C28:L28" si="11">IFERROR(C27/C9,0)</f>
        <v>2.3366057558335068E-2</v>
      </c>
      <c r="D28" s="25">
        <f t="shared" si="11"/>
        <v>2.4867122247532271E-2</v>
      </c>
      <c r="E28" s="25">
        <f t="shared" si="11"/>
        <v>2.6417288222115084E-2</v>
      </c>
      <c r="F28" s="25">
        <f t="shared" si="11"/>
        <v>2.4324160870879952E-2</v>
      </c>
      <c r="G28" s="25">
        <f t="shared" si="11"/>
        <v>3.1864391845006661E-2</v>
      </c>
      <c r="H28" s="25">
        <f t="shared" si="11"/>
        <v>3.2516522016084085E-2</v>
      </c>
      <c r="I28" s="25">
        <f t="shared" si="11"/>
        <v>2.8575891352422292E-2</v>
      </c>
      <c r="J28" s="25">
        <f t="shared" si="11"/>
        <v>2.8787125171189708E-2</v>
      </c>
      <c r="K28" s="25">
        <f t="shared" si="11"/>
        <v>3.0441855925034164E-2</v>
      </c>
      <c r="L28" s="25">
        <f t="shared" si="11"/>
        <v>2.9523283637032948E-2</v>
      </c>
    </row>
    <row r="30" spans="2:12" ht="12.75" customHeight="1">
      <c r="B30" s="2" t="s">
        <v>21</v>
      </c>
      <c r="C30" s="40">
        <f>IFERROR(C21-C24-C27,0)</f>
        <v>15620</v>
      </c>
      <c r="D30" s="40">
        <f t="shared" ref="D30:L30" si="12">IFERROR(D21-D24-D27,0)</f>
        <v>16901</v>
      </c>
      <c r="E30" s="40">
        <f t="shared" si="12"/>
        <v>16959</v>
      </c>
      <c r="F30" s="40">
        <f t="shared" si="12"/>
        <v>18159</v>
      </c>
      <c r="G30" s="40">
        <f t="shared" si="12"/>
        <v>19204</v>
      </c>
      <c r="H30" s="40">
        <f t="shared" si="12"/>
        <v>24427</v>
      </c>
      <c r="I30" s="40">
        <f t="shared" si="12"/>
        <v>27815</v>
      </c>
      <c r="J30" s="40">
        <f t="shared" si="12"/>
        <v>30621</v>
      </c>
      <c r="K30" s="40">
        <f t="shared" si="12"/>
        <v>31277</v>
      </c>
      <c r="L30" s="40">
        <f t="shared" si="12"/>
        <v>34008</v>
      </c>
    </row>
    <row r="31" spans="2:12">
      <c r="B31" s="23" t="s">
        <v>22</v>
      </c>
      <c r="C31" s="25">
        <f t="shared" ref="C31:L31" si="13">IFERROR(C30/C9,0)</f>
        <v>0.25015614740314857</v>
      </c>
      <c r="D31" s="25">
        <f t="shared" si="13"/>
        <v>0.24678757081946148</v>
      </c>
      <c r="E31" s="25">
        <f t="shared" si="13"/>
        <v>0.24047814866282863</v>
      </c>
      <c r="F31" s="25">
        <f t="shared" si="13"/>
        <v>0.2196431811309344</v>
      </c>
      <c r="G31" s="25">
        <f t="shared" si="13"/>
        <v>0.211518762872972</v>
      </c>
      <c r="H31" s="25">
        <f t="shared" si="13"/>
        <v>0.24312246197945697</v>
      </c>
      <c r="I31" s="25">
        <f t="shared" si="13"/>
        <v>0.2286646772058763</v>
      </c>
      <c r="J31" s="25">
        <f t="shared" si="13"/>
        <v>0.20863681890343197</v>
      </c>
      <c r="K31" s="25">
        <f t="shared" si="13"/>
        <v>0.20353354591006703</v>
      </c>
      <c r="L31" s="25">
        <f t="shared" si="13"/>
        <v>0.20865083747469171</v>
      </c>
    </row>
    <row r="33" spans="2:14">
      <c r="B33" t="s">
        <v>23</v>
      </c>
      <c r="C33" s="19">
        <f>IFERROR('Data Sheet'!B29,0)</f>
        <v>5251</v>
      </c>
      <c r="D33" s="19">
        <f>IFERROR('Data Sheet'!C29,0)</f>
        <v>5598</v>
      </c>
      <c r="E33" s="19">
        <f>IFERROR('Data Sheet'!D29,0)</f>
        <v>4241</v>
      </c>
      <c r="F33" s="19">
        <f>IFERROR('Data Sheet'!E29,0)</f>
        <v>5631</v>
      </c>
      <c r="G33" s="19">
        <f>IFERROR('Data Sheet'!F29,0)</f>
        <v>5368</v>
      </c>
      <c r="H33" s="19">
        <f>IFERROR('Data Sheet'!G29,0)</f>
        <v>7205</v>
      </c>
      <c r="I33" s="19">
        <f>IFERROR('Data Sheet'!H29,0)</f>
        <v>7964</v>
      </c>
      <c r="J33" s="19">
        <f>IFERROR('Data Sheet'!I29,0)</f>
        <v>9214</v>
      </c>
      <c r="K33" s="19">
        <f>IFERROR('Data Sheet'!J29,0)</f>
        <v>9740</v>
      </c>
      <c r="L33" s="19">
        <f>IFERROR('Data Sheet'!K29,0)</f>
        <v>10858</v>
      </c>
    </row>
    <row r="34" spans="2:14">
      <c r="B34" s="23" t="s">
        <v>24</v>
      </c>
      <c r="C34" s="25">
        <f>IFERROR(C33/C30,0)</f>
        <v>0.33617157490396926</v>
      </c>
      <c r="D34" s="25">
        <f t="shared" ref="D34:L34" si="14">IFERROR(D33/D30,0)</f>
        <v>0.33122300455594345</v>
      </c>
      <c r="E34" s="25">
        <f t="shared" si="14"/>
        <v>0.25007370717613064</v>
      </c>
      <c r="F34" s="25">
        <f t="shared" si="14"/>
        <v>0.31009416818106722</v>
      </c>
      <c r="G34" s="25">
        <f t="shared" si="14"/>
        <v>0.27952509893772132</v>
      </c>
      <c r="H34" s="25">
        <f t="shared" si="14"/>
        <v>0.29496049453473616</v>
      </c>
      <c r="I34" s="25">
        <f t="shared" si="14"/>
        <v>0.28632033075678592</v>
      </c>
      <c r="J34" s="25">
        <f t="shared" si="14"/>
        <v>0.30090460794879331</v>
      </c>
      <c r="K34" s="25">
        <f t="shared" si="14"/>
        <v>0.31141094094702176</v>
      </c>
      <c r="L34" s="25">
        <f t="shared" si="14"/>
        <v>0.31927781698423902</v>
      </c>
    </row>
    <row r="36" spans="2:14">
      <c r="B36" s="2" t="s">
        <v>25</v>
      </c>
      <c r="C36" s="40">
        <f>IFERROR(C30-C33,0)</f>
        <v>10369</v>
      </c>
      <c r="D36" s="40">
        <f t="shared" ref="D36:L36" si="15">IFERROR(D30-D33,0)</f>
        <v>11303</v>
      </c>
      <c r="E36" s="40">
        <f t="shared" si="15"/>
        <v>12718</v>
      </c>
      <c r="F36" s="40">
        <f t="shared" si="15"/>
        <v>12528</v>
      </c>
      <c r="G36" s="40">
        <f t="shared" si="15"/>
        <v>13836</v>
      </c>
      <c r="H36" s="40">
        <f t="shared" si="15"/>
        <v>17222</v>
      </c>
      <c r="I36" s="40">
        <f t="shared" si="15"/>
        <v>19851</v>
      </c>
      <c r="J36" s="40">
        <f t="shared" si="15"/>
        <v>21407</v>
      </c>
      <c r="K36" s="40">
        <f t="shared" si="15"/>
        <v>21537</v>
      </c>
      <c r="L36" s="40">
        <f t="shared" si="15"/>
        <v>23150</v>
      </c>
    </row>
    <row r="37" spans="2:14">
      <c r="B37" s="23" t="s">
        <v>26</v>
      </c>
      <c r="C37" s="25">
        <f t="shared" ref="C37:L37" si="16">IFERROR(C36/C9,0)</f>
        <v>0.16606076135872264</v>
      </c>
      <c r="D37" s="25">
        <f t="shared" si="16"/>
        <v>0.16504585012557677</v>
      </c>
      <c r="E37" s="25">
        <f t="shared" si="16"/>
        <v>0.18034088653186239</v>
      </c>
      <c r="F37" s="25">
        <f t="shared" si="16"/>
        <v>0.1515331115814938</v>
      </c>
      <c r="G37" s="25">
        <f t="shared" si="16"/>
        <v>0.15239395975372008</v>
      </c>
      <c r="H37" s="25">
        <f t="shared" si="16"/>
        <v>0.17141094036149376</v>
      </c>
      <c r="I37" s="25">
        <f t="shared" si="16"/>
        <v>0.16319333119589613</v>
      </c>
      <c r="J37" s="25">
        <f t="shared" si="16"/>
        <v>0.14585703870761138</v>
      </c>
      <c r="K37" s="25">
        <f t="shared" si="16"/>
        <v>0.14015097286392919</v>
      </c>
      <c r="L37" s="25">
        <f t="shared" si="16"/>
        <v>0.14203325357383889</v>
      </c>
      <c r="M37" s="25"/>
      <c r="N37" s="25"/>
    </row>
    <row r="39" spans="2:14">
      <c r="B39" t="s">
        <v>27</v>
      </c>
      <c r="C39">
        <f>IFERROR('Data Sheet'!B93,0)</f>
        <v>459.39</v>
      </c>
      <c r="D39">
        <f>IFERROR('Data Sheet'!C93,0)</f>
        <v>459.39</v>
      </c>
      <c r="E39">
        <f>IFERROR('Data Sheet'!D93,0)</f>
        <v>436.82</v>
      </c>
      <c r="F39">
        <f>IFERROR('Data Sheet'!E93,0)</f>
        <v>436.89</v>
      </c>
      <c r="G39">
        <f>IFERROR('Data Sheet'!F93,0)</f>
        <v>425.9</v>
      </c>
      <c r="H39">
        <f>IFERROR('Data Sheet'!G93,0)</f>
        <v>426.07</v>
      </c>
      <c r="I39">
        <f>IFERROR('Data Sheet'!H93,0)</f>
        <v>420.67</v>
      </c>
      <c r="J39">
        <f>IFERROR('Data Sheet'!I93,0)</f>
        <v>414.86</v>
      </c>
      <c r="K39">
        <f>IFERROR('Data Sheet'!J93,0)</f>
        <v>415.09</v>
      </c>
      <c r="L39">
        <f>IFERROR('Data Sheet'!K93,0)</f>
        <v>415.33</v>
      </c>
    </row>
    <row r="41" spans="2:14">
      <c r="B41" t="s">
        <v>28</v>
      </c>
      <c r="C41" s="19">
        <f>IFERROR(C36/C39,0)</f>
        <v>22.571235769172162</v>
      </c>
      <c r="D41" s="19">
        <f t="shared" ref="D41:L41" si="17">IFERROR(D36/D39,0)</f>
        <v>24.604366660136268</v>
      </c>
      <c r="E41" s="19">
        <f t="shared" si="17"/>
        <v>29.114967263403692</v>
      </c>
      <c r="F41" s="19">
        <f t="shared" si="17"/>
        <v>28.6754102863421</v>
      </c>
      <c r="G41" s="19">
        <f t="shared" si="17"/>
        <v>32.486499178210849</v>
      </c>
      <c r="H41" s="19">
        <f t="shared" si="17"/>
        <v>40.420588166263762</v>
      </c>
      <c r="I41" s="19">
        <f t="shared" si="17"/>
        <v>47.189008011030019</v>
      </c>
      <c r="J41" s="19">
        <f t="shared" si="17"/>
        <v>51.600539941184977</v>
      </c>
      <c r="K41" s="19">
        <f t="shared" si="17"/>
        <v>51.885133344575877</v>
      </c>
      <c r="L41" s="19">
        <f t="shared" si="17"/>
        <v>55.738810102809815</v>
      </c>
    </row>
    <row r="42" spans="2:14">
      <c r="B42" s="23" t="s">
        <v>29</v>
      </c>
      <c r="C42" s="25"/>
      <c r="D42" s="25">
        <f>IFERROR(D41/C41-1,0)</f>
        <v>9.0076188639213184E-2</v>
      </c>
      <c r="E42" s="25">
        <f t="shared" ref="E42:L42" si="18">IFERROR(E41/D41-1,0)</f>
        <v>0.1833252066827411</v>
      </c>
      <c r="F42" s="25">
        <f t="shared" si="18"/>
        <v>-1.5097285636109792E-2</v>
      </c>
      <c r="G42" s="25">
        <f t="shared" si="18"/>
        <v>0.13290442416734827</v>
      </c>
      <c r="H42" s="25">
        <f t="shared" si="18"/>
        <v>0.24422726944288353</v>
      </c>
      <c r="I42" s="25">
        <f t="shared" si="18"/>
        <v>0.16744981089650213</v>
      </c>
      <c r="J42" s="25">
        <f t="shared" si="18"/>
        <v>9.3486430762091954E-2</v>
      </c>
      <c r="K42" s="25">
        <f t="shared" si="18"/>
        <v>5.5153183225462588E-3</v>
      </c>
      <c r="L42" s="25">
        <f t="shared" si="18"/>
        <v>7.4273236085588668E-2</v>
      </c>
    </row>
    <row r="44" spans="2:14">
      <c r="B44" t="s">
        <v>30</v>
      </c>
      <c r="C44" s="19">
        <f>IFERROR('Data Sheet'!B31/C39,0)</f>
        <v>12.077755284181196</v>
      </c>
      <c r="D44" s="19">
        <f>IFERROR('Data Sheet'!C31/D39,0)</f>
        <v>12.824832930625396</v>
      </c>
      <c r="E44" s="19">
        <f>IFERROR('Data Sheet'!D31/E39,0)</f>
        <v>21.669337484547412</v>
      </c>
      <c r="F44" s="19">
        <f>IFERROR('Data Sheet'!E31/F39,0)</f>
        <v>21.109432580283368</v>
      </c>
      <c r="G44" s="19">
        <f>IFERROR('Data Sheet'!F31/G39,0)</f>
        <v>17.438365813571263</v>
      </c>
      <c r="H44" s="19">
        <f>IFERROR('Data Sheet'!G31/H39,0)</f>
        <v>26.919520266622857</v>
      </c>
      <c r="I44" s="19">
        <f>IFERROR('Data Sheet'!H31/I39,0)</f>
        <v>30.921149594694178</v>
      </c>
      <c r="J44" s="19">
        <f>IFERROR('Data Sheet'!I31/J39,0)</f>
        <v>33.913127320059779</v>
      </c>
      <c r="K44" s="19">
        <f>IFERROR('Data Sheet'!J31/K39,0)</f>
        <v>45.901370787058234</v>
      </c>
      <c r="L44" s="19">
        <f>IFERROR('Data Sheet'!K31/L39,0)</f>
        <v>42.924421544314157</v>
      </c>
    </row>
    <row r="45" spans="2:14">
      <c r="B45" s="23" t="s">
        <v>31</v>
      </c>
      <c r="C45" s="25">
        <f>IFERROR(C44/C41,0)</f>
        <v>0.53509499469572763</v>
      </c>
      <c r="D45" s="25">
        <f t="shared" ref="D45:L45" si="19">IFERROR(D44/D41,0)</f>
        <v>0.52124214810227376</v>
      </c>
      <c r="E45" s="25">
        <f t="shared" si="19"/>
        <v>0.74426796666142481</v>
      </c>
      <c r="F45" s="25">
        <f t="shared" si="19"/>
        <v>0.73615102171136659</v>
      </c>
      <c r="G45" s="25">
        <f t="shared" si="19"/>
        <v>0.53678808904307607</v>
      </c>
      <c r="H45" s="25">
        <f t="shared" si="19"/>
        <v>0.66598536755312976</v>
      </c>
      <c r="I45" s="25">
        <f t="shared" si="19"/>
        <v>0.6552616996624856</v>
      </c>
      <c r="J45" s="25">
        <f t="shared" si="19"/>
        <v>0.65722427243425052</v>
      </c>
      <c r="K45" s="25">
        <f t="shared" si="19"/>
        <v>0.8846728885174352</v>
      </c>
      <c r="L45" s="25">
        <f t="shared" si="19"/>
        <v>0.77009935205183577</v>
      </c>
      <c r="M45" s="25"/>
    </row>
    <row r="47" spans="2:14">
      <c r="B47" t="s">
        <v>32</v>
      </c>
      <c r="C47" s="26">
        <f>IFERROR(IF(C41&gt;C44,1-C45),0)</f>
        <v>0.46490500530427237</v>
      </c>
      <c r="D47" s="26">
        <f t="shared" ref="D47:L47" si="20">IFERROR(IF(D41&gt;D44,1-D45),0)</f>
        <v>0.47875785189772624</v>
      </c>
      <c r="E47" s="26">
        <f t="shared" si="20"/>
        <v>0.25573203333857519</v>
      </c>
      <c r="F47" s="26">
        <f t="shared" si="20"/>
        <v>0.26384897828863341</v>
      </c>
      <c r="G47" s="26">
        <f t="shared" si="20"/>
        <v>0.46321191095692393</v>
      </c>
      <c r="H47" s="26">
        <f t="shared" si="20"/>
        <v>0.33401463244687024</v>
      </c>
      <c r="I47" s="26">
        <f t="shared" si="20"/>
        <v>0.3447383003375144</v>
      </c>
      <c r="J47" s="26">
        <f t="shared" si="20"/>
        <v>0.34277572756574948</v>
      </c>
      <c r="K47" s="26">
        <f t="shared" si="20"/>
        <v>0.1153271114825648</v>
      </c>
      <c r="L47" s="26">
        <f t="shared" si="20"/>
        <v>0.22990064794816423</v>
      </c>
    </row>
    <row r="48" spans="2:14">
      <c r="B48" t="s">
        <v>33</v>
      </c>
    </row>
    <row r="50" spans="1:13">
      <c r="A50" t="s">
        <v>4</v>
      </c>
      <c r="B50" s="17" t="s">
        <v>34</v>
      </c>
      <c r="C50" s="18"/>
      <c r="D50" s="18"/>
      <c r="E50" s="18"/>
      <c r="F50" s="18"/>
      <c r="G50" s="18"/>
      <c r="H50" s="18"/>
      <c r="I50" s="18"/>
      <c r="J50" s="18"/>
      <c r="K50" s="18"/>
      <c r="L50" s="18"/>
    </row>
    <row r="51" spans="1:13">
      <c r="B51" s="5" t="s">
        <v>35</v>
      </c>
      <c r="C51" s="19">
        <f>IFERROR('Data Sheet'!B57,0)</f>
        <v>1144</v>
      </c>
      <c r="D51" s="19">
        <f>IFERROR('Data Sheet'!C57,0)</f>
        <v>1144</v>
      </c>
      <c r="E51" s="19">
        <f>IFERROR('Data Sheet'!D57,0)</f>
        <v>1088</v>
      </c>
      <c r="F51" s="19">
        <f>IFERROR('Data Sheet'!E57,0)</f>
        <v>2170</v>
      </c>
      <c r="G51" s="19">
        <f>IFERROR('Data Sheet'!F57,0)</f>
        <v>2122</v>
      </c>
      <c r="H51" s="19">
        <f>IFERROR('Data Sheet'!G57,0)</f>
        <v>2124</v>
      </c>
      <c r="I51" s="19">
        <f>IFERROR('Data Sheet'!H57,0)</f>
        <v>2098</v>
      </c>
      <c r="J51" s="19">
        <f>IFERROR('Data Sheet'!I57,0)</f>
        <v>2069</v>
      </c>
      <c r="K51" s="19">
        <f>IFERROR('Data Sheet'!J57,0)</f>
        <v>2071</v>
      </c>
      <c r="L51" s="19">
        <f>IFERROR('Data Sheet'!K57,0)</f>
        <v>2073</v>
      </c>
    </row>
    <row r="52" spans="1:13">
      <c r="B52" s="5" t="s">
        <v>36</v>
      </c>
      <c r="C52" s="19">
        <f>IFERROR('Data Sheet'!B58,0)</f>
        <v>60600</v>
      </c>
      <c r="D52" s="19">
        <f>IFERROR('Data Sheet'!C58,0)</f>
        <v>67838</v>
      </c>
      <c r="E52" s="19">
        <f>IFERROR('Data Sheet'!D58,0)</f>
        <v>63835</v>
      </c>
      <c r="F52" s="19">
        <f>IFERROR('Data Sheet'!E58,0)</f>
        <v>62778</v>
      </c>
      <c r="G52" s="19">
        <f>IFERROR('Data Sheet'!F58,0)</f>
        <v>63328</v>
      </c>
      <c r="H52" s="19">
        <f>IFERROR('Data Sheet'!G58,0)</f>
        <v>74227</v>
      </c>
      <c r="I52" s="19">
        <f>IFERROR('Data Sheet'!H58,0)</f>
        <v>73252</v>
      </c>
      <c r="J52" s="19">
        <f>IFERROR('Data Sheet'!I58,0)</f>
        <v>73338</v>
      </c>
      <c r="K52" s="19">
        <f>IFERROR('Data Sheet'!J58,0)</f>
        <v>86045</v>
      </c>
      <c r="L52" s="19">
        <f>IFERROR('Data Sheet'!K58,0)</f>
        <v>93745</v>
      </c>
    </row>
    <row r="53" spans="1:13">
      <c r="B53" s="5" t="s">
        <v>37</v>
      </c>
      <c r="C53" s="19">
        <f>IFERROR('Data Sheet'!B59,0)</f>
        <v>0</v>
      </c>
      <c r="D53" s="19">
        <f>IFERROR('Data Sheet'!C59,0)</f>
        <v>0</v>
      </c>
      <c r="E53" s="19">
        <f>IFERROR('Data Sheet'!D59,0)</f>
        <v>0</v>
      </c>
      <c r="F53" s="19">
        <f>IFERROR('Data Sheet'!E59,0)</f>
        <v>0</v>
      </c>
      <c r="G53" s="19">
        <f>IFERROR('Data Sheet'!F59,0)</f>
        <v>4633</v>
      </c>
      <c r="H53" s="19">
        <f>IFERROR('Data Sheet'!G59,0)</f>
        <v>5325</v>
      </c>
      <c r="I53" s="19">
        <f>IFERROR('Data Sheet'!H59,0)</f>
        <v>5474</v>
      </c>
      <c r="J53" s="19">
        <f>IFERROR('Data Sheet'!I59,0)</f>
        <v>8299</v>
      </c>
      <c r="K53" s="19">
        <f>IFERROR('Data Sheet'!J59,0)</f>
        <v>8359</v>
      </c>
      <c r="L53" s="19">
        <f>IFERROR('Data Sheet'!K59,0)</f>
        <v>8227</v>
      </c>
    </row>
    <row r="54" spans="1:13">
      <c r="B54" s="5" t="s">
        <v>38</v>
      </c>
      <c r="C54" s="19">
        <f>IFERROR('Data Sheet'!B60,0)</f>
        <v>13354</v>
      </c>
      <c r="D54" s="19">
        <f>IFERROR('Data Sheet'!C60,0)</f>
        <v>14166</v>
      </c>
      <c r="E54" s="19">
        <f>IFERROR('Data Sheet'!D60,0)</f>
        <v>14426</v>
      </c>
      <c r="F54" s="19">
        <f>IFERROR('Data Sheet'!E60,0)</f>
        <v>19118</v>
      </c>
      <c r="G54" s="19">
        <f>IFERROR('Data Sheet'!F60,0)</f>
        <v>21717</v>
      </c>
      <c r="H54" s="19">
        <f>IFERROR('Data Sheet'!G60,0)</f>
        <v>25835</v>
      </c>
      <c r="I54" s="19">
        <f>IFERROR('Data Sheet'!H60,0)</f>
        <v>35905</v>
      </c>
      <c r="J54" s="19">
        <f>IFERROR('Data Sheet'!I60,0)</f>
        <v>40890</v>
      </c>
      <c r="K54" s="19">
        <f>IFERROR('Data Sheet'!J60,0)</f>
        <v>40885</v>
      </c>
      <c r="L54" s="19">
        <f>IFERROR('Data Sheet'!K60,0)</f>
        <v>43750</v>
      </c>
    </row>
    <row r="55" spans="1:13">
      <c r="B55" s="30" t="s">
        <v>39</v>
      </c>
      <c r="C55" s="31">
        <f>IFERROR(SUM(C51:C54),0)</f>
        <v>75098</v>
      </c>
      <c r="D55" s="31">
        <f t="shared" ref="D55:L55" si="21">IFERROR(SUM(D51:D54),0)</f>
        <v>83148</v>
      </c>
      <c r="E55" s="31">
        <f t="shared" si="21"/>
        <v>79349</v>
      </c>
      <c r="F55" s="31">
        <f t="shared" si="21"/>
        <v>84066</v>
      </c>
      <c r="G55" s="31">
        <f t="shared" si="21"/>
        <v>91800</v>
      </c>
      <c r="H55" s="31">
        <f t="shared" si="21"/>
        <v>107511</v>
      </c>
      <c r="I55" s="31">
        <f t="shared" si="21"/>
        <v>116729</v>
      </c>
      <c r="J55" s="31">
        <f t="shared" si="21"/>
        <v>124596</v>
      </c>
      <c r="K55" s="31">
        <f t="shared" si="21"/>
        <v>137360</v>
      </c>
      <c r="L55" s="31">
        <f t="shared" si="21"/>
        <v>147795</v>
      </c>
      <c r="M55" s="2"/>
    </row>
    <row r="56" spans="1:13">
      <c r="B56" s="1"/>
      <c r="C56" s="19"/>
      <c r="D56" s="19"/>
      <c r="E56" s="19"/>
      <c r="F56" s="19"/>
      <c r="G56" s="19"/>
      <c r="H56" s="19"/>
      <c r="I56" s="19"/>
      <c r="J56" s="19"/>
      <c r="K56" s="19"/>
      <c r="L56" s="19"/>
    </row>
    <row r="57" spans="1:13">
      <c r="B57" s="5" t="s">
        <v>40</v>
      </c>
      <c r="C57" s="19">
        <f>IFERROR('Data Sheet'!B62,0)</f>
        <v>13386</v>
      </c>
      <c r="D57" s="19">
        <f>IFERROR('Data Sheet'!C62,0)</f>
        <v>14179</v>
      </c>
      <c r="E57" s="19">
        <f>IFERROR('Data Sheet'!D62,0)</f>
        <v>12574</v>
      </c>
      <c r="F57" s="19">
        <f>IFERROR('Data Sheet'!E62,0)</f>
        <v>15710</v>
      </c>
      <c r="G57" s="19">
        <f>IFERROR('Data Sheet'!F62,0)</f>
        <v>23789</v>
      </c>
      <c r="H57" s="19">
        <f>IFERROR('Data Sheet'!G62,0)</f>
        <v>25505</v>
      </c>
      <c r="I57" s="19">
        <f>IFERROR('Data Sheet'!H62,0)</f>
        <v>25800</v>
      </c>
      <c r="J57" s="19">
        <f>IFERROR('Data Sheet'!I62,0)</f>
        <v>29225</v>
      </c>
      <c r="K57" s="19">
        <f>IFERROR('Data Sheet'!J62,0)</f>
        <v>27622</v>
      </c>
      <c r="L57" s="19">
        <f>IFERROR('Data Sheet'!K62,0)</f>
        <v>30961</v>
      </c>
    </row>
    <row r="58" spans="1:13">
      <c r="B58" s="5" t="s">
        <v>41</v>
      </c>
      <c r="C58" s="19">
        <f>IFERROR('Data Sheet'!B63,0)</f>
        <v>960</v>
      </c>
      <c r="D58" s="19">
        <f>IFERROR('Data Sheet'!C63,0)</f>
        <v>1365</v>
      </c>
      <c r="E58" s="19">
        <f>IFERROR('Data Sheet'!D63,0)</f>
        <v>1606</v>
      </c>
      <c r="F58" s="19">
        <f>IFERROR('Data Sheet'!E63,0)</f>
        <v>1388</v>
      </c>
      <c r="G58" s="19">
        <f>IFERROR('Data Sheet'!F63,0)</f>
        <v>954</v>
      </c>
      <c r="H58" s="19">
        <f>IFERROR('Data Sheet'!G63,0)</f>
        <v>922</v>
      </c>
      <c r="I58" s="19">
        <f>IFERROR('Data Sheet'!H63,0)</f>
        <v>416</v>
      </c>
      <c r="J58" s="19">
        <f>IFERROR('Data Sheet'!I63,0)</f>
        <v>288</v>
      </c>
      <c r="K58" s="19">
        <f>IFERROR('Data Sheet'!J63,0)</f>
        <v>293</v>
      </c>
      <c r="L58" s="19">
        <f>IFERROR('Data Sheet'!K63,0)</f>
        <v>814</v>
      </c>
    </row>
    <row r="59" spans="1:13">
      <c r="B59" s="5" t="s">
        <v>42</v>
      </c>
      <c r="C59" s="19">
        <f>IFERROR('Data Sheet'!B64,0)</f>
        <v>1892</v>
      </c>
      <c r="D59" s="19">
        <f>IFERROR('Data Sheet'!C64,0)</f>
        <v>16423</v>
      </c>
      <c r="E59" s="19">
        <f>IFERROR('Data Sheet'!D64,0)</f>
        <v>12163</v>
      </c>
      <c r="F59" s="19">
        <f>IFERROR('Data Sheet'!E64,0)</f>
        <v>11261</v>
      </c>
      <c r="G59" s="19">
        <f>IFERROR('Data Sheet'!F64,0)</f>
        <v>8792</v>
      </c>
      <c r="H59" s="19">
        <f>IFERROR('Data Sheet'!G64,0)</f>
        <v>14205</v>
      </c>
      <c r="I59" s="19">
        <f>IFERROR('Data Sheet'!H64,0)</f>
        <v>20324</v>
      </c>
      <c r="J59" s="19">
        <f>IFERROR('Data Sheet'!I64,0)</f>
        <v>19478</v>
      </c>
      <c r="K59" s="19">
        <f>IFERROR('Data Sheet'!J64,0)</f>
        <v>24623</v>
      </c>
      <c r="L59" s="19">
        <f>IFERROR('Data Sheet'!K64,0)</f>
        <v>23541</v>
      </c>
    </row>
    <row r="60" spans="1:13">
      <c r="B60" s="5" t="s">
        <v>43</v>
      </c>
      <c r="C60" s="19">
        <f>IFERROR('Data Sheet'!B65-SUM('Data Sheet'!B67:B69),0)</f>
        <v>14833</v>
      </c>
      <c r="D60" s="19">
        <f>IFERROR('Data Sheet'!C65-SUM('Data Sheet'!C67:C69),0)</f>
        <v>16234</v>
      </c>
      <c r="E60" s="19">
        <f>IFERROR('Data Sheet'!D65-SUM('Data Sheet'!D67:D69),0)</f>
        <v>20046</v>
      </c>
      <c r="F60" s="19">
        <f>IFERROR('Data Sheet'!E65-SUM('Data Sheet'!E67:E69),0)</f>
        <v>21312</v>
      </c>
      <c r="G60" s="19">
        <f>IFERROR('Data Sheet'!F65-SUM('Data Sheet'!F67:F69),0)</f>
        <v>21129</v>
      </c>
      <c r="H60" s="19">
        <f>IFERROR('Data Sheet'!G65-SUM('Data Sheet'!G67:G69),0)</f>
        <v>22871</v>
      </c>
      <c r="I60" s="19">
        <f>IFERROR('Data Sheet'!H65-SUM('Data Sheet'!H67:H69),0)</f>
        <v>30019</v>
      </c>
      <c r="J60" s="19">
        <f>IFERROR('Data Sheet'!I65-SUM('Data Sheet'!I67:I69),0)</f>
        <v>38008</v>
      </c>
      <c r="K60" s="19">
        <f>IFERROR('Data Sheet'!J65-SUM('Data Sheet'!J67:J69),0)</f>
        <v>39843</v>
      </c>
      <c r="L60" s="19">
        <f>IFERROR('Data Sheet'!K65-SUM('Data Sheet'!K67:K69),0)</f>
        <v>36866</v>
      </c>
    </row>
    <row r="61" spans="1:13" ht="15.75" customHeight="1">
      <c r="B61" s="1" t="s">
        <v>44</v>
      </c>
      <c r="C61" s="28">
        <f>IFERROR(SUM(C57:C60),0)</f>
        <v>31071</v>
      </c>
      <c r="D61" s="28">
        <f t="shared" ref="D61:L61" si="22">IFERROR(SUM(D57:D60),0)</f>
        <v>48201</v>
      </c>
      <c r="E61" s="28">
        <f t="shared" si="22"/>
        <v>46389</v>
      </c>
      <c r="F61" s="28">
        <f t="shared" si="22"/>
        <v>49671</v>
      </c>
      <c r="G61" s="28">
        <f t="shared" si="22"/>
        <v>54664</v>
      </c>
      <c r="H61" s="28">
        <f t="shared" si="22"/>
        <v>63503</v>
      </c>
      <c r="I61" s="28">
        <f t="shared" si="22"/>
        <v>76559</v>
      </c>
      <c r="J61" s="28">
        <f t="shared" si="22"/>
        <v>86999</v>
      </c>
      <c r="K61" s="28">
        <f t="shared" si="22"/>
        <v>92381</v>
      </c>
      <c r="L61" s="28">
        <f t="shared" si="22"/>
        <v>92182</v>
      </c>
    </row>
    <row r="62" spans="1:13">
      <c r="B62" s="1"/>
    </row>
    <row r="63" spans="1:13">
      <c r="B63" s="5" t="s">
        <v>45</v>
      </c>
      <c r="C63" s="19">
        <f>IFERROR('Data Sheet'!B67,0)</f>
        <v>11330</v>
      </c>
      <c r="D63" s="19">
        <f>IFERROR('Data Sheet'!C67,0)</f>
        <v>12322</v>
      </c>
      <c r="E63" s="19">
        <f>IFERROR('Data Sheet'!D67,0)</f>
        <v>13142</v>
      </c>
      <c r="F63" s="19">
        <f>IFERROR('Data Sheet'!E67,0)</f>
        <v>14827</v>
      </c>
      <c r="G63" s="19">
        <f>IFERROR('Data Sheet'!F67,0)</f>
        <v>18487</v>
      </c>
      <c r="H63" s="19">
        <f>IFERROR('Data Sheet'!G67,0)</f>
        <v>19294</v>
      </c>
      <c r="I63" s="19">
        <f>IFERROR('Data Sheet'!H67,0)</f>
        <v>22698</v>
      </c>
      <c r="J63" s="19">
        <f>IFERROR('Data Sheet'!I67,0)</f>
        <v>25424</v>
      </c>
      <c r="K63" s="19">
        <f>IFERROR('Data Sheet'!J67,0)</f>
        <v>30193</v>
      </c>
      <c r="L63" s="19">
        <f>IFERROR('Data Sheet'!K67,0)</f>
        <v>31158</v>
      </c>
    </row>
    <row r="64" spans="1:13">
      <c r="B64" s="5" t="s">
        <v>46</v>
      </c>
      <c r="C64" s="19">
        <f>IFERROR('Data Sheet'!B68,0)</f>
        <v>0</v>
      </c>
      <c r="D64" s="19">
        <f>IFERROR('Data Sheet'!C68,0)</f>
        <v>0</v>
      </c>
      <c r="E64" s="19">
        <f>IFERROR('Data Sheet'!D68,0)</f>
        <v>0</v>
      </c>
      <c r="F64" s="19">
        <f>IFERROR('Data Sheet'!E68,0)</f>
        <v>0</v>
      </c>
      <c r="G64" s="19">
        <f>IFERROR('Data Sheet'!F68,0)</f>
        <v>0</v>
      </c>
      <c r="H64" s="19">
        <f>IFERROR('Data Sheet'!G68,0)</f>
        <v>0</v>
      </c>
      <c r="I64" s="19">
        <f>IFERROR('Data Sheet'!H68,0)</f>
        <v>0</v>
      </c>
      <c r="J64" s="19">
        <f>IFERROR('Data Sheet'!I68,0)</f>
        <v>0</v>
      </c>
      <c r="K64" s="19">
        <f>IFERROR('Data Sheet'!J68,0)</f>
        <v>0</v>
      </c>
      <c r="L64" s="19">
        <f>IFERROR('Data Sheet'!K68,0)</f>
        <v>0</v>
      </c>
    </row>
    <row r="65" spans="1:13">
      <c r="B65" s="3" t="s">
        <v>47</v>
      </c>
      <c r="C65" s="19">
        <f>IFERROR('Data Sheet'!B69,0)</f>
        <v>32697</v>
      </c>
      <c r="D65" s="19">
        <f>IFERROR('Data Sheet'!C69,0)</f>
        <v>22625</v>
      </c>
      <c r="E65" s="19">
        <f>IFERROR('Data Sheet'!D69,0)</f>
        <v>19818</v>
      </c>
      <c r="F65" s="19">
        <f>IFERROR('Data Sheet'!E69,0)</f>
        <v>19568</v>
      </c>
      <c r="G65" s="19">
        <f>IFERROR('Data Sheet'!F69,0)</f>
        <v>18649</v>
      </c>
      <c r="H65" s="19">
        <f>IFERROR('Data Sheet'!G69,0)</f>
        <v>24714</v>
      </c>
      <c r="I65" s="19">
        <f>IFERROR('Data Sheet'!H69,0)</f>
        <v>17472</v>
      </c>
      <c r="J65" s="19">
        <f>IFERROR('Data Sheet'!I69,0)</f>
        <v>12173</v>
      </c>
      <c r="K65" s="19">
        <f>IFERROR('Data Sheet'!J69,0)</f>
        <v>14786</v>
      </c>
      <c r="L65" s="19">
        <f>IFERROR('Data Sheet'!K69,0)</f>
        <v>24455</v>
      </c>
    </row>
    <row r="66" spans="1:13">
      <c r="B66" s="1" t="s">
        <v>48</v>
      </c>
      <c r="C66" s="27">
        <f>IFERROR(SUM(C63:C65),0)</f>
        <v>44027</v>
      </c>
      <c r="D66" s="27">
        <f t="shared" ref="D66:L66" si="23">IFERROR(SUM(D63:D65),0)</f>
        <v>34947</v>
      </c>
      <c r="E66" s="27">
        <f t="shared" si="23"/>
        <v>32960</v>
      </c>
      <c r="F66" s="27">
        <f t="shared" si="23"/>
        <v>34395</v>
      </c>
      <c r="G66" s="27">
        <f t="shared" si="23"/>
        <v>37136</v>
      </c>
      <c r="H66" s="27">
        <f t="shared" si="23"/>
        <v>44008</v>
      </c>
      <c r="I66" s="27">
        <f t="shared" si="23"/>
        <v>40170</v>
      </c>
      <c r="J66" s="27">
        <f t="shared" si="23"/>
        <v>37597</v>
      </c>
      <c r="K66" s="27">
        <f t="shared" si="23"/>
        <v>44979</v>
      </c>
      <c r="L66" s="27">
        <f t="shared" si="23"/>
        <v>55613</v>
      </c>
      <c r="M66" s="22"/>
    </row>
    <row r="67" spans="1:13">
      <c r="B67" s="1"/>
      <c r="C67" s="19"/>
      <c r="E67" s="19"/>
      <c r="F67" s="19"/>
      <c r="G67" s="19"/>
      <c r="H67" s="19"/>
      <c r="I67" s="19"/>
      <c r="J67" s="19"/>
      <c r="K67" s="19"/>
      <c r="L67" s="19"/>
    </row>
    <row r="68" spans="1:13">
      <c r="B68" s="30" t="s">
        <v>49</v>
      </c>
      <c r="C68" s="31">
        <f>IFERROR(SUM(C66,C61),0)</f>
        <v>75098</v>
      </c>
      <c r="D68" s="31">
        <f t="shared" ref="D68:L68" si="24">IFERROR(SUM(D66,D61),0)</f>
        <v>83148</v>
      </c>
      <c r="E68" s="31">
        <f t="shared" si="24"/>
        <v>79349</v>
      </c>
      <c r="F68" s="31">
        <f t="shared" si="24"/>
        <v>84066</v>
      </c>
      <c r="G68" s="31">
        <f t="shared" si="24"/>
        <v>91800</v>
      </c>
      <c r="H68" s="31">
        <f t="shared" si="24"/>
        <v>107511</v>
      </c>
      <c r="I68" s="31">
        <f t="shared" si="24"/>
        <v>116729</v>
      </c>
      <c r="J68" s="31">
        <f t="shared" si="24"/>
        <v>124596</v>
      </c>
      <c r="K68" s="31">
        <f t="shared" si="24"/>
        <v>137360</v>
      </c>
      <c r="L68" s="31">
        <f t="shared" si="24"/>
        <v>147795</v>
      </c>
    </row>
    <row r="69" spans="1:13">
      <c r="B69" t="s">
        <v>50</v>
      </c>
      <c r="C69" t="b">
        <f>C68=C55</f>
        <v>1</v>
      </c>
      <c r="D69" t="b">
        <f t="shared" ref="D69:L69" si="25">D68=D55</f>
        <v>1</v>
      </c>
      <c r="E69" t="b">
        <f t="shared" si="25"/>
        <v>1</v>
      </c>
      <c r="F69" t="b">
        <f t="shared" si="25"/>
        <v>1</v>
      </c>
      <c r="G69" t="b">
        <f t="shared" si="25"/>
        <v>1</v>
      </c>
      <c r="H69" t="b">
        <f t="shared" si="25"/>
        <v>1</v>
      </c>
      <c r="I69" t="b">
        <f t="shared" si="25"/>
        <v>1</v>
      </c>
      <c r="J69" t="b">
        <f t="shared" si="25"/>
        <v>1</v>
      </c>
      <c r="K69" t="b">
        <f t="shared" si="25"/>
        <v>1</v>
      </c>
      <c r="L69" t="b">
        <f t="shared" si="25"/>
        <v>1</v>
      </c>
    </row>
    <row r="72" spans="1:13">
      <c r="A72" t="s">
        <v>4</v>
      </c>
      <c r="B72" s="17" t="s">
        <v>51</v>
      </c>
      <c r="C72" s="18"/>
      <c r="D72" s="18"/>
      <c r="E72" s="18"/>
      <c r="F72" s="18"/>
      <c r="G72" s="18"/>
      <c r="H72" s="18"/>
      <c r="I72" s="18"/>
      <c r="J72" s="18"/>
      <c r="K72" s="18"/>
      <c r="L72" s="18"/>
    </row>
    <row r="73" spans="1:13">
      <c r="B73" s="2" t="s">
        <v>52</v>
      </c>
      <c r="C73" s="19"/>
      <c r="D73" s="19"/>
      <c r="E73" s="19"/>
      <c r="F73" s="19"/>
      <c r="G73" s="19"/>
      <c r="H73" s="19"/>
      <c r="I73" s="19"/>
      <c r="J73" s="19"/>
      <c r="K73" s="19"/>
      <c r="L73" s="19"/>
    </row>
    <row r="74" spans="1:13">
      <c r="B74" s="22" t="s">
        <v>53</v>
      </c>
      <c r="C74" s="19">
        <f>IFERROR('Cash Flow data'!B12,0)</f>
        <v>17839</v>
      </c>
      <c r="D74" s="19">
        <f>IFERROR('Cash Flow data'!C12,0)</f>
        <v>19340</v>
      </c>
      <c r="E74" s="19">
        <f>IFERROR('Cash Flow data'!D12,0)</f>
        <v>19963</v>
      </c>
      <c r="F74" s="19">
        <f>IFERROR('Cash Flow data'!E12,0)</f>
        <v>22126</v>
      </c>
      <c r="G74" s="19">
        <f>IFERROR('Cash Flow data'!F12,0)</f>
        <v>23920</v>
      </c>
      <c r="H74" s="19">
        <f>IFERROR('Cash Flow data'!G12,0)</f>
        <v>28845</v>
      </c>
      <c r="I74" s="19">
        <f>IFERROR('Cash Flow data'!H12,0)</f>
        <v>32921</v>
      </c>
      <c r="J74" s="19">
        <f>IFERROR('Cash Flow data'!I12,0)</f>
        <v>37605</v>
      </c>
      <c r="K74" s="19">
        <f>IFERROR('Cash Flow data'!J12,0)</f>
        <v>39523</v>
      </c>
      <c r="L74" s="19">
        <f>IFERROR('Cash Flow data'!K12,0)</f>
        <v>41591</v>
      </c>
    </row>
    <row r="75" spans="1:13">
      <c r="B75" s="22" t="s">
        <v>45</v>
      </c>
      <c r="C75" s="19">
        <f>IFERROR('Cash Flow data'!B13,0)</f>
        <v>-1654</v>
      </c>
      <c r="D75" s="19">
        <f>IFERROR('Cash Flow data'!C13,0)</f>
        <v>-1743</v>
      </c>
      <c r="E75" s="19">
        <f>IFERROR('Cash Flow data'!D13,0)</f>
        <v>-1523</v>
      </c>
      <c r="F75" s="19">
        <f>IFERROR('Cash Flow data'!E13,0)</f>
        <v>-2881</v>
      </c>
      <c r="G75" s="19">
        <f>IFERROR('Cash Flow data'!F13,0)</f>
        <v>-3861</v>
      </c>
      <c r="H75" s="19">
        <f>IFERROR('Cash Flow data'!G13,0)</f>
        <v>-1835</v>
      </c>
      <c r="I75" s="19">
        <f>IFERROR('Cash Flow data'!H13,0)</f>
        <v>-7937</v>
      </c>
      <c r="J75" s="19">
        <f>IFERROR('Cash Flow data'!I13,0)</f>
        <v>-7076</v>
      </c>
      <c r="K75" s="19">
        <f>IFERROR('Cash Flow data'!J13,0)</f>
        <v>-2667</v>
      </c>
      <c r="L75" s="19">
        <f>IFERROR('Cash Flow data'!K13,0)</f>
        <v>-1769</v>
      </c>
      <c r="M75" s="19"/>
    </row>
    <row r="76" spans="1:13">
      <c r="B76" s="22" t="s">
        <v>54</v>
      </c>
      <c r="C76" s="19">
        <f>IFERROR('Cash Flow data'!B14,0)</f>
        <v>242</v>
      </c>
      <c r="D76" s="19">
        <f>IFERROR('Cash Flow data'!C14,0)</f>
        <v>-19</v>
      </c>
      <c r="E76" s="19">
        <f>IFERROR('Cash Flow data'!D14,0)</f>
        <v>328</v>
      </c>
      <c r="F76" s="19">
        <f>IFERROR('Cash Flow data'!E14,0)</f>
        <v>916</v>
      </c>
      <c r="G76" s="19">
        <f>IFERROR('Cash Flow data'!F14,0)</f>
        <v>-373</v>
      </c>
      <c r="H76" s="19">
        <f>IFERROR('Cash Flow data'!G14,0)</f>
        <v>-245</v>
      </c>
      <c r="I76" s="19">
        <f>IFERROR('Cash Flow data'!H14,0)</f>
        <v>1489</v>
      </c>
      <c r="J76" s="19">
        <f>IFERROR('Cash Flow data'!I14,0)</f>
        <v>-279</v>
      </c>
      <c r="K76" s="19">
        <f>IFERROR('Cash Flow data'!J14,0)</f>
        <v>91</v>
      </c>
      <c r="L76" s="19">
        <f>IFERROR('Cash Flow data'!K14,0)</f>
        <v>176</v>
      </c>
    </row>
    <row r="77" spans="1:13">
      <c r="B77" s="22" t="s">
        <v>55</v>
      </c>
      <c r="C77" s="19">
        <f>IFERROR('Cash Flow data'!B15,0)</f>
        <v>-1134</v>
      </c>
      <c r="D77" s="19">
        <f>IFERROR('Cash Flow data'!C15,0)</f>
        <v>0</v>
      </c>
      <c r="E77" s="19">
        <f>IFERROR('Cash Flow data'!D15,0)</f>
        <v>0</v>
      </c>
      <c r="F77" s="19">
        <f>IFERROR('Cash Flow data'!E15,0)</f>
        <v>0</v>
      </c>
      <c r="G77" s="19">
        <f>IFERROR('Cash Flow data'!F15,0)</f>
        <v>0</v>
      </c>
      <c r="H77" s="19">
        <f>IFERROR('Cash Flow data'!G15,0)</f>
        <v>-534</v>
      </c>
      <c r="I77" s="19">
        <f>IFERROR('Cash Flow data'!H15,0)</f>
        <v>-1914</v>
      </c>
      <c r="J77" s="19">
        <f>IFERROR('Cash Flow data'!I15,0)</f>
        <v>-3108</v>
      </c>
      <c r="K77" s="19">
        <f>IFERROR('Cash Flow data'!J15,0)</f>
        <v>-1172</v>
      </c>
      <c r="L77" s="19">
        <f>IFERROR('Cash Flow data'!K15,0)</f>
        <v>-1024</v>
      </c>
    </row>
    <row r="78" spans="1:13">
      <c r="B78" s="22" t="s">
        <v>56</v>
      </c>
      <c r="C78" s="19">
        <f>IFERROR('Cash Flow data'!B16,0)</f>
        <v>600</v>
      </c>
      <c r="D78" s="19">
        <f>IFERROR('Cash Flow data'!C16,0)</f>
        <v>-394</v>
      </c>
      <c r="E78" s="19">
        <f>IFERROR('Cash Flow data'!D16,0)</f>
        <v>1279</v>
      </c>
      <c r="F78" s="19">
        <f>IFERROR('Cash Flow data'!E16,0)</f>
        <v>1512</v>
      </c>
      <c r="G78" s="19">
        <f>IFERROR('Cash Flow data'!F16,0)</f>
        <v>1867</v>
      </c>
      <c r="H78" s="19">
        <f>IFERROR('Cash Flow data'!G16,0)</f>
        <v>3382</v>
      </c>
      <c r="I78" s="19">
        <f>IFERROR('Cash Flow data'!H16,0)</f>
        <v>6938</v>
      </c>
      <c r="J78" s="19">
        <f>IFERROR('Cash Flow data'!I16,0)</f>
        <v>4119</v>
      </c>
      <c r="K78" s="19">
        <f>IFERROR('Cash Flow data'!J16,0)</f>
        <v>-1334</v>
      </c>
      <c r="L78" s="19">
        <f>IFERROR('Cash Flow data'!K16,0)</f>
        <v>2322</v>
      </c>
      <c r="M78" s="19"/>
    </row>
    <row r="79" spans="1:13">
      <c r="B79" s="22" t="s">
        <v>57</v>
      </c>
      <c r="C79" s="19">
        <f>IFERROR('Cash Flow data'!B17,0)</f>
        <v>-1946</v>
      </c>
      <c r="D79" s="19">
        <f>IFERROR('Cash Flow data'!C17,0)</f>
        <v>-2156</v>
      </c>
      <c r="E79" s="19">
        <f>IFERROR('Cash Flow data'!D17,0)</f>
        <v>84</v>
      </c>
      <c r="F79" s="19">
        <f>IFERROR('Cash Flow data'!E17,0)</f>
        <v>-453</v>
      </c>
      <c r="G79" s="19">
        <f>IFERROR('Cash Flow data'!F17,0)</f>
        <v>-2367</v>
      </c>
      <c r="H79" s="19">
        <f>IFERROR('Cash Flow data'!G17,0)</f>
        <v>768</v>
      </c>
      <c r="I79" s="19">
        <f>IFERROR('Cash Flow data'!H17,0)</f>
        <v>-1424</v>
      </c>
      <c r="J79" s="19">
        <f>IFERROR('Cash Flow data'!I17,0)</f>
        <v>-6344</v>
      </c>
      <c r="K79" s="19">
        <f>IFERROR('Cash Flow data'!J17,0)</f>
        <v>-5082</v>
      </c>
      <c r="L79" s="19">
        <f>IFERROR('Cash Flow data'!K17,0)</f>
        <v>-295</v>
      </c>
      <c r="M79" s="19"/>
    </row>
    <row r="80" spans="1:13">
      <c r="B80" s="22" t="s">
        <v>58</v>
      </c>
      <c r="C80" s="19">
        <f>IFERROR('Cash Flow data'!B18,0)</f>
        <v>-5865</v>
      </c>
      <c r="D80" s="19">
        <f>IFERROR('Cash Flow data'!C18,0)</f>
        <v>-5653</v>
      </c>
      <c r="E80" s="19">
        <f>IFERROR('Cash Flow data'!D18,0)</f>
        <v>-6829</v>
      </c>
      <c r="F80" s="19">
        <f>IFERROR('Cash Flow data'!E18,0)</f>
        <v>-6832</v>
      </c>
      <c r="G80" s="19">
        <f>IFERROR('Cash Flow data'!F18,0)</f>
        <v>-4550</v>
      </c>
      <c r="H80" s="19">
        <f>IFERROR('Cash Flow data'!G18,0)</f>
        <v>-6389</v>
      </c>
      <c r="I80" s="19">
        <f>IFERROR('Cash Flow data'!H18,0)</f>
        <v>-7612</v>
      </c>
      <c r="J80" s="19">
        <f>IFERROR('Cash Flow data'!I18,0)</f>
        <v>-8794</v>
      </c>
      <c r="K80" s="19">
        <f>IFERROR('Cash Flow data'!J18,0)</f>
        <v>-9231</v>
      </c>
      <c r="L80" s="19">
        <f>IFERROR('Cash Flow data'!K18,0)</f>
        <v>-5602</v>
      </c>
    </row>
    <row r="82" spans="1:12">
      <c r="B82" s="37" t="s">
        <v>59</v>
      </c>
      <c r="C82" s="29">
        <f>IFERROR(SUM(C74:C80),0)</f>
        <v>8082</v>
      </c>
      <c r="D82" s="29">
        <f>IFERROR(SUM(D74:D80),0)</f>
        <v>9375</v>
      </c>
      <c r="E82" s="29">
        <f t="shared" ref="E82:L82" si="26">IFERROR(SUM(E74:E80),0)</f>
        <v>13302</v>
      </c>
      <c r="F82" s="29">
        <f t="shared" si="26"/>
        <v>14388</v>
      </c>
      <c r="G82" s="29">
        <f t="shared" si="26"/>
        <v>14636</v>
      </c>
      <c r="H82" s="29">
        <f t="shared" si="26"/>
        <v>23992</v>
      </c>
      <c r="I82" s="29">
        <f t="shared" si="26"/>
        <v>22461</v>
      </c>
      <c r="J82" s="29">
        <f t="shared" si="26"/>
        <v>16123</v>
      </c>
      <c r="K82" s="29">
        <f t="shared" si="26"/>
        <v>20128</v>
      </c>
      <c r="L82" s="29">
        <f t="shared" si="26"/>
        <v>35399</v>
      </c>
    </row>
    <row r="84" spans="1:12">
      <c r="B84" s="36" t="s">
        <v>60</v>
      </c>
    </row>
    <row r="85" spans="1:12">
      <c r="B85" s="22" t="s">
        <v>61</v>
      </c>
      <c r="C85" s="19">
        <f>IFERROR('Cash Flow data'!B20,0)</f>
        <v>-2723</v>
      </c>
      <c r="D85" s="19">
        <f>IFERROR('Cash Flow data'!C20,0)</f>
        <v>-2760</v>
      </c>
      <c r="E85" s="19">
        <f>IFERROR('Cash Flow data'!D20,0)</f>
        <v>-1998</v>
      </c>
      <c r="F85" s="19">
        <f>IFERROR('Cash Flow data'!E20,0)</f>
        <v>-2445</v>
      </c>
      <c r="G85" s="19">
        <f>IFERROR('Cash Flow data'!F20,0)</f>
        <v>-3307</v>
      </c>
      <c r="H85" s="19">
        <f>IFERROR('Cash Flow data'!G20,0)</f>
        <v>-2107</v>
      </c>
      <c r="I85" s="19">
        <f>IFERROR('Cash Flow data'!H20,0)</f>
        <v>-2161</v>
      </c>
      <c r="J85" s="19">
        <f>IFERROR('Cash Flow data'!I20,0)</f>
        <v>-2579</v>
      </c>
      <c r="K85" s="19">
        <f>IFERROR('Cash Flow data'!J20,0)</f>
        <v>-2201</v>
      </c>
      <c r="L85" s="19">
        <f>IFERROR('Cash Flow data'!K20,0)</f>
        <v>-2237</v>
      </c>
    </row>
    <row r="86" spans="1:12">
      <c r="B86" s="22" t="s">
        <v>62</v>
      </c>
      <c r="C86" s="19">
        <f>IFERROR('Cash Flow data'!B21,0)</f>
        <v>0</v>
      </c>
      <c r="D86" s="19">
        <f>IFERROR('Cash Flow data'!C21,0)</f>
        <v>0</v>
      </c>
      <c r="E86" s="19">
        <f>IFERROR('Cash Flow data'!D21,0)</f>
        <v>0</v>
      </c>
      <c r="F86" s="19">
        <f>IFERROR('Cash Flow data'!E21,0)</f>
        <v>0</v>
      </c>
      <c r="G86" s="19">
        <f>IFERROR('Cash Flow data'!F21,0)</f>
        <v>0</v>
      </c>
      <c r="H86" s="19">
        <f>IFERROR('Cash Flow data'!G21,0)</f>
        <v>0</v>
      </c>
      <c r="I86" s="19">
        <f>IFERROR('Cash Flow data'!H21,0)</f>
        <v>0</v>
      </c>
      <c r="J86" s="19">
        <f>IFERROR('Cash Flow data'!I21,0)</f>
        <v>0</v>
      </c>
      <c r="K86" s="19">
        <f>IFERROR('Cash Flow data'!J21,0)</f>
        <v>0</v>
      </c>
      <c r="L86" s="19">
        <f>IFERROR('Cash Flow data'!K21,0)</f>
        <v>0</v>
      </c>
    </row>
    <row r="87" spans="1:12">
      <c r="B87" s="22" t="s">
        <v>63</v>
      </c>
      <c r="C87" s="19">
        <f>IFERROR('Cash Flow data'!B22,0)</f>
        <v>-24577</v>
      </c>
      <c r="D87" s="19">
        <f>IFERROR('Cash Flow data'!C22,0)</f>
        <v>-66410</v>
      </c>
      <c r="E87" s="19">
        <f>IFERROR('Cash Flow data'!D22,0)</f>
        <v>-69159</v>
      </c>
      <c r="F87" s="19">
        <f>IFERROR('Cash Flow data'!E22,0)</f>
        <v>-79410</v>
      </c>
      <c r="G87" s="19">
        <f>IFERROR('Cash Flow data'!F22,0)</f>
        <v>-37482</v>
      </c>
      <c r="H87" s="19">
        <f>IFERROR('Cash Flow data'!G22,0)</f>
        <v>-46738</v>
      </c>
      <c r="I87" s="19">
        <f>IFERROR('Cash Flow data'!H22,0)</f>
        <v>-59951</v>
      </c>
      <c r="J87" s="19">
        <f>IFERROR('Cash Flow data'!I22,0)</f>
        <v>-75800</v>
      </c>
      <c r="K87" s="19">
        <f>IFERROR('Cash Flow data'!J22,0)</f>
        <v>-78118</v>
      </c>
      <c r="L87" s="19">
        <f>IFERROR('Cash Flow data'!K22,0)</f>
        <v>-82753</v>
      </c>
    </row>
    <row r="88" spans="1:12">
      <c r="B88" s="22" t="s">
        <v>64</v>
      </c>
      <c r="C88" s="19">
        <f>IFERROR('Cash Flow data'!B23,0)</f>
        <v>24980</v>
      </c>
      <c r="D88" s="19">
        <f>IFERROR('Cash Flow data'!C23,0)</f>
        <v>52048</v>
      </c>
      <c r="E88" s="19">
        <f>IFERROR('Cash Flow data'!D23,0)</f>
        <v>74003</v>
      </c>
      <c r="F88" s="19">
        <f>IFERROR('Cash Flow data'!E23,0)</f>
        <v>78098</v>
      </c>
      <c r="G88" s="19">
        <f>IFERROR('Cash Flow data'!F23,0)</f>
        <v>38861</v>
      </c>
      <c r="H88" s="19">
        <f>IFERROR('Cash Flow data'!G23,0)</f>
        <v>40381</v>
      </c>
      <c r="I88" s="19">
        <f>IFERROR('Cash Flow data'!H23,0)</f>
        <v>57356</v>
      </c>
      <c r="J88" s="19">
        <f>IFERROR('Cash Flow data'!I23,0)</f>
        <v>76722</v>
      </c>
      <c r="K88" s="19">
        <f>IFERROR('Cash Flow data'!J23,0)</f>
        <v>72956</v>
      </c>
      <c r="L88" s="19">
        <f>IFERROR('Cash Flow data'!K23,0)</f>
        <v>84888</v>
      </c>
    </row>
    <row r="89" spans="1:12">
      <c r="B89" s="22" t="s">
        <v>65</v>
      </c>
      <c r="C89" s="19">
        <f>IFERROR('Cash Flow data'!B24,0)</f>
        <v>2383</v>
      </c>
      <c r="D89" s="19">
        <f>IFERROR('Cash Flow data'!C24,0)</f>
        <v>0</v>
      </c>
      <c r="E89" s="19">
        <f>IFERROR('Cash Flow data'!D24,0)</f>
        <v>0</v>
      </c>
      <c r="F89" s="19">
        <f>IFERROR('Cash Flow data'!E24,0)</f>
        <v>0</v>
      </c>
      <c r="G89" s="19">
        <f>IFERROR('Cash Flow data'!F24,0)</f>
        <v>0</v>
      </c>
      <c r="H89" s="19">
        <f>IFERROR('Cash Flow data'!G24,0)</f>
        <v>0</v>
      </c>
      <c r="I89" s="19">
        <f>IFERROR('Cash Flow data'!H24,0)</f>
        <v>0</v>
      </c>
      <c r="J89" s="19">
        <f>IFERROR('Cash Flow data'!I24,0)</f>
        <v>0</v>
      </c>
      <c r="K89" s="19">
        <f>IFERROR('Cash Flow data'!J24,0)</f>
        <v>0</v>
      </c>
      <c r="L89" s="19">
        <f>IFERROR('Cash Flow data'!K24,0)</f>
        <v>0</v>
      </c>
    </row>
    <row r="90" spans="1:12">
      <c r="B90" s="22" t="s">
        <v>66</v>
      </c>
      <c r="C90" s="19">
        <f>IFERROR('Cash Flow data'!B25,0)</f>
        <v>0</v>
      </c>
      <c r="D90" s="19">
        <f>IFERROR('Cash Flow data'!C25,0)</f>
        <v>2753</v>
      </c>
      <c r="E90" s="19">
        <f>IFERROR('Cash Flow data'!D25,0)</f>
        <v>1768</v>
      </c>
      <c r="F90" s="19">
        <f>IFERROR('Cash Flow data'!E25,0)</f>
        <v>1557</v>
      </c>
      <c r="G90" s="19">
        <f>IFERROR('Cash Flow data'!F25,0)</f>
        <v>1929</v>
      </c>
      <c r="H90" s="19">
        <f>IFERROR('Cash Flow data'!G25,0)</f>
        <v>1418</v>
      </c>
      <c r="I90" s="19">
        <f>IFERROR('Cash Flow data'!H25,0)</f>
        <v>1898</v>
      </c>
      <c r="J90" s="19">
        <f>IFERROR('Cash Flow data'!I25,0)</f>
        <v>1525</v>
      </c>
      <c r="K90" s="19">
        <f>IFERROR('Cash Flow data'!J25,0)</f>
        <v>1768</v>
      </c>
      <c r="L90" s="19">
        <f>IFERROR('Cash Flow data'!K25,0)</f>
        <v>2040</v>
      </c>
    </row>
    <row r="91" spans="1:12">
      <c r="B91" s="22" t="s">
        <v>67</v>
      </c>
      <c r="C91" s="19">
        <f>IFERROR('Cash Flow data'!B26,0)</f>
        <v>-747</v>
      </c>
      <c r="D91" s="19">
        <f>IFERROR('Cash Flow data'!C26,0)</f>
        <v>0</v>
      </c>
      <c r="E91" s="19">
        <f>IFERROR('Cash Flow data'!D26,0)</f>
        <v>0</v>
      </c>
      <c r="F91" s="19">
        <f>IFERROR('Cash Flow data'!E26,0)</f>
        <v>0</v>
      </c>
      <c r="G91" s="19">
        <f>IFERROR('Cash Flow data'!F26,0)</f>
        <v>0</v>
      </c>
      <c r="H91" s="19">
        <f>IFERROR('Cash Flow data'!G26,0)</f>
        <v>0</v>
      </c>
      <c r="I91" s="19">
        <f>IFERROR('Cash Flow data'!H26,0)</f>
        <v>0</v>
      </c>
      <c r="J91" s="19">
        <f>IFERROR('Cash Flow data'!I26,0)</f>
        <v>0</v>
      </c>
      <c r="K91" s="19">
        <f>IFERROR('Cash Flow data'!J26,0)</f>
        <v>0</v>
      </c>
      <c r="L91" s="19">
        <f>IFERROR('Cash Flow data'!K26,0)</f>
        <v>0</v>
      </c>
    </row>
    <row r="92" spans="1:12">
      <c r="B92" s="22" t="s">
        <v>68</v>
      </c>
      <c r="C92" s="19">
        <f>IFERROR('Cash Flow data'!B27,0)</f>
        <v>-142</v>
      </c>
      <c r="D92" s="19">
        <f>IFERROR('Cash Flow data'!C27,0)</f>
        <v>-164</v>
      </c>
      <c r="E92" s="19">
        <f>IFERROR('Cash Flow data'!D27,0)</f>
        <v>-130</v>
      </c>
      <c r="F92" s="19">
        <f>IFERROR('Cash Flow data'!E27,0)</f>
        <v>-24</v>
      </c>
      <c r="G92" s="19">
        <f>IFERROR('Cash Flow data'!F27,0)</f>
        <v>-108</v>
      </c>
      <c r="H92" s="19">
        <f>IFERROR('Cash Flow data'!G27,0)</f>
        <v>0</v>
      </c>
      <c r="I92" s="19">
        <f>IFERROR('Cash Flow data'!H27,0)</f>
        <v>0</v>
      </c>
      <c r="J92" s="19">
        <f>IFERROR('Cash Flow data'!I27,0)</f>
        <v>0</v>
      </c>
      <c r="K92" s="19">
        <f>IFERROR('Cash Flow data'!J27,0)</f>
        <v>0</v>
      </c>
      <c r="L92" s="19">
        <f>IFERROR('Cash Flow data'!K27,0)</f>
        <v>0</v>
      </c>
    </row>
    <row r="93" spans="1:12">
      <c r="B93" s="22" t="s">
        <v>69</v>
      </c>
      <c r="C93" s="19">
        <f>IFERROR('Cash Flow data'!B28,0)</f>
        <v>-59</v>
      </c>
      <c r="D93" s="19">
        <f>IFERROR('Cash Flow data'!C28,0)</f>
        <v>-131</v>
      </c>
      <c r="E93" s="19">
        <f>IFERROR('Cash Flow data'!D28,0)</f>
        <v>49</v>
      </c>
      <c r="F93" s="19">
        <f>IFERROR('Cash Flow data'!E28,0)</f>
        <v>1592</v>
      </c>
      <c r="G93" s="19">
        <f>IFERROR('Cash Flow data'!F28,0)</f>
        <v>-224</v>
      </c>
      <c r="H93" s="19">
        <f>IFERROR('Cash Flow data'!G28,0)</f>
        <v>-327</v>
      </c>
      <c r="I93" s="19">
        <f>IFERROR('Cash Flow data'!H28,0)</f>
        <v>-3627</v>
      </c>
      <c r="J93" s="19">
        <f>IFERROR('Cash Flow data'!I28,0)</f>
        <v>-939</v>
      </c>
      <c r="K93" s="19">
        <f>IFERROR('Cash Flow data'!J28,0)</f>
        <v>502</v>
      </c>
      <c r="L93" s="19">
        <f>IFERROR('Cash Flow data'!K28,0)</f>
        <v>-3802</v>
      </c>
    </row>
    <row r="94" spans="1:12">
      <c r="C94" s="19"/>
      <c r="D94" s="19"/>
      <c r="E94" s="19"/>
      <c r="F94" s="19"/>
      <c r="G94" s="19"/>
      <c r="H94" s="19"/>
      <c r="I94" s="19"/>
      <c r="J94" s="19"/>
      <c r="K94" s="19"/>
      <c r="L94" s="19"/>
    </row>
    <row r="95" spans="1:12">
      <c r="A95" s="38"/>
      <c r="B95" s="37" t="s">
        <v>70</v>
      </c>
      <c r="C95" s="39">
        <f>IFERROR(SUM(C85:C94),0)</f>
        <v>-885</v>
      </c>
      <c r="D95" s="39">
        <f t="shared" ref="D95:L95" si="27">IFERROR(SUM(D85:D94),0)</f>
        <v>-14664</v>
      </c>
      <c r="E95" s="39">
        <f t="shared" si="27"/>
        <v>4533</v>
      </c>
      <c r="F95" s="39">
        <f t="shared" si="27"/>
        <v>-632</v>
      </c>
      <c r="G95" s="39">
        <f t="shared" si="27"/>
        <v>-331</v>
      </c>
      <c r="H95" s="39">
        <f t="shared" si="27"/>
        <v>-7373</v>
      </c>
      <c r="I95" s="39">
        <f t="shared" si="27"/>
        <v>-6485</v>
      </c>
      <c r="J95" s="39">
        <f t="shared" si="27"/>
        <v>-1071</v>
      </c>
      <c r="K95" s="39">
        <f t="shared" si="27"/>
        <v>-5093</v>
      </c>
      <c r="L95" s="39">
        <f t="shared" si="27"/>
        <v>-1864</v>
      </c>
    </row>
    <row r="97" spans="2:12">
      <c r="B97" s="36" t="s">
        <v>71</v>
      </c>
    </row>
    <row r="98" spans="2:12">
      <c r="B98" s="22" t="s">
        <v>72</v>
      </c>
      <c r="C98" s="19">
        <f>IFERROR('Cash Flow data'!B30,0)</f>
        <v>0</v>
      </c>
      <c r="D98" s="19">
        <f>IFERROR('Cash Flow data'!C30,0)</f>
        <v>0</v>
      </c>
      <c r="E98" s="19">
        <f>IFERROR('Cash Flow data'!D30,0)</f>
        <v>5</v>
      </c>
      <c r="F98" s="19">
        <f>IFERROR('Cash Flow data'!E30,0)</f>
        <v>6</v>
      </c>
      <c r="G98" s="19">
        <f>IFERROR('Cash Flow data'!F30,0)</f>
        <v>6</v>
      </c>
      <c r="H98" s="19">
        <f>IFERROR('Cash Flow data'!G30,0)</f>
        <v>15</v>
      </c>
      <c r="I98" s="19">
        <f>IFERROR('Cash Flow data'!H30,0)</f>
        <v>21</v>
      </c>
      <c r="J98" s="19">
        <f>IFERROR('Cash Flow data'!I30,0)</f>
        <v>35</v>
      </c>
      <c r="K98" s="19">
        <f>IFERROR('Cash Flow data'!J30,0)</f>
        <v>5</v>
      </c>
      <c r="L98" s="19">
        <f>IFERROR('Cash Flow data'!K30,0)</f>
        <v>6</v>
      </c>
    </row>
    <row r="99" spans="2:12">
      <c r="B99" s="22" t="s">
        <v>73</v>
      </c>
      <c r="C99" s="19">
        <f>IFERROR('Cash Flow data'!B31,0)</f>
        <v>0</v>
      </c>
      <c r="D99" s="19">
        <f>IFERROR('Cash Flow data'!C31,0)</f>
        <v>0</v>
      </c>
      <c r="E99" s="19">
        <f>IFERROR('Cash Flow data'!D31,0)</f>
        <v>0</v>
      </c>
      <c r="F99" s="19">
        <f>IFERROR('Cash Flow data'!E31,0)</f>
        <v>0</v>
      </c>
      <c r="G99" s="19">
        <f>IFERROR('Cash Flow data'!F31,0)</f>
        <v>0</v>
      </c>
      <c r="H99" s="19">
        <f>IFERROR('Cash Flow data'!G31,0)</f>
        <v>0</v>
      </c>
      <c r="I99" s="19">
        <f>IFERROR('Cash Flow data'!H31,0)</f>
        <v>0</v>
      </c>
      <c r="J99" s="19">
        <f>IFERROR('Cash Flow data'!I31,0)</f>
        <v>0</v>
      </c>
      <c r="K99" s="19">
        <f>IFERROR('Cash Flow data'!J31,0)</f>
        <v>0</v>
      </c>
      <c r="L99" s="19">
        <f>IFERROR('Cash Flow data'!K31,0)</f>
        <v>-985</v>
      </c>
    </row>
    <row r="100" spans="2:12">
      <c r="B100" s="22" t="s">
        <v>74</v>
      </c>
      <c r="C100" s="19">
        <f>IFERROR('Cash Flow data'!B32,0)</f>
        <v>-6813</v>
      </c>
      <c r="D100" s="19">
        <f>IFERROR('Cash Flow data'!C32,0)</f>
        <v>-6939</v>
      </c>
      <c r="E100" s="19">
        <f>IFERROR('Cash Flow data'!D32,0)</f>
        <v>-7464</v>
      </c>
      <c r="F100" s="19">
        <f>IFERROR('Cash Flow data'!E32,0)</f>
        <v>-13705</v>
      </c>
      <c r="G100" s="19">
        <f>IFERROR('Cash Flow data'!F32,0)</f>
        <v>-9548</v>
      </c>
      <c r="H100" s="19">
        <f>IFERROR('Cash Flow data'!G32,0)</f>
        <v>-9137</v>
      </c>
      <c r="I100" s="19">
        <f>IFERROR('Cash Flow data'!H32,0)</f>
        <v>-12731</v>
      </c>
      <c r="J100" s="19">
        <f>IFERROR('Cash Flow data'!I32,0)</f>
        <v>-13653</v>
      </c>
      <c r="K100" s="19">
        <f>IFERROR('Cash Flow data'!J32,0)</f>
        <v>-14731</v>
      </c>
      <c r="L100" s="19">
        <f>IFERROR('Cash Flow data'!K32,0)</f>
        <v>-20289</v>
      </c>
    </row>
    <row r="101" spans="2:12">
      <c r="B101" s="22" t="s">
        <v>75</v>
      </c>
      <c r="C101" s="19">
        <f>IFERROR('Cash Flow data'!B33,0)</f>
        <v>0</v>
      </c>
      <c r="D101" s="19">
        <f>IFERROR('Cash Flow data'!C33,0)</f>
        <v>0</v>
      </c>
      <c r="E101" s="19">
        <f>IFERROR('Cash Flow data'!D33,0)</f>
        <v>0</v>
      </c>
      <c r="F101" s="19">
        <f>IFERROR('Cash Flow data'!E33,0)</f>
        <v>0</v>
      </c>
      <c r="G101" s="19">
        <f>IFERROR('Cash Flow data'!F33,0)</f>
        <v>-571</v>
      </c>
      <c r="H101" s="19">
        <f>IFERROR('Cash Flow data'!G33,0)</f>
        <v>-698</v>
      </c>
      <c r="I101" s="19">
        <f>IFERROR('Cash Flow data'!H33,0)</f>
        <v>-915</v>
      </c>
      <c r="J101" s="19">
        <f>IFERROR('Cash Flow data'!I33,0)</f>
        <v>-1231</v>
      </c>
      <c r="K101" s="19">
        <f>IFERROR('Cash Flow data'!J33,0)</f>
        <v>-2024</v>
      </c>
      <c r="L101" s="19">
        <f>IFERROR('Cash Flow data'!K33,0)</f>
        <v>-2355</v>
      </c>
    </row>
    <row r="102" spans="2:12">
      <c r="B102" s="22" t="s">
        <v>76</v>
      </c>
      <c r="C102" s="19">
        <f>IFERROR('Cash Flow data'!B34,0)</f>
        <v>0</v>
      </c>
      <c r="D102" s="19">
        <f>IFERROR('Cash Flow data'!C34,0)</f>
        <v>0</v>
      </c>
      <c r="E102" s="19">
        <f>IFERROR('Cash Flow data'!D34,0)</f>
        <v>-13046</v>
      </c>
      <c r="F102" s="19">
        <f>IFERROR('Cash Flow data'!E34,0)</f>
        <v>-813</v>
      </c>
      <c r="G102" s="19">
        <f>IFERROR('Cash Flow data'!F34,0)</f>
        <v>-7478</v>
      </c>
      <c r="H102" s="19">
        <f>IFERROR('Cash Flow data'!G34,0)</f>
        <v>34</v>
      </c>
      <c r="I102" s="19">
        <f>IFERROR('Cash Flow data'!H34,0)</f>
        <v>-11017</v>
      </c>
      <c r="J102" s="19">
        <f>IFERROR('Cash Flow data'!I34,0)</f>
        <v>-11846</v>
      </c>
      <c r="K102" s="19">
        <f>IFERROR('Cash Flow data'!J34,0)</f>
        <v>-754</v>
      </c>
      <c r="L102" s="19">
        <f>IFERROR('Cash Flow data'!K34,0)</f>
        <v>-538</v>
      </c>
    </row>
    <row r="103" spans="2:12">
      <c r="C103" s="19"/>
      <c r="D103" s="19"/>
      <c r="E103" s="19"/>
      <c r="F103" s="19"/>
      <c r="G103" s="19"/>
      <c r="H103" s="19"/>
      <c r="I103" s="19"/>
      <c r="J103" s="19"/>
      <c r="K103" s="19"/>
      <c r="L103" s="19"/>
    </row>
    <row r="104" spans="2:12">
      <c r="B104" s="37" t="s">
        <v>77</v>
      </c>
      <c r="C104" s="29">
        <f>IFERROR(SUM(C98:C102),0)</f>
        <v>-6813</v>
      </c>
      <c r="D104" s="29">
        <f t="shared" ref="D104:L104" si="28">IFERROR(SUM(D98:D102),0)</f>
        <v>-6939</v>
      </c>
      <c r="E104" s="29">
        <f t="shared" si="28"/>
        <v>-20505</v>
      </c>
      <c r="F104" s="29">
        <f t="shared" si="28"/>
        <v>-14512</v>
      </c>
      <c r="G104" s="29">
        <f t="shared" si="28"/>
        <v>-17591</v>
      </c>
      <c r="H104" s="29">
        <f t="shared" si="28"/>
        <v>-9786</v>
      </c>
      <c r="I104" s="29">
        <f t="shared" si="28"/>
        <v>-24642</v>
      </c>
      <c r="J104" s="29">
        <f t="shared" si="28"/>
        <v>-26695</v>
      </c>
      <c r="K104" s="29">
        <f t="shared" si="28"/>
        <v>-17504</v>
      </c>
      <c r="L104" s="29">
        <f t="shared" si="28"/>
        <v>-24161</v>
      </c>
    </row>
    <row r="105" spans="2:12"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2:12">
      <c r="B106" s="147" t="s">
        <v>78</v>
      </c>
      <c r="C106" s="29">
        <f>IFERROR(SUM(C82,C95,C104),0)</f>
        <v>384</v>
      </c>
      <c r="D106" s="29">
        <f t="shared" ref="D106:L106" si="29">IFERROR(SUM(D82,D95,D104),0)</f>
        <v>-12228</v>
      </c>
      <c r="E106" s="29">
        <f t="shared" si="29"/>
        <v>-2670</v>
      </c>
      <c r="F106" s="29">
        <f t="shared" si="29"/>
        <v>-756</v>
      </c>
      <c r="G106" s="29">
        <f t="shared" si="29"/>
        <v>-3286</v>
      </c>
      <c r="H106" s="29">
        <f t="shared" si="29"/>
        <v>6833</v>
      </c>
      <c r="I106" s="29">
        <f t="shared" si="29"/>
        <v>-8666</v>
      </c>
      <c r="J106" s="29">
        <f t="shared" si="29"/>
        <v>-11643</v>
      </c>
      <c r="K106" s="29">
        <f t="shared" si="29"/>
        <v>-2469</v>
      </c>
      <c r="L106" s="29">
        <f t="shared" si="29"/>
        <v>9374</v>
      </c>
    </row>
    <row r="107" spans="2:12">
      <c r="C107" s="29"/>
      <c r="D107" s="29"/>
      <c r="E107" s="29"/>
      <c r="F107" s="29"/>
      <c r="G107" s="29"/>
      <c r="H107" s="29"/>
      <c r="I107" s="29"/>
      <c r="J107" s="29"/>
      <c r="K107" s="29"/>
      <c r="L107" s="29"/>
    </row>
  </sheetData>
  <mergeCells count="1">
    <mergeCell ref="B5:L5"/>
  </mergeCells>
  <pageMargins left="0.7" right="0.7" top="0.75" bottom="0.75" header="0.3" footer="0.3"/>
  <pageSetup paperSize="9" fitToHeight="0" orientation="landscape"/>
  <rowBreaks count="2" manualBreakCount="2">
    <brk id="48" max="16383" man="1"/>
    <brk id="70" max="16383" man="1"/>
  </rowBreaks>
  <colBreaks count="1" manualBreakCount="1">
    <brk id="1" max="1048575" man="1"/>
  </colBreak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5"/>
  <sheetViews>
    <sheetView showGridLines="0" topLeftCell="A7" workbookViewId="0">
      <selection activeCell="I19" sqref="I19"/>
    </sheetView>
  </sheetViews>
  <sheetFormatPr defaultRowHeight="14.25"/>
  <cols>
    <col min="1" max="1" width="1.86328125" customWidth="1"/>
    <col min="2" max="2" width="36.59765625" bestFit="1" customWidth="1"/>
    <col min="3" max="3" width="10.3984375" customWidth="1"/>
  </cols>
  <sheetData>
    <row r="2" spans="2:13" ht="30.75">
      <c r="B2" s="146" t="s">
        <v>0</v>
      </c>
      <c r="C2" s="38"/>
      <c r="D2" s="38"/>
      <c r="E2" s="38"/>
      <c r="F2" s="38"/>
      <c r="G2" s="38"/>
      <c r="H2" s="38"/>
      <c r="I2" s="38"/>
      <c r="J2" s="38"/>
      <c r="K2" s="38"/>
      <c r="L2" s="38"/>
    </row>
    <row r="3" spans="2:13" ht="15.75" customHeight="1">
      <c r="B3" s="69" t="s">
        <v>1</v>
      </c>
      <c r="C3" s="62"/>
      <c r="D3" s="62"/>
      <c r="E3" s="62"/>
      <c r="F3" s="62"/>
      <c r="G3" s="62"/>
      <c r="H3" s="62"/>
      <c r="I3" s="62"/>
      <c r="J3" s="62"/>
      <c r="K3" s="62"/>
      <c r="L3" s="62"/>
    </row>
    <row r="5" spans="2:13">
      <c r="B5" s="206" t="s">
        <v>79</v>
      </c>
      <c r="C5" s="206"/>
      <c r="D5" s="206"/>
      <c r="E5" s="206"/>
      <c r="F5" s="206"/>
      <c r="G5" s="206"/>
      <c r="H5" s="206"/>
      <c r="I5" s="206"/>
      <c r="J5" s="206"/>
      <c r="K5" s="206"/>
      <c r="L5" s="206"/>
    </row>
    <row r="7" spans="2:13">
      <c r="B7" s="69" t="s">
        <v>80</v>
      </c>
      <c r="C7" s="103">
        <f>'Data Sheet'!B16</f>
        <v>42460</v>
      </c>
      <c r="D7" s="103">
        <f>'Data Sheet'!C16</f>
        <v>42825</v>
      </c>
      <c r="E7" s="103">
        <f>'Data Sheet'!D16</f>
        <v>43190</v>
      </c>
      <c r="F7" s="103">
        <f>'Data Sheet'!E16</f>
        <v>43555</v>
      </c>
      <c r="G7" s="103">
        <f>'Data Sheet'!F16</f>
        <v>43921</v>
      </c>
      <c r="H7" s="103">
        <f>'Data Sheet'!G16</f>
        <v>44286</v>
      </c>
      <c r="I7" s="103">
        <f>'Data Sheet'!H16</f>
        <v>44651</v>
      </c>
      <c r="J7" s="103">
        <f>'Data Sheet'!I16</f>
        <v>45016</v>
      </c>
      <c r="K7" s="103">
        <f>'Data Sheet'!J16</f>
        <v>45382</v>
      </c>
      <c r="L7" s="103">
        <f>'Data Sheet'!K16</f>
        <v>45747</v>
      </c>
      <c r="M7" s="12"/>
    </row>
    <row r="9" spans="2:13">
      <c r="B9" s="2" t="str">
        <f>'Data Sheet'!A17</f>
        <v>Sales</v>
      </c>
      <c r="C9" s="8">
        <f>'Data Sheet'!B17/'Data Sheet'!B$17</f>
        <v>1</v>
      </c>
      <c r="D9" s="8">
        <f>'Data Sheet'!C17/'Data Sheet'!C$17</f>
        <v>1</v>
      </c>
      <c r="E9" s="8">
        <f>'Data Sheet'!D17/'Data Sheet'!D$17</f>
        <v>1</v>
      </c>
      <c r="F9" s="8">
        <f>'Data Sheet'!E17/'Data Sheet'!E$17</f>
        <v>1</v>
      </c>
      <c r="G9" s="8">
        <f>'Data Sheet'!F17/'Data Sheet'!F$17</f>
        <v>1</v>
      </c>
      <c r="H9" s="8">
        <f>'Data Sheet'!G17/'Data Sheet'!G$17</f>
        <v>1</v>
      </c>
      <c r="I9" s="8">
        <f>'Data Sheet'!H17/'Data Sheet'!H$17</f>
        <v>1</v>
      </c>
      <c r="J9" s="8">
        <f>'Data Sheet'!I17/'Data Sheet'!I$17</f>
        <v>1</v>
      </c>
      <c r="K9" s="8">
        <f>'Data Sheet'!J17/'Data Sheet'!J$17</f>
        <v>1</v>
      </c>
      <c r="L9" s="8">
        <f>'Data Sheet'!K17/'Data Sheet'!K$17</f>
        <v>1</v>
      </c>
    </row>
    <row r="10" spans="2:13">
      <c r="B10" t="str">
        <f>'Data Sheet'!A18</f>
        <v>Raw Material Cost</v>
      </c>
      <c r="C10" s="4">
        <f>'Data Sheet'!B18/'Data Sheet'!B$17</f>
        <v>0</v>
      </c>
      <c r="D10" s="4">
        <f>'Data Sheet'!C18/'Data Sheet'!C$17</f>
        <v>0</v>
      </c>
      <c r="E10" s="4">
        <f>'Data Sheet'!D18/'Data Sheet'!D$17</f>
        <v>0</v>
      </c>
      <c r="F10" s="4">
        <f>'Data Sheet'!E18/'Data Sheet'!E$17</f>
        <v>0</v>
      </c>
      <c r="G10" s="4">
        <f>'Data Sheet'!F18/'Data Sheet'!F$17</f>
        <v>0</v>
      </c>
      <c r="H10" s="4">
        <f>'Data Sheet'!G18/'Data Sheet'!G$17</f>
        <v>0</v>
      </c>
      <c r="I10" s="4">
        <f>'Data Sheet'!H18/'Data Sheet'!H$17</f>
        <v>0</v>
      </c>
      <c r="J10" s="4">
        <f>'Data Sheet'!I18/'Data Sheet'!I$17</f>
        <v>0</v>
      </c>
      <c r="K10" s="4">
        <f>'Data Sheet'!J18/'Data Sheet'!J$17</f>
        <v>0</v>
      </c>
      <c r="L10" s="4">
        <f>'Data Sheet'!K18/'Data Sheet'!K$17</f>
        <v>0</v>
      </c>
    </row>
    <row r="11" spans="2:13">
      <c r="B11" t="str">
        <f>'Data Sheet'!A19</f>
        <v>Change in Inventory</v>
      </c>
      <c r="C11" s="4">
        <f>'Data Sheet'!B19/'Data Sheet'!B$17</f>
        <v>0</v>
      </c>
      <c r="D11" s="4">
        <f>'Data Sheet'!C19/'Data Sheet'!C$17</f>
        <v>0</v>
      </c>
      <c r="E11" s="4">
        <f>'Data Sheet'!D19/'Data Sheet'!D$17</f>
        <v>0</v>
      </c>
      <c r="F11" s="4">
        <f>'Data Sheet'!E19/'Data Sheet'!E$17</f>
        <v>0</v>
      </c>
      <c r="G11" s="4">
        <f>'Data Sheet'!F19/'Data Sheet'!F$17</f>
        <v>0</v>
      </c>
      <c r="H11" s="4">
        <f>'Data Sheet'!G19/'Data Sheet'!G$17</f>
        <v>0</v>
      </c>
      <c r="I11" s="4">
        <f>'Data Sheet'!H19/'Data Sheet'!H$17</f>
        <v>0</v>
      </c>
      <c r="J11" s="4">
        <f>'Data Sheet'!I19/'Data Sheet'!I$17</f>
        <v>0</v>
      </c>
      <c r="K11" s="4">
        <f>'Data Sheet'!J19/'Data Sheet'!J$17</f>
        <v>0</v>
      </c>
      <c r="L11" s="4">
        <f>'Data Sheet'!K19/'Data Sheet'!K$17</f>
        <v>0</v>
      </c>
    </row>
    <row r="12" spans="2:13">
      <c r="B12" t="str">
        <f>'Data Sheet'!A20</f>
        <v>Power and Fuel</v>
      </c>
      <c r="C12" s="4">
        <f>'Data Sheet'!B20/'Data Sheet'!B$17</f>
        <v>3.4752806649477105E-3</v>
      </c>
      <c r="D12" s="4">
        <f>'Data Sheet'!C20/'Data Sheet'!C$17</f>
        <v>3.3292447871035571E-3</v>
      </c>
      <c r="E12" s="4">
        <f>'Data Sheet'!D20/'Data Sheet'!D$17</f>
        <v>2.9352542469016762E-3</v>
      </c>
      <c r="F12" s="4">
        <f>'Data Sheet'!E20/'Data Sheet'!E$17</f>
        <v>2.6731176292712428E-3</v>
      </c>
      <c r="G12" s="4">
        <f>'Data Sheet'!F20/'Data Sheet'!F$17</f>
        <v>2.5222764370917824E-3</v>
      </c>
      <c r="H12" s="4">
        <f>'Data Sheet'!G20/'Data Sheet'!G$17</f>
        <v>1.4232821084481249E-3</v>
      </c>
      <c r="I12" s="4">
        <f>'Data Sheet'!H20/'Data Sheet'!H$17</f>
        <v>1.0851604311046439E-3</v>
      </c>
      <c r="J12" s="4">
        <f>'Data Sheet'!I20/'Data Sheet'!I$17</f>
        <v>1.1991796521016304E-3</v>
      </c>
      <c r="K12" s="4">
        <f>'Data Sheet'!J20/'Data Sheet'!J$17</f>
        <v>1.2949827552547668E-3</v>
      </c>
      <c r="L12" s="4">
        <f>'Data Sheet'!K20/'Data Sheet'!K$17</f>
        <v>1.3620467513344376E-3</v>
      </c>
    </row>
    <row r="13" spans="2:13">
      <c r="B13" t="str">
        <f>'Data Sheet'!A21</f>
        <v>Other Mfr. Exp</v>
      </c>
      <c r="C13" s="4">
        <f>'Data Sheet'!B21/'Data Sheet'!B$17</f>
        <v>9.3848593071859832E-2</v>
      </c>
      <c r="D13" s="4">
        <f>'Data Sheet'!C21/'Data Sheet'!C$17</f>
        <v>9.8008293908066119E-2</v>
      </c>
      <c r="E13" s="4">
        <f>'Data Sheet'!D21/'Data Sheet'!D$17</f>
        <v>0.1033152775020561</v>
      </c>
      <c r="F13" s="4">
        <f>'Data Sheet'!E21/'Data Sheet'!E$17</f>
        <v>0.11977018445721198</v>
      </c>
      <c r="G13" s="4">
        <f>'Data Sheet'!F21/'Data Sheet'!F$17</f>
        <v>0.12210461389344759</v>
      </c>
      <c r="H13" s="4">
        <f>'Data Sheet'!G21/'Data Sheet'!G$17</f>
        <v>0.12739867823871329</v>
      </c>
      <c r="I13" s="4">
        <f>'Data Sheet'!H21/'Data Sheet'!H$17</f>
        <v>0.17009067666329608</v>
      </c>
      <c r="J13" s="4">
        <f>'Data Sheet'!I21/'Data Sheet'!I$17</f>
        <v>0.17940000136270415</v>
      </c>
      <c r="K13" s="4">
        <f>'Data Sheet'!J21/'Data Sheet'!J$17</f>
        <v>0.17697013079976573</v>
      </c>
      <c r="L13" s="4">
        <f>'Data Sheet'!K21/'Data Sheet'!K$17</f>
        <v>0.18648383336401006</v>
      </c>
    </row>
    <row r="14" spans="2:13">
      <c r="B14" t="str">
        <f>'Data Sheet'!A22</f>
        <v>Employee Cost</v>
      </c>
      <c r="C14" s="4">
        <f>'Data Sheet'!B22/'Data Sheet'!B$17</f>
        <v>0.55116029531878097</v>
      </c>
      <c r="D14" s="4">
        <f>'Data Sheet'!C22/'Data Sheet'!C$17</f>
        <v>0.55004088546229779</v>
      </c>
      <c r="E14" s="4">
        <f>'Data Sheet'!D22/'Data Sheet'!D$17</f>
        <v>0.5516292788066135</v>
      </c>
      <c r="F14" s="4">
        <f>'Data Sheet'!E22/'Data Sheet'!E$17</f>
        <v>0.54820683398850922</v>
      </c>
      <c r="G14" s="4">
        <f>'Data Sheet'!F22/'Data Sheet'!F$17</f>
        <v>0.5605731845667522</v>
      </c>
      <c r="H14" s="4">
        <f>'Data Sheet'!G22/'Data Sheet'!G$17</f>
        <v>0.55286049844732865</v>
      </c>
      <c r="I14" s="4">
        <f>'Data Sheet'!H22/'Data Sheet'!H$17</f>
        <v>0.52611372810154466</v>
      </c>
      <c r="J14" s="4">
        <f>'Data Sheet'!I22/'Data Sheet'!I$17</f>
        <v>0.53400287530575674</v>
      </c>
      <c r="K14" s="4">
        <f>'Data Sheet'!J22/'Data Sheet'!J$17</f>
        <v>0.53774972343333116</v>
      </c>
      <c r="L14" s="4">
        <f>'Data Sheet'!K22/'Data Sheet'!K$17</f>
        <v>0.52744340143567092</v>
      </c>
    </row>
    <row r="15" spans="2:13">
      <c r="B15" t="str">
        <f>'Data Sheet'!A23</f>
        <v>Selling and admin</v>
      </c>
      <c r="C15" s="4">
        <f>'Data Sheet'!B23/'Data Sheet'!B$17</f>
        <v>7.1123140244390703E-2</v>
      </c>
      <c r="D15" s="4">
        <f>'Data Sheet'!C23/'Data Sheet'!C$17</f>
        <v>6.6935342561766253E-2</v>
      </c>
      <c r="E15" s="4">
        <f>'Data Sheet'!D23/'Data Sheet'!D$17</f>
        <v>6.5015172570261764E-2</v>
      </c>
      <c r="F15" s="4">
        <f>'Data Sheet'!E23/'Data Sheet'!E$17</f>
        <v>6.7166616268521315E-2</v>
      </c>
      <c r="G15" s="4">
        <f>'Data Sheet'!F23/'Data Sheet'!F$17</f>
        <v>5.9201903272350781E-2</v>
      </c>
      <c r="H15" s="4">
        <f>'Data Sheet'!G23/'Data Sheet'!G$17</f>
        <v>3.1789951429253921E-2</v>
      </c>
      <c r="I15" s="4">
        <f>'Data Sheet'!H23/'Data Sheet'!H$17</f>
        <v>3.5391027696253727E-2</v>
      </c>
      <c r="J15" s="4">
        <f>'Data Sheet'!I23/'Data Sheet'!I$17</f>
        <v>3.6111659978060463E-2</v>
      </c>
      <c r="K15" s="4">
        <f>'Data Sheet'!J23/'Data Sheet'!J$17</f>
        <v>3.712500813431379E-2</v>
      </c>
      <c r="L15" s="4">
        <f>'Data Sheet'!K23/'Data Sheet'!K$17</f>
        <v>3.7051352843732746E-2</v>
      </c>
    </row>
    <row r="16" spans="2:13">
      <c r="B16" t="str">
        <f>'Data Sheet'!A24</f>
        <v>Other Expenses</v>
      </c>
      <c r="C16" s="4">
        <f>'Data Sheet'!B24/'Data Sheet'!B$17</f>
        <v>6.8704857385371793E-3</v>
      </c>
      <c r="D16" s="4">
        <f>'Data Sheet'!C24/'Data Sheet'!C$17</f>
        <v>1.0031540213772561E-2</v>
      </c>
      <c r="E16" s="4">
        <f>'Data Sheet'!D24/'Data Sheet'!D$17</f>
        <v>1.0209579989223221E-2</v>
      </c>
      <c r="F16" s="4">
        <f>'Data Sheet'!E24/'Data Sheet'!E$17</f>
        <v>1.8215905654671908E-2</v>
      </c>
      <c r="G16" s="4">
        <f>'Data Sheet'!F24/'Data Sheet'!F$17</f>
        <v>1.0342434822834862E-2</v>
      </c>
      <c r="H16" s="4">
        <f>'Data Sheet'!G24/'Data Sheet'!G$17</f>
        <v>8.9477665419221281E-3</v>
      </c>
      <c r="I16" s="4">
        <f>'Data Sheet'!H24/'Data Sheet'!H$17</f>
        <v>8.4346560781315503E-3</v>
      </c>
      <c r="J16" s="4">
        <f>'Data Sheet'!I24/'Data Sheet'!I$17</f>
        <v>9.9272997335913393E-3</v>
      </c>
      <c r="K16" s="4">
        <f>'Data Sheet'!J24/'Data Sheet'!J$17</f>
        <v>9.8262510574607925E-3</v>
      </c>
      <c r="L16" s="4">
        <f>'Data Sheet'!K24/'Data Sheet'!K$17</f>
        <v>6.9329406712068222E-3</v>
      </c>
    </row>
    <row r="17" spans="2:12">
      <c r="B17" t="str">
        <f>'Data Sheet'!A25</f>
        <v>Other Income</v>
      </c>
      <c r="C17" s="4">
        <f>'Data Sheet'!B25/'Data Sheet'!B$17</f>
        <v>4.9967169007543118E-2</v>
      </c>
      <c r="D17" s="4">
        <f>'Data Sheet'!C25/'Data Sheet'!C$17</f>
        <v>4.4535950002920391E-2</v>
      </c>
      <c r="E17" s="4">
        <f>'Data Sheet'!D25/'Data Sheet'!D$17</f>
        <v>4.6949887978219564E-2</v>
      </c>
      <c r="F17" s="4">
        <f>'Data Sheet'!E25/'Data Sheet'!E$17</f>
        <v>3.4859389174478381E-2</v>
      </c>
      <c r="G17" s="4">
        <f>'Data Sheet'!F25/'Data Sheet'!F$17</f>
        <v>3.0873104162306837E-2</v>
      </c>
      <c r="H17" s="4">
        <f>'Data Sheet'!G25/'Data Sheet'!G$17</f>
        <v>2.1906600844016244E-2</v>
      </c>
      <c r="I17" s="4">
        <f>'Data Sheet'!H25/'Data Sheet'!H$17</f>
        <v>1.886699385897847E-2</v>
      </c>
      <c r="J17" s="4">
        <f>'Data Sheet'!I25/'Data Sheet'!I$17</f>
        <v>1.8403319547309682E-2</v>
      </c>
      <c r="K17" s="4">
        <f>'Data Sheet'!J25/'Data Sheet'!J$17</f>
        <v>3.0656601809071388E-2</v>
      </c>
      <c r="L17" s="4">
        <f>'Data Sheet'!K25/'Data Sheet'!K$17</f>
        <v>2.2087244616234125E-2</v>
      </c>
    </row>
    <row r="18" spans="2:12">
      <c r="B18" t="str">
        <f>'Data Sheet'!A26</f>
        <v>Depreciation</v>
      </c>
      <c r="C18" s="4">
        <f>'Data Sheet'!B26/'Data Sheet'!B$17</f>
        <v>2.3366057558335068E-2</v>
      </c>
      <c r="D18" s="4">
        <f>'Data Sheet'!C26/'Data Sheet'!C$17</f>
        <v>2.4867122247532271E-2</v>
      </c>
      <c r="E18" s="4">
        <f>'Data Sheet'!D26/'Data Sheet'!D$17</f>
        <v>2.6417288222115084E-2</v>
      </c>
      <c r="F18" s="4">
        <f>'Data Sheet'!E26/'Data Sheet'!E$17</f>
        <v>2.4324160870879952E-2</v>
      </c>
      <c r="G18" s="4">
        <f>'Data Sheet'!F26/'Data Sheet'!F$17</f>
        <v>3.1864391845006661E-2</v>
      </c>
      <c r="H18" s="4">
        <f>'Data Sheet'!G26/'Data Sheet'!G$17</f>
        <v>3.2516522016084085E-2</v>
      </c>
      <c r="I18" s="4">
        <f>'Data Sheet'!H26/'Data Sheet'!H$17</f>
        <v>2.8575891352422292E-2</v>
      </c>
      <c r="J18" s="4">
        <f>'Data Sheet'!I26/'Data Sheet'!I$17</f>
        <v>2.8787125171189708E-2</v>
      </c>
      <c r="K18" s="4">
        <f>'Data Sheet'!J26/'Data Sheet'!J$17</f>
        <v>3.0441855925034164E-2</v>
      </c>
      <c r="L18" s="4">
        <f>'Data Sheet'!K26/'Data Sheet'!K$17</f>
        <v>2.9523283637032948E-2</v>
      </c>
    </row>
    <row r="19" spans="2:12">
      <c r="B19" t="str">
        <f>'Data Sheet'!A27</f>
        <v>Interest</v>
      </c>
      <c r="C19" s="4">
        <f>'Data Sheet'!B27/'Data Sheet'!B$17</f>
        <v>0</v>
      </c>
      <c r="D19" s="4">
        <f>'Data Sheet'!C27/'Data Sheet'!C$17</f>
        <v>0</v>
      </c>
      <c r="E19" s="4">
        <f>'Data Sheet'!D27/'Data Sheet'!D$17</f>
        <v>0</v>
      </c>
      <c r="F19" s="4">
        <f>'Data Sheet'!E27/'Data Sheet'!E$17</f>
        <v>0</v>
      </c>
      <c r="G19" s="4">
        <f>'Data Sheet'!F27/'Data Sheet'!F$17</f>
        <v>1.8724322895441179E-3</v>
      </c>
      <c r="H19" s="4">
        <f>'Data Sheet'!G27/'Data Sheet'!G$17</f>
        <v>1.9408392387928975E-3</v>
      </c>
      <c r="I19" s="4">
        <f>'Data Sheet'!H27/'Data Sheet'!H$17</f>
        <v>1.6441824713706726E-3</v>
      </c>
      <c r="J19" s="4">
        <f>'Data Sheet'!I27/'Data Sheet'!I$17</f>
        <v>1.9350398931639945E-3</v>
      </c>
      <c r="K19" s="4">
        <f>'Data Sheet'!J27/'Data Sheet'!J$17</f>
        <v>3.0585019847725646E-3</v>
      </c>
      <c r="L19" s="4">
        <f>'Data Sheet'!K27/'Data Sheet'!K$17</f>
        <v>2.5523038223203877E-3</v>
      </c>
    </row>
    <row r="20" spans="2:12">
      <c r="B20" t="str">
        <f>'Data Sheet'!A28</f>
        <v>Profit before tax</v>
      </c>
      <c r="C20" s="4">
        <f>'Data Sheet'!B28/'Data Sheet'!B$17</f>
        <v>0.30012331641069168</v>
      </c>
      <c r="D20" s="4">
        <f>'Data Sheet'!C28/'Data Sheet'!C$17</f>
        <v>0.29132352082238189</v>
      </c>
      <c r="E20" s="4">
        <f>'Data Sheet'!D28/'Data Sheet'!D$17</f>
        <v>0.28742803664104816</v>
      </c>
      <c r="F20" s="4">
        <f>'Data Sheet'!E28/'Data Sheet'!E$17</f>
        <v>0.25450257030541273</v>
      </c>
      <c r="G20" s="4">
        <f>'Data Sheet'!F28/'Data Sheet'!F$17</f>
        <v>0.24239186703527882</v>
      </c>
      <c r="H20" s="4">
        <f>'Data Sheet'!G28/'Data Sheet'!G$17</f>
        <v>0.26502906282347322</v>
      </c>
      <c r="I20" s="4">
        <f>'Data Sheet'!H28/'Data Sheet'!H$17</f>
        <v>0.24753167106485477</v>
      </c>
      <c r="J20" s="4">
        <f>'Data Sheet'!I28/'Data Sheet'!I$17</f>
        <v>0.22704013845074164</v>
      </c>
      <c r="K20" s="4">
        <f>'Data Sheet'!J28/'Data Sheet'!J$17</f>
        <v>0.2341901477191384</v>
      </c>
      <c r="L20" s="4">
        <f>'Data Sheet'!K28/'Data Sheet'!K$17</f>
        <v>0.23073808209092583</v>
      </c>
    </row>
    <row r="21" spans="2:12">
      <c r="B21" t="str">
        <f>'Data Sheet'!A29</f>
        <v>Tax</v>
      </c>
      <c r="C21" s="4">
        <f>'Data Sheet'!B29/'Data Sheet'!B$17</f>
        <v>8.4095386044425943E-2</v>
      </c>
      <c r="D21" s="4">
        <f>'Data Sheet'!C29/'Data Sheet'!C$17</f>
        <v>8.1741720693884704E-2</v>
      </c>
      <c r="E21" s="4">
        <f>'Data Sheet'!D29/'Data Sheet'!D$17</f>
        <v>6.0137262130966221E-2</v>
      </c>
      <c r="F21" s="4">
        <f>'Data Sheet'!E29/'Data Sheet'!E$17</f>
        <v>6.8110069549440586E-2</v>
      </c>
      <c r="G21" s="4">
        <f>'Data Sheet'!F29/'Data Sheet'!F$17</f>
        <v>5.9124803119251911E-2</v>
      </c>
      <c r="H21" s="4">
        <f>'Data Sheet'!G29/'Data Sheet'!G$17</f>
        <v>7.1711521617963209E-2</v>
      </c>
      <c r="I21" s="4">
        <f>'Data Sheet'!H29/'Data Sheet'!H$17</f>
        <v>6.5471346009980183E-2</v>
      </c>
      <c r="J21" s="4">
        <f>'Data Sheet'!I29/'Data Sheet'!I$17</f>
        <v>6.2779780195820589E-2</v>
      </c>
      <c r="K21" s="4">
        <f>'Data Sheet'!J29/'Data Sheet'!J$17</f>
        <v>6.3382573046137827E-2</v>
      </c>
      <c r="L21" s="4">
        <f>'Data Sheet'!K29/'Data Sheet'!K$17</f>
        <v>6.6617583900852817E-2</v>
      </c>
    </row>
    <row r="22" spans="2:12">
      <c r="B22" t="str">
        <f>'Data Sheet'!A30</f>
        <v>Net profit</v>
      </c>
      <c r="C22" s="4">
        <f>'Data Sheet'!B30/'Data Sheet'!B$17</f>
        <v>0.21602793036626575</v>
      </c>
      <c r="D22" s="4">
        <f>'Data Sheet'!C30/'Data Sheet'!C$17</f>
        <v>0.20958180012849717</v>
      </c>
      <c r="E22" s="4">
        <f>'Data Sheet'!D30/'Data Sheet'!D$17</f>
        <v>0.22729077451008195</v>
      </c>
      <c r="F22" s="4">
        <f>'Data Sheet'!E30/'Data Sheet'!E$17</f>
        <v>0.1863199274266707</v>
      </c>
      <c r="G22" s="4">
        <f>'Data Sheet'!F30/'Data Sheet'!F$17</f>
        <v>0.182771420074677</v>
      </c>
      <c r="H22" s="4">
        <f>'Data Sheet'!G30/'Data Sheet'!G$17</f>
        <v>0.19260092364041723</v>
      </c>
      <c r="I22" s="4">
        <f>'Data Sheet'!H30/'Data Sheet'!H$17</f>
        <v>0.18176437221002786</v>
      </c>
      <c r="J22" s="4">
        <f>'Data Sheet'!I30/'Data Sheet'!I$17</f>
        <v>0.16417178248516356</v>
      </c>
      <c r="K22" s="4">
        <f>'Data Sheet'!J30/'Data Sheet'!J$17</f>
        <v>0.17070996290752913</v>
      </c>
      <c r="L22" s="4">
        <f>'Data Sheet'!K30/'Data Sheet'!K$17</f>
        <v>0.16389349039818393</v>
      </c>
    </row>
    <row r="23" spans="2:12">
      <c r="B23" t="str">
        <f>'Data Sheet'!A31</f>
        <v>Dividend Amount</v>
      </c>
      <c r="C23" s="4">
        <f>'Data Sheet'!B31/'Data Sheet'!B$17</f>
        <v>8.8858282218414172E-2</v>
      </c>
      <c r="D23" s="4">
        <f>'Data Sheet'!C31/'Data Sheet'!C$17</f>
        <v>8.6028853454821572E-2</v>
      </c>
      <c r="E23" s="4">
        <f>'Data Sheet'!D31/'Data Sheet'!D$17</f>
        <v>0.13422194492498796</v>
      </c>
      <c r="F23" s="4">
        <f>'Data Sheet'!E31/'Data Sheet'!E$17</f>
        <v>0.11155125491381918</v>
      </c>
      <c r="G23" s="4">
        <f>'Data Sheet'!F31/'Data Sheet'!F$17</f>
        <v>8.1803262437906837E-2</v>
      </c>
      <c r="H23" s="4">
        <f>'Data Sheet'!G31/'Data Sheet'!G$17</f>
        <v>0.11415717811927702</v>
      </c>
      <c r="I23" s="4">
        <f>'Data Sheet'!H31/'Data Sheet'!H$17</f>
        <v>0.10693433957300581</v>
      </c>
      <c r="J23" s="4">
        <f>'Data Sheet'!I31/'Data Sheet'!I$17</f>
        <v>9.5860786144024213E-2</v>
      </c>
      <c r="K23" s="4">
        <f>'Data Sheet'!J31/'Data Sheet'!J$17</f>
        <v>0.12398776599206092</v>
      </c>
      <c r="L23" s="4">
        <f>'Data Sheet'!K31/'Data Sheet'!K$17</f>
        <v>0.10937971654702743</v>
      </c>
    </row>
    <row r="26" spans="2:12" ht="15.75">
      <c r="B26" s="205" t="s">
        <v>81</v>
      </c>
      <c r="C26" s="205"/>
      <c r="D26" s="205"/>
      <c r="E26" s="205"/>
      <c r="F26" s="205"/>
      <c r="G26" s="205"/>
      <c r="H26" s="205"/>
      <c r="I26" s="205"/>
      <c r="J26" s="205"/>
      <c r="K26" s="205"/>
      <c r="L26" s="205"/>
    </row>
    <row r="28" spans="2:12">
      <c r="B28" s="69" t="s">
        <v>80</v>
      </c>
      <c r="C28" s="103">
        <v>42460</v>
      </c>
      <c r="D28" s="103">
        <v>42825</v>
      </c>
      <c r="E28" s="103">
        <v>43190</v>
      </c>
      <c r="F28" s="103">
        <v>43555</v>
      </c>
      <c r="G28" s="103">
        <v>43921</v>
      </c>
      <c r="H28" s="103">
        <v>44286</v>
      </c>
      <c r="I28" s="103">
        <v>44651</v>
      </c>
      <c r="J28" s="103">
        <v>45016</v>
      </c>
      <c r="K28" s="103">
        <v>45382</v>
      </c>
      <c r="L28" s="103">
        <v>45747</v>
      </c>
    </row>
    <row r="29" spans="2:12">
      <c r="B29" s="2"/>
      <c r="C29" s="104"/>
      <c r="D29" s="104"/>
      <c r="E29" s="104"/>
      <c r="F29" s="104"/>
      <c r="G29" s="104"/>
      <c r="H29" s="104"/>
      <c r="I29" s="104"/>
      <c r="J29" s="104"/>
      <c r="K29" s="104"/>
      <c r="L29" s="104"/>
    </row>
    <row r="30" spans="2:12">
      <c r="B30" s="2" t="s">
        <v>82</v>
      </c>
      <c r="C30" s="8">
        <f>'Data Sheet'!B61/'Data Sheet'!B$61</f>
        <v>1</v>
      </c>
      <c r="D30" s="8">
        <f>'Data Sheet'!C61/'Data Sheet'!C$61</f>
        <v>1</v>
      </c>
      <c r="E30" s="8">
        <f>'Data Sheet'!D61/'Data Sheet'!D$61</f>
        <v>1</v>
      </c>
      <c r="F30" s="8">
        <f>'Data Sheet'!E61/'Data Sheet'!E$61</f>
        <v>1</v>
      </c>
      <c r="G30" s="8">
        <f>'Data Sheet'!F61/'Data Sheet'!F$61</f>
        <v>1</v>
      </c>
      <c r="H30" s="8">
        <f>'Data Sheet'!G61/'Data Sheet'!G$61</f>
        <v>1</v>
      </c>
      <c r="I30" s="8">
        <f>'Data Sheet'!H61/'Data Sheet'!H$61</f>
        <v>1</v>
      </c>
      <c r="J30" s="8">
        <f>'Data Sheet'!I61/'Data Sheet'!I$61</f>
        <v>1</v>
      </c>
      <c r="K30" s="8">
        <f>'Data Sheet'!J61/'Data Sheet'!J$61</f>
        <v>1</v>
      </c>
      <c r="L30" s="8">
        <f>'Data Sheet'!K61/'Data Sheet'!K$61</f>
        <v>1</v>
      </c>
    </row>
    <row r="31" spans="2:12">
      <c r="B31" t="str">
        <f>'Data Sheet'!A57</f>
        <v>Equity Share Capital</v>
      </c>
      <c r="C31" s="4">
        <f>'Data Sheet'!B57/'Data Sheet'!B$61</f>
        <v>1.5233428320328105E-2</v>
      </c>
      <c r="D31" s="4">
        <f>'Data Sheet'!C57/'Data Sheet'!C$61</f>
        <v>1.3758599124452783E-2</v>
      </c>
      <c r="E31" s="4">
        <f>'Data Sheet'!D57/'Data Sheet'!D$61</f>
        <v>1.3711577965695851E-2</v>
      </c>
      <c r="F31" s="4">
        <f>'Data Sheet'!E57/'Data Sheet'!E$61</f>
        <v>2.5813051649894132E-2</v>
      </c>
      <c r="G31" s="4">
        <f>'Data Sheet'!F57/'Data Sheet'!F$61</f>
        <v>2.3115468409586056E-2</v>
      </c>
      <c r="H31" s="4">
        <f>'Data Sheet'!G57/'Data Sheet'!G$61</f>
        <v>1.9756117978625445E-2</v>
      </c>
      <c r="I31" s="4">
        <f>'Data Sheet'!H57/'Data Sheet'!H$61</f>
        <v>1.7973254289850853E-2</v>
      </c>
      <c r="J31" s="4">
        <f>'Data Sheet'!I57/'Data Sheet'!I$61</f>
        <v>1.6605669523901249E-2</v>
      </c>
      <c r="K31" s="4">
        <f>'Data Sheet'!J57/'Data Sheet'!J$61</f>
        <v>1.5077169481654048E-2</v>
      </c>
      <c r="L31" s="4">
        <f>'Data Sheet'!K57/'Data Sheet'!K$61</f>
        <v>1.4026184918298995E-2</v>
      </c>
    </row>
    <row r="32" spans="2:12">
      <c r="B32" t="str">
        <f>'Data Sheet'!A58</f>
        <v>Reserves</v>
      </c>
      <c r="C32" s="4">
        <f>'Data Sheet'!B58/'Data Sheet'!B$61</f>
        <v>0.80694559109430342</v>
      </c>
      <c r="D32" s="4">
        <f>'Data Sheet'!C58/'Data Sheet'!C$61</f>
        <v>0.81587049598306638</v>
      </c>
      <c r="E32" s="4">
        <f>'Data Sheet'!D58/'Data Sheet'!D$61</f>
        <v>0.80448398845606117</v>
      </c>
      <c r="F32" s="4">
        <f>'Data Sheet'!E58/'Data Sheet'!E$61</f>
        <v>0.74677039468988649</v>
      </c>
      <c r="G32" s="4">
        <f>'Data Sheet'!F58/'Data Sheet'!F$61</f>
        <v>0.68984749455337691</v>
      </c>
      <c r="H32" s="4">
        <f>'Data Sheet'!G58/'Data Sheet'!G$61</f>
        <v>0.69041307401103147</v>
      </c>
      <c r="I32" s="4">
        <f>'Data Sheet'!H58/'Data Sheet'!H$61</f>
        <v>0.62753900059111278</v>
      </c>
      <c r="J32" s="4">
        <f>'Data Sheet'!I58/'Data Sheet'!I$61</f>
        <v>0.58860637580660691</v>
      </c>
      <c r="K32" s="4">
        <f>'Data Sheet'!J58/'Data Sheet'!J$61</f>
        <v>0.6264196272568433</v>
      </c>
      <c r="L32" s="4">
        <f>'Data Sheet'!K58/'Data Sheet'!K$61</f>
        <v>0.63429074055279266</v>
      </c>
    </row>
    <row r="33" spans="2:12">
      <c r="B33" t="str">
        <f>'Data Sheet'!A59</f>
        <v>Borrowings</v>
      </c>
      <c r="C33" s="4">
        <f>'Data Sheet'!B59/'Data Sheet'!B$61</f>
        <v>0</v>
      </c>
      <c r="D33" s="4">
        <f>'Data Sheet'!C59/'Data Sheet'!C$61</f>
        <v>0</v>
      </c>
      <c r="E33" s="4">
        <f>'Data Sheet'!D59/'Data Sheet'!D$61</f>
        <v>0</v>
      </c>
      <c r="F33" s="4">
        <f>'Data Sheet'!E59/'Data Sheet'!E$61</f>
        <v>0</v>
      </c>
      <c r="G33" s="4">
        <f>'Data Sheet'!F59/'Data Sheet'!F$61</f>
        <v>5.0468409586056646E-2</v>
      </c>
      <c r="H33" s="4">
        <f>'Data Sheet'!G59/'Data Sheet'!G$61</f>
        <v>4.9529815553757288E-2</v>
      </c>
      <c r="I33" s="4">
        <f>'Data Sheet'!H59/'Data Sheet'!H$61</f>
        <v>4.6894944700974051E-2</v>
      </c>
      <c r="J33" s="4">
        <f>'Data Sheet'!I59/'Data Sheet'!I$61</f>
        <v>6.6607274711868766E-2</v>
      </c>
      <c r="K33" s="4">
        <f>'Data Sheet'!J59/'Data Sheet'!J$61</f>
        <v>6.0854688410017475E-2</v>
      </c>
      <c r="L33" s="4">
        <f>'Data Sheet'!K59/'Data Sheet'!K$61</f>
        <v>5.566494130383301E-2</v>
      </c>
    </row>
    <row r="34" spans="2:12">
      <c r="B34" t="str">
        <f>'Data Sheet'!A60</f>
        <v>Other Liabilities</v>
      </c>
      <c r="C34" s="4">
        <f>'Data Sheet'!B60/'Data Sheet'!B$61</f>
        <v>0.17782098058536847</v>
      </c>
      <c r="D34" s="4">
        <f>'Data Sheet'!C60/'Data Sheet'!C$61</f>
        <v>0.17037090489248088</v>
      </c>
      <c r="E34" s="4">
        <f>'Data Sheet'!D60/'Data Sheet'!D$61</f>
        <v>0.18180443357824294</v>
      </c>
      <c r="F34" s="4">
        <f>'Data Sheet'!E60/'Data Sheet'!E$61</f>
        <v>0.22741655366021934</v>
      </c>
      <c r="G34" s="4">
        <f>'Data Sheet'!F60/'Data Sheet'!F$61</f>
        <v>0.2365686274509804</v>
      </c>
      <c r="H34" s="4">
        <f>'Data Sheet'!G60/'Data Sheet'!G$61</f>
        <v>0.24030099245658584</v>
      </c>
      <c r="I34" s="4">
        <f>'Data Sheet'!H60/'Data Sheet'!H$61</f>
        <v>0.30759280041806236</v>
      </c>
      <c r="J34" s="4">
        <f>'Data Sheet'!I60/'Data Sheet'!I$61</f>
        <v>0.32818067995762301</v>
      </c>
      <c r="K34" s="4">
        <f>'Data Sheet'!J60/'Data Sheet'!J$61</f>
        <v>0.29764851485148514</v>
      </c>
      <c r="L34" s="4">
        <f>'Data Sheet'!K60/'Data Sheet'!K$61</f>
        <v>0.29601813322507525</v>
      </c>
    </row>
    <row r="36" spans="2:12">
      <c r="B36" s="2" t="s">
        <v>49</v>
      </c>
      <c r="C36" s="4">
        <f>'Data Sheet'!B66/'Data Sheet'!B$66</f>
        <v>1</v>
      </c>
      <c r="D36" s="4">
        <f>'Data Sheet'!C66/'Data Sheet'!C$66</f>
        <v>1</v>
      </c>
      <c r="E36" s="4">
        <f>'Data Sheet'!D66/'Data Sheet'!D$66</f>
        <v>1</v>
      </c>
      <c r="F36" s="4">
        <f>'Data Sheet'!E66/'Data Sheet'!E$66</f>
        <v>1</v>
      </c>
      <c r="G36" s="4">
        <f>'Data Sheet'!F66/'Data Sheet'!F$66</f>
        <v>1</v>
      </c>
      <c r="H36" s="4">
        <f>'Data Sheet'!G66/'Data Sheet'!G$66</f>
        <v>1</v>
      </c>
      <c r="I36" s="4">
        <f>'Data Sheet'!H66/'Data Sheet'!H$66</f>
        <v>1</v>
      </c>
      <c r="J36" s="4">
        <f>'Data Sheet'!I66/'Data Sheet'!I$66</f>
        <v>1</v>
      </c>
      <c r="K36" s="4">
        <f>'Data Sheet'!J66/'Data Sheet'!J$66</f>
        <v>1</v>
      </c>
      <c r="L36" s="4">
        <f>'Data Sheet'!K66/'Data Sheet'!K$66</f>
        <v>1</v>
      </c>
    </row>
    <row r="37" spans="2:12">
      <c r="B37" t="str">
        <f>'Data Sheet'!A62</f>
        <v>Net Block</v>
      </c>
      <c r="C37" s="4">
        <f>'Data Sheet'!B62/'Data Sheet'!B$61</f>
        <v>0.17824709046845455</v>
      </c>
      <c r="D37" s="4">
        <f>'Data Sheet'!C62/'Data Sheet'!C$61</f>
        <v>0.1705272526098042</v>
      </c>
      <c r="E37" s="4">
        <f>'Data Sheet'!D62/'Data Sheet'!D$61</f>
        <v>0.15846450490869451</v>
      </c>
      <c r="F37" s="4">
        <f>'Data Sheet'!E62/'Data Sheet'!E$61</f>
        <v>0.18687697761282801</v>
      </c>
      <c r="G37" s="4">
        <f>'Data Sheet'!F62/'Data Sheet'!F$61</f>
        <v>0.25913943355119828</v>
      </c>
      <c r="H37" s="4">
        <f>'Data Sheet'!G62/'Data Sheet'!G$61</f>
        <v>0.23723153909832481</v>
      </c>
      <c r="I37" s="4">
        <f>'Data Sheet'!H62/'Data Sheet'!H$61</f>
        <v>0.22102476676746996</v>
      </c>
      <c r="J37" s="4">
        <f>'Data Sheet'!I62/'Data Sheet'!I$61</f>
        <v>0.23455809175254422</v>
      </c>
      <c r="K37" s="4">
        <f>'Data Sheet'!J62/'Data Sheet'!J$61</f>
        <v>0.20109202096680256</v>
      </c>
      <c r="L37" s="4">
        <f>'Data Sheet'!K62/'Data Sheet'!K$61</f>
        <v>0.20948611252072127</v>
      </c>
    </row>
    <row r="38" spans="2:12">
      <c r="B38" t="str">
        <f>'Data Sheet'!A63</f>
        <v>Capital Work in Progress</v>
      </c>
      <c r="C38" s="4">
        <f>'Data Sheet'!B63/'Data Sheet'!B$61</f>
        <v>1.2783296492583024E-2</v>
      </c>
      <c r="D38" s="4">
        <f>'Data Sheet'!C63/'Data Sheet'!C$61</f>
        <v>1.6416510318949345E-2</v>
      </c>
      <c r="E38" s="4">
        <f>'Data Sheet'!D63/'Data Sheet'!D$61</f>
        <v>2.0239700563334132E-2</v>
      </c>
      <c r="F38" s="4">
        <f>'Data Sheet'!E63/'Data Sheet'!E$61</f>
        <v>1.6510836723526753E-2</v>
      </c>
      <c r="G38" s="4">
        <f>'Data Sheet'!F63/'Data Sheet'!F$61</f>
        <v>1.0392156862745097E-2</v>
      </c>
      <c r="H38" s="4">
        <f>'Data Sheet'!G63/'Data Sheet'!G$61</f>
        <v>8.575866655505018E-3</v>
      </c>
      <c r="I38" s="4">
        <f>'Data Sheet'!H63/'Data Sheet'!H$61</f>
        <v>3.5638101928398254E-3</v>
      </c>
      <c r="J38" s="4">
        <f>'Data Sheet'!I63/'Data Sheet'!I$61</f>
        <v>2.3114706732158337E-3</v>
      </c>
      <c r="K38" s="4">
        <f>'Data Sheet'!J63/'Data Sheet'!J$61</f>
        <v>2.1330809551543392E-3</v>
      </c>
      <c r="L38" s="4">
        <f>'Data Sheet'!K63/'Data Sheet'!K$61</f>
        <v>5.5076288101762573E-3</v>
      </c>
    </row>
    <row r="39" spans="2:12">
      <c r="B39" t="str">
        <f>'Data Sheet'!A64</f>
        <v>Investments</v>
      </c>
      <c r="C39" s="4">
        <f>'Data Sheet'!B64/'Data Sheet'!B$61</f>
        <v>2.5193746837465711E-2</v>
      </c>
      <c r="D39" s="4">
        <f>'Data Sheet'!C64/'Data Sheet'!C$61</f>
        <v>0.19751527396930774</v>
      </c>
      <c r="E39" s="4">
        <f>'Data Sheet'!D64/'Data Sheet'!D$61</f>
        <v>0.15328485551172669</v>
      </c>
      <c r="F39" s="4">
        <f>'Data Sheet'!E64/'Data Sheet'!E$61</f>
        <v>0.13395427402279161</v>
      </c>
      <c r="G39" s="4">
        <f>'Data Sheet'!F64/'Data Sheet'!F$61</f>
        <v>9.5773420479302832E-2</v>
      </c>
      <c r="H39" s="4">
        <f>'Data Sheet'!G64/'Data Sheet'!G$61</f>
        <v>0.13212601501241733</v>
      </c>
      <c r="I39" s="4">
        <f>'Data Sheet'!H64/'Data Sheet'!H$61</f>
        <v>0.17411268836364571</v>
      </c>
      <c r="J39" s="4">
        <f>'Data Sheet'!I64/'Data Sheet'!I$61</f>
        <v>0.15632925615589585</v>
      </c>
      <c r="K39" s="4">
        <f>'Data Sheet'!J64/'Data Sheet'!J$61</f>
        <v>0.17925888177052998</v>
      </c>
      <c r="L39" s="4">
        <f>'Data Sheet'!K64/'Data Sheet'!K$61</f>
        <v>0.15928143712574849</v>
      </c>
    </row>
    <row r="40" spans="2:12">
      <c r="B40" t="str">
        <f>'Data Sheet'!A65</f>
        <v>Other Assets</v>
      </c>
      <c r="C40" s="4">
        <f>'Data Sheet'!B74/'Data Sheet'!B$66</f>
        <v>0.19751524674425416</v>
      </c>
      <c r="D40" s="4">
        <f>'Data Sheet'!C74/'Data Sheet'!C$66</f>
        <v>0.1952422186943763</v>
      </c>
      <c r="E40" s="4">
        <f>'Data Sheet'!D74/'Data Sheet'!D$66</f>
        <v>0.25263078299663511</v>
      </c>
      <c r="F40" s="4">
        <f>'Data Sheet'!E74/'Data Sheet'!E$66</f>
        <v>0.25351509528227822</v>
      </c>
      <c r="G40" s="4">
        <f>'Data Sheet'!F74/'Data Sheet'!F$66</f>
        <v>0.23016339869281047</v>
      </c>
      <c r="H40" s="4">
        <f>'Data Sheet'!G74/'Data Sheet'!G$66</f>
        <v>0.21273172047511418</v>
      </c>
      <c r="I40" s="4">
        <f>'Data Sheet'!H74/'Data Sheet'!H$66</f>
        <v>0.25716831292994885</v>
      </c>
      <c r="J40" s="4">
        <f>'Data Sheet'!I74/'Data Sheet'!I$66</f>
        <v>0.30504992134578957</v>
      </c>
      <c r="K40" s="4">
        <f>'Data Sheet'!J74/'Data Sheet'!J$66</f>
        <v>0.2900626092020967</v>
      </c>
      <c r="L40" s="4">
        <f>'Data Sheet'!K74/'Data Sheet'!K$66</f>
        <v>0.24944010284515714</v>
      </c>
    </row>
    <row r="41" spans="2:12">
      <c r="B41" t="str">
        <f>'Data Sheet'!A67</f>
        <v>Receivables</v>
      </c>
      <c r="C41" s="4">
        <f>'Data Sheet'!B67/'Data Sheet'!B$66</f>
        <v>0.15086953048017257</v>
      </c>
      <c r="D41" s="4">
        <f>'Data Sheet'!C67/'Data Sheet'!C$66</f>
        <v>0.14819358252754125</v>
      </c>
      <c r="E41" s="4">
        <f>'Data Sheet'!D67/'Data Sheet'!D$66</f>
        <v>0.16562275517019748</v>
      </c>
      <c r="F41" s="4">
        <f>'Data Sheet'!E67/'Data Sheet'!E$66</f>
        <v>0.1763733257202674</v>
      </c>
      <c r="G41" s="4">
        <f>'Data Sheet'!F67/'Data Sheet'!F$66</f>
        <v>0.20138344226579522</v>
      </c>
      <c r="H41" s="4">
        <f>'Data Sheet'!G67/'Data Sheet'!G$66</f>
        <v>0.17946070634632735</v>
      </c>
      <c r="I41" s="4">
        <f>'Data Sheet'!H67/'Data Sheet'!H$66</f>
        <v>0.19445039364682298</v>
      </c>
      <c r="J41" s="4">
        <f>'Data Sheet'!I67/'Data Sheet'!I$66</f>
        <v>0.20405149442999776</v>
      </c>
      <c r="K41" s="4">
        <f>'Data Sheet'!J67/'Data Sheet'!J$66</f>
        <v>0.21980926033779849</v>
      </c>
      <c r="L41" s="4">
        <f>'Data Sheet'!K67/'Data Sheet'!K$66</f>
        <v>0.21081903988632902</v>
      </c>
    </row>
    <row r="42" spans="2:12">
      <c r="B42" t="str">
        <f>'Data Sheet'!A68</f>
        <v>Inventory</v>
      </c>
      <c r="C42" s="4">
        <f>'Data Sheet'!B68/'Data Sheet'!B$66</f>
        <v>0</v>
      </c>
      <c r="D42" s="4">
        <f>'Data Sheet'!C68/'Data Sheet'!C$66</f>
        <v>0</v>
      </c>
      <c r="E42" s="4">
        <f>'Data Sheet'!D68/'Data Sheet'!D$66</f>
        <v>0</v>
      </c>
      <c r="F42" s="4">
        <f>'Data Sheet'!E68/'Data Sheet'!E$66</f>
        <v>0</v>
      </c>
      <c r="G42" s="4">
        <f>'Data Sheet'!F68/'Data Sheet'!F$66</f>
        <v>0</v>
      </c>
      <c r="H42" s="4">
        <f>'Data Sheet'!G68/'Data Sheet'!G$66</f>
        <v>0</v>
      </c>
      <c r="I42" s="4">
        <f>'Data Sheet'!H68/'Data Sheet'!H$66</f>
        <v>0</v>
      </c>
      <c r="J42" s="4">
        <f>'Data Sheet'!I68/'Data Sheet'!I$66</f>
        <v>0</v>
      </c>
      <c r="K42" s="4">
        <f>'Data Sheet'!J68/'Data Sheet'!J$66</f>
        <v>0</v>
      </c>
      <c r="L42" s="4">
        <f>'Data Sheet'!K68/'Data Sheet'!K$66</f>
        <v>0</v>
      </c>
    </row>
    <row r="43" spans="2:12">
      <c r="B43" t="str">
        <f>'Data Sheet'!A69</f>
        <v>Cash &amp; Bank</v>
      </c>
      <c r="C43" s="4">
        <f>'Data Sheet'!B69/'Data Sheet'!B$66</f>
        <v>0.43539108897706996</v>
      </c>
      <c r="D43" s="4">
        <f>'Data Sheet'!C69/'Data Sheet'!C$66</f>
        <v>0.27210516188002115</v>
      </c>
      <c r="E43" s="4">
        <f>'Data Sheet'!D69/'Data Sheet'!D$66</f>
        <v>0.24975740084941209</v>
      </c>
      <c r="F43" s="4">
        <f>'Data Sheet'!E69/'Data Sheet'!E$66</f>
        <v>0.23276949063830799</v>
      </c>
      <c r="G43" s="4">
        <f>'Data Sheet'!F69/'Data Sheet'!F$66</f>
        <v>0.20314814814814816</v>
      </c>
      <c r="H43" s="4">
        <f>'Data Sheet'!G69/'Data Sheet'!G$66</f>
        <v>0.22987415241231129</v>
      </c>
      <c r="I43" s="4">
        <f>'Data Sheet'!H69/'Data Sheet'!H$66</f>
        <v>0.14968002809927267</v>
      </c>
      <c r="J43" s="4">
        <f>'Data Sheet'!I69/'Data Sheet'!I$66</f>
        <v>9.7699765642556738E-2</v>
      </c>
      <c r="K43" s="4">
        <f>'Data Sheet'!J69/'Data Sheet'!J$66</f>
        <v>0.10764414676761794</v>
      </c>
      <c r="L43" s="4">
        <f>'Data Sheet'!K69/'Data Sheet'!K$66</f>
        <v>0.1654656788118678</v>
      </c>
    </row>
    <row r="44" spans="2:12">
      <c r="C44" s="4"/>
      <c r="D44" s="4"/>
      <c r="E44" s="4"/>
      <c r="F44" s="4"/>
      <c r="G44" s="4"/>
      <c r="H44" s="4"/>
      <c r="I44" s="4"/>
      <c r="J44" s="4"/>
      <c r="K44" s="4"/>
      <c r="L44" s="4"/>
    </row>
    <row r="45" spans="2:12">
      <c r="B45" s="94"/>
      <c r="C45" s="94"/>
      <c r="D45" s="94"/>
      <c r="E45" s="94"/>
      <c r="F45" s="94"/>
      <c r="G45" s="94"/>
      <c r="H45" s="94"/>
      <c r="I45" s="94"/>
      <c r="J45" s="94"/>
      <c r="K45" s="94"/>
      <c r="L45" s="94"/>
    </row>
  </sheetData>
  <mergeCells count="2">
    <mergeCell ref="B26:L26"/>
    <mergeCell ref="B5:L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6"/>
  <sheetViews>
    <sheetView showGridLines="0" topLeftCell="A8" zoomScale="61" workbookViewId="0">
      <selection activeCell="L28" sqref="L28"/>
    </sheetView>
  </sheetViews>
  <sheetFormatPr defaultRowHeight="14.25"/>
  <cols>
    <col min="1" max="1" width="1.86328125" customWidth="1"/>
    <col min="2" max="2" width="29.3984375" customWidth="1"/>
    <col min="3" max="3" width="12.73046875" customWidth="1"/>
    <col min="4" max="4" width="13" customWidth="1"/>
    <col min="5" max="5" width="12.265625" customWidth="1"/>
    <col min="6" max="6" width="14.59765625" customWidth="1"/>
    <col min="7" max="7" width="13.1328125" customWidth="1"/>
    <col min="8" max="8" width="12.1328125" customWidth="1"/>
    <col min="9" max="9" width="14.1328125" customWidth="1"/>
    <col min="10" max="10" width="12.59765625" customWidth="1"/>
    <col min="11" max="11" width="11.73046875" customWidth="1"/>
    <col min="12" max="12" width="12.265625" customWidth="1"/>
    <col min="13" max="13" width="19.1328125" customWidth="1"/>
    <col min="14" max="14" width="11.1328125" customWidth="1"/>
    <col min="15" max="15" width="11" customWidth="1"/>
  </cols>
  <sheetData>
    <row r="2" spans="1:15" ht="27.75" customHeight="1">
      <c r="B2" s="146" t="s">
        <v>0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</row>
    <row r="3" spans="1:15">
      <c r="B3" s="69" t="s">
        <v>1</v>
      </c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</row>
    <row r="5" spans="1:15" ht="15.75">
      <c r="A5" t="s">
        <v>33</v>
      </c>
      <c r="B5" s="207" t="s">
        <v>83</v>
      </c>
      <c r="C5" s="207"/>
      <c r="D5" s="207"/>
      <c r="E5" s="207"/>
      <c r="F5" s="207"/>
      <c r="G5" s="207"/>
      <c r="H5" s="207"/>
      <c r="I5" s="207"/>
      <c r="J5" s="207"/>
      <c r="K5" s="207"/>
      <c r="L5" s="207"/>
      <c r="M5" s="207"/>
      <c r="N5" s="207"/>
      <c r="O5" s="207"/>
    </row>
    <row r="6" spans="1:15">
      <c r="B6" s="13" t="s">
        <v>3</v>
      </c>
      <c r="C6" s="14">
        <f>'Data Sheet'!B16</f>
        <v>42460</v>
      </c>
      <c r="D6" s="14">
        <f>'Data Sheet'!C16</f>
        <v>42825</v>
      </c>
      <c r="E6" s="14">
        <f>'Data Sheet'!D16</f>
        <v>43190</v>
      </c>
      <c r="F6" s="14">
        <f>'Data Sheet'!E16</f>
        <v>43555</v>
      </c>
      <c r="G6" s="14">
        <f>'Data Sheet'!F16</f>
        <v>43921</v>
      </c>
      <c r="H6" s="14">
        <f>'Data Sheet'!G16</f>
        <v>44286</v>
      </c>
      <c r="I6" s="14">
        <f>'Data Sheet'!H16</f>
        <v>44651</v>
      </c>
      <c r="J6" s="14">
        <f>'Data Sheet'!I16</f>
        <v>45016</v>
      </c>
      <c r="K6" s="14">
        <f>'Data Sheet'!J16</f>
        <v>45382</v>
      </c>
      <c r="L6" s="14">
        <f>'Data Sheet'!K16</f>
        <v>45747</v>
      </c>
      <c r="M6" s="164" t="s">
        <v>84</v>
      </c>
      <c r="N6" s="45" t="s">
        <v>85</v>
      </c>
      <c r="O6" s="45" t="s">
        <v>86</v>
      </c>
    </row>
    <row r="7" spans="1:15">
      <c r="D7" s="4"/>
      <c r="E7" s="4"/>
      <c r="F7" s="4"/>
      <c r="G7" s="4"/>
      <c r="H7" s="4"/>
      <c r="I7" s="4"/>
      <c r="J7" s="4"/>
      <c r="K7" s="4"/>
      <c r="L7" s="4"/>
      <c r="N7" s="22"/>
    </row>
    <row r="8" spans="1:15">
      <c r="B8" t="s">
        <v>87</v>
      </c>
      <c r="C8" s="41" t="str">
        <f>IFERROR('Historical FS'!C10,0)</f>
        <v>-</v>
      </c>
      <c r="D8" s="4">
        <f>IFERROR('Historical FS'!D10,0)</f>
        <v>9.67793597155715E-2</v>
      </c>
      <c r="E8" s="4">
        <f>IFERROR('Historical FS'!E10,0)</f>
        <v>2.9758775772443125E-2</v>
      </c>
      <c r="F8" s="4">
        <f>IFERROR('Historical FS'!F10,0)</f>
        <v>0.17232920223476356</v>
      </c>
      <c r="G8" s="4">
        <f>IFERROR('Historical FS'!G10,0)</f>
        <v>9.8167523435137571E-2</v>
      </c>
      <c r="H8" s="4">
        <f>IFERROR('Historical FS'!H10,0)</f>
        <v>0.10662951173574475</v>
      </c>
      <c r="I8" s="4">
        <f>IFERROR('Historical FS'!I10,0)</f>
        <v>0.21069551715900947</v>
      </c>
      <c r="J8" s="4">
        <f>IFERROR('Historical FS'!J10,0)</f>
        <v>0.20655864387829759</v>
      </c>
      <c r="K8" s="4">
        <f>IFERROR('Historical FS'!K10,0)</f>
        <v>4.7033733741236095E-2</v>
      </c>
      <c r="L8" s="4">
        <f>IFERROR('Historical FS'!L10,0)</f>
        <v>6.0649443612936782E-2</v>
      </c>
      <c r="N8" s="4">
        <f>IFERROR(AVERAGE(D8:L8),0)</f>
        <v>0.11428907903168227</v>
      </c>
      <c r="O8" s="4">
        <f>IFERROR(MEDIAN(C8:L8),0)</f>
        <v>9.8167523435137571E-2</v>
      </c>
    </row>
    <row r="9" spans="1:15">
      <c r="B9" t="s">
        <v>88</v>
      </c>
      <c r="D9" s="4">
        <f>IFERROR('Historical FS'!D21/'Historical FS'!C21-1,0)</f>
        <v>8.9290942092628445E-2</v>
      </c>
      <c r="E9" s="4">
        <f>IFERROR('Historical FS'!E21/'Historical FS'!D21-1,0)</f>
        <v>1.1717910126854525E-2</v>
      </c>
      <c r="F9" s="4">
        <f>IFERROR('Historical FS'!F21/'Historical FS'!E21-1,0)</f>
        <v>7.1618318988417862E-2</v>
      </c>
      <c r="G9" s="4">
        <f>IFERROR('Historical FS'!G21/'Historical FS'!F21-1,0)</f>
        <v>0.10396628656420437</v>
      </c>
      <c r="H9" s="4">
        <f>IFERROR('Historical FS'!H21/'Historical FS'!G21-1,0)</f>
        <v>0.25248125028068436</v>
      </c>
      <c r="I9" s="4">
        <f>IFERROR('Historical FS'!I21/'Historical FS'!H21-1,0)</f>
        <v>0.12915486392484499</v>
      </c>
      <c r="J9" s="4">
        <f>IFERROR('Historical FS'!J21/'Historical FS'!I21-1,0)</f>
        <v>0.1155568257597408</v>
      </c>
      <c r="K9" s="4">
        <f>IFERROR('Historical FS'!K21/'Historical FS'!J21-1,0)</f>
        <v>3.6863079988613823E-2</v>
      </c>
      <c r="L9" s="4">
        <f>IFERROR('Historical FS'!L21/'Historical FS'!K21-1,0)</f>
        <v>7.7172271791352109E-2</v>
      </c>
      <c r="N9" s="4">
        <f t="shared" ref="N9:N11" si="0">IFERROR(AVERAGE(D9:L9),0)</f>
        <v>9.8646861057482368E-2</v>
      </c>
      <c r="O9" s="4">
        <f t="shared" ref="O9:O44" si="1">IFERROR(MEDIAN(C9:L9),0)</f>
        <v>8.9290942092628445E-2</v>
      </c>
    </row>
    <row r="10" spans="1:15" ht="15" customHeight="1">
      <c r="B10" t="s">
        <v>89</v>
      </c>
      <c r="D10" s="42">
        <f>IFERROR(('Historical FS'!D30/'Historical FS'!C30)-1,0)</f>
        <v>8.2010243277848893E-2</v>
      </c>
      <c r="E10" s="42">
        <f>IFERROR(('Historical FS'!E30/'Historical FS'!D30)-1,0)</f>
        <v>3.4317496006153192E-3</v>
      </c>
      <c r="F10" s="42">
        <f>IFERROR(('Historical FS'!F30/'Historical FS'!E30)-1,0)</f>
        <v>7.0758889085441368E-2</v>
      </c>
      <c r="G10" s="42">
        <f>IFERROR(('Historical FS'!G30/'Historical FS'!F30)-1,0)</f>
        <v>5.7547221763313061E-2</v>
      </c>
      <c r="H10" s="42">
        <f>IFERROR(('Historical FS'!H30/'Historical FS'!G30)-1,0)</f>
        <v>0.27197458862736923</v>
      </c>
      <c r="I10" s="42">
        <f>IFERROR(('Historical FS'!I30/'Historical FS'!H30)-1,0)</f>
        <v>0.13869898063618136</v>
      </c>
      <c r="J10" s="42">
        <f>IFERROR(('Historical FS'!J30/'Historical FS'!I30)-1,0)</f>
        <v>0.10088081970159979</v>
      </c>
      <c r="K10" s="42">
        <f>IFERROR(('Historical FS'!K30/'Historical FS'!J30)-1,0)</f>
        <v>2.1423206296332653E-2</v>
      </c>
      <c r="L10" s="42">
        <f>IFERROR(('Historical FS'!L30/'Historical FS'!K30)-1,0)</f>
        <v>8.7316558493461649E-2</v>
      </c>
      <c r="N10" s="4">
        <f t="shared" si="0"/>
        <v>9.2671361942462588E-2</v>
      </c>
      <c r="O10" s="4">
        <f t="shared" si="1"/>
        <v>8.2010243277848893E-2</v>
      </c>
    </row>
    <row r="11" spans="1:15">
      <c r="B11" t="s">
        <v>90</v>
      </c>
      <c r="D11" s="4">
        <f>IFERROR('Historical FS'!D36/'Historical FS'!C36-1,0)</f>
        <v>9.0076188639212962E-2</v>
      </c>
      <c r="E11" s="4">
        <f>IFERROR('Historical FS'!E36/'Historical FS'!D36-1,0)</f>
        <v>0.12518800318499523</v>
      </c>
      <c r="F11" s="4">
        <f>IFERROR('Historical FS'!F36/'Historical FS'!E36-1,0)</f>
        <v>-1.4939455889290798E-2</v>
      </c>
      <c r="G11" s="4">
        <f>IFERROR('Historical FS'!G36/'Historical FS'!F36-1,0)</f>
        <v>0.10440613026819934</v>
      </c>
      <c r="H11" s="4">
        <f>IFERROR('Historical FS'!H36/'Historical FS'!G36-1,0)</f>
        <v>0.24472390864411686</v>
      </c>
      <c r="I11" s="4">
        <f>IFERROR('Historical FS'!I36/'Historical FS'!H36-1,0)</f>
        <v>0.15265358262687267</v>
      </c>
      <c r="J11" s="4">
        <f>IFERROR('Historical FS'!J36/'Historical FS'!I36-1,0)</f>
        <v>7.8383960505767902E-2</v>
      </c>
      <c r="K11" s="4">
        <f>IFERROR('Historical FS'!K36/'Historical FS'!J36-1,0)</f>
        <v>6.0727799317981113E-3</v>
      </c>
      <c r="L11" s="4">
        <f>IFERROR('Historical FS'!L36/'Historical FS'!K36-1,0)</f>
        <v>7.4894367832102793E-2</v>
      </c>
      <c r="N11" s="4">
        <f t="shared" si="0"/>
        <v>9.5717718415975012E-2</v>
      </c>
      <c r="O11" s="4">
        <f t="shared" si="1"/>
        <v>9.0076188639212962E-2</v>
      </c>
    </row>
    <row r="12" spans="1:15">
      <c r="B12" t="s">
        <v>91</v>
      </c>
      <c r="D12" s="4">
        <f>IFERROR('Historical FS'!D44/'Historical FS'!C44-1,0)</f>
        <v>6.1855670103093008E-2</v>
      </c>
      <c r="E12" s="4">
        <f>IFERROR('Historical FS'!E44/'Historical FS'!D44-1,0)</f>
        <v>0.68963896853592144</v>
      </c>
      <c r="F12" s="4">
        <f>IFERROR('Historical FS'!F44/'Historical FS'!E44-1,0)</f>
        <v>-2.5838579728767352E-2</v>
      </c>
      <c r="G12" s="4">
        <f>IFERROR('Historical FS'!G44/'Historical FS'!F44-1,0)</f>
        <v>-0.17390646350868544</v>
      </c>
      <c r="H12" s="4">
        <f>IFERROR('Historical FS'!H44/'Historical FS'!G44-1,0)</f>
        <v>0.54369512340846549</v>
      </c>
      <c r="I12" s="4">
        <f>IFERROR('Historical FS'!I44/'Historical FS'!H44-1,0)</f>
        <v>0.14865158399694378</v>
      </c>
      <c r="J12" s="4">
        <f>IFERROR('Historical FS'!J44/'Historical FS'!I44-1,0)</f>
        <v>9.6761529392781709E-2</v>
      </c>
      <c r="K12" s="4">
        <f>IFERROR('Historical FS'!K44/'Historical FS'!J44-1,0)</f>
        <v>0.35349861290755547</v>
      </c>
      <c r="L12" s="4">
        <f>IFERROR('Historical FS'!L44/'Historical FS'!K44-1,0)</f>
        <v>-6.4855345095345629E-2</v>
      </c>
      <c r="N12" s="4">
        <f>IFERROR(AVERAGE(D12:L12),0)</f>
        <v>0.18105567777910694</v>
      </c>
      <c r="O12" s="4">
        <f t="shared" si="1"/>
        <v>9.6761529392781709E-2</v>
      </c>
    </row>
    <row r="13" spans="1:15">
      <c r="B13" s="46"/>
      <c r="C13" s="46"/>
      <c r="D13" s="47"/>
      <c r="E13" s="47"/>
      <c r="F13" s="47"/>
      <c r="G13" s="47"/>
      <c r="H13" s="47"/>
      <c r="I13" s="47"/>
      <c r="J13" s="47"/>
      <c r="K13" s="47"/>
      <c r="L13" s="47"/>
      <c r="M13" s="165"/>
      <c r="N13" s="47"/>
      <c r="O13" s="47"/>
    </row>
    <row r="14" spans="1:15">
      <c r="B14" t="s">
        <v>12</v>
      </c>
      <c r="C14" s="4">
        <f>'Historical FS'!C16</f>
        <v>0.35151583094441152</v>
      </c>
      <c r="D14" s="4">
        <f>'Historical FS'!D16</f>
        <v>0.34862157584253256</v>
      </c>
      <c r="E14" s="4">
        <f>'Historical FS'!E16</f>
        <v>0.34212018944442868</v>
      </c>
      <c r="F14" s="4">
        <f>'Historical FS'!F16</f>
        <v>0.32934986392500754</v>
      </c>
      <c r="G14" s="4">
        <f>'Historical FS'!G16</f>
        <v>0.31479992510270843</v>
      </c>
      <c r="H14" s="4">
        <f>'Historical FS'!H16</f>
        <v>0.31831754120550998</v>
      </c>
      <c r="I14" s="4">
        <f>'Historical FS'!I16</f>
        <v>0.30271043480405457</v>
      </c>
      <c r="J14" s="4">
        <f>'Historical FS'!J16</f>
        <v>0.28539794367943749</v>
      </c>
      <c r="K14" s="4">
        <f>'Historical FS'!K16</f>
        <v>0.28398516301164833</v>
      </c>
      <c r="L14" s="4">
        <f>'Historical FS'!L16</f>
        <v>0.2847107184489846</v>
      </c>
      <c r="N14" s="4">
        <f>IFERROR(AVERAGE(C14:L14),0)</f>
        <v>0.31615291864087242</v>
      </c>
      <c r="O14" s="4">
        <f t="shared" si="1"/>
        <v>0.31655873315410921</v>
      </c>
    </row>
    <row r="15" spans="1:15">
      <c r="B15" t="s">
        <v>92</v>
      </c>
      <c r="C15" s="4">
        <f>'Historical FS'!C22</f>
        <v>0.27352220496148366</v>
      </c>
      <c r="D15" s="4">
        <f>'Historical FS'!D22</f>
        <v>0.27165469306699375</v>
      </c>
      <c r="E15" s="4">
        <f>'Historical FS'!E22</f>
        <v>0.26689543688494372</v>
      </c>
      <c r="F15" s="4">
        <f>'Historical FS'!F22</f>
        <v>0.24396734200181433</v>
      </c>
      <c r="G15" s="4">
        <f>'Historical FS'!G22</f>
        <v>0.24525558700752279</v>
      </c>
      <c r="H15" s="4">
        <f>'Historical FS'!H22</f>
        <v>0.27757982323433394</v>
      </c>
      <c r="I15" s="4">
        <f>'Historical FS'!I22</f>
        <v>0.25888475102966929</v>
      </c>
      <c r="J15" s="4">
        <f>'Historical FS'!J22</f>
        <v>0.23935898396778568</v>
      </c>
      <c r="K15" s="4">
        <f>'Historical FS'!K22</f>
        <v>0.23703390381987374</v>
      </c>
      <c r="L15" s="4">
        <f>'Historical FS'!L22</f>
        <v>0.24072642493404503</v>
      </c>
      <c r="N15" s="4">
        <f t="shared" ref="N15:N44" si="2">IFERROR(AVERAGE(C15:L15),0)</f>
        <v>0.25548791509084656</v>
      </c>
      <c r="O15" s="4">
        <f t="shared" si="1"/>
        <v>0.25207016901859602</v>
      </c>
    </row>
    <row r="16" spans="1:15">
      <c r="B16" t="s">
        <v>93</v>
      </c>
      <c r="C16" s="4">
        <f>IFERROR(('Historical FS'!C21-'Historical FS'!C27)/'Historical FS'!C9,0)</f>
        <v>0.25015614740314857</v>
      </c>
      <c r="D16" s="4">
        <f>IFERROR(('Historical FS'!D21-'Historical FS'!D27)/'Historical FS'!D9,0)</f>
        <v>0.24678757081946148</v>
      </c>
      <c r="E16" s="4">
        <f>IFERROR(('Historical FS'!E21-'Historical FS'!E27)/'Historical FS'!E9,0)</f>
        <v>0.24047814866282863</v>
      </c>
      <c r="F16" s="4">
        <f>IFERROR(('Historical FS'!F21-'Historical FS'!F27)/'Historical FS'!F9,0)</f>
        <v>0.2196431811309344</v>
      </c>
      <c r="G16" s="4">
        <f>IFERROR(('Historical FS'!G21-'Historical FS'!G27)/'Historical FS'!G9,0)</f>
        <v>0.21339119516251612</v>
      </c>
      <c r="H16" s="4">
        <f>IFERROR(('Historical FS'!H21-'Historical FS'!H27)/'Historical FS'!H9,0)</f>
        <v>0.24506330121824987</v>
      </c>
      <c r="I16" s="4">
        <f>IFERROR(('Historical FS'!I21-'Historical FS'!I27)/'Historical FS'!I9,0)</f>
        <v>0.23030885967724699</v>
      </c>
      <c r="J16" s="4">
        <f>IFERROR(('Historical FS'!J21-'Historical FS'!J27)/'Historical FS'!J9,0)</f>
        <v>0.21057185879659596</v>
      </c>
      <c r="K16" s="4">
        <f>IFERROR(('Historical FS'!K21-'Historical FS'!K27)/'Historical FS'!K9,0)</f>
        <v>0.20659204789483959</v>
      </c>
      <c r="L16" s="4">
        <f>IFERROR(('Historical FS'!L21-'Historical FS'!L27)/'Historical FS'!L9,0)</f>
        <v>0.21120314129701209</v>
      </c>
      <c r="N16" s="4">
        <f t="shared" si="2"/>
        <v>0.22741954520628335</v>
      </c>
      <c r="O16" s="4">
        <f t="shared" si="1"/>
        <v>0.2249760204040907</v>
      </c>
    </row>
    <row r="17" spans="2:15">
      <c r="B17" t="s">
        <v>94</v>
      </c>
      <c r="C17" s="4">
        <f>'Historical FS'!C31</f>
        <v>0.25015614740314857</v>
      </c>
      <c r="D17" s="4">
        <f>'Historical FS'!D31</f>
        <v>0.24678757081946148</v>
      </c>
      <c r="E17" s="4">
        <f>'Historical FS'!E31</f>
        <v>0.24047814866282863</v>
      </c>
      <c r="F17" s="4">
        <f>'Historical FS'!F31</f>
        <v>0.2196431811309344</v>
      </c>
      <c r="G17" s="4">
        <f>'Historical FS'!G31</f>
        <v>0.211518762872972</v>
      </c>
      <c r="H17" s="4">
        <f>'Historical FS'!H31</f>
        <v>0.24312246197945697</v>
      </c>
      <c r="I17" s="4">
        <f>'Historical FS'!I31</f>
        <v>0.2286646772058763</v>
      </c>
      <c r="J17" s="4">
        <f>'Historical FS'!J31</f>
        <v>0.20863681890343197</v>
      </c>
      <c r="K17" s="4">
        <f>'Historical FS'!K31</f>
        <v>0.20353354591006703</v>
      </c>
      <c r="L17" s="4">
        <f>'Historical FS'!L31</f>
        <v>0.20865083747469171</v>
      </c>
      <c r="N17" s="4">
        <f t="shared" si="2"/>
        <v>0.22611921523628689</v>
      </c>
      <c r="O17" s="4">
        <f>IFERROR(MEDIAN(C17:L17),0)</f>
        <v>0.22415392916840535</v>
      </c>
    </row>
    <row r="18" spans="2:15">
      <c r="B18" t="s">
        <v>95</v>
      </c>
      <c r="C18" s="4">
        <f>'Historical FS'!C37</f>
        <v>0.16606076135872264</v>
      </c>
      <c r="D18" s="4">
        <f>'Historical FS'!D37</f>
        <v>0.16504585012557677</v>
      </c>
      <c r="E18" s="4">
        <f>'Historical FS'!E37</f>
        <v>0.18034088653186239</v>
      </c>
      <c r="F18" s="4">
        <f>'Historical FS'!F37</f>
        <v>0.1515331115814938</v>
      </c>
      <c r="G18" s="4">
        <f>'Historical FS'!G37</f>
        <v>0.15239395975372008</v>
      </c>
      <c r="H18" s="4">
        <f>'Historical FS'!H37</f>
        <v>0.17141094036149376</v>
      </c>
      <c r="I18" s="4">
        <f>'Historical FS'!I37</f>
        <v>0.16319333119589613</v>
      </c>
      <c r="J18" s="4">
        <f>'Historical FS'!J37</f>
        <v>0.14585703870761138</v>
      </c>
      <c r="K18" s="4">
        <f>'Historical FS'!K37</f>
        <v>0.14015097286392919</v>
      </c>
      <c r="L18" s="4">
        <f>'Historical FS'!L37</f>
        <v>0.14203325357383889</v>
      </c>
      <c r="N18" s="4">
        <f t="shared" si="2"/>
        <v>0.15780201060541449</v>
      </c>
      <c r="O18" s="4">
        <f t="shared" si="1"/>
        <v>0.15779364547480812</v>
      </c>
    </row>
    <row r="19" spans="2:15"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165"/>
      <c r="N19" s="47"/>
      <c r="O19" s="47"/>
    </row>
    <row r="20" spans="2:15">
      <c r="B20" t="s">
        <v>14</v>
      </c>
      <c r="C20" s="4">
        <f>'Historical FS'!C19</f>
        <v>7.7993625982927889E-2</v>
      </c>
      <c r="D20" s="4">
        <f>'Historical FS'!D19</f>
        <v>7.6966882775538814E-2</v>
      </c>
      <c r="E20" s="4">
        <f>'Historical FS'!E19</f>
        <v>7.5224752559484978E-2</v>
      </c>
      <c r="F20" s="4">
        <f>'Historical FS'!F19</f>
        <v>8.5382521923193233E-2</v>
      </c>
      <c r="G20" s="4">
        <f>'Historical FS'!G19</f>
        <v>6.9544338095185648E-2</v>
      </c>
      <c r="H20" s="4">
        <f>'Historical FS'!H19</f>
        <v>4.0737717971176049E-2</v>
      </c>
      <c r="I20" s="4">
        <f>'Historical FS'!I19</f>
        <v>4.3825683774385282E-2</v>
      </c>
      <c r="J20" s="4">
        <f>'Historical FS'!J19</f>
        <v>4.6038959711651804E-2</v>
      </c>
      <c r="K20" s="4">
        <f>'Historical FS'!K19</f>
        <v>4.6951259191774584E-2</v>
      </c>
      <c r="L20" s="4">
        <f>'Historical FS'!L19</f>
        <v>4.3984293514939564E-2</v>
      </c>
      <c r="N20" s="4">
        <f t="shared" si="2"/>
        <v>6.0665003550025784E-2</v>
      </c>
      <c r="O20" s="4">
        <f t="shared" si="1"/>
        <v>5.824779864348012E-2</v>
      </c>
    </row>
    <row r="21" spans="2:15">
      <c r="B21" t="s">
        <v>20</v>
      </c>
      <c r="C21" s="4">
        <f>'Historical FS'!C28</f>
        <v>2.3366057558335068E-2</v>
      </c>
      <c r="D21" s="4">
        <f>'Historical FS'!D28</f>
        <v>2.4867122247532271E-2</v>
      </c>
      <c r="E21" s="4">
        <f>'Historical FS'!E28</f>
        <v>2.6417288222115084E-2</v>
      </c>
      <c r="F21" s="4">
        <f>'Historical FS'!F28</f>
        <v>2.4324160870879952E-2</v>
      </c>
      <c r="G21" s="4">
        <f>'Historical FS'!G28</f>
        <v>3.1864391845006661E-2</v>
      </c>
      <c r="H21" s="4">
        <f>'Historical FS'!H28</f>
        <v>3.2516522016084085E-2</v>
      </c>
      <c r="I21" s="4">
        <f>'Historical FS'!I28</f>
        <v>2.8575891352422292E-2</v>
      </c>
      <c r="J21" s="4">
        <f>'Historical FS'!J28</f>
        <v>2.8787125171189708E-2</v>
      </c>
      <c r="K21" s="4">
        <f>'Historical FS'!K28</f>
        <v>3.0441855925034164E-2</v>
      </c>
      <c r="L21" s="4">
        <f>'Historical FS'!L28</f>
        <v>2.9523283637032948E-2</v>
      </c>
      <c r="N21" s="4">
        <f t="shared" si="2"/>
        <v>2.8068369884563221E-2</v>
      </c>
      <c r="O21" s="4">
        <f t="shared" si="1"/>
        <v>2.8681508261806002E-2</v>
      </c>
    </row>
    <row r="22" spans="2:15">
      <c r="B22" t="s">
        <v>96</v>
      </c>
      <c r="C22" s="4">
        <f>'Historical FS'!C16</f>
        <v>0.35151583094441152</v>
      </c>
      <c r="D22" s="4">
        <f>'Historical FS'!D16</f>
        <v>0.34862157584253256</v>
      </c>
      <c r="E22" s="4">
        <f>'Historical FS'!E16</f>
        <v>0.34212018944442868</v>
      </c>
      <c r="F22" s="4">
        <f>'Historical FS'!F16</f>
        <v>0.32934986392500754</v>
      </c>
      <c r="G22" s="4">
        <f>'Historical FS'!G16</f>
        <v>0.31479992510270843</v>
      </c>
      <c r="H22" s="4">
        <f>'Historical FS'!H16</f>
        <v>0.31831754120550998</v>
      </c>
      <c r="I22" s="4">
        <f>'Historical FS'!I16</f>
        <v>0.30271043480405457</v>
      </c>
      <c r="J22" s="4">
        <f>'Historical FS'!J16</f>
        <v>0.28539794367943749</v>
      </c>
      <c r="K22" s="4">
        <f>'Historical FS'!K16</f>
        <v>0.28398516301164833</v>
      </c>
      <c r="L22" s="4">
        <f>'Historical FS'!L16</f>
        <v>0.2847107184489846</v>
      </c>
      <c r="N22" s="4">
        <f t="shared" si="2"/>
        <v>0.31615291864087242</v>
      </c>
      <c r="O22" s="4">
        <f t="shared" si="1"/>
        <v>0.31655873315410921</v>
      </c>
    </row>
    <row r="23" spans="2:15"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165"/>
      <c r="N23" s="47"/>
      <c r="O23" s="47"/>
    </row>
    <row r="24" spans="2:15" ht="17.25" customHeight="1">
      <c r="B24" t="s">
        <v>97</v>
      </c>
      <c r="C24" s="42">
        <f>IFERROR(('Historical FS'!C21-'Historical FS'!C27)/(SUM('Historical FS'!C51:C53)),0)</f>
        <v>0.25298004664420837</v>
      </c>
      <c r="D24" s="42">
        <f>IFERROR(('Historical FS'!D21-'Historical FS'!D27)/(SUM('Historical FS'!D51:D53)),0)</f>
        <v>0.24500594357948449</v>
      </c>
      <c r="E24" s="42">
        <f>IFERROR(('Historical FS'!E21-'Historical FS'!E27)/(SUM('Historical FS'!E51:E53)),0)</f>
        <v>0.26121713414352388</v>
      </c>
      <c r="F24" s="42">
        <f>IFERROR(('Historical FS'!F21-'Historical FS'!F27)/(SUM('Historical FS'!F51:F53)),0)</f>
        <v>0.27959290509330542</v>
      </c>
      <c r="G24" s="42">
        <f>IFERROR(('Historical FS'!G21-'Historical FS'!G27)/(SUM('Historical FS'!G51:G53)),0)</f>
        <v>0.27644364539189248</v>
      </c>
      <c r="H24" s="42">
        <f>IFERROR(('Historical FS'!H21-'Historical FS'!H27)/(SUM('Historical FS'!H51:H53)),0)</f>
        <v>0.30145942504530093</v>
      </c>
      <c r="I24" s="42">
        <f>IFERROR(('Historical FS'!I21-'Historical FS'!I27)/(SUM('Historical FS'!I51:I53)),0)</f>
        <v>0.34661734138374739</v>
      </c>
      <c r="J24" s="42">
        <f>IFERROR(('Historical FS'!J21-'Historical FS'!J27)/(SUM('Historical FS'!J51:J53)),0)</f>
        <v>0.36920889780899818</v>
      </c>
      <c r="K24" s="42">
        <f>IFERROR(('Historical FS'!K21-'Historical FS'!K27)/(SUM('Historical FS'!K51:K53)),0)</f>
        <v>0.32906970717802542</v>
      </c>
      <c r="L24" s="42">
        <f>IFERROR(('Historical FS'!L21-'Historical FS'!L27)/(SUM('Historical FS'!L51:L53)),0)</f>
        <v>0.33085684079004279</v>
      </c>
      <c r="N24" s="4">
        <f t="shared" si="2"/>
        <v>0.29924518870585293</v>
      </c>
      <c r="O24" s="4">
        <f t="shared" si="1"/>
        <v>0.29052616506930318</v>
      </c>
    </row>
    <row r="25" spans="2:15">
      <c r="B25" t="s">
        <v>98</v>
      </c>
      <c r="C25" s="42">
        <f>IFERROR('Historical FS'!C47,0)</f>
        <v>0.46490500530427237</v>
      </c>
      <c r="D25" s="42">
        <f>IFERROR('Historical FS'!D47,0)</f>
        <v>0.47875785189772624</v>
      </c>
      <c r="E25" s="42">
        <f>IFERROR('Historical FS'!E47,0)</f>
        <v>0.25573203333857519</v>
      </c>
      <c r="F25" s="42">
        <f>IFERROR('Historical FS'!F47,0)</f>
        <v>0.26384897828863341</v>
      </c>
      <c r="G25" s="42">
        <f>IFERROR('Historical FS'!G47,0)</f>
        <v>0.46321191095692393</v>
      </c>
      <c r="H25" s="42">
        <f>IFERROR('Historical FS'!H47,0)</f>
        <v>0.33401463244687024</v>
      </c>
      <c r="I25" s="42">
        <f>IFERROR('Historical FS'!I47,0)</f>
        <v>0.3447383003375144</v>
      </c>
      <c r="J25" s="42">
        <f>IFERROR('Historical FS'!J47,0)</f>
        <v>0.34277572756574948</v>
      </c>
      <c r="K25" s="42">
        <f>IFERROR('Historical FS'!K47,0)</f>
        <v>0.1153271114825648</v>
      </c>
      <c r="L25" s="42">
        <f>IFERROR('Historical FS'!L47,0)</f>
        <v>0.22990064794816423</v>
      </c>
      <c r="N25" s="4">
        <f t="shared" si="2"/>
        <v>0.32932121995669938</v>
      </c>
      <c r="O25" s="4">
        <f t="shared" si="1"/>
        <v>0.33839518000630986</v>
      </c>
    </row>
    <row r="26" spans="2:15" ht="15.75" customHeight="1">
      <c r="B26" t="s">
        <v>99</v>
      </c>
      <c r="C26" s="42">
        <f>IFERROR('Historical FS'!C36/SUM('Historical FS'!C51:C52),0)</f>
        <v>0.16793534594454521</v>
      </c>
      <c r="D26" s="42">
        <f>'Historical FS'!D36/SUM('Historical FS'!D51:D52)</f>
        <v>0.16385433881302369</v>
      </c>
      <c r="E26" s="42">
        <f>'Historical FS'!E36/SUM('Historical FS'!E51:E52)</f>
        <v>0.19589359703032824</v>
      </c>
      <c r="F26" s="42">
        <f>'Historical FS'!F36/SUM('Historical FS'!F51:F52)</f>
        <v>0.1928927757590688</v>
      </c>
      <c r="G26" s="42">
        <f>'Historical FS'!G36/SUM('Historical FS'!G51:G52)</f>
        <v>0.21139801375095493</v>
      </c>
      <c r="H26" s="42">
        <f>'Historical FS'!H36/SUM('Historical FS'!H51:H52)</f>
        <v>0.22556351586750664</v>
      </c>
      <c r="I26" s="42">
        <f>'Historical FS'!I36/SUM('Historical FS'!I51:I52)</f>
        <v>0.26345056403450562</v>
      </c>
      <c r="J26" s="42">
        <f>'Historical FS'!J36/SUM('Historical FS'!J51:J52)</f>
        <v>0.28388611136897107</v>
      </c>
      <c r="K26" s="42">
        <f>'Historical FS'!K36/SUM('Historical FS'!K51:K52)</f>
        <v>0.24441645104180854</v>
      </c>
      <c r="L26" s="42">
        <f>'Historical FS'!L36/SUM('Historical FS'!L51:L52)</f>
        <v>0.24160387401114614</v>
      </c>
      <c r="N26" s="4">
        <f t="shared" si="2"/>
        <v>0.21908945876218588</v>
      </c>
      <c r="O26" s="4">
        <f t="shared" si="1"/>
        <v>0.21848076480923079</v>
      </c>
    </row>
    <row r="27" spans="2:15">
      <c r="B27" t="s">
        <v>100</v>
      </c>
      <c r="C27" s="4">
        <f>IFERROR(C25*C26,0)</f>
        <v>7.8073982897123598E-2</v>
      </c>
      <c r="D27" s="4">
        <f t="shared" ref="D27:L27" si="3">IFERROR(D25*D26,0)</f>
        <v>7.8446551274245449E-2</v>
      </c>
      <c r="E27" s="4">
        <f t="shared" si="3"/>
        <v>5.0096267886573315E-2</v>
      </c>
      <c r="F27" s="4">
        <f t="shared" si="3"/>
        <v>5.0894561803288774E-2</v>
      </c>
      <c r="G27" s="4">
        <f t="shared" si="3"/>
        <v>9.7922077922077924E-2</v>
      </c>
      <c r="H27" s="4">
        <f t="shared" si="3"/>
        <v>7.5341514845909008E-2</v>
      </c>
      <c r="I27" s="4">
        <f t="shared" si="3"/>
        <v>9.0821499668214969E-2</v>
      </c>
      <c r="J27" s="4">
        <f t="shared" si="3"/>
        <v>9.7309268370310439E-2</v>
      </c>
      <c r="K27" s="4">
        <f t="shared" si="3"/>
        <v>2.8187843297471496E-2</v>
      </c>
      <c r="L27" s="4">
        <f t="shared" si="3"/>
        <v>5.554488718194913E-2</v>
      </c>
      <c r="N27" s="4">
        <f t="shared" si="2"/>
        <v>7.02638455147164E-2</v>
      </c>
      <c r="O27" s="4">
        <f t="shared" si="1"/>
        <v>7.6707748871516296E-2</v>
      </c>
    </row>
    <row r="28" spans="2:15" ht="16.5" customHeight="1">
      <c r="B28" t="s">
        <v>101</v>
      </c>
      <c r="C28" s="159">
        <f>IFERROR(('Historical FS'!C21-'Historical FS'!C27)/'Historical FS'!C24,0)</f>
        <v>0</v>
      </c>
      <c r="D28" s="159">
        <f>IFERROR(('Historical FS'!D21-'Historical FS'!D27)/'Historical FS'!D24,0)</f>
        <v>0</v>
      </c>
      <c r="E28" s="159">
        <f>IFERROR(('Historical FS'!E21-'Historical FS'!E27)/'Historical FS'!E24,0)</f>
        <v>0</v>
      </c>
      <c r="F28" s="159">
        <f>IFERROR(('Historical FS'!F21-'Historical FS'!F27)/'Historical FS'!F24,0)</f>
        <v>0</v>
      </c>
      <c r="G28" s="159">
        <f>IFERROR(('Historical FS'!G21-'Historical FS'!G27)/'Historical FS'!G24,0)</f>
        <v>113.96470588235294</v>
      </c>
      <c r="H28" s="159">
        <f>IFERROR(('Historical FS'!H21-'Historical FS'!H27)/'Historical FS'!H24,0)</f>
        <v>126.26666666666667</v>
      </c>
      <c r="I28" s="159">
        <f>IFERROR(('Historical FS'!I21-'Historical FS'!I27)/'Historical FS'!I24,0)</f>
        <v>140.07499999999999</v>
      </c>
      <c r="J28" s="159">
        <f>IFERROR(('Historical FS'!J21-'Historical FS'!J27)/'Historical FS'!J24,0)</f>
        <v>108.82042253521126</v>
      </c>
      <c r="K28" s="159">
        <f>IFERROR(('Historical FS'!K21-'Historical FS'!K27)/'Historical FS'!K24,0)</f>
        <v>67.5468085106383</v>
      </c>
      <c r="L28" s="159">
        <f>IFERROR(('Historical FS'!L21-'Historical FS'!L27)/'Historical FS'!L24,0)</f>
        <v>82.75</v>
      </c>
      <c r="N28" s="159">
        <f t="shared" si="2"/>
        <v>63.942360359486919</v>
      </c>
      <c r="O28" s="159">
        <f t="shared" si="1"/>
        <v>75.14840425531915</v>
      </c>
    </row>
    <row r="29" spans="2:15"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165"/>
      <c r="N29" s="46"/>
      <c r="O29" s="46"/>
    </row>
    <row r="30" spans="2:15">
      <c r="B30" t="s">
        <v>102</v>
      </c>
      <c r="C30" s="159">
        <f>IFERROR('Historical FS'!C9/'Historical FS'!C63,0)</f>
        <v>5.5111209179170348</v>
      </c>
      <c r="D30" s="159">
        <f>IFERROR('Historical FS'!D9/'Historical FS'!D63,0)</f>
        <v>5.5578639831196233</v>
      </c>
      <c r="E30" s="159">
        <f>IFERROR('Historical FS'!E9/'Historical FS'!E63,0)</f>
        <v>5.3661543144118093</v>
      </c>
      <c r="F30" s="159">
        <f>IFERROR('Historical FS'!F9/'Historical FS'!F63,0)</f>
        <v>5.5759762595265396</v>
      </c>
      <c r="G30" s="159">
        <f>IFERROR('Historical FS'!G9/'Historical FS'!G63,0)</f>
        <v>4.9110726456428839</v>
      </c>
      <c r="H30" s="159">
        <f>IFERROR('Historical FS'!H9/'Historical FS'!H63,0)</f>
        <v>5.2074219964755883</v>
      </c>
      <c r="I30" s="159">
        <f>IFERROR('Historical FS'!I9/'Historical FS'!I63,0)</f>
        <v>5.3591065292096216</v>
      </c>
      <c r="J30" s="159">
        <f>IFERROR('Historical FS'!J9/'Historical FS'!J63,0)</f>
        <v>5.7727737570799249</v>
      </c>
      <c r="K30" s="159">
        <f>IFERROR('Historical FS'!K9/'Historical FS'!K63,0)</f>
        <v>5.0895903023879709</v>
      </c>
      <c r="L30" s="159">
        <f>IFERROR('Historical FS'!L9/'Historical FS'!L63,0)</f>
        <v>5.2310803004043906</v>
      </c>
      <c r="N30" s="159">
        <f t="shared" si="2"/>
        <v>5.3582161006175379</v>
      </c>
      <c r="O30" s="159">
        <f t="shared" si="1"/>
        <v>5.3626304218107155</v>
      </c>
    </row>
    <row r="31" spans="2:15">
      <c r="B31" t="s">
        <v>103</v>
      </c>
      <c r="C31" s="159">
        <f>IFERROR('Historical FS'!C9/'Historical FS'!C54,0)</f>
        <v>4.6758274674254903</v>
      </c>
      <c r="D31" s="159">
        <f>IFERROR('Historical FS'!D9/'Historical FS'!D54,0)</f>
        <v>4.8343922066920797</v>
      </c>
      <c r="E31" s="159">
        <f>IFERROR('Historical FS'!E9/'Historical FS'!E54,0)</f>
        <v>4.8885345903230277</v>
      </c>
      <c r="F31" s="159">
        <f>IFERROR('Historical FS'!F9/'Historical FS'!F54,0)</f>
        <v>4.3244586253792239</v>
      </c>
      <c r="G31" s="159">
        <f>IFERROR('Historical FS'!G9/'Historical FS'!G54,0)</f>
        <v>4.1806418934475298</v>
      </c>
      <c r="H31" s="159">
        <f>IFERROR('Historical FS'!H9/'Historical FS'!H54,0)</f>
        <v>3.8889878072382427</v>
      </c>
      <c r="I31" s="159">
        <f>IFERROR('Historical FS'!I9/'Historical FS'!I54,0)</f>
        <v>3.3878568444506336</v>
      </c>
      <c r="J31" s="159">
        <f>IFERROR('Historical FS'!J9/'Historical FS'!J54,0)</f>
        <v>3.5893127904133042</v>
      </c>
      <c r="K31" s="159">
        <f>IFERROR('Historical FS'!K9/'Historical FS'!K54,0)</f>
        <v>3.7585911703558761</v>
      </c>
      <c r="L31" s="159">
        <f>IFERROR('Historical FS'!L9/'Historical FS'!L54,0)</f>
        <v>3.7254857142857141</v>
      </c>
      <c r="N31" s="159">
        <f t="shared" si="2"/>
        <v>4.1254089110011121</v>
      </c>
      <c r="O31" s="159">
        <f t="shared" si="1"/>
        <v>4.0348148503428867</v>
      </c>
    </row>
    <row r="32" spans="2:15">
      <c r="B32" t="s">
        <v>104</v>
      </c>
      <c r="C32" s="159">
        <f>IFERROR('Historical FS'!C9/'Historical FS'!C64,0)</f>
        <v>0</v>
      </c>
      <c r="D32" s="159">
        <f>IFERROR('Historical FS'!D9/'Historical FS'!D64,0)</f>
        <v>0</v>
      </c>
      <c r="E32" s="159">
        <f>IFERROR('Historical FS'!E9/'Historical FS'!E64,0)</f>
        <v>0</v>
      </c>
      <c r="F32" s="159">
        <f>IFERROR('Historical FS'!F9/'Historical FS'!F64,0)</f>
        <v>0</v>
      </c>
      <c r="G32" s="159">
        <f>IFERROR('Historical FS'!G9/'Historical FS'!G64,0)</f>
        <v>0</v>
      </c>
      <c r="H32" s="159">
        <f>IFERROR('Historical FS'!H9/'Historical FS'!H64,0)</f>
        <v>0</v>
      </c>
      <c r="I32" s="159">
        <f>IFERROR('Historical FS'!I9/'Historical FS'!I64,0)</f>
        <v>0</v>
      </c>
      <c r="J32" s="159">
        <f>IFERROR('Historical FS'!J9/'Historical FS'!J64,0)</f>
        <v>0</v>
      </c>
      <c r="K32" s="159">
        <f>IFERROR('Historical FS'!K9/'Historical FS'!K64,0)</f>
        <v>0</v>
      </c>
      <c r="L32" s="159">
        <f>IFERROR('Historical FS'!L9/'Historical FS'!L64,0)</f>
        <v>0</v>
      </c>
      <c r="N32" s="159">
        <f t="shared" si="2"/>
        <v>0</v>
      </c>
      <c r="O32" s="159">
        <f t="shared" si="1"/>
        <v>0</v>
      </c>
    </row>
    <row r="33" spans="2:15">
      <c r="B33" t="s">
        <v>105</v>
      </c>
      <c r="C33" s="159">
        <f>IFERROR('Historical FS'!C9/'Historical FS'!C57,0)</f>
        <v>4.6646496339459134</v>
      </c>
      <c r="D33" s="159">
        <f>IFERROR('Historical FS'!D9/'Historical FS'!D57,0)</f>
        <v>4.8299597997037873</v>
      </c>
      <c r="E33" s="159">
        <f>IFERROR('Historical FS'!E9/'Historical FS'!E57,0)</f>
        <v>5.6085573405439799</v>
      </c>
      <c r="F33" s="159">
        <f>IFERROR('Historical FS'!F9/'Historical FS'!F57,0)</f>
        <v>5.2625716104392106</v>
      </c>
      <c r="G33" s="159">
        <f>IFERROR('Historical FS'!G9/'Historical FS'!G57,0)</f>
        <v>3.8165118332002188</v>
      </c>
      <c r="H33" s="159">
        <f>IFERROR('Historical FS'!H9/'Historical FS'!H57,0)</f>
        <v>3.9393060184277591</v>
      </c>
      <c r="I33" s="159">
        <f>IFERROR('Historical FS'!I9/'Historical FS'!I57,0)</f>
        <v>4.7147674418604648</v>
      </c>
      <c r="J33" s="159">
        <f>IFERROR('Historical FS'!J9/'Historical FS'!J57,0)</f>
        <v>5.0219674935842598</v>
      </c>
      <c r="K33" s="159">
        <f>IFERROR('Historical FS'!K9/'Historical FS'!K57,0)</f>
        <v>5.5633190934762142</v>
      </c>
      <c r="L33" s="159">
        <f>IFERROR('Historical FS'!L9/'Historical FS'!L57,0)</f>
        <v>5.2643648460967025</v>
      </c>
      <c r="N33" s="159">
        <f t="shared" si="2"/>
        <v>4.8685975111278523</v>
      </c>
      <c r="O33" s="159">
        <f t="shared" si="1"/>
        <v>4.9259636466440231</v>
      </c>
    </row>
    <row r="34" spans="2:15">
      <c r="B34" t="s">
        <v>106</v>
      </c>
      <c r="C34" s="159">
        <f>IFERROR('Historical FS'!C9/(SUM('Historical FS'!C51:C52)),0)</f>
        <v>1.0112885462555066</v>
      </c>
      <c r="D34" s="159">
        <f>IFERROR('Historical FS'!D9/(SUM('Historical FS'!D51:D52)),0)</f>
        <v>0.99278072540662776</v>
      </c>
      <c r="E34" s="159">
        <f>IFERROR('Historical FS'!E9/(SUM('Historical FS'!E51:E52)),0)</f>
        <v>1.0862406235078477</v>
      </c>
      <c r="F34" s="159">
        <f>IFERROR('Historical FS'!F9/(SUM('Historical FS'!F51:F52)),0)</f>
        <v>1.2729414300671307</v>
      </c>
      <c r="G34" s="159">
        <f>IFERROR('Historical FS'!G9/(SUM('Historical FS'!G51:G52)),0)</f>
        <v>1.3871810542398777</v>
      </c>
      <c r="H34" s="159">
        <f>IFERROR('Historical FS'!H9/(SUM('Historical FS'!H51:H52)),0)</f>
        <v>1.3159225157496299</v>
      </c>
      <c r="I34" s="159">
        <f>IFERROR('Historical FS'!I9/(SUM('Historical FS'!I51:I52)),0)</f>
        <v>1.6143463835434639</v>
      </c>
      <c r="J34" s="159">
        <f>IFERROR('Historical FS'!J9/(SUM('Historical FS'!J51:J52)),0)</f>
        <v>1.9463312424575967</v>
      </c>
      <c r="K34" s="159">
        <f>IFERROR('Historical FS'!K9/(SUM('Historical FS'!K51:K52)),0)</f>
        <v>1.7439511552952927</v>
      </c>
      <c r="L34" s="159">
        <f>IFERROR('Historical FS'!L9/(SUM('Historical FS'!L51:L52)),0)</f>
        <v>1.701037383372644</v>
      </c>
      <c r="N34" s="159">
        <f t="shared" si="2"/>
        <v>1.4072021059895614</v>
      </c>
      <c r="O34" s="159">
        <f t="shared" si="1"/>
        <v>1.3515517849947538</v>
      </c>
    </row>
    <row r="35" spans="2:15">
      <c r="B35" s="48"/>
      <c r="C35" s="49"/>
      <c r="D35" s="49"/>
      <c r="E35" s="49"/>
      <c r="F35" s="49"/>
      <c r="G35" s="49"/>
      <c r="H35" s="49"/>
      <c r="I35" s="49"/>
      <c r="J35" s="49"/>
      <c r="K35" s="49"/>
      <c r="L35" s="49"/>
      <c r="N35" s="48"/>
      <c r="O35" s="48"/>
    </row>
    <row r="36" spans="2:15">
      <c r="B36" s="48" t="s">
        <v>107</v>
      </c>
      <c r="C36" s="48"/>
      <c r="D36" s="48"/>
      <c r="E36" s="48"/>
      <c r="F36" s="48"/>
      <c r="G36" s="48"/>
      <c r="H36" s="48"/>
      <c r="I36" s="48"/>
      <c r="J36" s="48"/>
      <c r="M36" s="165"/>
    </row>
    <row r="37" spans="2:15">
      <c r="B37" t="s">
        <v>108</v>
      </c>
      <c r="C37" s="44">
        <f>IFERROR(365/C30,0)</f>
        <v>66.229720856488527</v>
      </c>
      <c r="D37" s="44">
        <f t="shared" ref="D37:L37" si="4">IFERROR(365/D30,0)</f>
        <v>65.672711874306415</v>
      </c>
      <c r="E37" s="44">
        <f t="shared" si="4"/>
        <v>68.018916082924477</v>
      </c>
      <c r="F37" s="44">
        <f t="shared" si="4"/>
        <v>65.459389174478375</v>
      </c>
      <c r="G37" s="44">
        <f t="shared" si="4"/>
        <v>74.321849081957467</v>
      </c>
      <c r="H37" s="44">
        <f t="shared" si="4"/>
        <v>70.092264511505689</v>
      </c>
      <c r="I37" s="44">
        <f t="shared" si="4"/>
        <v>68.108368066688044</v>
      </c>
      <c r="J37" s="44">
        <f t="shared" si="4"/>
        <v>63.227837320378555</v>
      </c>
      <c r="K37" s="50">
        <f t="shared" si="4"/>
        <v>71.715006182078483</v>
      </c>
      <c r="L37" s="50">
        <f t="shared" si="4"/>
        <v>69.775262286029815</v>
      </c>
      <c r="N37" s="50">
        <f t="shared" si="2"/>
        <v>68.262132543683578</v>
      </c>
      <c r="O37" s="50">
        <f t="shared" si="1"/>
        <v>68.063642074806268</v>
      </c>
    </row>
    <row r="38" spans="2:15">
      <c r="B38" t="s">
        <v>109</v>
      </c>
      <c r="C38" s="44">
        <f>IFERROR(365/C31,0)</f>
        <v>78.061049630851528</v>
      </c>
      <c r="D38" s="44">
        <f t="shared" ref="D38:K38" si="5">IFERROR(365/D31,0)</f>
        <v>75.50070089363939</v>
      </c>
      <c r="E38" s="44">
        <f t="shared" si="5"/>
        <v>74.664501857576354</v>
      </c>
      <c r="F38" s="44">
        <f t="shared" si="5"/>
        <v>84.403628666465067</v>
      </c>
      <c r="G38" s="44">
        <f t="shared" si="5"/>
        <v>87.307167009945914</v>
      </c>
      <c r="H38" s="44">
        <f t="shared" si="5"/>
        <v>93.854755553786134</v>
      </c>
      <c r="I38" s="44">
        <f t="shared" si="5"/>
        <v>107.73772823307931</v>
      </c>
      <c r="J38" s="44">
        <f t="shared" si="5"/>
        <v>101.69077517425579</v>
      </c>
      <c r="K38" s="44">
        <f t="shared" si="5"/>
        <v>97.110854428320437</v>
      </c>
      <c r="L38" s="44">
        <f>IFERROR(365/L31,0)</f>
        <v>97.973802073746867</v>
      </c>
      <c r="N38" s="44">
        <f t="shared" si="2"/>
        <v>89.830496352166691</v>
      </c>
      <c r="O38" s="44">
        <f t="shared" si="1"/>
        <v>90.580961281866024</v>
      </c>
    </row>
    <row r="39" spans="2:15">
      <c r="B39" t="s">
        <v>110</v>
      </c>
      <c r="C39">
        <f>IFERROR(365/C32,0)</f>
        <v>0</v>
      </c>
      <c r="D39">
        <f t="shared" ref="D39:L39" si="6">IFERROR(365/D32,0)</f>
        <v>0</v>
      </c>
      <c r="E39">
        <f t="shared" si="6"/>
        <v>0</v>
      </c>
      <c r="F39">
        <f t="shared" si="6"/>
        <v>0</v>
      </c>
      <c r="G39">
        <f t="shared" si="6"/>
        <v>0</v>
      </c>
      <c r="H39">
        <f t="shared" si="6"/>
        <v>0</v>
      </c>
      <c r="I39">
        <f t="shared" si="6"/>
        <v>0</v>
      </c>
      <c r="J39">
        <f t="shared" si="6"/>
        <v>0</v>
      </c>
      <c r="K39">
        <f t="shared" si="6"/>
        <v>0</v>
      </c>
      <c r="L39">
        <f t="shared" si="6"/>
        <v>0</v>
      </c>
      <c r="N39" s="44">
        <f t="shared" si="2"/>
        <v>0</v>
      </c>
      <c r="O39" s="44">
        <f t="shared" si="1"/>
        <v>0</v>
      </c>
    </row>
    <row r="40" spans="2:15">
      <c r="B40" t="s">
        <v>111</v>
      </c>
      <c r="C40" s="44">
        <f>IFERROR(SUM(C37,C39)-C38,0)</f>
        <v>-11.831328774363001</v>
      </c>
      <c r="D40" s="44">
        <f t="shared" ref="D40:L40" si="7">IFERROR(SUM(D37,D39)-D38,0)</f>
        <v>-9.8279890193329749</v>
      </c>
      <c r="E40" s="44">
        <f t="shared" si="7"/>
        <v>-6.6455857746518774</v>
      </c>
      <c r="F40" s="44">
        <f t="shared" si="7"/>
        <v>-18.944239491986693</v>
      </c>
      <c r="G40" s="44">
        <f t="shared" si="7"/>
        <v>-12.985317927988447</v>
      </c>
      <c r="H40" s="44">
        <f t="shared" si="7"/>
        <v>-23.762491042280445</v>
      </c>
      <c r="I40" s="44">
        <f t="shared" si="7"/>
        <v>-39.629360166391265</v>
      </c>
      <c r="J40" s="44">
        <f t="shared" si="7"/>
        <v>-38.462937853877236</v>
      </c>
      <c r="K40" s="44">
        <f t="shared" si="7"/>
        <v>-25.395848246241954</v>
      </c>
      <c r="L40" s="44">
        <f t="shared" si="7"/>
        <v>-28.198539787717053</v>
      </c>
      <c r="N40" s="44">
        <f t="shared" si="2"/>
        <v>-21.568363808483092</v>
      </c>
      <c r="O40" s="44">
        <f t="shared" si="1"/>
        <v>-21.353365267133569</v>
      </c>
    </row>
    <row r="41" spans="2:15">
      <c r="B41" s="48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166"/>
      <c r="N41" s="48"/>
      <c r="O41" s="48"/>
    </row>
    <row r="42" spans="2:15">
      <c r="B42" t="s">
        <v>112</v>
      </c>
      <c r="C42" s="43">
        <f>IFERROR('Historical FS'!C82/'Historical FS'!C9,0)</f>
        <v>0.12943418587146266</v>
      </c>
      <c r="D42" s="43">
        <f>IFERROR('Historical FS'!D82/'Historical FS'!D9,0)</f>
        <v>0.13689328894340283</v>
      </c>
      <c r="E42" s="43">
        <f>IFERROR('Historical FS'!E82/'Historical FS'!E9,0)</f>
        <v>0.18862199030089902</v>
      </c>
      <c r="F42" s="43">
        <f>IFERROR('Historical FS'!F82/'Historical FS'!F9,0)</f>
        <v>0.17403084366495314</v>
      </c>
      <c r="G42" s="43">
        <f>IFERROR('Historical FS'!G82/'Historical FS'!G9,0)</f>
        <v>0.161205405822163</v>
      </c>
      <c r="H42" s="43">
        <f>IFERROR('Historical FS'!H82/'Historical FS'!H9,0)</f>
        <v>0.23879289752368818</v>
      </c>
      <c r="I42" s="43">
        <f>IFERROR('Historical FS'!I82/'Historical FS'!I9,0)</f>
        <v>0.1846499124472834</v>
      </c>
      <c r="J42" s="43">
        <f>IFERROR('Historical FS'!J82/'Historical FS'!J9,0)</f>
        <v>0.10985439506156015</v>
      </c>
      <c r="K42" s="43">
        <f>IFERROR('Historical FS'!K82/'Historical FS'!K9,0)</f>
        <v>0.13098197436064293</v>
      </c>
      <c r="L42" s="43">
        <f>IFERROR('Historical FS'!L82/'Historical FS'!L9,0)</f>
        <v>0.21718510338057551</v>
      </c>
      <c r="N42" s="43">
        <f t="shared" si="2"/>
        <v>0.16716499973766311</v>
      </c>
      <c r="O42" s="43">
        <f t="shared" si="1"/>
        <v>0.16761812474355808</v>
      </c>
    </row>
    <row r="43" spans="2:15">
      <c r="B43" t="s">
        <v>113</v>
      </c>
      <c r="C43" s="43">
        <f>IFERROR('Historical FS'!C82/'Historical FS'!C68,0)</f>
        <v>0.10761937734693335</v>
      </c>
      <c r="D43" s="43">
        <f>IFERROR('Historical FS'!D82/'Historical FS'!D68,0)</f>
        <v>0.11275075768509164</v>
      </c>
      <c r="E43" s="43">
        <f>IFERROR('Historical FS'!E82/'Historical FS'!E68,0)</f>
        <v>0.16763916369456452</v>
      </c>
      <c r="F43" s="43">
        <f>IFERROR('Historical FS'!F82/'Historical FS'!F68,0)</f>
        <v>0.17115123831275428</v>
      </c>
      <c r="G43" s="43">
        <f>IFERROR('Historical FS'!G82/'Historical FS'!G68,0)</f>
        <v>0.15943355119825708</v>
      </c>
      <c r="H43" s="43">
        <f>IFERROR('Historical FS'!H82/'Historical FS'!H68,0)</f>
        <v>0.2231585605193887</v>
      </c>
      <c r="I43" s="43">
        <f>IFERROR('Historical FS'!I82/'Historical FS'!I68,0)</f>
        <v>0.19242004985907529</v>
      </c>
      <c r="J43" s="43">
        <f>IFERROR('Historical FS'!J82/'Historical FS'!J68,0)</f>
        <v>0.1294022280008989</v>
      </c>
      <c r="K43" s="43">
        <f>IFERROR('Historical FS'!K82/'Historical FS'!K68,0)</f>
        <v>0.14653465346534653</v>
      </c>
      <c r="L43" s="43">
        <f>IFERROR('Historical FS'!L82/'Historical FS'!L68,0)</f>
        <v>0.2395141919550729</v>
      </c>
      <c r="N43" s="43">
        <f t="shared" si="2"/>
        <v>0.16496237720373833</v>
      </c>
      <c r="O43" s="43">
        <f t="shared" si="1"/>
        <v>0.16353635744641082</v>
      </c>
    </row>
    <row r="44" spans="2:15">
      <c r="B44" s="148" t="s">
        <v>114</v>
      </c>
      <c r="C44" s="149">
        <f>IFERROR('Historical FS'!C82/'Historical FS'!C53,0)</f>
        <v>0</v>
      </c>
      <c r="D44" s="149">
        <f>IFERROR('Historical FS'!D82/'Historical FS'!D53,0)</f>
        <v>0</v>
      </c>
      <c r="E44" s="149">
        <f>IFERROR('Historical FS'!E82/'Historical FS'!E53,0)</f>
        <v>0</v>
      </c>
      <c r="F44" s="149">
        <f>IFERROR('Historical FS'!F82/'Historical FS'!F53,0)</f>
        <v>0</v>
      </c>
      <c r="G44" s="149">
        <f>IFERROR('Historical FS'!G82/'Historical FS'!G53,0)</f>
        <v>3.1590761925318369</v>
      </c>
      <c r="H44" s="149">
        <f>IFERROR('Historical FS'!H82/'Historical FS'!H53,0)</f>
        <v>4.5055399061032864</v>
      </c>
      <c r="I44" s="149">
        <f>IFERROR('Historical FS'!I82/'Historical FS'!I53,0)</f>
        <v>4.1032151991231274</v>
      </c>
      <c r="J44" s="149">
        <f>IFERROR('Historical FS'!J82/'Historical FS'!J53,0)</f>
        <v>1.9427641884564406</v>
      </c>
      <c r="K44" s="149">
        <f>IFERROR('Historical FS'!K82/'Historical FS'!K53,0)</f>
        <v>2.4079435339155402</v>
      </c>
      <c r="L44" s="149">
        <f>IFERROR('Historical FS'!L82/'Historical FS'!L53,0)</f>
        <v>4.3027835176856692</v>
      </c>
      <c r="M44" s="166"/>
      <c r="N44" s="149">
        <f t="shared" si="2"/>
        <v>2.04213225378159</v>
      </c>
      <c r="O44" s="149">
        <f t="shared" si="1"/>
        <v>2.1753538611859904</v>
      </c>
    </row>
    <row r="46" spans="2:15">
      <c r="B46" s="94"/>
      <c r="C46" s="94"/>
      <c r="D46" s="94"/>
      <c r="E46" s="94"/>
      <c r="F46" s="94"/>
      <c r="G46" s="94"/>
      <c r="H46" s="94"/>
      <c r="I46" s="94"/>
      <c r="J46" s="94"/>
      <c r="K46" s="94"/>
      <c r="L46" s="94"/>
      <c r="M46" s="94"/>
      <c r="N46" s="94"/>
      <c r="O46" s="94"/>
    </row>
  </sheetData>
  <mergeCells count="1">
    <mergeCell ref="B5:O5"/>
  </mergeCells>
  <pageMargins left="0.7" right="0.7" top="0.75" bottom="0.75" header="0.3" footer="0.3"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'Ratio Analysis'!C8:L8</xm:f>
              <xm:sqref>M8</xm:sqref>
            </x14:sparkline>
            <x14:sparkline>
              <xm:f>'Ratio Analysis'!C9:L9</xm:f>
              <xm:sqref>M9</xm:sqref>
            </x14:sparkline>
            <x14:sparkline>
              <xm:f>'Ratio Analysis'!C10:L10</xm:f>
              <xm:sqref>M10</xm:sqref>
            </x14:sparkline>
            <x14:sparkline>
              <xm:f>'Ratio Analysis'!C11:L11</xm:f>
              <xm:sqref>M11</xm:sqref>
            </x14:sparkline>
            <x14:sparkline>
              <xm:f>'Ratio Analysis'!C12:L12</xm:f>
              <xm:sqref>M12</xm:sqref>
            </x14:sparkline>
          </x14:sparklines>
        </x14:sparklineGroup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'Ratio Analysis'!C14:L14</xm:f>
              <xm:sqref>M14</xm:sqref>
            </x14:sparkline>
            <x14:sparkline>
              <xm:f>'Ratio Analysis'!C15:L15</xm:f>
              <xm:sqref>M15</xm:sqref>
            </x14:sparkline>
            <x14:sparkline>
              <xm:f>'Ratio Analysis'!C16:L16</xm:f>
              <xm:sqref>M16</xm:sqref>
            </x14:sparkline>
            <x14:sparkline>
              <xm:f>'Ratio Analysis'!C17:L17</xm:f>
              <xm:sqref>M17</xm:sqref>
            </x14:sparkline>
            <x14:sparkline>
              <xm:f>'Ratio Analysis'!C18:L18</xm:f>
              <xm:sqref>M18</xm:sqref>
            </x14:sparkline>
            <x14:sparkline>
              <xm:f>'Ratio Analysis'!C19:L19</xm:f>
              <xm:sqref>M19</xm:sqref>
            </x14:sparkline>
            <x14:sparkline>
              <xm:f>'Ratio Analysis'!C20:L20</xm:f>
              <xm:sqref>M20</xm:sqref>
            </x14:sparkline>
            <x14:sparkline>
              <xm:f>'Ratio Analysis'!C21:L21</xm:f>
              <xm:sqref>M21</xm:sqref>
            </x14:sparkline>
            <x14:sparkline>
              <xm:f>'Ratio Analysis'!C22:L22</xm:f>
              <xm:sqref>M22</xm:sqref>
            </x14:sparkline>
            <x14:sparkline>
              <xm:f>'Ratio Analysis'!C23:L23</xm:f>
              <xm:sqref>M23</xm:sqref>
            </x14:sparkline>
            <x14:sparkline>
              <xm:f>'Ratio Analysis'!C24:L24</xm:f>
              <xm:sqref>M24</xm:sqref>
            </x14:sparkline>
            <x14:sparkline>
              <xm:f>'Ratio Analysis'!C25:L25</xm:f>
              <xm:sqref>M25</xm:sqref>
            </x14:sparkline>
            <x14:sparkline>
              <xm:f>'Ratio Analysis'!C26:L26</xm:f>
              <xm:sqref>M26</xm:sqref>
            </x14:sparkline>
            <x14:sparkline>
              <xm:f>'Ratio Analysis'!C27:L27</xm:f>
              <xm:sqref>M27</xm:sqref>
            </x14:sparkline>
            <x14:sparkline>
              <xm:f>'Ratio Analysis'!C28:L28</xm:f>
              <xm:sqref>M28</xm:sqref>
            </x14:sparkline>
            <x14:sparkline>
              <xm:f>'Ratio Analysis'!C29:L29</xm:f>
              <xm:sqref>M29</xm:sqref>
            </x14:sparkline>
            <x14:sparkline>
              <xm:f>'Ratio Analysis'!C30:L30</xm:f>
              <xm:sqref>M30</xm:sqref>
            </x14:sparkline>
            <x14:sparkline>
              <xm:f>'Ratio Analysis'!C31:L31</xm:f>
              <xm:sqref>M31</xm:sqref>
            </x14:sparkline>
            <x14:sparkline>
              <xm:f>'Ratio Analysis'!C32:L32</xm:f>
              <xm:sqref>M32</xm:sqref>
            </x14:sparkline>
            <x14:sparkline>
              <xm:f>'Ratio Analysis'!C33:L33</xm:f>
              <xm:sqref>M33</xm:sqref>
            </x14:sparkline>
            <x14:sparkline>
              <xm:f>'Ratio Analysis'!C34:L34</xm:f>
              <xm:sqref>M34</xm:sqref>
            </x14:sparkline>
            <x14:sparkline>
              <xm:f>'Ratio Analysis'!C35:L35</xm:f>
              <xm:sqref>M35</xm:sqref>
            </x14:sparkline>
            <x14:sparkline>
              <xm:f>'Ratio Analysis'!C36:L36</xm:f>
              <xm:sqref>M36</xm:sqref>
            </x14:sparkline>
            <x14:sparkline>
              <xm:f>'Ratio Analysis'!C37:L37</xm:f>
              <xm:sqref>M37</xm:sqref>
            </x14:sparkline>
            <x14:sparkline>
              <xm:f>'Ratio Analysis'!C38:L38</xm:f>
              <xm:sqref>M38</xm:sqref>
            </x14:sparkline>
            <x14:sparkline>
              <xm:f>'Ratio Analysis'!C39:L39</xm:f>
              <xm:sqref>M39</xm:sqref>
            </x14:sparkline>
            <x14:sparkline>
              <xm:f>'Ratio Analysis'!C40:L40</xm:f>
              <xm:sqref>M40</xm:sqref>
            </x14:sparkline>
            <x14:sparkline>
              <xm:f>'Ratio Analysis'!C41:L41</xm:f>
              <xm:sqref>M41</xm:sqref>
            </x14:sparkline>
            <x14:sparkline>
              <xm:f>'Ratio Analysis'!C42:L42</xm:f>
              <xm:sqref>M42</xm:sqref>
            </x14:sparkline>
            <x14:sparkline>
              <xm:f>'Ratio Analysis'!C43:L43</xm:f>
              <xm:sqref>M43</xm:sqref>
            </x14:sparkline>
            <x14:sparkline>
              <xm:f>'Ratio Analysis'!C44:L44</xm:f>
              <xm:sqref>M44</xm:sqref>
            </x14:sparkline>
          </x14:sparklines>
        </x14:sparklineGroup>
      </x14:sparklineGroup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52"/>
  <sheetViews>
    <sheetView showGridLines="0" workbookViewId="0">
      <selection activeCell="R11" sqref="R11"/>
    </sheetView>
  </sheetViews>
  <sheetFormatPr defaultRowHeight="14.25"/>
  <cols>
    <col min="1" max="1" width="1.86328125" customWidth="1"/>
    <col min="2" max="2" width="12.265625" customWidth="1"/>
    <col min="4" max="4" width="13" customWidth="1"/>
    <col min="5" max="5" width="13.3984375" customWidth="1"/>
    <col min="6" max="6" width="2.73046875" customWidth="1"/>
    <col min="9" max="9" width="11.59765625" customWidth="1"/>
    <col min="10" max="10" width="12" customWidth="1"/>
    <col min="11" max="11" width="2.73046875" customWidth="1"/>
    <col min="12" max="12" width="10.1328125" bestFit="1" customWidth="1"/>
    <col min="13" max="13" width="10.86328125" customWidth="1"/>
    <col min="14" max="14" width="12" customWidth="1"/>
    <col min="15" max="15" width="12.3984375" customWidth="1"/>
  </cols>
  <sheetData>
    <row r="2" spans="2:15" ht="30.75">
      <c r="B2" s="146" t="s">
        <v>0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</row>
    <row r="3" spans="2:15">
      <c r="B3" s="69" t="s">
        <v>1</v>
      </c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</row>
    <row r="5" spans="2:15">
      <c r="B5" s="208" t="str">
        <f>'Data Sheet'!B1&amp;" - "&amp;'Data Sheet'!A17&amp;" forecasting"</f>
        <v>INFOSYS LTD - Sales forecasting</v>
      </c>
      <c r="C5" s="208"/>
      <c r="D5" s="208"/>
      <c r="E5" s="208"/>
      <c r="G5" s="208" t="str">
        <f>'Data Sheet'!B1&amp;" - "&amp;'Historical FS'!B21&amp;" forecasting"</f>
        <v>INFOSYS LTD - EBITDA forecasting</v>
      </c>
      <c r="H5" s="208"/>
      <c r="I5" s="208"/>
      <c r="J5" s="208"/>
      <c r="L5" s="208" t="str">
        <f>'Data Sheet'!B1&amp;" - "&amp;'Historical FS'!B41&amp;" forecasting"</f>
        <v>INFOSYS LTD - Earning Per Share forecasting</v>
      </c>
      <c r="M5" s="208"/>
      <c r="N5" s="208"/>
      <c r="O5" s="208"/>
    </row>
    <row r="6" spans="2:15">
      <c r="B6" s="53" t="s">
        <v>115</v>
      </c>
      <c r="C6" s="54" t="s">
        <v>116</v>
      </c>
      <c r="D6" s="54" t="s">
        <v>6</v>
      </c>
      <c r="E6" s="54" t="s">
        <v>87</v>
      </c>
      <c r="G6" s="53" t="s">
        <v>115</v>
      </c>
      <c r="H6" s="54" t="s">
        <v>116</v>
      </c>
      <c r="I6" s="54" t="s">
        <v>117</v>
      </c>
      <c r="J6" s="54" t="s">
        <v>87</v>
      </c>
      <c r="L6" s="53" t="s">
        <v>115</v>
      </c>
      <c r="M6" s="54" t="s">
        <v>116</v>
      </c>
      <c r="N6" s="54" t="s">
        <v>118</v>
      </c>
      <c r="O6" s="54" t="s">
        <v>119</v>
      </c>
    </row>
    <row r="7" spans="2:15">
      <c r="B7" s="52">
        <v>1</v>
      </c>
      <c r="C7" s="160">
        <v>2016</v>
      </c>
      <c r="D7" s="55" cm="1">
        <f t="array" ref="D7:D16">TRANSPOSE('Data Sheet'!B17:K17)</f>
        <v>62441</v>
      </c>
      <c r="G7" s="52">
        <v>1</v>
      </c>
      <c r="H7" s="160">
        <v>2016</v>
      </c>
      <c r="I7" s="55" cm="1">
        <f t="array" ref="I7:I16">TRANSPOSE('Historical FS'!C21:L21)</f>
        <v>17079</v>
      </c>
      <c r="L7" s="52">
        <v>1</v>
      </c>
      <c r="M7" s="160">
        <v>2016</v>
      </c>
      <c r="N7" s="55" cm="1">
        <f t="array" ref="N7:N16">TRANSPOSE('Historical FS'!C41:L41)</f>
        <v>22.571235769172162</v>
      </c>
    </row>
    <row r="8" spans="2:15">
      <c r="B8" s="52">
        <f>B7+1</f>
        <v>2</v>
      </c>
      <c r="C8" s="160">
        <f>C7+1</f>
        <v>2017</v>
      </c>
      <c r="D8" s="51">
        <v>68484</v>
      </c>
      <c r="E8" s="4">
        <f>IFERROR(D8/D7-1,0)</f>
        <v>9.67793597155715E-2</v>
      </c>
      <c r="G8" s="52">
        <f>G7+1</f>
        <v>2</v>
      </c>
      <c r="H8" s="160">
        <f>H7+1</f>
        <v>2017</v>
      </c>
      <c r="I8" s="51">
        <v>18604</v>
      </c>
      <c r="J8" s="4">
        <f>IFERROR(I8/I7-1,0)</f>
        <v>8.9290942092628445E-2</v>
      </c>
      <c r="L8" s="52">
        <f>L7+1</f>
        <v>2</v>
      </c>
      <c r="M8" s="160">
        <f>M7+1</f>
        <v>2017</v>
      </c>
      <c r="N8" s="51">
        <v>24.604366660136268</v>
      </c>
      <c r="O8" s="4">
        <f>IFERROR(N8/N7-1,0)</f>
        <v>9.0076188639213184E-2</v>
      </c>
    </row>
    <row r="9" spans="2:15">
      <c r="B9" s="52">
        <f t="shared" ref="B9:B21" si="0">B8+1</f>
        <v>3</v>
      </c>
      <c r="C9" s="160">
        <f t="shared" ref="C9:C21" si="1">C8+1</f>
        <v>2018</v>
      </c>
      <c r="D9" s="51">
        <v>70522</v>
      </c>
      <c r="E9" s="4">
        <f t="shared" ref="E9:E21" si="2">IFERROR(D9/D8-1,0)</f>
        <v>2.9758775772443125E-2</v>
      </c>
      <c r="G9" s="52">
        <f t="shared" ref="G9:H21" si="3">G8+1</f>
        <v>3</v>
      </c>
      <c r="H9" s="160">
        <f t="shared" si="3"/>
        <v>2018</v>
      </c>
      <c r="I9" s="51">
        <v>18822</v>
      </c>
      <c r="J9" s="4">
        <f t="shared" ref="J9:J21" si="4">IFERROR(I9/I8-1,0)</f>
        <v>1.1717910126854525E-2</v>
      </c>
      <c r="L9" s="52">
        <f t="shared" ref="L9:M9" si="5">L8+1</f>
        <v>3</v>
      </c>
      <c r="M9" s="160">
        <f t="shared" si="5"/>
        <v>2018</v>
      </c>
      <c r="N9" s="51">
        <v>29.114967263403692</v>
      </c>
      <c r="O9" s="4">
        <f t="shared" ref="O9:O21" si="6">IFERROR(N9/N8-1,0)</f>
        <v>0.1833252066827411</v>
      </c>
    </row>
    <row r="10" spans="2:15">
      <c r="B10" s="52">
        <f t="shared" si="0"/>
        <v>4</v>
      </c>
      <c r="C10" s="160">
        <f t="shared" si="1"/>
        <v>2019</v>
      </c>
      <c r="D10" s="51">
        <v>82675</v>
      </c>
      <c r="E10" s="4">
        <f t="shared" si="2"/>
        <v>0.17232920223476356</v>
      </c>
      <c r="G10" s="52">
        <f t="shared" si="3"/>
        <v>4</v>
      </c>
      <c r="H10" s="160">
        <f t="shared" si="3"/>
        <v>2019</v>
      </c>
      <c r="I10" s="51">
        <v>20170</v>
      </c>
      <c r="J10" s="4">
        <f t="shared" si="4"/>
        <v>7.1618318988417862E-2</v>
      </c>
      <c r="L10" s="52">
        <f t="shared" ref="L10:M10" si="7">L9+1</f>
        <v>4</v>
      </c>
      <c r="M10" s="160">
        <f t="shared" si="7"/>
        <v>2019</v>
      </c>
      <c r="N10" s="51">
        <v>28.6754102863421</v>
      </c>
      <c r="O10" s="4">
        <f t="shared" si="6"/>
        <v>-1.5097285636109792E-2</v>
      </c>
    </row>
    <row r="11" spans="2:15">
      <c r="B11" s="52">
        <f t="shared" si="0"/>
        <v>5</v>
      </c>
      <c r="C11" s="160">
        <f t="shared" si="1"/>
        <v>2020</v>
      </c>
      <c r="D11" s="51">
        <v>90791</v>
      </c>
      <c r="E11" s="4">
        <f t="shared" si="2"/>
        <v>9.8167523435137571E-2</v>
      </c>
      <c r="G11" s="52">
        <f t="shared" si="3"/>
        <v>5</v>
      </c>
      <c r="H11" s="160">
        <f t="shared" si="3"/>
        <v>2020</v>
      </c>
      <c r="I11" s="51">
        <v>22267</v>
      </c>
      <c r="J11" s="4">
        <f t="shared" si="4"/>
        <v>0.10396628656420437</v>
      </c>
      <c r="L11" s="52">
        <f t="shared" ref="L11:M11" si="8">L10+1</f>
        <v>5</v>
      </c>
      <c r="M11" s="160">
        <f t="shared" si="8"/>
        <v>2020</v>
      </c>
      <c r="N11" s="51">
        <v>32.486499178210849</v>
      </c>
      <c r="O11" s="4">
        <f t="shared" si="6"/>
        <v>0.13290442416734827</v>
      </c>
    </row>
    <row r="12" spans="2:15">
      <c r="B12" s="52">
        <f t="shared" si="0"/>
        <v>6</v>
      </c>
      <c r="C12" s="160">
        <f t="shared" si="1"/>
        <v>2021</v>
      </c>
      <c r="D12" s="51">
        <v>100472</v>
      </c>
      <c r="E12" s="4">
        <f t="shared" si="2"/>
        <v>0.10662951173574475</v>
      </c>
      <c r="G12" s="52">
        <f t="shared" si="3"/>
        <v>6</v>
      </c>
      <c r="H12" s="160">
        <f t="shared" si="3"/>
        <v>2021</v>
      </c>
      <c r="I12" s="51">
        <v>27889</v>
      </c>
      <c r="J12" s="4">
        <f t="shared" si="4"/>
        <v>0.25248125028068436</v>
      </c>
      <c r="L12" s="52">
        <f t="shared" ref="L12:M12" si="9">L11+1</f>
        <v>6</v>
      </c>
      <c r="M12" s="160">
        <f t="shared" si="9"/>
        <v>2021</v>
      </c>
      <c r="N12" s="51">
        <v>40.420588166263762</v>
      </c>
      <c r="O12" s="4">
        <f t="shared" si="6"/>
        <v>0.24422726944288353</v>
      </c>
    </row>
    <row r="13" spans="2:15">
      <c r="B13" s="52">
        <f t="shared" si="0"/>
        <v>7</v>
      </c>
      <c r="C13" s="160">
        <f t="shared" si="1"/>
        <v>2022</v>
      </c>
      <c r="D13" s="51">
        <v>121641</v>
      </c>
      <c r="E13" s="4">
        <f t="shared" si="2"/>
        <v>0.21069551715900947</v>
      </c>
      <c r="G13" s="52">
        <f t="shared" si="3"/>
        <v>7</v>
      </c>
      <c r="H13" s="160">
        <f t="shared" si="3"/>
        <v>2022</v>
      </c>
      <c r="I13" s="51">
        <v>31491</v>
      </c>
      <c r="J13" s="4">
        <f t="shared" si="4"/>
        <v>0.12915486392484499</v>
      </c>
      <c r="L13" s="52">
        <f t="shared" ref="L13:M13" si="10">L12+1</f>
        <v>7</v>
      </c>
      <c r="M13" s="160">
        <f t="shared" si="10"/>
        <v>2022</v>
      </c>
      <c r="N13" s="51">
        <v>47.189008011030019</v>
      </c>
      <c r="O13" s="4">
        <f t="shared" si="6"/>
        <v>0.16744981089650213</v>
      </c>
    </row>
    <row r="14" spans="2:15">
      <c r="B14" s="52">
        <f t="shared" si="0"/>
        <v>8</v>
      </c>
      <c r="C14" s="160">
        <f t="shared" si="1"/>
        <v>2023</v>
      </c>
      <c r="D14" s="51">
        <v>146767</v>
      </c>
      <c r="E14" s="4">
        <f t="shared" si="2"/>
        <v>0.20655864387829759</v>
      </c>
      <c r="G14" s="52">
        <f t="shared" si="3"/>
        <v>8</v>
      </c>
      <c r="H14" s="160">
        <f t="shared" si="3"/>
        <v>2023</v>
      </c>
      <c r="I14" s="51">
        <v>35130</v>
      </c>
      <c r="J14" s="4">
        <f t="shared" si="4"/>
        <v>0.1155568257597408</v>
      </c>
      <c r="L14" s="52">
        <f t="shared" ref="L14:M14" si="11">L13+1</f>
        <v>8</v>
      </c>
      <c r="M14" s="160">
        <f t="shared" si="11"/>
        <v>2023</v>
      </c>
      <c r="N14" s="51">
        <v>51.600539941184977</v>
      </c>
      <c r="O14" s="4">
        <f t="shared" si="6"/>
        <v>9.3486430762091954E-2</v>
      </c>
    </row>
    <row r="15" spans="2:15">
      <c r="B15" s="52">
        <f t="shared" si="0"/>
        <v>9</v>
      </c>
      <c r="C15" s="160">
        <f t="shared" si="1"/>
        <v>2024</v>
      </c>
      <c r="D15" s="51">
        <v>153670</v>
      </c>
      <c r="E15" s="4">
        <f t="shared" si="2"/>
        <v>4.7033733741236095E-2</v>
      </c>
      <c r="G15" s="52">
        <f t="shared" si="3"/>
        <v>9</v>
      </c>
      <c r="H15" s="160">
        <f t="shared" si="3"/>
        <v>2024</v>
      </c>
      <c r="I15" s="51">
        <v>36425</v>
      </c>
      <c r="J15" s="4">
        <f t="shared" si="4"/>
        <v>3.6863079988613823E-2</v>
      </c>
      <c r="L15" s="52">
        <f t="shared" ref="L15:M15" si="12">L14+1</f>
        <v>9</v>
      </c>
      <c r="M15" s="160">
        <f t="shared" si="12"/>
        <v>2024</v>
      </c>
      <c r="N15" s="51">
        <v>51.885133344575877</v>
      </c>
      <c r="O15" s="4">
        <f t="shared" si="6"/>
        <v>5.5153183225462588E-3</v>
      </c>
    </row>
    <row r="16" spans="2:15">
      <c r="B16" s="52">
        <f t="shared" si="0"/>
        <v>10</v>
      </c>
      <c r="C16" s="160">
        <f t="shared" si="1"/>
        <v>2025</v>
      </c>
      <c r="D16" s="51">
        <v>162990</v>
      </c>
      <c r="E16" s="4">
        <f t="shared" si="2"/>
        <v>6.0649443612936782E-2</v>
      </c>
      <c r="G16" s="52">
        <f t="shared" si="3"/>
        <v>10</v>
      </c>
      <c r="H16" s="160">
        <f t="shared" si="3"/>
        <v>2025</v>
      </c>
      <c r="I16" s="51">
        <v>39236</v>
      </c>
      <c r="J16" s="4">
        <f t="shared" si="4"/>
        <v>7.7172271791352109E-2</v>
      </c>
      <c r="L16" s="52">
        <f t="shared" ref="L16:M16" si="13">L15+1</f>
        <v>10</v>
      </c>
      <c r="M16" s="160">
        <f t="shared" si="13"/>
        <v>2025</v>
      </c>
      <c r="N16" s="51">
        <v>55.738810102809815</v>
      </c>
      <c r="O16" s="4">
        <f t="shared" si="6"/>
        <v>7.4273236085588668E-2</v>
      </c>
    </row>
    <row r="17" spans="2:15">
      <c r="B17" s="56">
        <f t="shared" si="0"/>
        <v>11</v>
      </c>
      <c r="C17" s="161">
        <f t="shared" si="1"/>
        <v>2026</v>
      </c>
      <c r="D17" s="57">
        <f>FORECAST(B17,_xlfn.ANCHORARRAY($D$7),$B$7:$B$16)</f>
        <v>173013.53333333333</v>
      </c>
      <c r="E17" s="58">
        <f t="shared" si="2"/>
        <v>6.1497842403419378E-2</v>
      </c>
      <c r="G17" s="56">
        <f t="shared" si="3"/>
        <v>11</v>
      </c>
      <c r="H17" s="161">
        <f t="shared" si="3"/>
        <v>2026</v>
      </c>
      <c r="I17" s="57">
        <f>FORECAST(G17,_xlfn.ANCHORARRAY($I$7),$G$7:$G$16)</f>
        <v>41554.133333333331</v>
      </c>
      <c r="J17" s="58">
        <f t="shared" si="4"/>
        <v>5.9081795629863709E-2</v>
      </c>
      <c r="L17" s="56">
        <f t="shared" ref="L17:M17" si="14">L16+1</f>
        <v>11</v>
      </c>
      <c r="M17" s="161">
        <f t="shared" si="14"/>
        <v>2026</v>
      </c>
      <c r="N17" s="57">
        <f>FORECAST(L17,_xlfn.ANCHORARRAY($N$7),$L$7:$L$16)</f>
        <v>60.607865250474262</v>
      </c>
      <c r="O17" s="58">
        <f t="shared" si="6"/>
        <v>8.7354845549869387E-2</v>
      </c>
    </row>
    <row r="18" spans="2:15">
      <c r="B18" s="56">
        <f t="shared" si="0"/>
        <v>12</v>
      </c>
      <c r="C18" s="161">
        <f t="shared" si="1"/>
        <v>2027</v>
      </c>
      <c r="D18" s="57">
        <f t="shared" ref="D18:D21" si="15">FORECAST(B18,_xlfn.ANCHORARRAY($D$7),$B$7:$B$16)</f>
        <v>185189.57575757575</v>
      </c>
      <c r="E18" s="58">
        <f t="shared" si="2"/>
        <v>7.0376242769307984E-2</v>
      </c>
      <c r="G18" s="56">
        <f t="shared" si="3"/>
        <v>12</v>
      </c>
      <c r="H18" s="161">
        <f t="shared" si="3"/>
        <v>2027</v>
      </c>
      <c r="I18" s="57">
        <f t="shared" ref="I18:I21" si="16">FORECAST(G18,_xlfn.ANCHORARRAY($I$7),$G$7:$G$16)</f>
        <v>44252.8303030303</v>
      </c>
      <c r="J18" s="58">
        <f t="shared" si="4"/>
        <v>6.4944128374641474E-2</v>
      </c>
      <c r="L18" s="56">
        <f t="shared" ref="L18:M18" si="17">L17+1</f>
        <v>12</v>
      </c>
      <c r="M18" s="161">
        <f t="shared" si="17"/>
        <v>2027</v>
      </c>
      <c r="N18" s="57">
        <f t="shared" ref="N18:N21" si="18">FORECAST(L18,_xlfn.ANCHORARRAY($N$7),$L$7:$L$16)</f>
        <v>64.640448773776313</v>
      </c>
      <c r="O18" s="58">
        <f t="shared" si="6"/>
        <v>6.6535646926955572E-2</v>
      </c>
    </row>
    <row r="19" spans="2:15">
      <c r="B19" s="56">
        <f t="shared" si="0"/>
        <v>13</v>
      </c>
      <c r="C19" s="161">
        <f t="shared" si="1"/>
        <v>2028</v>
      </c>
      <c r="D19" s="57">
        <f>FORECAST(B19,_xlfn.ANCHORARRAY($D$7),$B$7:$B$16)</f>
        <v>197365.61818181816</v>
      </c>
      <c r="E19" s="58">
        <f t="shared" si="2"/>
        <v>6.5749070240225471E-2</v>
      </c>
      <c r="G19" s="56">
        <f t="shared" si="3"/>
        <v>13</v>
      </c>
      <c r="H19" s="161">
        <f t="shared" si="3"/>
        <v>2028</v>
      </c>
      <c r="I19" s="57">
        <f t="shared" si="16"/>
        <v>46951.527272727268</v>
      </c>
      <c r="J19" s="58">
        <f t="shared" si="4"/>
        <v>6.0983601528243225E-2</v>
      </c>
      <c r="L19" s="56">
        <f t="shared" ref="L19:M19" si="19">L18+1</f>
        <v>13</v>
      </c>
      <c r="M19" s="161">
        <f t="shared" si="19"/>
        <v>2028</v>
      </c>
      <c r="N19" s="57">
        <f t="shared" si="18"/>
        <v>68.673032297078365</v>
      </c>
      <c r="O19" s="58">
        <f t="shared" si="6"/>
        <v>6.2384831785666783E-2</v>
      </c>
    </row>
    <row r="20" spans="2:15">
      <c r="B20" s="56">
        <f t="shared" si="0"/>
        <v>14</v>
      </c>
      <c r="C20" s="161">
        <f t="shared" si="1"/>
        <v>2029</v>
      </c>
      <c r="D20" s="57">
        <f t="shared" si="15"/>
        <v>209541.66060606064</v>
      </c>
      <c r="E20" s="58">
        <f t="shared" si="2"/>
        <v>6.1692824395714219E-2</v>
      </c>
      <c r="G20" s="56">
        <f t="shared" si="3"/>
        <v>14</v>
      </c>
      <c r="H20" s="161">
        <f t="shared" si="3"/>
        <v>2029</v>
      </c>
      <c r="I20" s="57">
        <f t="shared" si="16"/>
        <v>49650.224242424243</v>
      </c>
      <c r="J20" s="58">
        <f t="shared" si="4"/>
        <v>5.7478363888379125E-2</v>
      </c>
      <c r="L20" s="56">
        <f t="shared" ref="L20:M20" si="20">L19+1</f>
        <v>14</v>
      </c>
      <c r="M20" s="161">
        <f t="shared" si="20"/>
        <v>2029</v>
      </c>
      <c r="N20" s="57">
        <f t="shared" si="18"/>
        <v>72.70561582038043</v>
      </c>
      <c r="O20" s="58">
        <f t="shared" si="6"/>
        <v>5.8721500833939899E-2</v>
      </c>
    </row>
    <row r="21" spans="2:15">
      <c r="B21" s="56">
        <f t="shared" si="0"/>
        <v>15</v>
      </c>
      <c r="C21" s="161">
        <f t="shared" si="1"/>
        <v>2030</v>
      </c>
      <c r="D21" s="57">
        <f t="shared" si="15"/>
        <v>221717.70303030306</v>
      </c>
      <c r="E21" s="58">
        <f t="shared" si="2"/>
        <v>5.8107979048297453E-2</v>
      </c>
      <c r="G21" s="56">
        <f t="shared" si="3"/>
        <v>15</v>
      </c>
      <c r="H21" s="161">
        <f t="shared" si="3"/>
        <v>2030</v>
      </c>
      <c r="I21" s="57">
        <f t="shared" si="16"/>
        <v>52348.921212121211</v>
      </c>
      <c r="J21" s="58">
        <f t="shared" si="4"/>
        <v>5.4354174847634162E-2</v>
      </c>
      <c r="L21" s="56">
        <f t="shared" ref="L21:M21" si="21">L20+1</f>
        <v>15</v>
      </c>
      <c r="M21" s="161">
        <f t="shared" si="21"/>
        <v>2030</v>
      </c>
      <c r="N21" s="57">
        <f t="shared" si="18"/>
        <v>76.738199343682481</v>
      </c>
      <c r="O21" s="58">
        <f t="shared" si="6"/>
        <v>5.5464539813053326E-2</v>
      </c>
    </row>
    <row r="22" spans="2:15" ht="17.25" customHeight="1"/>
    <row r="50" spans="2:2">
      <c r="B50" s="22"/>
    </row>
    <row r="51" spans="2:2">
      <c r="B51" s="22"/>
    </row>
    <row r="52" spans="2:2">
      <c r="B52" s="22"/>
    </row>
  </sheetData>
  <mergeCells count="3">
    <mergeCell ref="B5:E5"/>
    <mergeCell ref="G5:J5"/>
    <mergeCell ref="L5:O5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74069"/>
  </sheetPr>
  <dimension ref="A1"/>
  <sheetViews>
    <sheetView workbookViewId="0">
      <selection activeCell="J20" sqref="J20"/>
    </sheetView>
  </sheetViews>
  <sheetFormatPr defaultRowHeight="14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8"/>
  <sheetViews>
    <sheetView showGridLines="0" zoomScale="46" workbookViewId="0">
      <selection activeCell="G51" sqref="G51"/>
    </sheetView>
  </sheetViews>
  <sheetFormatPr defaultRowHeight="14.25"/>
  <cols>
    <col min="1" max="1" width="1.86328125" customWidth="1"/>
    <col min="2" max="2" width="34.1328125" customWidth="1"/>
    <col min="3" max="3" width="11.86328125" customWidth="1"/>
    <col min="4" max="4" width="8.1328125" customWidth="1"/>
    <col min="5" max="5" width="12.73046875" customWidth="1"/>
    <col min="6" max="6" width="11.1328125" customWidth="1"/>
    <col min="7" max="7" width="15.1328125" customWidth="1"/>
    <col min="8" max="8" width="14.1328125" customWidth="1"/>
    <col min="10" max="10" width="9.86328125" bestFit="1" customWidth="1"/>
    <col min="11" max="11" width="10.3984375" customWidth="1"/>
    <col min="12" max="12" width="9.265625" bestFit="1" customWidth="1"/>
    <col min="13" max="13" width="11.73046875" bestFit="1" customWidth="1"/>
    <col min="14" max="14" width="9.265625" bestFit="1" customWidth="1"/>
  </cols>
  <sheetData>
    <row r="2" spans="2:11" ht="30.75">
      <c r="B2" s="146" t="s">
        <v>0</v>
      </c>
      <c r="C2" s="38"/>
      <c r="D2" s="38"/>
      <c r="E2" s="38"/>
      <c r="F2" s="38"/>
      <c r="G2" s="38"/>
      <c r="H2" s="38"/>
      <c r="I2" s="38"/>
      <c r="J2" s="38"/>
      <c r="K2" s="38"/>
    </row>
    <row r="3" spans="2:11">
      <c r="B3" s="69" t="s">
        <v>1</v>
      </c>
      <c r="C3" s="62"/>
      <c r="D3" s="62"/>
      <c r="E3" s="62"/>
      <c r="F3" s="62"/>
      <c r="G3" s="62"/>
      <c r="H3" s="62"/>
      <c r="I3" s="62"/>
      <c r="J3" s="62"/>
      <c r="K3" s="62"/>
    </row>
    <row r="5" spans="2:11" ht="15.75">
      <c r="B5" s="59" t="s">
        <v>120</v>
      </c>
      <c r="C5" s="60"/>
      <c r="D5" s="60"/>
      <c r="E5" s="60"/>
      <c r="F5" s="60"/>
      <c r="G5" s="60"/>
      <c r="H5" s="60"/>
      <c r="I5" s="60"/>
      <c r="J5" s="60"/>
      <c r="K5" s="60"/>
    </row>
    <row r="6" spans="2:11" ht="17.25" customHeight="1">
      <c r="B6" s="82" t="s">
        <v>121</v>
      </c>
    </row>
    <row r="8" spans="2:11">
      <c r="B8" s="2" t="s">
        <v>122</v>
      </c>
    </row>
    <row r="10" spans="2:11">
      <c r="B10" s="38"/>
      <c r="C10" s="38"/>
      <c r="D10" s="38"/>
      <c r="E10" s="38"/>
      <c r="F10" s="38"/>
      <c r="G10" s="38"/>
      <c r="H10" s="38" t="s">
        <v>123</v>
      </c>
      <c r="I10" s="38" t="s">
        <v>123</v>
      </c>
      <c r="J10" s="38" t="s">
        <v>124</v>
      </c>
      <c r="K10" s="38" t="s">
        <v>125</v>
      </c>
    </row>
    <row r="11" spans="2:11" ht="15.75">
      <c r="B11" s="62" t="s">
        <v>126</v>
      </c>
      <c r="C11" s="62"/>
      <c r="D11" s="62" t="s">
        <v>127</v>
      </c>
      <c r="E11" s="62" t="s">
        <v>128</v>
      </c>
      <c r="F11" s="62" t="s">
        <v>129</v>
      </c>
      <c r="G11" s="62" t="s">
        <v>130</v>
      </c>
      <c r="H11" s="63" t="s">
        <v>131</v>
      </c>
      <c r="I11" s="63" t="s">
        <v>132</v>
      </c>
      <c r="J11" s="63" t="s">
        <v>133</v>
      </c>
      <c r="K11" s="63" t="s">
        <v>134</v>
      </c>
    </row>
    <row r="12" spans="2:11" ht="15.75" customHeight="1">
      <c r="B12" s="64" t="s">
        <v>121</v>
      </c>
      <c r="C12" s="64"/>
      <c r="H12" s="61"/>
      <c r="I12" s="61"/>
      <c r="J12" s="61"/>
      <c r="K12" s="61"/>
    </row>
    <row r="13" spans="2:11" ht="15.75" customHeight="1">
      <c r="B13" s="64"/>
      <c r="C13" s="64"/>
      <c r="H13" s="61"/>
      <c r="I13" s="61"/>
      <c r="J13" s="61"/>
      <c r="K13" s="61"/>
    </row>
    <row r="14" spans="2:11">
      <c r="B14" s="66" t="s">
        <v>135</v>
      </c>
      <c r="C14" s="65"/>
      <c r="D14" s="66" t="s">
        <v>136</v>
      </c>
      <c r="E14" s="80">
        <f>'Beta comps'!F7</f>
        <v>9392</v>
      </c>
      <c r="F14" s="80">
        <f>'Beta comps'!E7</f>
        <v>1141180.98</v>
      </c>
      <c r="G14" s="72">
        <v>0.3</v>
      </c>
      <c r="H14" s="58">
        <f>E14/F14</f>
        <v>8.2300705712778349E-3</v>
      </c>
      <c r="I14" s="58">
        <f>E14/(F14+E14)</f>
        <v>8.1628894153241809E-3</v>
      </c>
      <c r="J14" s="80">
        <f>Beta!Q18</f>
        <v>0.87436318561824333</v>
      </c>
      <c r="K14" s="43">
        <f t="shared" ref="K14:K19" si="0">J14/1+(1-G14)*H14</f>
        <v>0.88012423501813786</v>
      </c>
    </row>
    <row r="15" spans="2:11">
      <c r="B15" s="66" t="s">
        <v>137</v>
      </c>
      <c r="C15" s="66"/>
      <c r="D15" s="66" t="s">
        <v>136</v>
      </c>
      <c r="E15" s="80">
        <f>'Beta comps'!F8</f>
        <v>8485</v>
      </c>
      <c r="F15" s="80">
        <f>'Beta comps'!E8</f>
        <v>628078.49</v>
      </c>
      <c r="G15" s="72">
        <v>0.3</v>
      </c>
      <c r="H15" s="58">
        <f t="shared" ref="H15:H19" si="1">E15/F15</f>
        <v>1.3509458029680335E-2</v>
      </c>
      <c r="I15" s="58">
        <f t="shared" ref="I15:I19" si="2">E15/(F15+E15)</f>
        <v>1.3329385258962935E-2</v>
      </c>
      <c r="J15" s="80">
        <f>Beta!J18</f>
        <v>0.84686606629312666</v>
      </c>
      <c r="K15" s="43">
        <f t="shared" si="0"/>
        <v>0.8563226869139029</v>
      </c>
    </row>
    <row r="16" spans="2:11">
      <c r="B16" s="66" t="s">
        <v>138</v>
      </c>
      <c r="C16" s="66"/>
      <c r="D16" s="66" t="s">
        <v>136</v>
      </c>
      <c r="E16" s="80">
        <f>'Beta comps'!F9</f>
        <v>6276</v>
      </c>
      <c r="F16" s="80">
        <f>'Beta comps'!E9</f>
        <v>400374.16</v>
      </c>
      <c r="G16" s="72">
        <v>0.3</v>
      </c>
      <c r="H16" s="58">
        <f t="shared" si="1"/>
        <v>1.5675337289499405E-2</v>
      </c>
      <c r="I16" s="58">
        <f t="shared" si="2"/>
        <v>1.5433413330023037E-2</v>
      </c>
      <c r="J16" s="80">
        <f>Beta!Y18</f>
        <v>0.91547950008228762</v>
      </c>
      <c r="K16" s="43">
        <f t="shared" si="0"/>
        <v>0.92645223618493722</v>
      </c>
    </row>
    <row r="17" spans="2:14">
      <c r="B17" s="66" t="s">
        <v>139</v>
      </c>
      <c r="C17" s="67"/>
      <c r="D17" s="66" t="s">
        <v>136</v>
      </c>
      <c r="E17" s="80">
        <f>'Beta comps'!F10</f>
        <v>19203.5</v>
      </c>
      <c r="F17" s="80">
        <f>'Beta comps'!E10</f>
        <v>264651.93</v>
      </c>
      <c r="G17" s="72">
        <v>0.3</v>
      </c>
      <c r="H17" s="58">
        <f t="shared" si="1"/>
        <v>7.2561345008895273E-2</v>
      </c>
      <c r="I17" s="58">
        <f t="shared" si="2"/>
        <v>6.7652396151097055E-2</v>
      </c>
      <c r="J17" s="80">
        <f>Beta!AW18</f>
        <v>0.94852224473081326</v>
      </c>
      <c r="K17" s="43">
        <f t="shared" si="0"/>
        <v>0.99931518623703997</v>
      </c>
    </row>
    <row r="18" spans="2:14">
      <c r="B18" s="66" t="s">
        <v>140</v>
      </c>
      <c r="C18" s="66"/>
      <c r="D18" s="66" t="s">
        <v>136</v>
      </c>
      <c r="E18" s="80">
        <f>'Beta comps'!F11</f>
        <v>2187.3000000000002</v>
      </c>
      <c r="F18" s="80">
        <f>'Beta comps'!E11</f>
        <v>155818.88</v>
      </c>
      <c r="G18" s="72">
        <v>0.3</v>
      </c>
      <c r="H18" s="58">
        <f t="shared" si="1"/>
        <v>1.403745168749769E-2</v>
      </c>
      <c r="I18" s="58">
        <f t="shared" si="2"/>
        <v>1.3843129426962923E-2</v>
      </c>
      <c r="J18" s="80">
        <f>Beta!AG18</f>
        <v>1.1288465881225873</v>
      </c>
      <c r="K18" s="43">
        <f t="shared" si="0"/>
        <v>1.1386728043038357</v>
      </c>
    </row>
    <row r="19" spans="2:14">
      <c r="B19" s="66" t="s">
        <v>141</v>
      </c>
      <c r="C19" s="66"/>
      <c r="D19" s="66" t="s">
        <v>136</v>
      </c>
      <c r="E19" s="80">
        <f>'Beta comps'!F12</f>
        <v>2025.2</v>
      </c>
      <c r="F19" s="80">
        <f>'Beta comps'!E12</f>
        <v>148761.01</v>
      </c>
      <c r="G19" s="72">
        <v>0.3</v>
      </c>
      <c r="H19" s="58">
        <f t="shared" si="1"/>
        <v>1.3613782267275545E-2</v>
      </c>
      <c r="I19" s="58">
        <f t="shared" si="2"/>
        <v>1.3430936423164955E-2</v>
      </c>
      <c r="J19" s="80">
        <f>Beta!AO18</f>
        <v>0.92836257347826612</v>
      </c>
      <c r="K19" s="43">
        <f t="shared" si="0"/>
        <v>0.93789222106535897</v>
      </c>
    </row>
    <row r="20" spans="2:14">
      <c r="F20" s="70" t="s">
        <v>142</v>
      </c>
      <c r="G20" s="73">
        <f>AVERAGE(G14:G18)</f>
        <v>0.3</v>
      </c>
      <c r="H20" s="73">
        <f t="shared" ref="H20:K20" si="3">AVERAGE(H14:H18)</f>
        <v>2.4802732517370106E-2</v>
      </c>
      <c r="I20" s="74">
        <f t="shared" si="3"/>
        <v>2.3684242716474024E-2</v>
      </c>
      <c r="J20" s="96">
        <f t="shared" si="3"/>
        <v>0.94281551696941168</v>
      </c>
      <c r="K20" s="96">
        <f t="shared" si="3"/>
        <v>0.96017742973157072</v>
      </c>
    </row>
    <row r="21" spans="2:14">
      <c r="F21" s="71" t="s">
        <v>86</v>
      </c>
      <c r="G21" s="75">
        <f>MEDIAN(G14:G19)</f>
        <v>0.3</v>
      </c>
      <c r="H21" s="75">
        <f t="shared" ref="H21:K21" si="4">MEDIAN(H14:H19)</f>
        <v>1.3825616977386618E-2</v>
      </c>
      <c r="I21" s="76">
        <f t="shared" si="4"/>
        <v>1.3637032925063939E-2</v>
      </c>
      <c r="J21" s="97">
        <f t="shared" si="4"/>
        <v>0.92192103678027681</v>
      </c>
      <c r="K21" s="97">
        <f t="shared" si="4"/>
        <v>0.93217222862514815</v>
      </c>
    </row>
    <row r="24" spans="2:14">
      <c r="B24" s="69" t="s">
        <v>143</v>
      </c>
      <c r="C24" s="69"/>
      <c r="D24" s="62"/>
      <c r="E24" s="62"/>
      <c r="F24" s="2"/>
      <c r="G24" s="69" t="s">
        <v>144</v>
      </c>
      <c r="H24" s="62"/>
      <c r="I24" s="62"/>
      <c r="J24" s="62"/>
      <c r="K24" s="62"/>
      <c r="L24" s="62"/>
    </row>
    <row r="25" spans="2:14" ht="7.5" customHeight="1"/>
    <row r="26" spans="2:14">
      <c r="B26" t="s">
        <v>145</v>
      </c>
      <c r="E26" s="4">
        <v>5.0565212106478664E-2</v>
      </c>
      <c r="G26" t="s">
        <v>146</v>
      </c>
      <c r="L26" s="72">
        <v>6.5699999999999995E-2</v>
      </c>
    </row>
    <row r="27" spans="2:14">
      <c r="B27" t="s">
        <v>147</v>
      </c>
      <c r="E27" s="4">
        <f>G14</f>
        <v>0.3</v>
      </c>
      <c r="G27" t="s">
        <v>148</v>
      </c>
      <c r="L27" s="72">
        <v>5.8999999999999997E-2</v>
      </c>
      <c r="N27" s="4"/>
    </row>
    <row r="28" spans="2:14">
      <c r="B28" s="77" t="s">
        <v>149</v>
      </c>
      <c r="C28" s="77"/>
      <c r="D28" s="77"/>
      <c r="E28" s="100">
        <f>E26*(1-E27)</f>
        <v>3.5395648474535066E-2</v>
      </c>
      <c r="G28" t="s">
        <v>150</v>
      </c>
      <c r="L28" s="43">
        <f>L36</f>
        <v>0.94876814562815137</v>
      </c>
    </row>
    <row r="29" spans="2:14">
      <c r="G29" s="77" t="s">
        <v>144</v>
      </c>
      <c r="H29" s="77"/>
      <c r="I29" s="77"/>
      <c r="J29" s="77"/>
      <c r="K29" s="77"/>
      <c r="L29" s="100">
        <f>L26+L27*L28</f>
        <v>0.12167732059206092</v>
      </c>
    </row>
    <row r="31" spans="2:14">
      <c r="B31" s="69" t="s">
        <v>151</v>
      </c>
      <c r="C31" s="69"/>
      <c r="D31" s="62"/>
      <c r="E31" s="62"/>
      <c r="G31" s="69" t="s">
        <v>152</v>
      </c>
      <c r="H31" s="69"/>
      <c r="I31" s="62"/>
      <c r="J31" s="62"/>
      <c r="K31" s="62"/>
      <c r="L31" s="62"/>
    </row>
    <row r="33" spans="2:13">
      <c r="D33" s="71" t="s">
        <v>153</v>
      </c>
      <c r="E33" s="71" t="s">
        <v>154</v>
      </c>
      <c r="G33" t="s">
        <v>155</v>
      </c>
      <c r="L33" s="43">
        <f>K21</f>
        <v>0.93217222862514815</v>
      </c>
    </row>
    <row r="34" spans="2:13">
      <c r="B34" t="s">
        <v>128</v>
      </c>
      <c r="C34" s="80">
        <f>E15</f>
        <v>8485</v>
      </c>
      <c r="D34" s="4">
        <f>C34/$C$36</f>
        <v>1.3329385258962935E-2</v>
      </c>
      <c r="E34" s="72">
        <f>H20</f>
        <v>2.4802732517370106E-2</v>
      </c>
      <c r="G34" t="s">
        <v>156</v>
      </c>
      <c r="L34" s="4">
        <f>E38</f>
        <v>2.5433554158120004E-2</v>
      </c>
    </row>
    <row r="35" spans="2:13">
      <c r="B35" t="s">
        <v>157</v>
      </c>
      <c r="C35" s="80">
        <f>F15</f>
        <v>628078.49</v>
      </c>
      <c r="D35" s="4">
        <f t="shared" ref="D35:D36" si="5">C35/$C$36</f>
        <v>0.98667061474103701</v>
      </c>
      <c r="E35" s="4">
        <f>E36-E34</f>
        <v>0.97519726748262991</v>
      </c>
      <c r="G35" t="s">
        <v>158</v>
      </c>
      <c r="L35" s="4">
        <f>G15</f>
        <v>0.3</v>
      </c>
    </row>
    <row r="36" spans="2:13">
      <c r="B36" s="77" t="s">
        <v>159</v>
      </c>
      <c r="C36" s="77">
        <f>SUM(C34:C35)</f>
        <v>636563.49</v>
      </c>
      <c r="D36" s="78">
        <f t="shared" si="5"/>
        <v>1</v>
      </c>
      <c r="E36" s="78">
        <f>D36</f>
        <v>1</v>
      </c>
      <c r="G36" s="77" t="s">
        <v>160</v>
      </c>
      <c r="H36" s="77"/>
      <c r="I36" s="77"/>
      <c r="J36" s="77"/>
      <c r="K36" s="77"/>
      <c r="L36" s="79">
        <f>L33*(1+(1-L35)*L34)</f>
        <v>0.94876814562815137</v>
      </c>
    </row>
    <row r="38" spans="2:13">
      <c r="B38" t="s">
        <v>161</v>
      </c>
      <c r="D38" s="58">
        <f>D34/D35</f>
        <v>1.3509458029680335E-2</v>
      </c>
      <c r="E38" s="58">
        <f>E34/E35</f>
        <v>2.5433554158120004E-2</v>
      </c>
      <c r="G38" s="69" t="s">
        <v>162</v>
      </c>
      <c r="H38" s="69"/>
      <c r="I38" s="62"/>
      <c r="J38" s="62"/>
      <c r="K38" s="62"/>
      <c r="L38" s="62"/>
    </row>
    <row r="39" spans="2:13">
      <c r="D39" s="58"/>
      <c r="E39" s="58"/>
      <c r="G39" s="2"/>
      <c r="H39" s="2"/>
    </row>
    <row r="40" spans="2:13">
      <c r="B40" s="81" t="s">
        <v>163</v>
      </c>
      <c r="G40" t="s">
        <v>144</v>
      </c>
      <c r="L40" s="4">
        <f>L29</f>
        <v>0.12167732059206092</v>
      </c>
    </row>
    <row r="41" spans="2:13">
      <c r="B41" s="81" t="s">
        <v>164</v>
      </c>
      <c r="G41" t="s">
        <v>165</v>
      </c>
      <c r="L41" s="4">
        <f>E35</f>
        <v>0.97519726748262991</v>
      </c>
    </row>
    <row r="42" spans="2:13">
      <c r="B42" s="81" t="s">
        <v>166</v>
      </c>
    </row>
    <row r="43" spans="2:13" ht="17.25" customHeight="1">
      <c r="B43" s="81" t="s">
        <v>167</v>
      </c>
      <c r="G43" t="s">
        <v>168</v>
      </c>
      <c r="L43" s="4">
        <f>E28</f>
        <v>3.5395648474535066E-2</v>
      </c>
    </row>
    <row r="44" spans="2:13">
      <c r="B44" s="81" t="s">
        <v>169</v>
      </c>
      <c r="G44" t="s">
        <v>170</v>
      </c>
      <c r="L44" s="4">
        <f>E34</f>
        <v>2.4802732517370106E-2</v>
      </c>
    </row>
    <row r="45" spans="2:13">
      <c r="B45" s="81" t="s">
        <v>171</v>
      </c>
    </row>
    <row r="46" spans="2:13">
      <c r="G46" s="101" t="s">
        <v>162</v>
      </c>
      <c r="H46" s="101"/>
      <c r="I46" s="101"/>
      <c r="J46" s="101"/>
      <c r="K46" s="101"/>
      <c r="L46" s="102">
        <f>(L40*L41)+(L43*L44)</f>
        <v>0.1195372993573785</v>
      </c>
    </row>
    <row r="48" spans="2:13">
      <c r="B48" s="94"/>
      <c r="C48" s="94"/>
      <c r="D48" s="94"/>
      <c r="E48" s="94"/>
      <c r="F48" s="94"/>
      <c r="G48" s="94"/>
      <c r="H48" s="94"/>
      <c r="I48" s="94"/>
      <c r="J48" s="94"/>
      <c r="K48" s="94"/>
      <c r="L48" s="94"/>
      <c r="M48" s="94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X118"/>
  <sheetViews>
    <sheetView showGridLines="0" topLeftCell="C1" workbookViewId="0">
      <selection activeCell="AR12" sqref="AR12"/>
    </sheetView>
  </sheetViews>
  <sheetFormatPr defaultRowHeight="14.25"/>
  <cols>
    <col min="1" max="1" width="1.86328125" customWidth="1"/>
    <col min="2" max="2" width="11.265625" customWidth="1"/>
    <col min="3" max="3" width="11.86328125" bestFit="1" customWidth="1"/>
    <col min="4" max="4" width="13.73046875" bestFit="1" customWidth="1"/>
    <col min="5" max="5" width="2.73046875" customWidth="1"/>
    <col min="6" max="6" width="12" style="83" customWidth="1"/>
    <col min="7" max="7" width="16.3984375" bestFit="1" customWidth="1"/>
    <col min="8" max="8" width="2.73046875" customWidth="1"/>
    <col min="9" max="9" width="23.1328125" bestFit="1" customWidth="1"/>
    <col min="10" max="10" width="9.3984375" bestFit="1" customWidth="1"/>
    <col min="11" max="11" width="11.86328125" customWidth="1"/>
    <col min="12" max="12" width="11.1328125" bestFit="1" customWidth="1"/>
    <col min="13" max="13" width="11" customWidth="1"/>
    <col min="14" max="14" width="14" customWidth="1"/>
    <col min="15" max="15" width="2.73046875" customWidth="1"/>
    <col min="16" max="16" width="12.73046875" customWidth="1"/>
    <col min="17" max="17" width="14.3984375" customWidth="1"/>
    <col min="18" max="18" width="7.1328125" customWidth="1"/>
    <col min="20" max="20" width="11.1328125" bestFit="1" customWidth="1"/>
    <col min="21" max="21" width="11.265625" customWidth="1"/>
    <col min="23" max="23" width="2.73046875" customWidth="1"/>
    <col min="24" max="24" width="13.3984375" customWidth="1"/>
    <col min="28" max="28" width="11.1328125" bestFit="1" customWidth="1"/>
    <col min="29" max="29" width="12.3984375" customWidth="1"/>
    <col min="30" max="30" width="11.1328125" customWidth="1"/>
    <col min="31" max="31" width="2.73046875" customWidth="1"/>
    <col min="36" max="36" width="12" customWidth="1"/>
    <col min="37" max="37" width="11.59765625" customWidth="1"/>
    <col min="38" max="38" width="11.86328125" customWidth="1"/>
    <col min="39" max="39" width="2.73046875" customWidth="1"/>
    <col min="41" max="41" width="12.73046875" customWidth="1"/>
    <col min="44" max="44" width="11.1328125" bestFit="1" customWidth="1"/>
    <col min="46" max="46" width="12.73046875" customWidth="1"/>
    <col min="47" max="47" width="2.73046875" customWidth="1"/>
  </cols>
  <sheetData>
    <row r="2" spans="2:50" ht="30.75">
      <c r="B2" s="146" t="s">
        <v>0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</row>
    <row r="3" spans="2:50">
      <c r="B3" s="69" t="s">
        <v>1</v>
      </c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  <c r="AC3" s="62"/>
      <c r="AD3" s="62"/>
      <c r="AE3" s="62"/>
      <c r="AF3" s="62"/>
      <c r="AG3" s="62"/>
      <c r="AH3" s="62"/>
      <c r="AI3" s="62"/>
      <c r="AJ3" s="62"/>
      <c r="AK3" s="62"/>
      <c r="AL3" s="62"/>
      <c r="AM3" s="62"/>
      <c r="AN3" s="62"/>
      <c r="AO3" s="62"/>
      <c r="AP3" s="62"/>
      <c r="AQ3" s="62"/>
      <c r="AR3" s="62"/>
      <c r="AS3" s="62"/>
      <c r="AT3" s="62"/>
      <c r="AU3" s="62"/>
      <c r="AV3" s="62"/>
      <c r="AW3" s="62"/>
      <c r="AX3" s="62"/>
    </row>
    <row r="5" spans="2:50">
      <c r="B5" s="2" t="s">
        <v>172</v>
      </c>
    </row>
    <row r="6" spans="2:50">
      <c r="B6" s="2"/>
    </row>
    <row r="7" spans="2:50">
      <c r="B7" s="206" t="s">
        <v>173</v>
      </c>
      <c r="C7" s="206"/>
      <c r="D7" s="206"/>
      <c r="F7" s="206" t="s">
        <v>174</v>
      </c>
      <c r="G7" s="206"/>
      <c r="H7" s="89"/>
      <c r="I7" s="206" t="s">
        <v>175</v>
      </c>
      <c r="J7" s="206"/>
      <c r="L7" s="206" t="s">
        <v>176</v>
      </c>
      <c r="M7" s="206"/>
      <c r="N7" s="206"/>
      <c r="P7" s="206" t="s">
        <v>175</v>
      </c>
      <c r="Q7" s="206"/>
      <c r="R7" s="94"/>
      <c r="T7" s="206" t="s">
        <v>177</v>
      </c>
      <c r="U7" s="206"/>
      <c r="V7" s="206"/>
      <c r="X7" s="206" t="s">
        <v>175</v>
      </c>
      <c r="Y7" s="206"/>
      <c r="Z7" s="94"/>
      <c r="AB7" s="206" t="s">
        <v>178</v>
      </c>
      <c r="AC7" s="206"/>
      <c r="AD7" s="206"/>
      <c r="AF7" s="206" t="s">
        <v>175</v>
      </c>
      <c r="AG7" s="206"/>
      <c r="AH7" s="94"/>
      <c r="AJ7" s="206" t="s">
        <v>179</v>
      </c>
      <c r="AK7" s="206"/>
      <c r="AL7" s="206"/>
      <c r="AN7" s="206" t="s">
        <v>175</v>
      </c>
      <c r="AO7" s="206"/>
      <c r="AP7" s="94"/>
      <c r="AR7" s="206" t="s">
        <v>180</v>
      </c>
      <c r="AS7" s="206"/>
      <c r="AT7" s="206"/>
      <c r="AV7" s="206" t="s">
        <v>175</v>
      </c>
      <c r="AW7" s="206"/>
      <c r="AX7" s="94"/>
    </row>
    <row r="8" spans="2:50">
      <c r="B8" s="2"/>
      <c r="C8" s="2"/>
    </row>
    <row r="9" spans="2:50">
      <c r="B9" s="87" t="s">
        <v>181</v>
      </c>
      <c r="C9" s="69" t="s">
        <v>182</v>
      </c>
      <c r="D9" s="69" t="s">
        <v>183</v>
      </c>
      <c r="F9" s="69" t="s">
        <v>182</v>
      </c>
      <c r="G9" s="69" t="s">
        <v>184</v>
      </c>
      <c r="I9" t="s">
        <v>185</v>
      </c>
      <c r="J9" s="43">
        <f>J18</f>
        <v>0.84686606629312666</v>
      </c>
      <c r="L9" s="87" t="s">
        <v>181</v>
      </c>
      <c r="M9" s="69" t="s">
        <v>182</v>
      </c>
      <c r="N9" s="69" t="s">
        <v>183</v>
      </c>
      <c r="P9" t="s">
        <v>185</v>
      </c>
      <c r="R9" s="43">
        <f>Q18</f>
        <v>0.87436318561824333</v>
      </c>
      <c r="T9" s="87" t="s">
        <v>181</v>
      </c>
      <c r="U9" s="69" t="s">
        <v>182</v>
      </c>
      <c r="V9" s="69" t="s">
        <v>183</v>
      </c>
      <c r="X9" t="s">
        <v>185</v>
      </c>
      <c r="Z9" s="43">
        <f>Y18</f>
        <v>0.91547950008228762</v>
      </c>
      <c r="AB9" s="87" t="s">
        <v>181</v>
      </c>
      <c r="AC9" s="69" t="s">
        <v>182</v>
      </c>
      <c r="AD9" s="69" t="s">
        <v>183</v>
      </c>
      <c r="AF9" t="s">
        <v>185</v>
      </c>
      <c r="AH9" s="43">
        <f>AG18</f>
        <v>1.1288465881225873</v>
      </c>
      <c r="AJ9" s="87" t="s">
        <v>181</v>
      </c>
      <c r="AK9" s="69" t="s">
        <v>182</v>
      </c>
      <c r="AL9" s="69" t="s">
        <v>183</v>
      </c>
      <c r="AN9" t="s">
        <v>185</v>
      </c>
      <c r="AP9" s="43">
        <f>AO18</f>
        <v>0.92836257347826612</v>
      </c>
      <c r="AR9" s="87" t="s">
        <v>181</v>
      </c>
      <c r="AS9" s="69" t="s">
        <v>182</v>
      </c>
      <c r="AT9" s="69" t="s">
        <v>183</v>
      </c>
      <c r="AV9" t="s">
        <v>185</v>
      </c>
      <c r="AX9" s="43">
        <f>AW18</f>
        <v>0.94852224473081326</v>
      </c>
    </row>
    <row r="10" spans="2:50">
      <c r="B10" s="2"/>
      <c r="C10" s="2"/>
      <c r="I10" t="s">
        <v>186</v>
      </c>
      <c r="J10" s="4">
        <v>0.75</v>
      </c>
      <c r="P10" t="s">
        <v>186</v>
      </c>
      <c r="R10" s="4">
        <v>0.75</v>
      </c>
      <c r="X10" t="s">
        <v>186</v>
      </c>
      <c r="Z10" s="4">
        <v>0.75</v>
      </c>
      <c r="AB10" s="95"/>
      <c r="AC10" s="2"/>
      <c r="AF10" t="s">
        <v>186</v>
      </c>
      <c r="AH10" s="4">
        <v>0.75</v>
      </c>
      <c r="AN10" t="s">
        <v>186</v>
      </c>
      <c r="AP10" s="4">
        <v>0.75</v>
      </c>
      <c r="AV10" t="s">
        <v>186</v>
      </c>
      <c r="AX10" s="4">
        <v>0.75</v>
      </c>
    </row>
    <row r="11" spans="2:50">
      <c r="B11" s="86">
        <v>44994</v>
      </c>
      <c r="C11" s="83">
        <v>1461.36</v>
      </c>
      <c r="F11" s="88">
        <v>19819.95</v>
      </c>
      <c r="J11" s="2"/>
      <c r="K11" s="90"/>
      <c r="L11" s="84">
        <v>44994</v>
      </c>
      <c r="M11" s="88">
        <v>3372.27</v>
      </c>
      <c r="T11" s="84">
        <v>44994</v>
      </c>
      <c r="U11" s="88">
        <v>1257.82</v>
      </c>
      <c r="AB11" s="86">
        <v>44994</v>
      </c>
      <c r="AC11" s="88">
        <v>5478.5</v>
      </c>
      <c r="AJ11" s="84">
        <v>44994</v>
      </c>
      <c r="AK11" s="88">
        <v>1262.95</v>
      </c>
      <c r="AR11" s="86">
        <v>44994</v>
      </c>
      <c r="AS11" s="88">
        <v>215</v>
      </c>
    </row>
    <row r="12" spans="2:50">
      <c r="B12" s="86">
        <v>45208</v>
      </c>
      <c r="C12" s="83">
        <v>1503.13</v>
      </c>
      <c r="D12" s="4">
        <f>C12/C11-1</f>
        <v>2.8582963814529183E-2</v>
      </c>
      <c r="F12" s="88">
        <v>20192.349999999999</v>
      </c>
      <c r="G12" s="4">
        <f>F12/F11-1</f>
        <v>1.8789149316723597E-2</v>
      </c>
      <c r="I12" t="s">
        <v>187</v>
      </c>
      <c r="J12" s="43">
        <v>1</v>
      </c>
      <c r="K12" s="43"/>
      <c r="L12" s="84">
        <v>45208</v>
      </c>
      <c r="M12" s="88">
        <v>3525.5</v>
      </c>
      <c r="N12" s="4">
        <f t="shared" ref="N12:N75" si="0">M12/M11-1</f>
        <v>4.5438235965684859E-2</v>
      </c>
      <c r="P12" t="s">
        <v>187</v>
      </c>
      <c r="R12" s="43">
        <v>1</v>
      </c>
      <c r="T12" s="84">
        <v>45208</v>
      </c>
      <c r="U12" s="88">
        <v>1300.23</v>
      </c>
      <c r="V12" s="4">
        <f>U12/U11-1</f>
        <v>3.3717066034885779E-2</v>
      </c>
      <c r="X12" t="s">
        <v>187</v>
      </c>
      <c r="Z12" s="43">
        <v>1</v>
      </c>
      <c r="AB12" s="86">
        <v>45208</v>
      </c>
      <c r="AC12" s="88">
        <v>5532.8</v>
      </c>
      <c r="AD12" s="4">
        <f>AC12/AC11-1</f>
        <v>9.9114721182806953E-3</v>
      </c>
      <c r="AF12" t="s">
        <v>187</v>
      </c>
      <c r="AH12" s="43">
        <v>1</v>
      </c>
      <c r="AJ12" s="84">
        <v>45208</v>
      </c>
      <c r="AK12" s="88">
        <v>1300.05</v>
      </c>
      <c r="AL12" s="4">
        <f t="shared" ref="AL12:AL75" si="1">AK12/AK11-1</f>
        <v>2.9375668078704509E-2</v>
      </c>
      <c r="AN12" t="s">
        <v>187</v>
      </c>
      <c r="AP12" s="43">
        <v>1</v>
      </c>
      <c r="AR12" s="86">
        <v>45208</v>
      </c>
      <c r="AS12" s="88">
        <v>220.52</v>
      </c>
      <c r="AT12" s="4">
        <f t="shared" ref="AT12:AT75" si="2">AS12/AS11-1</f>
        <v>2.5674418604651139E-2</v>
      </c>
      <c r="AV12" t="s">
        <v>187</v>
      </c>
      <c r="AX12" s="43">
        <v>1</v>
      </c>
    </row>
    <row r="13" spans="2:50">
      <c r="B13" s="85" t="s">
        <v>188</v>
      </c>
      <c r="C13" s="83">
        <v>1487.77</v>
      </c>
      <c r="D13" s="4">
        <f t="shared" ref="D13:D76" si="3">C13/C12-1</f>
        <v>-1.0218677027269862E-2</v>
      </c>
      <c r="F13" s="88">
        <v>19674.25</v>
      </c>
      <c r="G13" s="4">
        <f t="shared" ref="G13:G76" si="4">F13/F12-1</f>
        <v>-2.5658231954180599E-2</v>
      </c>
      <c r="I13" t="s">
        <v>189</v>
      </c>
      <c r="J13" s="4">
        <v>0.25</v>
      </c>
      <c r="L13" t="s">
        <v>188</v>
      </c>
      <c r="M13" s="88">
        <v>3530.75</v>
      </c>
      <c r="N13" s="4">
        <f t="shared" si="0"/>
        <v>1.4891504751100015E-3</v>
      </c>
      <c r="P13" t="s">
        <v>189</v>
      </c>
      <c r="R13" s="4">
        <v>0.25</v>
      </c>
      <c r="T13" t="s">
        <v>188</v>
      </c>
      <c r="U13" s="88">
        <v>1269.44</v>
      </c>
      <c r="V13" s="4">
        <f t="shared" ref="V13:V76" si="5">U13/U12-1</f>
        <v>-2.3680425770825186E-2</v>
      </c>
      <c r="X13" t="s">
        <v>189</v>
      </c>
      <c r="Z13" s="4">
        <v>0.25</v>
      </c>
      <c r="AB13" s="85" t="s">
        <v>188</v>
      </c>
      <c r="AC13" s="88">
        <v>5427.5</v>
      </c>
      <c r="AD13" s="4">
        <f t="shared" ref="AD13:AD76" si="6">AC13/AC12-1</f>
        <v>-1.9031954887218094E-2</v>
      </c>
      <c r="AF13" t="s">
        <v>189</v>
      </c>
      <c r="AH13" s="4">
        <v>0.25</v>
      </c>
      <c r="AJ13" t="s">
        <v>188</v>
      </c>
      <c r="AK13" s="88">
        <v>1305.3499999999999</v>
      </c>
      <c r="AL13" s="4">
        <f t="shared" si="1"/>
        <v>4.0767662782199565E-3</v>
      </c>
      <c r="AN13" t="s">
        <v>189</v>
      </c>
      <c r="AP13" s="4">
        <v>0.25</v>
      </c>
      <c r="AR13" s="85" t="s">
        <v>188</v>
      </c>
      <c r="AS13" s="88">
        <v>209.25</v>
      </c>
      <c r="AT13" s="4">
        <f t="shared" si="2"/>
        <v>-5.1106475603119983E-2</v>
      </c>
      <c r="AV13" t="s">
        <v>189</v>
      </c>
      <c r="AX13" s="4">
        <v>0.25</v>
      </c>
    </row>
    <row r="14" spans="2:50">
      <c r="B14" s="85" t="s">
        <v>190</v>
      </c>
      <c r="C14" s="83">
        <v>1427.41</v>
      </c>
      <c r="D14" s="4">
        <f t="shared" si="3"/>
        <v>-4.057078715123974E-2</v>
      </c>
      <c r="F14" s="88">
        <v>19638.3</v>
      </c>
      <c r="G14" s="4">
        <f t="shared" si="4"/>
        <v>-1.8272615220402688E-3</v>
      </c>
      <c r="L14" t="s">
        <v>190</v>
      </c>
      <c r="M14" s="88">
        <v>3457.21</v>
      </c>
      <c r="N14" s="4">
        <f t="shared" si="0"/>
        <v>-2.0828435884727048E-2</v>
      </c>
      <c r="T14" t="s">
        <v>190</v>
      </c>
      <c r="U14" s="88">
        <v>1230.67</v>
      </c>
      <c r="V14" s="4">
        <f t="shared" si="5"/>
        <v>-3.0541025964204715E-2</v>
      </c>
      <c r="AB14" s="85" t="s">
        <v>190</v>
      </c>
      <c r="AC14" s="88">
        <v>5209.8500000000004</v>
      </c>
      <c r="AD14" s="4">
        <f t="shared" si="6"/>
        <v>-4.0101335789958448E-2</v>
      </c>
      <c r="AJ14" t="s">
        <v>190</v>
      </c>
      <c r="AK14" s="88">
        <v>1222.8</v>
      </c>
      <c r="AL14" s="4">
        <f t="shared" si="1"/>
        <v>-6.3239744129926834E-2</v>
      </c>
      <c r="AR14" s="85" t="s">
        <v>190</v>
      </c>
      <c r="AS14" s="88">
        <v>203.02</v>
      </c>
      <c r="AT14" s="4">
        <f t="shared" si="2"/>
        <v>-2.9772998805256856E-2</v>
      </c>
    </row>
    <row r="15" spans="2:50">
      <c r="B15" s="86">
        <v>44936</v>
      </c>
      <c r="C15" s="83">
        <v>1470.41</v>
      </c>
      <c r="D15" s="4">
        <f t="shared" si="3"/>
        <v>3.0124491211354743E-2</v>
      </c>
      <c r="F15" s="88">
        <v>19653.5</v>
      </c>
      <c r="G15" s="4">
        <f t="shared" si="4"/>
        <v>7.7399774929598486E-4</v>
      </c>
      <c r="I15" s="68" t="s">
        <v>191</v>
      </c>
      <c r="J15" s="91">
        <f>(J10*J9)+(J13*J12)</f>
        <v>0.88514954971984494</v>
      </c>
      <c r="L15" s="84">
        <v>44936</v>
      </c>
      <c r="M15" s="88">
        <v>3548.14</v>
      </c>
      <c r="N15" s="4">
        <f t="shared" si="0"/>
        <v>2.6301555300372259E-2</v>
      </c>
      <c r="P15" s="68" t="s">
        <v>191</v>
      </c>
      <c r="Q15" s="68"/>
      <c r="R15" s="91">
        <f>(R10*R9)+(R13*R12)</f>
        <v>0.90577238921368253</v>
      </c>
      <c r="T15" s="84">
        <v>44936</v>
      </c>
      <c r="U15" s="88">
        <v>1233.56</v>
      </c>
      <c r="V15" s="4">
        <f t="shared" si="5"/>
        <v>2.3483143328428824E-3</v>
      </c>
      <c r="X15" s="68" t="s">
        <v>191</v>
      </c>
      <c r="Y15" s="68"/>
      <c r="Z15" s="91">
        <f>(Z10*Z9)+(Z13*Z12)</f>
        <v>0.93660962506171574</v>
      </c>
      <c r="AB15" s="86">
        <v>44936</v>
      </c>
      <c r="AC15" s="88">
        <v>5239.2</v>
      </c>
      <c r="AD15" s="4">
        <f t="shared" si="6"/>
        <v>5.6335595074712419E-3</v>
      </c>
      <c r="AF15" s="68" t="s">
        <v>191</v>
      </c>
      <c r="AG15" s="68"/>
      <c r="AH15" s="91">
        <f>(AH10*AH9)+(AH13*AH12)</f>
        <v>1.0966349410919405</v>
      </c>
      <c r="AJ15" s="84">
        <v>44936</v>
      </c>
      <c r="AK15" s="88">
        <v>1216.9000000000001</v>
      </c>
      <c r="AL15" s="4">
        <f t="shared" si="1"/>
        <v>-4.8249918220476529E-3</v>
      </c>
      <c r="AN15" s="68" t="s">
        <v>191</v>
      </c>
      <c r="AO15" s="68"/>
      <c r="AP15" s="91">
        <f>(AP10*AP9)+(AP13*AP12)</f>
        <v>0.94627193010869959</v>
      </c>
      <c r="AR15" s="86">
        <v>44936</v>
      </c>
      <c r="AS15" s="88">
        <v>203.93</v>
      </c>
      <c r="AT15" s="4">
        <f t="shared" si="2"/>
        <v>4.4823170131020884E-3</v>
      </c>
      <c r="AV15" s="68" t="s">
        <v>191</v>
      </c>
      <c r="AW15" s="68"/>
      <c r="AX15" s="91">
        <f>(AX10*AX9)+(AX13*AX12)</f>
        <v>0.96139168354811</v>
      </c>
    </row>
    <row r="16" spans="2:50">
      <c r="B16" s="86">
        <v>45148</v>
      </c>
      <c r="C16" s="83">
        <v>1423.13</v>
      </c>
      <c r="D16" s="4">
        <f t="shared" si="3"/>
        <v>-3.2154297100808638E-2</v>
      </c>
      <c r="F16" s="88">
        <v>19751.05</v>
      </c>
      <c r="G16" s="4">
        <f t="shared" si="4"/>
        <v>4.9634925076957881E-3</v>
      </c>
      <c r="L16" s="84">
        <v>45148</v>
      </c>
      <c r="M16" s="88">
        <v>3498.61</v>
      </c>
      <c r="N16" s="4">
        <f t="shared" si="0"/>
        <v>-1.3959426629163385E-2</v>
      </c>
      <c r="T16" s="84">
        <v>45148</v>
      </c>
      <c r="U16" s="88">
        <v>1251.69</v>
      </c>
      <c r="V16" s="4">
        <f t="shared" si="5"/>
        <v>1.4697298874801534E-2</v>
      </c>
      <c r="AB16" s="86">
        <v>45148</v>
      </c>
      <c r="AC16" s="88">
        <v>5095.1499999999996</v>
      </c>
      <c r="AD16" s="4">
        <f t="shared" si="6"/>
        <v>-2.7494655672621771E-2</v>
      </c>
      <c r="AJ16" s="84">
        <v>45148</v>
      </c>
      <c r="AK16" s="88">
        <v>1194.0999999999999</v>
      </c>
      <c r="AL16" s="4">
        <f t="shared" si="1"/>
        <v>-1.8736132796450145E-2</v>
      </c>
      <c r="AR16" s="86">
        <v>45148</v>
      </c>
      <c r="AS16" s="88">
        <v>205.52</v>
      </c>
      <c r="AT16" s="4">
        <f t="shared" si="2"/>
        <v>7.7967930172118116E-3</v>
      </c>
    </row>
    <row r="17" spans="2:49">
      <c r="B17" s="85" t="s">
        <v>192</v>
      </c>
      <c r="C17" s="83">
        <v>1419.25</v>
      </c>
      <c r="D17" s="4">
        <f t="shared" si="3"/>
        <v>-2.7263847997021085E-3</v>
      </c>
      <c r="F17" s="88">
        <v>19542.650000000001</v>
      </c>
      <c r="G17" s="4">
        <f t="shared" si="4"/>
        <v>-1.0551337776978809E-2</v>
      </c>
      <c r="L17" t="s">
        <v>192</v>
      </c>
      <c r="M17" s="88">
        <v>3423.85</v>
      </c>
      <c r="N17" s="4">
        <f t="shared" si="0"/>
        <v>-2.1368486341718618E-2</v>
      </c>
      <c r="T17" t="s">
        <v>192</v>
      </c>
      <c r="U17" s="88">
        <v>1254.3900000000001</v>
      </c>
      <c r="V17" s="4">
        <f t="shared" si="5"/>
        <v>2.1570836229418688E-3</v>
      </c>
      <c r="AB17" s="85" t="s">
        <v>192</v>
      </c>
      <c r="AC17" s="88">
        <v>5416.2</v>
      </c>
      <c r="AD17" s="4">
        <f t="shared" si="6"/>
        <v>6.3010902524950341E-2</v>
      </c>
      <c r="AJ17" t="s">
        <v>192</v>
      </c>
      <c r="AK17" s="88">
        <v>1170.7</v>
      </c>
      <c r="AL17" s="4">
        <f t="shared" si="1"/>
        <v>-1.9596348714512879E-2</v>
      </c>
      <c r="AR17" s="85" t="s">
        <v>192</v>
      </c>
      <c r="AS17" s="88">
        <v>195.93</v>
      </c>
      <c r="AT17" s="4">
        <f t="shared" si="2"/>
        <v>-4.6662125340599436E-2</v>
      </c>
    </row>
    <row r="18" spans="2:49">
      <c r="B18" s="85" t="s">
        <v>193</v>
      </c>
      <c r="C18" s="83">
        <v>1372.61</v>
      </c>
      <c r="D18" s="4">
        <f t="shared" si="3"/>
        <v>-3.2862427338383071E-2</v>
      </c>
      <c r="F18" s="88">
        <v>19047.25</v>
      </c>
      <c r="G18" s="4">
        <f t="shared" si="4"/>
        <v>-2.5349683896503383E-2</v>
      </c>
      <c r="I18" s="92" t="s">
        <v>194</v>
      </c>
      <c r="J18" s="93">
        <f>SLOPE(D12:D114,G12:G114)</f>
        <v>0.84686606629312666</v>
      </c>
      <c r="L18" t="s">
        <v>193</v>
      </c>
      <c r="M18" s="88">
        <v>3283.16</v>
      </c>
      <c r="N18" s="4">
        <f t="shared" si="0"/>
        <v>-4.1091169297720387E-2</v>
      </c>
      <c r="P18" s="92" t="s">
        <v>194</v>
      </c>
      <c r="Q18" s="93">
        <f>SLOPE(N12:N114,G12:G114)</f>
        <v>0.87436318561824333</v>
      </c>
      <c r="T18" t="s">
        <v>193</v>
      </c>
      <c r="U18" s="88">
        <v>1264.45</v>
      </c>
      <c r="V18" s="4">
        <f t="shared" si="5"/>
        <v>8.019834341791654E-3</v>
      </c>
      <c r="X18" s="92" t="s">
        <v>194</v>
      </c>
      <c r="Y18" s="93">
        <f>SLOPE(V12:V114,G12:G114)</f>
        <v>0.91547950008228762</v>
      </c>
      <c r="AB18" s="85" t="s">
        <v>193</v>
      </c>
      <c r="AC18" s="88">
        <v>5171</v>
      </c>
      <c r="AD18" s="4">
        <f t="shared" si="6"/>
        <v>-4.5271592629518853E-2</v>
      </c>
      <c r="AF18" s="92" t="s">
        <v>194</v>
      </c>
      <c r="AG18" s="93">
        <f>SLOPE(AD12:AD114,G12:G114)</f>
        <v>1.1288465881225873</v>
      </c>
      <c r="AJ18" t="s">
        <v>193</v>
      </c>
      <c r="AK18" s="88">
        <v>1120.55</v>
      </c>
      <c r="AL18" s="4">
        <f t="shared" si="1"/>
        <v>-4.2837618518834941E-2</v>
      </c>
      <c r="AN18" s="92" t="s">
        <v>194</v>
      </c>
      <c r="AO18" s="93">
        <f>SLOPE(AL12:AL114,G12:G114)</f>
        <v>0.92836257347826612</v>
      </c>
      <c r="AR18" s="85" t="s">
        <v>193</v>
      </c>
      <c r="AS18" s="88">
        <v>191.18</v>
      </c>
      <c r="AT18" s="4">
        <f t="shared" si="2"/>
        <v>-2.4243352217628744E-2</v>
      </c>
      <c r="AV18" s="92" t="s">
        <v>194</v>
      </c>
      <c r="AW18" s="93">
        <f>SLOPE(AT12:AT114,G12:G114)</f>
        <v>0.94852224473081326</v>
      </c>
    </row>
    <row r="19" spans="2:49">
      <c r="B19" s="85" t="s">
        <v>195</v>
      </c>
      <c r="C19" s="83">
        <v>1381.27</v>
      </c>
      <c r="D19" s="4">
        <f t="shared" si="3"/>
        <v>6.3091482649841879E-3</v>
      </c>
      <c r="F19" s="88">
        <v>19230.599999999999</v>
      </c>
      <c r="G19" s="4">
        <f t="shared" si="4"/>
        <v>9.6260615049414966E-3</v>
      </c>
      <c r="L19" t="s">
        <v>195</v>
      </c>
      <c r="M19" s="88">
        <v>3283.11</v>
      </c>
      <c r="N19" s="4">
        <f t="shared" si="0"/>
        <v>-1.5229230375557457E-5</v>
      </c>
      <c r="T19" t="s">
        <v>195</v>
      </c>
      <c r="U19" s="88">
        <v>1262.01</v>
      </c>
      <c r="V19" s="4">
        <f t="shared" si="5"/>
        <v>-1.9296927517893359E-3</v>
      </c>
      <c r="AB19" s="85" t="s">
        <v>195</v>
      </c>
      <c r="AC19" s="88">
        <v>5134.95</v>
      </c>
      <c r="AD19" s="4">
        <f t="shared" si="6"/>
        <v>-6.9715722297428728E-3</v>
      </c>
      <c r="AJ19" t="s">
        <v>195</v>
      </c>
      <c r="AK19" s="88">
        <v>1133.0999999999999</v>
      </c>
      <c r="AL19" s="4">
        <f t="shared" si="1"/>
        <v>1.1199857212975672E-2</v>
      </c>
      <c r="AR19" s="85" t="s">
        <v>195</v>
      </c>
      <c r="AS19" s="88">
        <v>191.77</v>
      </c>
      <c r="AT19" s="4">
        <f t="shared" si="2"/>
        <v>3.086096872057853E-3</v>
      </c>
    </row>
    <row r="20" spans="2:49">
      <c r="B20" s="86">
        <v>45057</v>
      </c>
      <c r="C20" s="83">
        <v>1361.18</v>
      </c>
      <c r="D20" s="4">
        <f t="shared" si="3"/>
        <v>-1.4544585779753372E-2</v>
      </c>
      <c r="F20" s="88">
        <v>19425.349999999999</v>
      </c>
      <c r="G20" s="4">
        <f t="shared" si="4"/>
        <v>1.0127089118384225E-2</v>
      </c>
      <c r="L20" s="84">
        <v>45057</v>
      </c>
      <c r="M20" s="88">
        <v>3266.01</v>
      </c>
      <c r="N20" s="4">
        <f t="shared" si="0"/>
        <v>-5.2084761095424481E-3</v>
      </c>
      <c r="T20" s="84">
        <v>45057</v>
      </c>
      <c r="U20" s="88">
        <v>1251.25</v>
      </c>
      <c r="V20" s="4">
        <f t="shared" si="5"/>
        <v>-8.5260814098144788E-3</v>
      </c>
      <c r="AB20" s="86">
        <v>45057</v>
      </c>
      <c r="AC20" s="88">
        <v>5262.15</v>
      </c>
      <c r="AD20" s="4">
        <f t="shared" si="6"/>
        <v>2.477141939064631E-2</v>
      </c>
      <c r="AJ20" s="84">
        <v>45057</v>
      </c>
      <c r="AK20" s="88">
        <v>1138.1500000000001</v>
      </c>
      <c r="AL20" s="4">
        <f t="shared" si="1"/>
        <v>4.4567999293974037E-3</v>
      </c>
      <c r="AR20" s="86">
        <v>45057</v>
      </c>
      <c r="AS20" s="88">
        <v>189.65</v>
      </c>
      <c r="AT20" s="4">
        <f t="shared" si="2"/>
        <v>-1.1054909527037582E-2</v>
      </c>
    </row>
    <row r="21" spans="2:49">
      <c r="B21" s="86">
        <v>45271</v>
      </c>
      <c r="C21" s="83">
        <v>1429.49</v>
      </c>
      <c r="D21" s="4">
        <f t="shared" si="3"/>
        <v>5.0184398830426469E-2</v>
      </c>
      <c r="F21" s="88">
        <v>19731.8</v>
      </c>
      <c r="G21" s="4">
        <f t="shared" si="4"/>
        <v>1.5775777527818002E-2</v>
      </c>
      <c r="L21" s="84">
        <v>45271</v>
      </c>
      <c r="M21" s="88">
        <v>3431.59</v>
      </c>
      <c r="N21" s="4">
        <f t="shared" si="0"/>
        <v>5.069794642392389E-2</v>
      </c>
      <c r="T21" s="84">
        <v>45271</v>
      </c>
      <c r="U21" s="88">
        <v>1304.77</v>
      </c>
      <c r="V21" s="4">
        <f t="shared" si="5"/>
        <v>4.2773226773226813E-2</v>
      </c>
      <c r="AB21" s="86">
        <v>45271</v>
      </c>
      <c r="AC21" s="88">
        <v>5518.5</v>
      </c>
      <c r="AD21" s="4">
        <f t="shared" si="6"/>
        <v>4.8715829081269035E-2</v>
      </c>
      <c r="AJ21" s="84">
        <v>45271</v>
      </c>
      <c r="AK21" s="88">
        <v>1202.75</v>
      </c>
      <c r="AL21" s="4">
        <f t="shared" si="1"/>
        <v>5.6758775205377088E-2</v>
      </c>
      <c r="AR21" s="86">
        <v>45271</v>
      </c>
      <c r="AS21" s="88">
        <v>197.7</v>
      </c>
      <c r="AT21" s="4">
        <f t="shared" si="2"/>
        <v>4.2446612180332188E-2</v>
      </c>
    </row>
    <row r="22" spans="2:49">
      <c r="B22" s="85" t="s">
        <v>196</v>
      </c>
      <c r="C22" s="83">
        <v>1429.34</v>
      </c>
      <c r="D22" s="4">
        <f t="shared" si="3"/>
        <v>-1.049325283842828E-4</v>
      </c>
      <c r="F22" s="88">
        <v>19794.7</v>
      </c>
      <c r="G22" s="4">
        <f t="shared" si="4"/>
        <v>3.1877476966115648E-3</v>
      </c>
      <c r="L22" t="s">
        <v>196</v>
      </c>
      <c r="M22" s="88">
        <v>3387.16</v>
      </c>
      <c r="N22" s="4">
        <f t="shared" si="0"/>
        <v>-1.29473509364465E-2</v>
      </c>
      <c r="T22" t="s">
        <v>196</v>
      </c>
      <c r="U22" s="88">
        <v>1304.77</v>
      </c>
      <c r="V22" s="4">
        <f t="shared" si="5"/>
        <v>0</v>
      </c>
      <c r="AB22" s="85" t="s">
        <v>196</v>
      </c>
      <c r="AC22" s="88">
        <v>5472.6</v>
      </c>
      <c r="AD22" s="4">
        <f t="shared" si="6"/>
        <v>-8.3174775754280006E-3</v>
      </c>
      <c r="AJ22" t="s">
        <v>196</v>
      </c>
      <c r="AK22" s="88">
        <v>1197.8499999999999</v>
      </c>
      <c r="AL22" s="4">
        <f t="shared" si="1"/>
        <v>-4.0739970900021127E-3</v>
      </c>
      <c r="AR22" s="85" t="s">
        <v>196</v>
      </c>
      <c r="AS22" s="88">
        <v>198</v>
      </c>
      <c r="AT22" s="4">
        <f t="shared" si="2"/>
        <v>1.5174506828528056E-3</v>
      </c>
    </row>
    <row r="23" spans="2:49">
      <c r="B23" s="85" t="s">
        <v>197</v>
      </c>
      <c r="C23" s="83">
        <v>1444.16</v>
      </c>
      <c r="D23" s="4">
        <f t="shared" si="3"/>
        <v>1.0368421789077598E-2</v>
      </c>
      <c r="F23" s="88">
        <v>20267.900000000001</v>
      </c>
      <c r="G23" s="4">
        <f t="shared" si="4"/>
        <v>2.3905388816198414E-2</v>
      </c>
      <c r="L23" t="s">
        <v>197</v>
      </c>
      <c r="M23" s="88">
        <v>3440.61</v>
      </c>
      <c r="N23" s="4">
        <f t="shared" si="0"/>
        <v>1.5780181627085943E-2</v>
      </c>
      <c r="T23" t="s">
        <v>197</v>
      </c>
      <c r="U23" s="88">
        <v>1332.22</v>
      </c>
      <c r="V23" s="4">
        <f t="shared" si="5"/>
        <v>2.1038190638963172E-2</v>
      </c>
      <c r="AB23" s="85" t="s">
        <v>197</v>
      </c>
      <c r="AC23" s="88">
        <v>5577.05</v>
      </c>
      <c r="AD23" s="4">
        <f t="shared" si="6"/>
        <v>1.9085992033037291E-2</v>
      </c>
      <c r="AJ23" t="s">
        <v>197</v>
      </c>
      <c r="AK23" s="88">
        <v>1220.55</v>
      </c>
      <c r="AL23" s="4">
        <f t="shared" si="1"/>
        <v>1.8950619860583551E-2</v>
      </c>
      <c r="AR23" s="85" t="s">
        <v>197</v>
      </c>
      <c r="AS23" s="88">
        <v>203.82</v>
      </c>
      <c r="AT23" s="4">
        <f t="shared" si="2"/>
        <v>2.9393939393939306E-2</v>
      </c>
    </row>
    <row r="24" spans="2:49">
      <c r="B24" s="86">
        <v>44997</v>
      </c>
      <c r="C24" s="83">
        <v>1482.79</v>
      </c>
      <c r="D24" s="4">
        <f t="shared" si="3"/>
        <v>2.6749113671615143E-2</v>
      </c>
      <c r="F24" s="88">
        <v>20969.400000000001</v>
      </c>
      <c r="G24" s="4">
        <f t="shared" si="4"/>
        <v>3.4611380557433069E-2</v>
      </c>
      <c r="L24" s="84">
        <v>44997</v>
      </c>
      <c r="M24" s="88">
        <v>3553.33</v>
      </c>
      <c r="N24" s="4">
        <f t="shared" si="0"/>
        <v>3.2761632384954886E-2</v>
      </c>
      <c r="T24" s="84">
        <v>44997</v>
      </c>
      <c r="U24" s="88">
        <v>1359.53</v>
      </c>
      <c r="V24" s="4">
        <f t="shared" si="5"/>
        <v>2.0499617180345542E-2</v>
      </c>
      <c r="AB24" s="86">
        <v>44997</v>
      </c>
      <c r="AC24" s="88">
        <v>5708.7</v>
      </c>
      <c r="AD24" s="4">
        <f t="shared" si="6"/>
        <v>2.3605669664069628E-2</v>
      </c>
      <c r="AJ24" s="84">
        <v>44997</v>
      </c>
      <c r="AK24" s="88">
        <v>1225.3</v>
      </c>
      <c r="AL24" s="4">
        <f t="shared" si="1"/>
        <v>3.8916881733643827E-3</v>
      </c>
      <c r="AR24" s="86">
        <v>44997</v>
      </c>
      <c r="AS24" s="88">
        <v>211.3</v>
      </c>
      <c r="AT24" s="4">
        <f t="shared" si="2"/>
        <v>3.6699048179766658E-2</v>
      </c>
    </row>
    <row r="25" spans="2:49">
      <c r="B25" s="86">
        <v>45211</v>
      </c>
      <c r="C25" s="83">
        <v>1569.56</v>
      </c>
      <c r="D25" s="4">
        <f t="shared" si="3"/>
        <v>5.8518063920042662E-2</v>
      </c>
      <c r="F25" s="88">
        <v>21456.65</v>
      </c>
      <c r="G25" s="4">
        <f t="shared" si="4"/>
        <v>2.3236239472755438E-2</v>
      </c>
      <c r="L25" s="84">
        <v>45211</v>
      </c>
      <c r="M25" s="88">
        <v>3782.89</v>
      </c>
      <c r="N25" s="4">
        <f t="shared" si="0"/>
        <v>6.4604188184041345E-2</v>
      </c>
      <c r="T25" s="84">
        <v>45211</v>
      </c>
      <c r="U25" s="88">
        <v>1486.31</v>
      </c>
      <c r="V25" s="4">
        <f t="shared" si="5"/>
        <v>9.3252815311173798E-2</v>
      </c>
      <c r="AB25" s="86">
        <v>45211</v>
      </c>
      <c r="AC25" s="88">
        <v>6129.3</v>
      </c>
      <c r="AD25" s="4">
        <f t="shared" si="6"/>
        <v>7.3677019286352508E-2</v>
      </c>
      <c r="AJ25" s="84">
        <v>45211</v>
      </c>
      <c r="AK25" s="88">
        <v>1306.0999999999999</v>
      </c>
      <c r="AL25" s="4">
        <f t="shared" si="1"/>
        <v>6.5943034358932451E-2</v>
      </c>
      <c r="AR25" s="86">
        <v>45211</v>
      </c>
      <c r="AS25" s="88">
        <v>223.27</v>
      </c>
      <c r="AT25" s="4">
        <f t="shared" si="2"/>
        <v>5.6649313771888199E-2</v>
      </c>
    </row>
    <row r="26" spans="2:49">
      <c r="B26" s="85" t="s">
        <v>198</v>
      </c>
      <c r="C26" s="83">
        <v>1554.14</v>
      </c>
      <c r="D26" s="4">
        <f t="shared" si="3"/>
        <v>-9.8244093886183936E-3</v>
      </c>
      <c r="F26" s="88">
        <v>21349.4</v>
      </c>
      <c r="G26" s="4">
        <f t="shared" si="4"/>
        <v>-4.9984503638732525E-3</v>
      </c>
      <c r="L26" t="s">
        <v>198</v>
      </c>
      <c r="M26" s="88">
        <v>3746.64</v>
      </c>
      <c r="N26" s="4">
        <f t="shared" si="0"/>
        <v>-9.5826206947597914E-3</v>
      </c>
      <c r="T26" t="s">
        <v>198</v>
      </c>
      <c r="U26" s="88">
        <v>1457.8</v>
      </c>
      <c r="V26" s="4">
        <f t="shared" si="5"/>
        <v>-1.9181731940174029E-2</v>
      </c>
      <c r="AB26" s="85" t="s">
        <v>198</v>
      </c>
      <c r="AC26" s="88">
        <v>6229.1</v>
      </c>
      <c r="AD26" s="4">
        <f t="shared" si="6"/>
        <v>1.6282446608911316E-2</v>
      </c>
      <c r="AJ26" t="s">
        <v>198</v>
      </c>
      <c r="AK26" s="88">
        <v>1275.1500000000001</v>
      </c>
      <c r="AL26" s="4">
        <f t="shared" si="1"/>
        <v>-2.3696501033611428E-2</v>
      </c>
      <c r="AR26" s="85" t="s">
        <v>198</v>
      </c>
      <c r="AS26" s="88">
        <v>231.32</v>
      </c>
      <c r="AT26" s="4">
        <f t="shared" si="2"/>
        <v>3.6055000671832316E-2</v>
      </c>
    </row>
    <row r="27" spans="2:49">
      <c r="B27" s="85" t="s">
        <v>199</v>
      </c>
      <c r="C27" s="83">
        <v>1534.25</v>
      </c>
      <c r="D27" s="4">
        <f>C27/C26-1</f>
        <v>-1.2798074819514338E-2</v>
      </c>
      <c r="F27" s="88">
        <v>21731.4</v>
      </c>
      <c r="G27" s="4">
        <f>F27/F26-1</f>
        <v>1.7892774504201459E-2</v>
      </c>
      <c r="L27" t="s">
        <v>199</v>
      </c>
      <c r="M27" s="88">
        <v>3716.66</v>
      </c>
      <c r="N27" s="4">
        <f>M27/M26-1</f>
        <v>-8.0018363120022418E-3</v>
      </c>
      <c r="T27" t="s">
        <v>199</v>
      </c>
      <c r="U27" s="88">
        <v>1461.19</v>
      </c>
      <c r="V27" s="4">
        <f>U27/U26-1</f>
        <v>2.3254218685690997E-3</v>
      </c>
      <c r="AB27" s="85" t="s">
        <v>199</v>
      </c>
      <c r="AC27" s="88">
        <v>6294.95</v>
      </c>
      <c r="AD27" s="4">
        <f t="shared" si="6"/>
        <v>1.0571350596394247E-2</v>
      </c>
      <c r="AJ27" t="s">
        <v>199</v>
      </c>
      <c r="AK27" s="88">
        <v>1272.6500000000001</v>
      </c>
      <c r="AL27" s="4">
        <f t="shared" si="1"/>
        <v>-1.9605536603536367E-3</v>
      </c>
      <c r="AR27" s="85" t="s">
        <v>199</v>
      </c>
      <c r="AS27" s="88">
        <v>235.65</v>
      </c>
      <c r="AT27" s="4">
        <f t="shared" si="2"/>
        <v>1.8718658135915778E-2</v>
      </c>
    </row>
    <row r="28" spans="2:49">
      <c r="B28" s="85" t="s">
        <v>200</v>
      </c>
      <c r="C28" s="83">
        <v>1523.96</v>
      </c>
      <c r="D28" s="4">
        <f>C28/C27-1</f>
        <v>-6.7068600293302971E-3</v>
      </c>
      <c r="F28" s="88">
        <v>21710.799999999999</v>
      </c>
      <c r="G28" s="4">
        <f>F28/F27-1</f>
        <v>-9.479370864280412E-4</v>
      </c>
      <c r="L28" t="s">
        <v>200</v>
      </c>
      <c r="M28" s="88">
        <v>3662.28</v>
      </c>
      <c r="N28" s="4">
        <f>M28/M27-1</f>
        <v>-1.4631416379222162E-2</v>
      </c>
      <c r="T28" t="s">
        <v>200</v>
      </c>
      <c r="U28" s="88">
        <v>1428</v>
      </c>
      <c r="V28" s="4">
        <f>U28/U27-1</f>
        <v>-2.2714362950745692E-2</v>
      </c>
      <c r="AB28" s="85" t="s">
        <v>200</v>
      </c>
      <c r="AC28" s="88">
        <v>5947.65</v>
      </c>
      <c r="AD28" s="4">
        <f t="shared" si="6"/>
        <v>-5.5171208667265104E-2</v>
      </c>
      <c r="AJ28" t="s">
        <v>200</v>
      </c>
      <c r="AK28" s="88">
        <v>1248.3</v>
      </c>
      <c r="AL28" s="4">
        <f t="shared" si="1"/>
        <v>-1.9133304522060413E-2</v>
      </c>
      <c r="AR28" s="85" t="s">
        <v>200</v>
      </c>
      <c r="AS28" s="88">
        <v>228.3</v>
      </c>
      <c r="AT28" s="4">
        <f t="shared" si="2"/>
        <v>-3.1190324633991073E-2</v>
      </c>
    </row>
    <row r="29" spans="2:49">
      <c r="B29" s="86">
        <v>45474</v>
      </c>
      <c r="C29" s="83">
        <v>1603.71</v>
      </c>
      <c r="D29" s="4">
        <f t="shared" si="3"/>
        <v>5.2330769836478552E-2</v>
      </c>
      <c r="F29" s="88">
        <v>21894.55</v>
      </c>
      <c r="G29" s="4">
        <f t="shared" si="4"/>
        <v>8.4635296718684749E-3</v>
      </c>
      <c r="L29" s="84">
        <v>45474</v>
      </c>
      <c r="M29" s="88">
        <v>3804.25</v>
      </c>
      <c r="N29" s="4">
        <f t="shared" si="0"/>
        <v>3.8765468505957967E-2</v>
      </c>
      <c r="T29" s="84">
        <v>45474</v>
      </c>
      <c r="U29" s="88">
        <v>1535.64</v>
      </c>
      <c r="V29" s="4">
        <f t="shared" si="5"/>
        <v>7.5378151260504289E-2</v>
      </c>
      <c r="AB29" s="86">
        <v>45474</v>
      </c>
      <c r="AC29" s="88">
        <v>6237.05</v>
      </c>
      <c r="AD29" s="4">
        <f t="shared" si="6"/>
        <v>4.8657873277681229E-2</v>
      </c>
      <c r="AJ29" s="84">
        <v>45474</v>
      </c>
      <c r="AK29" s="88">
        <v>1308.05</v>
      </c>
      <c r="AL29" s="4">
        <f t="shared" si="1"/>
        <v>4.7865096531282569E-2</v>
      </c>
      <c r="AR29" s="86">
        <v>45474</v>
      </c>
      <c r="AS29" s="88">
        <v>232.73</v>
      </c>
      <c r="AT29" s="4">
        <f t="shared" si="2"/>
        <v>1.9404292597459349E-2</v>
      </c>
    </row>
    <row r="30" spans="2:49">
      <c r="B30" s="85" t="s">
        <v>201</v>
      </c>
      <c r="C30" s="83">
        <v>1649.9</v>
      </c>
      <c r="D30" s="4">
        <f t="shared" si="3"/>
        <v>2.8801965442629918E-2</v>
      </c>
      <c r="F30" s="88">
        <v>21622.400000000001</v>
      </c>
      <c r="G30" s="4">
        <f t="shared" si="4"/>
        <v>-1.2430033958222397E-2</v>
      </c>
      <c r="L30" t="s">
        <v>201</v>
      </c>
      <c r="M30" s="88">
        <v>3881.18</v>
      </c>
      <c r="N30" s="4">
        <f t="shared" si="0"/>
        <v>2.0222119997371335E-2</v>
      </c>
      <c r="T30" t="s">
        <v>201</v>
      </c>
      <c r="U30" s="88">
        <v>1562.7</v>
      </c>
      <c r="V30" s="4">
        <f t="shared" si="5"/>
        <v>1.7621317496288258E-2</v>
      </c>
      <c r="AB30" s="85" t="s">
        <v>201</v>
      </c>
      <c r="AC30" s="88">
        <v>5652.15</v>
      </c>
      <c r="AD30" s="4">
        <f t="shared" si="6"/>
        <v>-9.3778308655534381E-2</v>
      </c>
      <c r="AJ30" t="s">
        <v>201</v>
      </c>
      <c r="AK30" s="88">
        <v>1389.9</v>
      </c>
      <c r="AL30" s="4">
        <f t="shared" si="1"/>
        <v>6.2574060624593919E-2</v>
      </c>
      <c r="AR30" s="85" t="s">
        <v>201</v>
      </c>
      <c r="AS30" s="88">
        <v>242.52</v>
      </c>
      <c r="AT30" s="4">
        <f t="shared" si="2"/>
        <v>4.2065913290078694E-2</v>
      </c>
    </row>
    <row r="31" spans="2:49">
      <c r="B31" s="85" t="s">
        <v>202</v>
      </c>
      <c r="C31" s="83">
        <v>1659.75</v>
      </c>
      <c r="D31" s="4">
        <f t="shared" si="3"/>
        <v>5.9700587914417458E-3</v>
      </c>
      <c r="F31" s="88">
        <v>21352.6</v>
      </c>
      <c r="G31" s="4">
        <f t="shared" si="4"/>
        <v>-1.2477800799171379E-2</v>
      </c>
      <c r="L31" t="s">
        <v>202</v>
      </c>
      <c r="M31" s="88">
        <v>3750.51</v>
      </c>
      <c r="N31" s="4">
        <f t="shared" si="0"/>
        <v>-3.366759593731794E-2</v>
      </c>
      <c r="T31" t="s">
        <v>202</v>
      </c>
      <c r="U31" s="88">
        <v>1545.06</v>
      </c>
      <c r="V31" s="4">
        <f t="shared" si="5"/>
        <v>-1.1288155116145226E-2</v>
      </c>
      <c r="AB31" s="85" t="s">
        <v>202</v>
      </c>
      <c r="AC31" s="88">
        <v>5494.65</v>
      </c>
      <c r="AD31" s="4">
        <f t="shared" si="6"/>
        <v>-2.7865502507895212E-2</v>
      </c>
      <c r="AJ31" t="s">
        <v>202</v>
      </c>
      <c r="AK31" s="88">
        <v>1322.05</v>
      </c>
      <c r="AL31" s="4">
        <f t="shared" si="1"/>
        <v>-4.8816461615943663E-2</v>
      </c>
      <c r="AR31" s="85" t="s">
        <v>202</v>
      </c>
      <c r="AS31" s="88">
        <v>235</v>
      </c>
      <c r="AT31" s="4">
        <f t="shared" si="2"/>
        <v>-3.1007751937984551E-2</v>
      </c>
    </row>
    <row r="32" spans="2:49">
      <c r="B32" s="85" t="s">
        <v>203</v>
      </c>
      <c r="C32" s="83">
        <v>1683.86</v>
      </c>
      <c r="D32" s="4">
        <f t="shared" si="3"/>
        <v>1.4526284078927532E-2</v>
      </c>
      <c r="F32" s="88">
        <v>21853.8</v>
      </c>
      <c r="G32" s="4">
        <f t="shared" si="4"/>
        <v>2.3472551352060167E-2</v>
      </c>
      <c r="L32" t="s">
        <v>203</v>
      </c>
      <c r="M32" s="88">
        <v>3904.06</v>
      </c>
      <c r="N32" s="4">
        <f t="shared" si="0"/>
        <v>4.094109867724649E-2</v>
      </c>
      <c r="T32" t="s">
        <v>203</v>
      </c>
      <c r="U32" s="88">
        <v>1578.45</v>
      </c>
      <c r="V32" s="4">
        <f t="shared" si="5"/>
        <v>2.161081123063191E-2</v>
      </c>
      <c r="AB32" s="85" t="s">
        <v>203</v>
      </c>
      <c r="AC32" s="88">
        <v>5485.85</v>
      </c>
      <c r="AD32" s="4">
        <f t="shared" si="6"/>
        <v>-1.6015578790276042E-3</v>
      </c>
      <c r="AJ32" t="s">
        <v>203</v>
      </c>
      <c r="AK32" s="88">
        <v>1338.1</v>
      </c>
      <c r="AL32" s="4">
        <f t="shared" si="1"/>
        <v>1.2140236753526601E-2</v>
      </c>
      <c r="AR32" s="85" t="s">
        <v>203</v>
      </c>
      <c r="AS32" s="88">
        <v>241.57</v>
      </c>
      <c r="AT32" s="4">
        <f t="shared" si="2"/>
        <v>2.7957446808510644E-2</v>
      </c>
    </row>
    <row r="33" spans="2:46">
      <c r="B33" s="86">
        <v>45384</v>
      </c>
      <c r="C33" s="83">
        <v>1659.99</v>
      </c>
      <c r="D33" s="4">
        <f t="shared" si="3"/>
        <v>-1.4175762830639038E-2</v>
      </c>
      <c r="F33" s="88">
        <v>21782.5</v>
      </c>
      <c r="G33" s="4">
        <f t="shared" si="4"/>
        <v>-3.2625904876955047E-3</v>
      </c>
      <c r="L33" s="84">
        <v>45384</v>
      </c>
      <c r="M33" s="88">
        <v>4068.84</v>
      </c>
      <c r="N33" s="4">
        <f t="shared" si="0"/>
        <v>4.2207343124849528E-2</v>
      </c>
      <c r="T33" s="84">
        <v>45384</v>
      </c>
      <c r="U33" s="88">
        <v>1625.14</v>
      </c>
      <c r="V33" s="4">
        <f t="shared" si="5"/>
        <v>2.9579650923374334E-2</v>
      </c>
      <c r="AB33" s="86">
        <v>45384</v>
      </c>
      <c r="AC33" s="88">
        <v>5453.3</v>
      </c>
      <c r="AD33" s="4">
        <f t="shared" si="6"/>
        <v>-5.9334469589945593E-3</v>
      </c>
      <c r="AJ33" s="84">
        <v>45384</v>
      </c>
      <c r="AK33" s="88">
        <v>1311.05</v>
      </c>
      <c r="AL33" s="4">
        <f t="shared" si="1"/>
        <v>-2.0215230550780894E-2</v>
      </c>
      <c r="AR33" s="86">
        <v>45384</v>
      </c>
      <c r="AS33" s="88">
        <v>245.23</v>
      </c>
      <c r="AT33" s="4">
        <f t="shared" si="2"/>
        <v>1.5150887941383528E-2</v>
      </c>
    </row>
    <row r="34" spans="2:46">
      <c r="B34" s="86">
        <v>45598</v>
      </c>
      <c r="C34" s="83">
        <v>1692.11</v>
      </c>
      <c r="D34" s="4">
        <f t="shared" si="3"/>
        <v>1.9349514153699676E-2</v>
      </c>
      <c r="F34" s="88">
        <v>22040.7</v>
      </c>
      <c r="G34" s="4">
        <f t="shared" si="4"/>
        <v>1.1853552163433978E-2</v>
      </c>
      <c r="L34" s="84">
        <v>45598</v>
      </c>
      <c r="M34" s="88">
        <v>4063.52</v>
      </c>
      <c r="N34" s="4">
        <f t="shared" si="0"/>
        <v>-1.3074979601066516E-3</v>
      </c>
      <c r="T34" s="84">
        <v>45598</v>
      </c>
      <c r="U34" s="88">
        <v>1661.87</v>
      </c>
      <c r="V34" s="4">
        <f t="shared" si="5"/>
        <v>2.2601129748821558E-2</v>
      </c>
      <c r="AB34" s="86">
        <v>45598</v>
      </c>
      <c r="AC34" s="88">
        <v>5580.4</v>
      </c>
      <c r="AD34" s="4">
        <f t="shared" si="6"/>
        <v>2.3306988429024456E-2</v>
      </c>
      <c r="AJ34" s="84">
        <v>45598</v>
      </c>
      <c r="AK34" s="88">
        <v>1302.55</v>
      </c>
      <c r="AL34" s="4">
        <f t="shared" si="1"/>
        <v>-6.4833530376415816E-3</v>
      </c>
      <c r="AR34" s="86">
        <v>45598</v>
      </c>
      <c r="AS34" s="88">
        <v>271.5</v>
      </c>
      <c r="AT34" s="4">
        <f t="shared" si="2"/>
        <v>0.10712392447906049</v>
      </c>
    </row>
    <row r="35" spans="2:46">
      <c r="B35" s="85" t="s">
        <v>204</v>
      </c>
      <c r="C35" s="83">
        <v>1667.45</v>
      </c>
      <c r="D35" s="4">
        <f t="shared" si="3"/>
        <v>-1.4573520634001302E-2</v>
      </c>
      <c r="F35" s="88">
        <v>22212.7</v>
      </c>
      <c r="G35" s="4">
        <f t="shared" si="4"/>
        <v>7.8037448901351336E-3</v>
      </c>
      <c r="L35" t="s">
        <v>204</v>
      </c>
      <c r="M35" s="88">
        <v>3988.52</v>
      </c>
      <c r="N35" s="4">
        <f t="shared" si="0"/>
        <v>-1.8456904358782555E-2</v>
      </c>
      <c r="T35" t="s">
        <v>204</v>
      </c>
      <c r="U35" s="88">
        <v>1660.17</v>
      </c>
      <c r="V35" s="4">
        <f t="shared" si="5"/>
        <v>-1.022944032926687E-3</v>
      </c>
      <c r="AB35" s="85" t="s">
        <v>204</v>
      </c>
      <c r="AC35" s="88">
        <v>5542.65</v>
      </c>
      <c r="AD35" s="4">
        <f t="shared" si="6"/>
        <v>-6.7647480467349919E-3</v>
      </c>
      <c r="AJ35" t="s">
        <v>204</v>
      </c>
      <c r="AK35" s="88">
        <v>1322.25</v>
      </c>
      <c r="AL35" s="4">
        <f t="shared" si="1"/>
        <v>1.5124179494069301E-2</v>
      </c>
      <c r="AR35" s="85" t="s">
        <v>204</v>
      </c>
      <c r="AS35" s="88">
        <v>268.08</v>
      </c>
      <c r="AT35" s="4">
        <f t="shared" si="2"/>
        <v>-1.2596685082873038E-2</v>
      </c>
    </row>
    <row r="36" spans="2:46">
      <c r="B36" s="85" t="s">
        <v>205</v>
      </c>
      <c r="C36" s="83">
        <v>1645.43</v>
      </c>
      <c r="D36" s="4">
        <f t="shared" si="3"/>
        <v>-1.3205793277159761E-2</v>
      </c>
      <c r="F36" s="88">
        <v>22338.75</v>
      </c>
      <c r="G36" s="4">
        <f t="shared" si="4"/>
        <v>5.6746816010659895E-3</v>
      </c>
      <c r="L36" t="s">
        <v>205</v>
      </c>
      <c r="M36" s="88">
        <v>4030.11</v>
      </c>
      <c r="N36" s="4">
        <f t="shared" si="0"/>
        <v>1.0427426714671117E-2</v>
      </c>
      <c r="T36" t="s">
        <v>205</v>
      </c>
      <c r="U36" s="88">
        <v>1638.6</v>
      </c>
      <c r="V36" s="4">
        <f t="shared" si="5"/>
        <v>-1.2992645331502239E-2</v>
      </c>
      <c r="AB36" s="85" t="s">
        <v>205</v>
      </c>
      <c r="AC36" s="88">
        <v>5273.55</v>
      </c>
      <c r="AD36" s="4">
        <f t="shared" si="6"/>
        <v>-4.8550783470000747E-2</v>
      </c>
      <c r="AJ36" t="s">
        <v>205</v>
      </c>
      <c r="AK36" s="88">
        <v>1271.8</v>
      </c>
      <c r="AL36" s="4">
        <f t="shared" si="1"/>
        <v>-3.8154660616373626E-2</v>
      </c>
      <c r="AR36" s="85" t="s">
        <v>205</v>
      </c>
      <c r="AS36" s="88">
        <v>259.55</v>
      </c>
      <c r="AT36" s="4">
        <f t="shared" si="2"/>
        <v>-3.1818860041778474E-2</v>
      </c>
    </row>
    <row r="37" spans="2:46">
      <c r="B37" s="86">
        <v>45354</v>
      </c>
      <c r="C37" s="83">
        <v>1607.39</v>
      </c>
      <c r="D37" s="4">
        <f t="shared" si="3"/>
        <v>-2.3118576906948296E-2</v>
      </c>
      <c r="F37" s="88">
        <v>22493.55</v>
      </c>
      <c r="G37" s="4">
        <f t="shared" si="4"/>
        <v>6.929662581836471E-3</v>
      </c>
      <c r="L37" s="84">
        <v>45354</v>
      </c>
      <c r="M37" s="88">
        <v>4044.13</v>
      </c>
      <c r="N37" s="4">
        <f t="shared" si="0"/>
        <v>3.4788132333856137E-3</v>
      </c>
      <c r="T37" s="84">
        <v>45354</v>
      </c>
      <c r="U37" s="88">
        <v>1632.17</v>
      </c>
      <c r="V37" s="4">
        <f t="shared" si="5"/>
        <v>-3.9240815330159329E-3</v>
      </c>
      <c r="AB37" s="86">
        <v>45354</v>
      </c>
      <c r="AC37" s="88">
        <v>5122.7</v>
      </c>
      <c r="AD37" s="4">
        <f t="shared" si="6"/>
        <v>-2.8605019389216113E-2</v>
      </c>
      <c r="AJ37" s="84">
        <v>45354</v>
      </c>
      <c r="AK37" s="88">
        <v>1288.1500000000001</v>
      </c>
      <c r="AL37" s="4">
        <f t="shared" si="1"/>
        <v>1.2855794936310838E-2</v>
      </c>
      <c r="AR37" s="86">
        <v>45354</v>
      </c>
      <c r="AS37" s="88">
        <v>257.75</v>
      </c>
      <c r="AT37" s="4">
        <f t="shared" si="2"/>
        <v>-6.9350799460605739E-3</v>
      </c>
    </row>
    <row r="38" spans="2:46">
      <c r="B38" s="86">
        <v>45568</v>
      </c>
      <c r="C38" s="83">
        <v>1624.84</v>
      </c>
      <c r="D38" s="4">
        <f t="shared" si="3"/>
        <v>1.0856108349560412E-2</v>
      </c>
      <c r="F38" s="88">
        <v>22023.35</v>
      </c>
      <c r="G38" s="4">
        <f t="shared" si="4"/>
        <v>-2.0903770191899484E-2</v>
      </c>
      <c r="L38" s="84">
        <v>45568</v>
      </c>
      <c r="M38" s="88">
        <v>4153.05</v>
      </c>
      <c r="N38" s="4">
        <f t="shared" si="0"/>
        <v>2.6932863186890588E-2</v>
      </c>
      <c r="T38" s="84">
        <v>45568</v>
      </c>
      <c r="U38" s="88">
        <v>1641.79</v>
      </c>
      <c r="V38" s="4">
        <f t="shared" si="5"/>
        <v>5.8939938854407625E-3</v>
      </c>
      <c r="AB38" s="86">
        <v>45568</v>
      </c>
      <c r="AC38" s="88">
        <v>5194.3500000000004</v>
      </c>
      <c r="AD38" s="4">
        <f t="shared" si="6"/>
        <v>1.3986764792004225E-2</v>
      </c>
      <c r="AJ38" s="84">
        <v>45568</v>
      </c>
      <c r="AK38" s="88">
        <v>1282.2</v>
      </c>
      <c r="AL38" s="4">
        <f t="shared" si="1"/>
        <v>-4.6190272871948768E-3</v>
      </c>
      <c r="AR38" s="86">
        <v>45568</v>
      </c>
      <c r="AS38" s="88">
        <v>258.5</v>
      </c>
      <c r="AT38" s="4">
        <f t="shared" si="2"/>
        <v>2.9097963142579175E-3</v>
      </c>
    </row>
    <row r="39" spans="2:46">
      <c r="B39" s="85" t="s">
        <v>206</v>
      </c>
      <c r="C39" s="83">
        <v>1500.39</v>
      </c>
      <c r="D39" s="4">
        <f>C39/C38-1</f>
        <v>-7.6592156766204567E-2</v>
      </c>
      <c r="F39" s="88">
        <v>22096.75</v>
      </c>
      <c r="G39" s="4">
        <f>F39/F38-1</f>
        <v>3.3328262957270649E-3</v>
      </c>
      <c r="L39" t="s">
        <v>206</v>
      </c>
      <c r="M39" s="88">
        <v>3849.53</v>
      </c>
      <c r="N39" s="4">
        <f>M39/M38-1</f>
        <v>-7.3083637326783912E-2</v>
      </c>
      <c r="T39" t="s">
        <v>206</v>
      </c>
      <c r="U39" s="88">
        <v>1552.63</v>
      </c>
      <c r="V39" s="4">
        <f>U39/U38-1</f>
        <v>-5.430658001327815E-2</v>
      </c>
      <c r="AB39" s="85" t="s">
        <v>206</v>
      </c>
      <c r="AC39" s="88">
        <v>5005</v>
      </c>
      <c r="AD39" s="4">
        <f t="shared" si="6"/>
        <v>-3.6453069200188759E-2</v>
      </c>
      <c r="AJ39" t="s">
        <v>206</v>
      </c>
      <c r="AK39" s="88">
        <v>1262.6500000000001</v>
      </c>
      <c r="AL39" s="4">
        <f t="shared" si="1"/>
        <v>-1.5247231321166677E-2</v>
      </c>
      <c r="AR39" s="85" t="s">
        <v>206</v>
      </c>
      <c r="AS39" s="88">
        <v>243.55</v>
      </c>
      <c r="AT39" s="4">
        <f t="shared" si="2"/>
        <v>-5.7833655705996079E-2</v>
      </c>
    </row>
    <row r="40" spans="2:46">
      <c r="B40" s="85" t="s">
        <v>207</v>
      </c>
      <c r="C40" s="83">
        <v>1489.66</v>
      </c>
      <c r="D40" s="4">
        <f t="shared" si="3"/>
        <v>-7.1514739501062907E-3</v>
      </c>
      <c r="F40" s="88">
        <v>22326.9</v>
      </c>
      <c r="G40" s="4">
        <f t="shared" si="4"/>
        <v>1.0415558849152129E-2</v>
      </c>
      <c r="L40" t="s">
        <v>207</v>
      </c>
      <c r="M40" s="88">
        <v>3815.48</v>
      </c>
      <c r="N40" s="4">
        <f t="shared" si="0"/>
        <v>-8.8452356521445674E-3</v>
      </c>
      <c r="T40" t="s">
        <v>207</v>
      </c>
      <c r="U40" s="88">
        <v>1538.38</v>
      </c>
      <c r="V40" s="4">
        <f t="shared" si="5"/>
        <v>-9.1779754352292464E-3</v>
      </c>
      <c r="AB40" s="85" t="s">
        <v>207</v>
      </c>
      <c r="AC40" s="88">
        <v>4938.3999999999996</v>
      </c>
      <c r="AD40" s="4">
        <f t="shared" si="6"/>
        <v>-1.3306693306693429E-2</v>
      </c>
      <c r="AJ40" t="s">
        <v>207</v>
      </c>
      <c r="AK40" s="88">
        <v>1248.0999999999999</v>
      </c>
      <c r="AL40" s="4">
        <f t="shared" si="1"/>
        <v>-1.1523383360392936E-2</v>
      </c>
      <c r="AR40" s="85" t="s">
        <v>207</v>
      </c>
      <c r="AS40" s="88">
        <v>240.05</v>
      </c>
      <c r="AT40" s="4">
        <f t="shared" si="2"/>
        <v>-1.4370765756518189E-2</v>
      </c>
    </row>
    <row r="41" spans="2:46">
      <c r="B41" s="85" t="s">
        <v>208</v>
      </c>
      <c r="C41" s="83">
        <v>1470.81</v>
      </c>
      <c r="D41" s="4">
        <f t="shared" si="3"/>
        <v>-1.2653894177194869E-2</v>
      </c>
      <c r="F41" s="88">
        <v>22513.7</v>
      </c>
      <c r="G41" s="4">
        <f t="shared" si="4"/>
        <v>8.3665891816597782E-3</v>
      </c>
      <c r="L41" t="s">
        <v>208</v>
      </c>
      <c r="M41" s="88">
        <v>3916.81</v>
      </c>
      <c r="N41" s="4">
        <f t="shared" si="0"/>
        <v>2.6557602188977514E-2</v>
      </c>
      <c r="T41" t="s">
        <v>208</v>
      </c>
      <c r="U41" s="88">
        <v>1540.08</v>
      </c>
      <c r="V41" s="4">
        <f t="shared" si="5"/>
        <v>1.1050585681040559E-3</v>
      </c>
      <c r="AB41" s="85" t="s">
        <v>208</v>
      </c>
      <c r="AC41" s="88">
        <v>4927.5</v>
      </c>
      <c r="AD41" s="4">
        <f t="shared" si="6"/>
        <v>-2.2071926129919595E-3</v>
      </c>
      <c r="AJ41" t="s">
        <v>208</v>
      </c>
      <c r="AK41" s="88">
        <v>1263.4000000000001</v>
      </c>
      <c r="AL41" s="4">
        <f t="shared" si="1"/>
        <v>1.2258633122346208E-2</v>
      </c>
      <c r="AR41" s="85" t="s">
        <v>208</v>
      </c>
      <c r="AS41" s="88">
        <v>242.52</v>
      </c>
      <c r="AT41" s="4">
        <f t="shared" si="2"/>
        <v>1.0289523016038249E-2</v>
      </c>
    </row>
    <row r="42" spans="2:46">
      <c r="B42" s="86">
        <v>45477</v>
      </c>
      <c r="C42" s="83">
        <v>1476.43</v>
      </c>
      <c r="D42" s="4">
        <f t="shared" si="3"/>
        <v>3.8210237896125765E-3</v>
      </c>
      <c r="F42" s="88">
        <v>22519.4</v>
      </c>
      <c r="G42" s="4">
        <f t="shared" si="4"/>
        <v>2.5317917534661838E-4</v>
      </c>
      <c r="L42" s="84">
        <v>45477</v>
      </c>
      <c r="M42" s="88">
        <v>3938.61</v>
      </c>
      <c r="N42" s="4">
        <f t="shared" si="0"/>
        <v>5.5657537639048904E-3</v>
      </c>
      <c r="T42" s="84">
        <v>45477</v>
      </c>
      <c r="U42" s="88">
        <v>1516.41</v>
      </c>
      <c r="V42" s="4">
        <f t="shared" si="5"/>
        <v>-1.5369331463300551E-2</v>
      </c>
      <c r="AB42" s="86">
        <v>45477</v>
      </c>
      <c r="AC42" s="88">
        <v>4888.8999999999996</v>
      </c>
      <c r="AD42" s="4">
        <f t="shared" si="6"/>
        <v>-7.8335870116692519E-3</v>
      </c>
      <c r="AJ42" s="84">
        <v>45477</v>
      </c>
      <c r="AK42" s="88">
        <v>1242.0999999999999</v>
      </c>
      <c r="AL42" s="4">
        <f t="shared" si="1"/>
        <v>-1.6859268640177394E-2</v>
      </c>
      <c r="AR42" s="86">
        <v>45477</v>
      </c>
      <c r="AS42" s="88">
        <v>235.38</v>
      </c>
      <c r="AT42" s="4">
        <f t="shared" si="2"/>
        <v>-2.944087085601188E-2</v>
      </c>
    </row>
    <row r="43" spans="2:46">
      <c r="B43" s="85" t="s">
        <v>209</v>
      </c>
      <c r="C43" s="83">
        <v>1403.34</v>
      </c>
      <c r="D43" s="4">
        <f t="shared" si="3"/>
        <v>-4.950454813299654E-2</v>
      </c>
      <c r="F43" s="88">
        <v>22147</v>
      </c>
      <c r="G43" s="4">
        <f t="shared" si="4"/>
        <v>-1.6536852669254087E-2</v>
      </c>
      <c r="L43" t="s">
        <v>209</v>
      </c>
      <c r="M43" s="88">
        <v>3766.16</v>
      </c>
      <c r="N43" s="4">
        <f t="shared" si="0"/>
        <v>-4.378448234275556E-2</v>
      </c>
      <c r="T43" t="s">
        <v>209</v>
      </c>
      <c r="U43" s="88">
        <v>1442.65</v>
      </c>
      <c r="V43" s="4">
        <f t="shared" si="5"/>
        <v>-4.8641198620425818E-2</v>
      </c>
      <c r="AB43" s="85" t="s">
        <v>209</v>
      </c>
      <c r="AC43" s="88">
        <v>4660.55</v>
      </c>
      <c r="AD43" s="4">
        <f t="shared" si="6"/>
        <v>-4.6707848391253526E-2</v>
      </c>
      <c r="AJ43" t="s">
        <v>209</v>
      </c>
      <c r="AK43" s="88">
        <v>1193.6500000000001</v>
      </c>
      <c r="AL43" s="4">
        <f t="shared" si="1"/>
        <v>-3.9006521214072776E-2</v>
      </c>
      <c r="AR43" s="85" t="s">
        <v>209</v>
      </c>
      <c r="AS43" s="88">
        <v>226.38</v>
      </c>
      <c r="AT43" s="4">
        <f t="shared" si="2"/>
        <v>-3.8236043843996925E-2</v>
      </c>
    </row>
    <row r="44" spans="2:46">
      <c r="B44" s="85" t="s">
        <v>210</v>
      </c>
      <c r="C44" s="83">
        <v>1422.23</v>
      </c>
      <c r="D44" s="4">
        <f t="shared" si="3"/>
        <v>1.3460743654424512E-2</v>
      </c>
      <c r="F44" s="88">
        <v>22419.95</v>
      </c>
      <c r="G44" s="4">
        <f t="shared" si="4"/>
        <v>1.2324468325281002E-2</v>
      </c>
      <c r="L44" t="s">
        <v>210</v>
      </c>
      <c r="M44" s="88">
        <v>3761.39</v>
      </c>
      <c r="N44" s="4">
        <f t="shared" si="0"/>
        <v>-1.2665420481339229E-3</v>
      </c>
      <c r="T44" t="s">
        <v>210</v>
      </c>
      <c r="U44" s="88">
        <v>1468.92</v>
      </c>
      <c r="V44" s="4">
        <f t="shared" si="5"/>
        <v>1.8209544934668864E-2</v>
      </c>
      <c r="AB44" s="85" t="s">
        <v>210</v>
      </c>
      <c r="AC44" s="88">
        <v>4788.05</v>
      </c>
      <c r="AD44" s="4">
        <f t="shared" si="6"/>
        <v>2.7357286157213112E-2</v>
      </c>
      <c r="AJ44" t="s">
        <v>210</v>
      </c>
      <c r="AK44" s="88">
        <v>1278.75</v>
      </c>
      <c r="AL44" s="4">
        <f t="shared" si="1"/>
        <v>7.1293930381602477E-2</v>
      </c>
      <c r="AR44" s="85" t="s">
        <v>210</v>
      </c>
      <c r="AS44" s="88">
        <v>232.3</v>
      </c>
      <c r="AT44" s="4">
        <f t="shared" si="2"/>
        <v>2.6150720028271124E-2</v>
      </c>
    </row>
    <row r="45" spans="2:46">
      <c r="B45" s="85" t="s">
        <v>211</v>
      </c>
      <c r="C45" s="83">
        <v>1408.36</v>
      </c>
      <c r="D45" s="4">
        <f t="shared" si="3"/>
        <v>-9.7522904171618574E-3</v>
      </c>
      <c r="F45" s="88">
        <v>22475.85</v>
      </c>
      <c r="G45" s="4">
        <f t="shared" si="4"/>
        <v>2.4933151055197555E-3</v>
      </c>
      <c r="L45" t="s">
        <v>211</v>
      </c>
      <c r="M45" s="88">
        <v>3783.09</v>
      </c>
      <c r="N45" s="4">
        <f t="shared" si="0"/>
        <v>5.7691438537350592E-3</v>
      </c>
      <c r="T45" t="s">
        <v>211</v>
      </c>
      <c r="U45" s="88">
        <v>1343.54</v>
      </c>
      <c r="V45" s="4">
        <f t="shared" si="5"/>
        <v>-8.5355226969474285E-2</v>
      </c>
      <c r="AB45" s="85" t="s">
        <v>211</v>
      </c>
      <c r="AC45" s="88">
        <v>4651.95</v>
      </c>
      <c r="AD45" s="4">
        <f t="shared" si="6"/>
        <v>-2.8424932905880329E-2</v>
      </c>
      <c r="AJ45" t="s">
        <v>211</v>
      </c>
      <c r="AK45" s="88">
        <v>1250.45</v>
      </c>
      <c r="AL45" s="4">
        <f t="shared" si="1"/>
        <v>-2.2130987292277582E-2</v>
      </c>
      <c r="AR45" s="85" t="s">
        <v>211</v>
      </c>
      <c r="AS45" s="88">
        <v>228.68</v>
      </c>
      <c r="AT45" s="4">
        <f t="shared" si="2"/>
        <v>-1.5583297460180834E-2</v>
      </c>
    </row>
    <row r="46" spans="2:46">
      <c r="B46" s="86">
        <v>45417</v>
      </c>
      <c r="C46" s="83">
        <v>1416.92</v>
      </c>
      <c r="D46" s="4">
        <f t="shared" si="3"/>
        <v>6.0779914226476439E-3</v>
      </c>
      <c r="F46" s="88">
        <v>22055.200000000001</v>
      </c>
      <c r="G46" s="4">
        <f t="shared" si="4"/>
        <v>-1.8715643679771743E-2</v>
      </c>
      <c r="L46" s="84">
        <v>45417</v>
      </c>
      <c r="M46" s="88">
        <v>3832.8</v>
      </c>
      <c r="N46" s="4">
        <f t="shared" si="0"/>
        <v>1.3140052179567485E-2</v>
      </c>
      <c r="T46" s="84">
        <v>45417</v>
      </c>
      <c r="U46" s="88">
        <v>1311.79</v>
      </c>
      <c r="V46" s="4">
        <f t="shared" si="5"/>
        <v>-2.3631600101225114E-2</v>
      </c>
      <c r="AB46" s="86">
        <v>45417</v>
      </c>
      <c r="AC46" s="88">
        <v>4607.6499999999996</v>
      </c>
      <c r="AD46" s="4">
        <f t="shared" si="6"/>
        <v>-9.5228882511635415E-3</v>
      </c>
      <c r="AJ46" s="84">
        <v>45417</v>
      </c>
      <c r="AK46" s="88">
        <v>1264.4000000000001</v>
      </c>
      <c r="AL46" s="4">
        <f t="shared" si="1"/>
        <v>1.1155983845815509E-2</v>
      </c>
      <c r="AR46" s="86">
        <v>45417</v>
      </c>
      <c r="AS46" s="88">
        <v>225.93</v>
      </c>
      <c r="AT46" s="4">
        <f t="shared" si="2"/>
        <v>-1.2025537869511993E-2</v>
      </c>
    </row>
    <row r="47" spans="2:46">
      <c r="B47" s="86">
        <v>45631</v>
      </c>
      <c r="C47" s="83">
        <v>1436.21</v>
      </c>
      <c r="D47" s="4">
        <f t="shared" si="3"/>
        <v>1.3614036078254177E-2</v>
      </c>
      <c r="F47" s="88">
        <v>22466.1</v>
      </c>
      <c r="G47" s="4">
        <f t="shared" si="4"/>
        <v>1.8630527041241907E-2</v>
      </c>
      <c r="L47" s="84">
        <v>45631</v>
      </c>
      <c r="M47" s="88">
        <v>3773.94</v>
      </c>
      <c r="N47" s="4">
        <f t="shared" si="0"/>
        <v>-1.5356919223544208E-2</v>
      </c>
      <c r="T47" s="84">
        <v>45631</v>
      </c>
      <c r="U47" s="88">
        <v>1328.74</v>
      </c>
      <c r="V47" s="4">
        <f t="shared" si="5"/>
        <v>1.2921275509037322E-2</v>
      </c>
      <c r="AB47" s="86">
        <v>45631</v>
      </c>
      <c r="AC47" s="88">
        <v>4764.3</v>
      </c>
      <c r="AD47" s="4">
        <f t="shared" si="6"/>
        <v>3.3997807993228824E-2</v>
      </c>
      <c r="AJ47" s="84">
        <v>45631</v>
      </c>
      <c r="AK47" s="88">
        <v>1305.4000000000001</v>
      </c>
      <c r="AL47" s="4">
        <f t="shared" si="1"/>
        <v>3.2426447326795227E-2</v>
      </c>
      <c r="AR47" s="86">
        <v>45631</v>
      </c>
      <c r="AS47" s="88">
        <v>230.5</v>
      </c>
      <c r="AT47" s="4">
        <f t="shared" si="2"/>
        <v>2.0227504094188387E-2</v>
      </c>
    </row>
    <row r="48" spans="2:46">
      <c r="B48" s="85" t="s">
        <v>212</v>
      </c>
      <c r="C48" s="83">
        <v>1456.89</v>
      </c>
      <c r="D48" s="4">
        <f t="shared" si="3"/>
        <v>1.4399008501542188E-2</v>
      </c>
      <c r="F48" s="88">
        <v>22957.1</v>
      </c>
      <c r="G48" s="4">
        <f t="shared" si="4"/>
        <v>2.1855150649200406E-2</v>
      </c>
      <c r="L48" t="s">
        <v>212</v>
      </c>
      <c r="M48" s="88">
        <v>3789.1</v>
      </c>
      <c r="N48" s="4">
        <f t="shared" si="0"/>
        <v>4.0170219982298416E-3</v>
      </c>
      <c r="T48" t="s">
        <v>212</v>
      </c>
      <c r="U48" s="88">
        <v>1340.7</v>
      </c>
      <c r="V48" s="4">
        <f t="shared" si="5"/>
        <v>9.0010084741936058E-3</v>
      </c>
      <c r="AB48" s="85" t="s">
        <v>212</v>
      </c>
      <c r="AC48" s="88">
        <v>4839.75</v>
      </c>
      <c r="AD48" s="4">
        <f t="shared" si="6"/>
        <v>1.583653422328557E-2</v>
      </c>
      <c r="AJ48" t="s">
        <v>212</v>
      </c>
      <c r="AK48" s="88">
        <v>1321.75</v>
      </c>
      <c r="AL48" s="4">
        <f t="shared" si="1"/>
        <v>1.2524896583422596E-2</v>
      </c>
      <c r="AR48" s="85" t="s">
        <v>212</v>
      </c>
      <c r="AS48" s="88">
        <v>231.82</v>
      </c>
      <c r="AT48" s="4">
        <f t="shared" si="2"/>
        <v>5.7266811279825802E-3</v>
      </c>
    </row>
    <row r="49" spans="2:46">
      <c r="B49" s="85" t="s">
        <v>213</v>
      </c>
      <c r="C49" s="83">
        <v>1406.9</v>
      </c>
      <c r="D49" s="4">
        <f t="shared" si="3"/>
        <v>-3.4312817028052889E-2</v>
      </c>
      <c r="F49" s="88">
        <v>22530.7</v>
      </c>
      <c r="G49" s="4">
        <f t="shared" si="4"/>
        <v>-1.8573774562117951E-2</v>
      </c>
      <c r="L49" t="s">
        <v>213</v>
      </c>
      <c r="M49" s="88">
        <v>3613.35</v>
      </c>
      <c r="N49" s="4">
        <f t="shared" si="0"/>
        <v>-4.6383046105935466E-2</v>
      </c>
      <c r="T49" t="s">
        <v>213</v>
      </c>
      <c r="U49" s="88">
        <v>1319.67</v>
      </c>
      <c r="V49" s="4">
        <f t="shared" si="5"/>
        <v>-1.5685835757440092E-2</v>
      </c>
      <c r="AB49" s="85" t="s">
        <v>213</v>
      </c>
      <c r="AC49" s="88">
        <v>4701.8999999999996</v>
      </c>
      <c r="AD49" s="4">
        <f t="shared" si="6"/>
        <v>-2.8482876181621042E-2</v>
      </c>
      <c r="AJ49" t="s">
        <v>213</v>
      </c>
      <c r="AK49" s="88">
        <v>1228.45</v>
      </c>
      <c r="AL49" s="4">
        <f t="shared" si="1"/>
        <v>-7.0588235294117618E-2</v>
      </c>
      <c r="AR49" s="85" t="s">
        <v>213</v>
      </c>
      <c r="AS49" s="88">
        <v>219.1</v>
      </c>
      <c r="AT49" s="4">
        <f t="shared" si="2"/>
        <v>-5.4870157881114601E-2</v>
      </c>
    </row>
    <row r="50" spans="2:46">
      <c r="B50" s="86">
        <v>45328</v>
      </c>
      <c r="C50" s="83">
        <v>1533.6</v>
      </c>
      <c r="D50" s="4">
        <f t="shared" si="3"/>
        <v>9.0056151823157071E-2</v>
      </c>
      <c r="F50" s="88">
        <v>23290.15</v>
      </c>
      <c r="G50" s="4">
        <f t="shared" si="4"/>
        <v>3.3707341538434354E-2</v>
      </c>
      <c r="L50" s="84">
        <v>45328</v>
      </c>
      <c r="M50" s="88">
        <v>3832.85</v>
      </c>
      <c r="N50" s="4">
        <f t="shared" si="0"/>
        <v>6.0746952274205457E-2</v>
      </c>
      <c r="T50" s="84">
        <v>45328</v>
      </c>
      <c r="U50" s="88">
        <v>1426.71</v>
      </c>
      <c r="V50" s="4">
        <f t="shared" si="5"/>
        <v>8.1111186887630859E-2</v>
      </c>
      <c r="AB50" s="86">
        <v>45328</v>
      </c>
      <c r="AC50" s="88">
        <v>4977.2</v>
      </c>
      <c r="AD50" s="4">
        <f t="shared" si="6"/>
        <v>5.855079861332646E-2</v>
      </c>
      <c r="AJ50" s="84">
        <v>45328</v>
      </c>
      <c r="AK50" s="88">
        <v>1377.6</v>
      </c>
      <c r="AL50" s="4">
        <f t="shared" si="1"/>
        <v>0.12141316292889393</v>
      </c>
      <c r="AR50" s="86">
        <v>45328</v>
      </c>
      <c r="AS50" s="88">
        <v>242.27</v>
      </c>
      <c r="AT50" s="4">
        <f t="shared" si="2"/>
        <v>0.10575079872204474</v>
      </c>
    </row>
    <row r="51" spans="2:46">
      <c r="B51" s="86">
        <v>45541</v>
      </c>
      <c r="C51" s="83">
        <v>1488.9</v>
      </c>
      <c r="D51" s="4">
        <f t="shared" si="3"/>
        <v>-2.9147104851330097E-2</v>
      </c>
      <c r="F51" s="88">
        <v>23465.599999999999</v>
      </c>
      <c r="G51" s="4">
        <f t="shared" si="4"/>
        <v>7.5332275661599279E-3</v>
      </c>
      <c r="L51" s="84">
        <v>45541</v>
      </c>
      <c r="M51" s="88">
        <v>3771.92</v>
      </c>
      <c r="N51" s="4">
        <f t="shared" si="0"/>
        <v>-1.589678698618513E-2</v>
      </c>
      <c r="T51" s="84">
        <v>45541</v>
      </c>
      <c r="U51" s="88">
        <v>1426.26</v>
      </c>
      <c r="V51" s="4">
        <f t="shared" si="5"/>
        <v>-3.1541098050757999E-4</v>
      </c>
      <c r="AB51" s="86">
        <v>45541</v>
      </c>
      <c r="AC51" s="88">
        <v>5032.55</v>
      </c>
      <c r="AD51" s="4">
        <f t="shared" si="6"/>
        <v>1.112071043960472E-2</v>
      </c>
      <c r="AJ51" s="84">
        <v>45541</v>
      </c>
      <c r="AK51" s="88">
        <v>1371.45</v>
      </c>
      <c r="AL51" s="4">
        <f t="shared" si="1"/>
        <v>-4.4642857142855874E-3</v>
      </c>
      <c r="AR51" s="86">
        <v>45541</v>
      </c>
      <c r="AS51" s="88">
        <v>238.75</v>
      </c>
      <c r="AT51" s="4">
        <f t="shared" si="2"/>
        <v>-1.4529244231642369E-2</v>
      </c>
    </row>
    <row r="52" spans="2:46">
      <c r="B52" s="85" t="s">
        <v>214</v>
      </c>
      <c r="C52" s="83">
        <v>1532.7</v>
      </c>
      <c r="D52" s="4">
        <f t="shared" si="3"/>
        <v>2.9417690912754368E-2</v>
      </c>
      <c r="F52" s="88">
        <v>23501.1</v>
      </c>
      <c r="G52" s="4">
        <f t="shared" si="4"/>
        <v>1.5128528569481325E-3</v>
      </c>
      <c r="L52" t="s">
        <v>214</v>
      </c>
      <c r="M52" s="88">
        <v>3750.96</v>
      </c>
      <c r="N52" s="4">
        <f t="shared" si="0"/>
        <v>-5.5568516829624937E-3</v>
      </c>
      <c r="T52" t="s">
        <v>214</v>
      </c>
      <c r="U52" s="88">
        <v>1443</v>
      </c>
      <c r="V52" s="4">
        <f t="shared" si="5"/>
        <v>1.1736990450549101E-2</v>
      </c>
      <c r="AB52" s="85" t="s">
        <v>214</v>
      </c>
      <c r="AC52" s="88">
        <v>5125.45</v>
      </c>
      <c r="AD52" s="4">
        <f t="shared" si="6"/>
        <v>1.8459826529294121E-2</v>
      </c>
      <c r="AJ52" t="s">
        <v>214</v>
      </c>
      <c r="AK52" s="88">
        <v>1399.8</v>
      </c>
      <c r="AL52" s="4">
        <f t="shared" si="1"/>
        <v>2.0671552006999772E-2</v>
      </c>
      <c r="AR52" s="85" t="s">
        <v>214</v>
      </c>
      <c r="AS52" s="88">
        <v>245.27</v>
      </c>
      <c r="AT52" s="4">
        <f t="shared" si="2"/>
        <v>2.7308900523560276E-2</v>
      </c>
    </row>
    <row r="53" spans="2:46">
      <c r="B53" s="85" t="s">
        <v>215</v>
      </c>
      <c r="C53" s="83">
        <v>1566.75</v>
      </c>
      <c r="D53" s="4">
        <f t="shared" si="3"/>
        <v>2.2215697788216859E-2</v>
      </c>
      <c r="F53" s="88">
        <v>24010.6</v>
      </c>
      <c r="G53" s="4">
        <f t="shared" si="4"/>
        <v>2.1679836262983532E-2</v>
      </c>
      <c r="L53" t="s">
        <v>215</v>
      </c>
      <c r="M53" s="88">
        <v>3842.89</v>
      </c>
      <c r="N53" s="4">
        <f t="shared" si="0"/>
        <v>2.4508392518181932E-2</v>
      </c>
      <c r="T53" t="s">
        <v>215</v>
      </c>
      <c r="U53" s="88">
        <v>1454.71</v>
      </c>
      <c r="V53" s="4">
        <f t="shared" si="5"/>
        <v>8.115038115038109E-3</v>
      </c>
      <c r="AB53" s="85" t="s">
        <v>215</v>
      </c>
      <c r="AC53" s="88">
        <v>5385.05</v>
      </c>
      <c r="AD53" s="4">
        <f t="shared" si="6"/>
        <v>5.0649211288764873E-2</v>
      </c>
      <c r="AJ53" t="s">
        <v>215</v>
      </c>
      <c r="AK53" s="88">
        <v>1430.35</v>
      </c>
      <c r="AL53" s="4">
        <f t="shared" si="1"/>
        <v>2.1824546363766295E-2</v>
      </c>
      <c r="AR53" s="85" t="s">
        <v>215</v>
      </c>
      <c r="AS53" s="88">
        <v>257.42</v>
      </c>
      <c r="AT53" s="4">
        <f t="shared" si="2"/>
        <v>4.9537244669140224E-2</v>
      </c>
    </row>
    <row r="54" spans="2:46">
      <c r="B54" s="85" t="s">
        <v>216</v>
      </c>
      <c r="C54" s="83">
        <v>1647.45</v>
      </c>
      <c r="D54" s="4">
        <f t="shared" si="3"/>
        <v>5.1507898516036432E-2</v>
      </c>
      <c r="F54" s="88">
        <v>24323.85</v>
      </c>
      <c r="G54" s="4">
        <f t="shared" si="4"/>
        <v>1.3046321208133094E-2</v>
      </c>
      <c r="L54" t="s">
        <v>216</v>
      </c>
      <c r="M54" s="88">
        <v>3948.85</v>
      </c>
      <c r="N54" s="4">
        <f t="shared" si="0"/>
        <v>2.7572998446481645E-2</v>
      </c>
      <c r="T54" t="s">
        <v>216</v>
      </c>
      <c r="U54" s="88">
        <v>1514.31</v>
      </c>
      <c r="V54" s="4">
        <f t="shared" si="5"/>
        <v>4.0970365227433581E-2</v>
      </c>
      <c r="AB54" s="85" t="s">
        <v>216</v>
      </c>
      <c r="AC54" s="88">
        <v>5421.7</v>
      </c>
      <c r="AD54" s="4">
        <f t="shared" si="6"/>
        <v>6.8058792397469592E-3</v>
      </c>
      <c r="AJ54" t="s">
        <v>216</v>
      </c>
      <c r="AK54" s="88">
        <v>1461.35</v>
      </c>
      <c r="AL54" s="4">
        <f t="shared" si="1"/>
        <v>2.1673017093718272E-2</v>
      </c>
      <c r="AR54" s="85" t="s">
        <v>216</v>
      </c>
      <c r="AS54" s="88">
        <v>267.55</v>
      </c>
      <c r="AT54" s="4">
        <f t="shared" si="2"/>
        <v>3.9352031699168677E-2</v>
      </c>
    </row>
    <row r="55" spans="2:46">
      <c r="B55" s="86">
        <v>45480</v>
      </c>
      <c r="C55" s="83">
        <v>1711.75</v>
      </c>
      <c r="D55" s="4">
        <f t="shared" si="3"/>
        <v>3.9030016085465302E-2</v>
      </c>
      <c r="F55" s="88">
        <v>24502.15</v>
      </c>
      <c r="G55" s="4">
        <f t="shared" si="4"/>
        <v>7.3302540510651326E-3</v>
      </c>
      <c r="L55" s="84">
        <v>45480</v>
      </c>
      <c r="M55" s="88">
        <v>4118.3</v>
      </c>
      <c r="N55" s="4">
        <f t="shared" si="0"/>
        <v>4.2911227319346157E-2</v>
      </c>
      <c r="T55" s="84">
        <v>45480</v>
      </c>
      <c r="U55" s="88">
        <v>1554.98</v>
      </c>
      <c r="V55" s="4">
        <f t="shared" si="5"/>
        <v>2.685711644247224E-2</v>
      </c>
      <c r="AB55" s="86">
        <v>45480</v>
      </c>
      <c r="AC55" s="88">
        <v>5572.65</v>
      </c>
      <c r="AD55" s="4">
        <f t="shared" si="6"/>
        <v>2.7841820831104647E-2</v>
      </c>
      <c r="AJ55" s="84">
        <v>45480</v>
      </c>
      <c r="AK55" s="88">
        <v>1505.05</v>
      </c>
      <c r="AL55" s="4">
        <f t="shared" si="1"/>
        <v>2.9903856023539843E-2</v>
      </c>
      <c r="AR55" s="86">
        <v>45480</v>
      </c>
      <c r="AS55" s="88">
        <v>280.08</v>
      </c>
      <c r="AT55" s="4">
        <f t="shared" si="2"/>
        <v>4.6832367781722839E-2</v>
      </c>
    </row>
    <row r="56" spans="2:46">
      <c r="B56" s="85" t="s">
        <v>217</v>
      </c>
      <c r="C56" s="83">
        <v>1792.95</v>
      </c>
      <c r="D56" s="4">
        <f t="shared" si="3"/>
        <v>4.7436833649773691E-2</v>
      </c>
      <c r="F56" s="88">
        <v>24530.9</v>
      </c>
      <c r="G56" s="4">
        <f t="shared" si="4"/>
        <v>1.1733664188653403E-3</v>
      </c>
      <c r="L56" t="s">
        <v>217</v>
      </c>
      <c r="M56" s="88">
        <v>4234.8900000000003</v>
      </c>
      <c r="N56" s="4">
        <f t="shared" si="0"/>
        <v>2.8310225092878172E-2</v>
      </c>
      <c r="T56" t="s">
        <v>217</v>
      </c>
      <c r="U56" s="88">
        <v>1589.21</v>
      </c>
      <c r="V56" s="4">
        <f t="shared" si="5"/>
        <v>2.2013144863599621E-2</v>
      </c>
      <c r="AB56" s="85" t="s">
        <v>217</v>
      </c>
      <c r="AC56" s="88">
        <v>5762.75</v>
      </c>
      <c r="AD56" s="4">
        <f t="shared" si="6"/>
        <v>3.4113034193785863E-2</v>
      </c>
      <c r="AJ56" t="s">
        <v>217</v>
      </c>
      <c r="AK56" s="88">
        <v>1491.4</v>
      </c>
      <c r="AL56" s="4">
        <f t="shared" si="1"/>
        <v>-9.06946613069326E-3</v>
      </c>
      <c r="AR56" s="85" t="s">
        <v>217</v>
      </c>
      <c r="AS56" s="88">
        <v>278.60000000000002</v>
      </c>
      <c r="AT56" s="4">
        <f t="shared" si="2"/>
        <v>-5.2842045129961601E-3</v>
      </c>
    </row>
    <row r="57" spans="2:46">
      <c r="B57" s="85" t="s">
        <v>218</v>
      </c>
      <c r="C57" s="83">
        <v>1878.9</v>
      </c>
      <c r="D57" s="4">
        <f t="shared" si="3"/>
        <v>4.7937756211829718E-2</v>
      </c>
      <c r="F57" s="88">
        <v>24834.85</v>
      </c>
      <c r="G57" s="4">
        <f t="shared" si="4"/>
        <v>1.2390495252925682E-2</v>
      </c>
      <c r="L57" t="s">
        <v>218</v>
      </c>
      <c r="M57" s="88">
        <v>4319</v>
      </c>
      <c r="N57" s="4">
        <f t="shared" si="0"/>
        <v>1.9861200645117094E-2</v>
      </c>
      <c r="T57" t="s">
        <v>218</v>
      </c>
      <c r="U57" s="88">
        <v>1629.88</v>
      </c>
      <c r="V57" s="4">
        <f t="shared" si="5"/>
        <v>2.5591331542087037E-2</v>
      </c>
      <c r="AB57" s="85" t="s">
        <v>218</v>
      </c>
      <c r="AC57" s="88">
        <v>5788.45</v>
      </c>
      <c r="AD57" s="4">
        <f t="shared" si="6"/>
        <v>4.4596763697886121E-3</v>
      </c>
      <c r="AJ57" t="s">
        <v>218</v>
      </c>
      <c r="AK57" s="88">
        <v>1541.15</v>
      </c>
      <c r="AL57" s="4">
        <f t="shared" si="1"/>
        <v>3.3357918734075342E-2</v>
      </c>
      <c r="AR57" s="85" t="s">
        <v>218</v>
      </c>
      <c r="AS57" s="88">
        <v>262.39999999999998</v>
      </c>
      <c r="AT57" s="4">
        <f t="shared" si="2"/>
        <v>-5.814788226848544E-2</v>
      </c>
    </row>
    <row r="58" spans="2:46">
      <c r="B58" s="85" t="s">
        <v>219</v>
      </c>
      <c r="C58" s="83">
        <v>1821.2</v>
      </c>
      <c r="D58" s="4">
        <f t="shared" si="3"/>
        <v>-3.0709457661397654E-2</v>
      </c>
      <c r="F58" s="88">
        <v>24717.7</v>
      </c>
      <c r="G58" s="4">
        <f t="shared" si="4"/>
        <v>-4.7171615693268887E-3</v>
      </c>
      <c r="L58" t="s">
        <v>219</v>
      </c>
      <c r="M58" s="88">
        <v>4215.8500000000004</v>
      </c>
      <c r="N58" s="4">
        <f t="shared" si="0"/>
        <v>-2.3882843250752406E-2</v>
      </c>
      <c r="T58" t="s">
        <v>219</v>
      </c>
      <c r="U58" s="88">
        <v>1603.91</v>
      </c>
      <c r="V58" s="4">
        <f t="shared" si="5"/>
        <v>-1.5933688369695997E-2</v>
      </c>
      <c r="AB58" s="85" t="s">
        <v>219</v>
      </c>
      <c r="AC58" s="88">
        <v>5509.9</v>
      </c>
      <c r="AD58" s="4">
        <f t="shared" si="6"/>
        <v>-4.8121690608021184E-2</v>
      </c>
      <c r="AJ58" t="s">
        <v>219</v>
      </c>
      <c r="AK58" s="88">
        <v>1507.7</v>
      </c>
      <c r="AL58" s="4">
        <f t="shared" si="1"/>
        <v>-2.1704571261720207E-2</v>
      </c>
      <c r="AR58" s="85" t="s">
        <v>219</v>
      </c>
      <c r="AS58" s="88">
        <v>251.07</v>
      </c>
      <c r="AT58" s="4">
        <f t="shared" si="2"/>
        <v>-4.3178353658536506E-2</v>
      </c>
    </row>
    <row r="59" spans="2:46">
      <c r="B59" s="86">
        <v>45390</v>
      </c>
      <c r="C59" s="83">
        <v>1770.75</v>
      </c>
      <c r="D59" s="4">
        <f t="shared" si="3"/>
        <v>-2.7701515484296113E-2</v>
      </c>
      <c r="F59" s="88">
        <v>24367.5</v>
      </c>
      <c r="G59" s="4">
        <f t="shared" si="4"/>
        <v>-1.4167984885325113E-2</v>
      </c>
      <c r="L59" s="84">
        <v>45390</v>
      </c>
      <c r="M59" s="88">
        <v>4162.3999999999996</v>
      </c>
      <c r="N59" s="4">
        <f t="shared" si="0"/>
        <v>-1.2678344817771192E-2</v>
      </c>
      <c r="T59" s="84">
        <v>45390</v>
      </c>
      <c r="U59" s="88">
        <v>1584.63</v>
      </c>
      <c r="V59" s="4">
        <f t="shared" si="5"/>
        <v>-1.2020624598637064E-2</v>
      </c>
      <c r="AB59" s="86">
        <v>45390</v>
      </c>
      <c r="AC59" s="88">
        <v>5373.55</v>
      </c>
      <c r="AD59" s="4">
        <f t="shared" si="6"/>
        <v>-2.4746365632769995E-2</v>
      </c>
      <c r="AJ59" s="84">
        <v>45390</v>
      </c>
      <c r="AK59" s="88">
        <v>1506.7</v>
      </c>
      <c r="AL59" s="4">
        <f t="shared" si="1"/>
        <v>-6.6326192213306268E-4</v>
      </c>
      <c r="AR59" s="86">
        <v>45390</v>
      </c>
      <c r="AS59" s="88">
        <v>245.65</v>
      </c>
      <c r="AT59" s="4">
        <f t="shared" si="2"/>
        <v>-2.1587605050384262E-2</v>
      </c>
    </row>
    <row r="60" spans="2:46">
      <c r="B60" s="86">
        <v>45604</v>
      </c>
      <c r="C60" s="83">
        <v>1858.95</v>
      </c>
      <c r="D60" s="4">
        <f t="shared" si="3"/>
        <v>4.9809402795425672E-2</v>
      </c>
      <c r="F60" s="88">
        <v>24541.15</v>
      </c>
      <c r="G60" s="4">
        <f t="shared" si="4"/>
        <v>7.1262952703396998E-3</v>
      </c>
      <c r="L60" s="84">
        <v>45604</v>
      </c>
      <c r="M60" s="88">
        <v>4346.76</v>
      </c>
      <c r="N60" s="4">
        <f t="shared" si="0"/>
        <v>4.4291754756871082E-2</v>
      </c>
      <c r="T60" s="84">
        <v>45604</v>
      </c>
      <c r="U60" s="88">
        <v>1662.67</v>
      </c>
      <c r="V60" s="4">
        <f t="shared" si="5"/>
        <v>4.9248089459368982E-2</v>
      </c>
      <c r="AB60" s="86">
        <v>45604</v>
      </c>
      <c r="AC60" s="88">
        <v>5563.75</v>
      </c>
      <c r="AD60" s="4">
        <f t="shared" si="6"/>
        <v>3.5395595090768728E-2</v>
      </c>
      <c r="AJ60" s="84">
        <v>45604</v>
      </c>
      <c r="AK60" s="88">
        <v>1585.3</v>
      </c>
      <c r="AL60" s="4">
        <f t="shared" si="1"/>
        <v>5.2166987456029768E-2</v>
      </c>
      <c r="AR60" s="86">
        <v>45604</v>
      </c>
      <c r="AS60" s="88">
        <v>258.13</v>
      </c>
      <c r="AT60" s="4">
        <f t="shared" si="2"/>
        <v>5.0803989415835415E-2</v>
      </c>
    </row>
    <row r="61" spans="2:46">
      <c r="B61" s="85" t="s">
        <v>220</v>
      </c>
      <c r="C61" s="83">
        <v>1862.1</v>
      </c>
      <c r="D61" s="4">
        <f t="shared" si="3"/>
        <v>1.6945049624788044E-3</v>
      </c>
      <c r="F61" s="88">
        <v>24823.15</v>
      </c>
      <c r="G61" s="4">
        <f t="shared" si="4"/>
        <v>1.1490904052988471E-2</v>
      </c>
      <c r="L61" t="s">
        <v>220</v>
      </c>
      <c r="M61" s="88">
        <v>4393.8599999999997</v>
      </c>
      <c r="N61" s="4">
        <f t="shared" si="0"/>
        <v>1.0835656903072532E-2</v>
      </c>
      <c r="T61" t="s">
        <v>220</v>
      </c>
      <c r="U61" s="88">
        <v>1655.89</v>
      </c>
      <c r="V61" s="4">
        <f t="shared" si="5"/>
        <v>-4.0777785128738309E-3</v>
      </c>
      <c r="AB61" s="85" t="s">
        <v>220</v>
      </c>
      <c r="AC61" s="88">
        <v>5641.6</v>
      </c>
      <c r="AD61" s="4">
        <f t="shared" si="6"/>
        <v>1.3992361267131104E-2</v>
      </c>
      <c r="AJ61" t="s">
        <v>220</v>
      </c>
      <c r="AK61" s="88">
        <v>1598.4</v>
      </c>
      <c r="AL61" s="4">
        <f t="shared" si="1"/>
        <v>8.2634201728379875E-3</v>
      </c>
      <c r="AR61" s="85" t="s">
        <v>220</v>
      </c>
      <c r="AS61" s="88">
        <v>256.2</v>
      </c>
      <c r="AT61" s="4">
        <f t="shared" si="2"/>
        <v>-7.4768527486150926E-3</v>
      </c>
    </row>
    <row r="62" spans="2:46">
      <c r="B62" s="85" t="s">
        <v>221</v>
      </c>
      <c r="C62" s="83">
        <v>1943.7</v>
      </c>
      <c r="D62" s="4">
        <f t="shared" si="3"/>
        <v>4.3821491864024509E-2</v>
      </c>
      <c r="F62" s="88">
        <v>25235.9</v>
      </c>
      <c r="G62" s="4">
        <f t="shared" si="4"/>
        <v>1.6627623810837822E-2</v>
      </c>
      <c r="L62" t="s">
        <v>221</v>
      </c>
      <c r="M62" s="88">
        <v>4482.3</v>
      </c>
      <c r="N62" s="4">
        <f t="shared" si="0"/>
        <v>2.0128087831656094E-2</v>
      </c>
      <c r="T62" t="s">
        <v>221</v>
      </c>
      <c r="U62" s="88">
        <v>1747.38</v>
      </c>
      <c r="V62" s="4">
        <f t="shared" si="5"/>
        <v>5.5251254612323386E-2</v>
      </c>
      <c r="AB62" s="85" t="s">
        <v>221</v>
      </c>
      <c r="AC62" s="88">
        <v>6156.05</v>
      </c>
      <c r="AD62" s="4">
        <f t="shared" si="6"/>
        <v>9.118866988088481E-2</v>
      </c>
      <c r="AJ62" t="s">
        <v>221</v>
      </c>
      <c r="AK62" s="88">
        <v>1636.5</v>
      </c>
      <c r="AL62" s="4">
        <f t="shared" si="1"/>
        <v>2.3836336336336306E-2</v>
      </c>
      <c r="AR62" s="85" t="s">
        <v>221</v>
      </c>
      <c r="AS62" s="88">
        <v>269.2</v>
      </c>
      <c r="AT62" s="4">
        <f t="shared" si="2"/>
        <v>5.0741608118657355E-2</v>
      </c>
    </row>
    <row r="63" spans="2:46">
      <c r="B63" s="86">
        <v>45300</v>
      </c>
      <c r="C63" s="83">
        <v>1901.85</v>
      </c>
      <c r="D63" s="4">
        <f t="shared" si="3"/>
        <v>-2.1531100478468956E-2</v>
      </c>
      <c r="F63" s="88">
        <v>24852.15</v>
      </c>
      <c r="G63" s="4">
        <f t="shared" si="4"/>
        <v>-1.5206511358818231E-2</v>
      </c>
      <c r="L63" s="84">
        <v>45300</v>
      </c>
      <c r="M63" s="88">
        <v>4386.82</v>
      </c>
      <c r="N63" s="4">
        <f t="shared" si="0"/>
        <v>-2.1301563929232881E-2</v>
      </c>
      <c r="T63" s="84">
        <v>45300</v>
      </c>
      <c r="U63" s="88">
        <v>1750.22</v>
      </c>
      <c r="V63" s="4">
        <f t="shared" si="5"/>
        <v>1.6252904348224018E-3</v>
      </c>
      <c r="AB63" s="86">
        <v>45300</v>
      </c>
      <c r="AC63" s="88">
        <v>6165.4</v>
      </c>
      <c r="AD63" s="4">
        <f t="shared" si="6"/>
        <v>1.518831068623383E-3</v>
      </c>
      <c r="AJ63" s="84">
        <v>45300</v>
      </c>
      <c r="AK63" s="88">
        <v>1623.25</v>
      </c>
      <c r="AL63" s="4">
        <f t="shared" si="1"/>
        <v>-8.0965475099297191E-3</v>
      </c>
      <c r="AR63" s="86">
        <v>45300</v>
      </c>
      <c r="AS63" s="88">
        <v>260.3</v>
      </c>
      <c r="AT63" s="4">
        <f t="shared" si="2"/>
        <v>-3.3060921248142527E-2</v>
      </c>
    </row>
    <row r="64" spans="2:46">
      <c r="B64" s="86">
        <v>45513</v>
      </c>
      <c r="C64" s="83">
        <v>1944.1</v>
      </c>
      <c r="D64" s="4">
        <f t="shared" si="3"/>
        <v>2.2215211504587717E-2</v>
      </c>
      <c r="F64" s="88">
        <v>25356.5</v>
      </c>
      <c r="G64" s="4">
        <f t="shared" si="4"/>
        <v>2.0294018827344829E-2</v>
      </c>
      <c r="L64" s="84">
        <v>45513</v>
      </c>
      <c r="M64" s="88">
        <v>4451.6400000000003</v>
      </c>
      <c r="N64" s="4">
        <f t="shared" si="0"/>
        <v>1.4776079255588437E-2</v>
      </c>
      <c r="T64" s="84">
        <v>45513</v>
      </c>
      <c r="U64" s="88">
        <v>1806.73</v>
      </c>
      <c r="V64" s="4">
        <f t="shared" si="5"/>
        <v>3.2287369587823189E-2</v>
      </c>
      <c r="AB64" s="86">
        <v>45513</v>
      </c>
      <c r="AC64" s="88">
        <v>6416.2</v>
      </c>
      <c r="AD64" s="4">
        <f t="shared" si="6"/>
        <v>4.0678625879910557E-2</v>
      </c>
      <c r="AJ64" s="84">
        <v>45513</v>
      </c>
      <c r="AK64" s="88">
        <v>1656.05</v>
      </c>
      <c r="AL64" s="4">
        <f t="shared" si="1"/>
        <v>2.0206376097335665E-2</v>
      </c>
      <c r="AR64" s="86">
        <v>45513</v>
      </c>
      <c r="AS64" s="88">
        <v>275.3</v>
      </c>
      <c r="AT64" s="4">
        <f t="shared" si="2"/>
        <v>5.7625816365731941E-2</v>
      </c>
    </row>
    <row r="65" spans="2:46">
      <c r="B65" s="85" t="s">
        <v>222</v>
      </c>
      <c r="C65" s="83">
        <v>1905.75</v>
      </c>
      <c r="D65" s="4">
        <f t="shared" si="3"/>
        <v>-1.972635152512725E-2</v>
      </c>
      <c r="F65" s="88">
        <v>25790.95</v>
      </c>
      <c r="G65" s="4">
        <f t="shared" si="4"/>
        <v>1.7133673811448702E-2</v>
      </c>
      <c r="L65" t="s">
        <v>222</v>
      </c>
      <c r="M65" s="88">
        <v>4217.67</v>
      </c>
      <c r="N65" s="4">
        <f t="shared" si="0"/>
        <v>-5.2558158341644901E-2</v>
      </c>
      <c r="T65" t="s">
        <v>222</v>
      </c>
      <c r="U65" s="88">
        <v>1754.16</v>
      </c>
      <c r="V65" s="4">
        <f t="shared" si="5"/>
        <v>-2.909676598052835E-2</v>
      </c>
      <c r="AB65" s="85" t="s">
        <v>222</v>
      </c>
      <c r="AC65" s="88">
        <v>6373.1</v>
      </c>
      <c r="AD65" s="4">
        <f t="shared" si="6"/>
        <v>-6.7173716530032346E-3</v>
      </c>
      <c r="AJ65" t="s">
        <v>222</v>
      </c>
      <c r="AK65" s="88">
        <v>1622.05</v>
      </c>
      <c r="AL65" s="4">
        <f t="shared" si="1"/>
        <v>-2.0530781075450588E-2</v>
      </c>
      <c r="AR65" s="85" t="s">
        <v>222</v>
      </c>
      <c r="AS65" s="88">
        <v>269.55</v>
      </c>
      <c r="AT65" s="4">
        <f t="shared" si="2"/>
        <v>-2.0886305848165643E-2</v>
      </c>
    </row>
    <row r="66" spans="2:46">
      <c r="B66" s="85" t="s">
        <v>223</v>
      </c>
      <c r="C66" s="83">
        <v>1906.75</v>
      </c>
      <c r="D66" s="4">
        <f t="shared" si="3"/>
        <v>5.2472779745516007E-4</v>
      </c>
      <c r="F66" s="88">
        <v>26178.95</v>
      </c>
      <c r="G66" s="4">
        <f t="shared" si="4"/>
        <v>1.5044036764834123E-2</v>
      </c>
      <c r="L66" t="s">
        <v>223</v>
      </c>
      <c r="M66" s="88">
        <v>4241.09</v>
      </c>
      <c r="N66" s="4">
        <f t="shared" si="0"/>
        <v>5.5528289316140178E-3</v>
      </c>
      <c r="T66" t="s">
        <v>223</v>
      </c>
      <c r="U66" s="88">
        <v>1802.34</v>
      </c>
      <c r="V66" s="4">
        <f t="shared" si="5"/>
        <v>2.7466137638527677E-2</v>
      </c>
      <c r="AB66" s="85" t="s">
        <v>223</v>
      </c>
      <c r="AC66" s="88">
        <v>6136.1</v>
      </c>
      <c r="AD66" s="4">
        <f t="shared" si="6"/>
        <v>-3.7187553937644169E-2</v>
      </c>
      <c r="AJ66" t="s">
        <v>223</v>
      </c>
      <c r="AK66" s="88">
        <v>1609.25</v>
      </c>
      <c r="AL66" s="4">
        <f t="shared" si="1"/>
        <v>-7.8912487284609201E-3</v>
      </c>
      <c r="AR66" s="85" t="s">
        <v>223</v>
      </c>
      <c r="AS66" s="88">
        <v>270.89999999999998</v>
      </c>
      <c r="AT66" s="4">
        <f t="shared" si="2"/>
        <v>5.008347245408995E-3</v>
      </c>
    </row>
    <row r="67" spans="2:46">
      <c r="B67" s="85" t="s">
        <v>224</v>
      </c>
      <c r="C67" s="83">
        <v>1918.15</v>
      </c>
      <c r="D67" s="4">
        <f t="shared" si="3"/>
        <v>5.9787596695948242E-3</v>
      </c>
      <c r="F67" s="88">
        <v>25014.6</v>
      </c>
      <c r="G67" s="4">
        <f t="shared" si="4"/>
        <v>-4.4476573735768743E-2</v>
      </c>
      <c r="L67" t="s">
        <v>224</v>
      </c>
      <c r="M67" s="88">
        <v>4185.53</v>
      </c>
      <c r="N67" s="4">
        <f t="shared" si="0"/>
        <v>-1.310040579190741E-2</v>
      </c>
      <c r="T67" t="s">
        <v>224</v>
      </c>
      <c r="U67" s="88">
        <v>1770.65</v>
      </c>
      <c r="V67" s="4">
        <f t="shared" si="5"/>
        <v>-1.7582698048092982E-2</v>
      </c>
      <c r="AB67" s="85" t="s">
        <v>224</v>
      </c>
      <c r="AC67" s="88">
        <v>6114.1</v>
      </c>
      <c r="AD67" s="4">
        <f t="shared" si="6"/>
        <v>-3.5853392219813429E-3</v>
      </c>
      <c r="AJ67" t="s">
        <v>224</v>
      </c>
      <c r="AK67" s="88">
        <v>1616.45</v>
      </c>
      <c r="AL67" s="4">
        <f t="shared" si="1"/>
        <v>4.4741339133136382E-3</v>
      </c>
      <c r="AR67" s="85" t="s">
        <v>224</v>
      </c>
      <c r="AS67" s="88">
        <v>266.77</v>
      </c>
      <c r="AT67" s="4">
        <f t="shared" si="2"/>
        <v>-1.5245478036175708E-2</v>
      </c>
    </row>
    <row r="68" spans="2:46">
      <c r="B68" s="86">
        <v>45453</v>
      </c>
      <c r="C68" s="83">
        <v>1935.1</v>
      </c>
      <c r="D68" s="4">
        <f t="shared" si="3"/>
        <v>8.8366394703229822E-3</v>
      </c>
      <c r="F68" s="88">
        <v>24964.25</v>
      </c>
      <c r="G68" s="4">
        <f t="shared" si="4"/>
        <v>-2.0128245104857889E-3</v>
      </c>
      <c r="L68" s="84">
        <v>45453</v>
      </c>
      <c r="M68" s="88">
        <v>4084.09</v>
      </c>
      <c r="N68" s="4">
        <f t="shared" si="0"/>
        <v>-2.4235879327110244E-2</v>
      </c>
      <c r="T68" s="84">
        <v>45453</v>
      </c>
      <c r="U68" s="88">
        <v>1833.49</v>
      </c>
      <c r="V68" s="4">
        <f t="shared" si="5"/>
        <v>3.5489791884336208E-2</v>
      </c>
      <c r="AB68" s="86">
        <v>45453</v>
      </c>
      <c r="AC68" s="88">
        <v>6410.95</v>
      </c>
      <c r="AD68" s="4">
        <f t="shared" si="6"/>
        <v>4.8551708346281419E-2</v>
      </c>
      <c r="AJ68" s="84">
        <v>45453</v>
      </c>
      <c r="AK68" s="88">
        <v>1647.05</v>
      </c>
      <c r="AL68" s="4">
        <f t="shared" si="1"/>
        <v>1.8930372111726212E-2</v>
      </c>
      <c r="AR68" s="86">
        <v>45453</v>
      </c>
      <c r="AS68" s="88">
        <v>264.14999999999998</v>
      </c>
      <c r="AT68" s="4">
        <f t="shared" si="2"/>
        <v>-9.8211942872137303E-3</v>
      </c>
    </row>
    <row r="69" spans="2:46">
      <c r="B69" s="85" t="s">
        <v>225</v>
      </c>
      <c r="C69" s="83">
        <v>1879.6</v>
      </c>
      <c r="D69" s="4">
        <f t="shared" si="3"/>
        <v>-2.8680688336520044E-2</v>
      </c>
      <c r="F69" s="88">
        <v>24854.05</v>
      </c>
      <c r="G69" s="4">
        <f t="shared" si="4"/>
        <v>-4.4143124668275524E-3</v>
      </c>
      <c r="L69" t="s">
        <v>225</v>
      </c>
      <c r="M69" s="88">
        <v>4058.35</v>
      </c>
      <c r="N69" s="4">
        <f t="shared" si="0"/>
        <v>-6.3025055765176807E-3</v>
      </c>
      <c r="T69" t="s">
        <v>225</v>
      </c>
      <c r="U69" s="88">
        <v>1851.48</v>
      </c>
      <c r="V69" s="4">
        <f t="shared" si="5"/>
        <v>9.8118888022296069E-3</v>
      </c>
      <c r="AB69" s="85" t="s">
        <v>225</v>
      </c>
      <c r="AC69" s="88">
        <v>5991.7</v>
      </c>
      <c r="AD69" s="4">
        <f t="shared" si="6"/>
        <v>-6.5395924161005814E-2</v>
      </c>
      <c r="AJ69" t="s">
        <v>225</v>
      </c>
      <c r="AK69" s="88">
        <v>1687.9</v>
      </c>
      <c r="AL69" s="4">
        <f t="shared" si="1"/>
        <v>2.4801918581706772E-2</v>
      </c>
      <c r="AR69" s="85" t="s">
        <v>225</v>
      </c>
      <c r="AS69" s="88">
        <v>274.33</v>
      </c>
      <c r="AT69" s="4">
        <f t="shared" si="2"/>
        <v>3.8538709066818111E-2</v>
      </c>
    </row>
    <row r="70" spans="2:46">
      <c r="B70" s="85" t="s">
        <v>226</v>
      </c>
      <c r="C70" s="83">
        <v>1862.05</v>
      </c>
      <c r="D70" s="4">
        <f t="shared" si="3"/>
        <v>-9.3370929985102658E-3</v>
      </c>
      <c r="F70" s="88">
        <v>24180.799999999999</v>
      </c>
      <c r="G70" s="4">
        <f t="shared" si="4"/>
        <v>-2.7088140564616281E-2</v>
      </c>
      <c r="L70" t="s">
        <v>226</v>
      </c>
      <c r="M70" s="88">
        <v>3993.88</v>
      </c>
      <c r="N70" s="4">
        <f t="shared" si="0"/>
        <v>-1.5885766382889521E-2</v>
      </c>
      <c r="T70" t="s">
        <v>226</v>
      </c>
      <c r="U70" s="88">
        <v>1846.15</v>
      </c>
      <c r="V70" s="4">
        <f t="shared" si="5"/>
        <v>-2.8787780586341238E-3</v>
      </c>
      <c r="AB70" s="85" t="s">
        <v>226</v>
      </c>
      <c r="AC70" s="88">
        <v>5903.2</v>
      </c>
      <c r="AD70" s="4">
        <f t="shared" si="6"/>
        <v>-1.4770432431530311E-2</v>
      </c>
      <c r="AJ70" t="s">
        <v>226</v>
      </c>
      <c r="AK70" s="88">
        <v>1716.45</v>
      </c>
      <c r="AL70" s="4">
        <f t="shared" si="1"/>
        <v>1.6914509153385771E-2</v>
      </c>
      <c r="AR70" s="85" t="s">
        <v>226</v>
      </c>
      <c r="AS70" s="88">
        <v>271.73</v>
      </c>
      <c r="AT70" s="4">
        <f t="shared" si="2"/>
        <v>-9.4776364232856958E-3</v>
      </c>
    </row>
    <row r="71" spans="2:46">
      <c r="B71" s="85" t="s">
        <v>227</v>
      </c>
      <c r="C71" s="83">
        <v>1760.85</v>
      </c>
      <c r="D71" s="4">
        <f t="shared" si="3"/>
        <v>-5.4348701699739599E-2</v>
      </c>
      <c r="F71" s="88">
        <v>24304.35</v>
      </c>
      <c r="G71" s="4">
        <f t="shared" si="4"/>
        <v>5.1094256600276999E-3</v>
      </c>
      <c r="L71" t="s">
        <v>227</v>
      </c>
      <c r="M71" s="88">
        <v>3921.68</v>
      </c>
      <c r="N71" s="4">
        <f t="shared" si="0"/>
        <v>-1.8077658817991615E-2</v>
      </c>
      <c r="T71" t="s">
        <v>227</v>
      </c>
      <c r="U71" s="88">
        <v>1751.52</v>
      </c>
      <c r="V71" s="4">
        <f t="shared" si="5"/>
        <v>-5.1258023454215595E-2</v>
      </c>
      <c r="AB71" s="85" t="s">
        <v>227</v>
      </c>
      <c r="AC71" s="88">
        <v>5731.6</v>
      </c>
      <c r="AD71" s="4">
        <f t="shared" si="6"/>
        <v>-2.9068979536522432E-2</v>
      </c>
      <c r="AJ71" t="s">
        <v>227</v>
      </c>
      <c r="AK71" s="88">
        <v>1603.65</v>
      </c>
      <c r="AL71" s="4">
        <f t="shared" si="1"/>
        <v>-6.5717032246788376E-2</v>
      </c>
      <c r="AR71" s="85" t="s">
        <v>227</v>
      </c>
      <c r="AS71" s="88">
        <v>275.67</v>
      </c>
      <c r="AT71" s="4">
        <f t="shared" si="2"/>
        <v>1.4499687189489574E-2</v>
      </c>
    </row>
    <row r="72" spans="2:46">
      <c r="B72" s="86">
        <v>45362</v>
      </c>
      <c r="C72" s="83">
        <v>1829.95</v>
      </c>
      <c r="D72" s="4">
        <f t="shared" si="3"/>
        <v>3.9242411335434602E-2</v>
      </c>
      <c r="F72" s="88">
        <v>24148.2</v>
      </c>
      <c r="G72" s="4">
        <f t="shared" si="4"/>
        <v>-6.4247758117372822E-3</v>
      </c>
      <c r="L72" s="84">
        <v>45362</v>
      </c>
      <c r="M72" s="88">
        <v>4081.93</v>
      </c>
      <c r="N72" s="4">
        <f t="shared" si="0"/>
        <v>4.0862589502458135E-2</v>
      </c>
      <c r="T72" s="84">
        <v>45362</v>
      </c>
      <c r="U72" s="88">
        <v>1831.35</v>
      </c>
      <c r="V72" s="4">
        <f t="shared" si="5"/>
        <v>4.557755549465603E-2</v>
      </c>
      <c r="AB72" s="86">
        <v>45362</v>
      </c>
      <c r="AC72" s="88">
        <v>5926.95</v>
      </c>
      <c r="AD72" s="4">
        <f t="shared" si="6"/>
        <v>3.4082978574917933E-2</v>
      </c>
      <c r="AJ72" s="84">
        <v>45362</v>
      </c>
      <c r="AK72" s="88">
        <v>1681.35</v>
      </c>
      <c r="AL72" s="4">
        <f t="shared" si="1"/>
        <v>4.845196894584225E-2</v>
      </c>
      <c r="AR72" s="86">
        <v>45362</v>
      </c>
      <c r="AS72" s="88">
        <v>284.5</v>
      </c>
      <c r="AT72" s="4">
        <f t="shared" si="2"/>
        <v>3.2031051619690221E-2</v>
      </c>
    </row>
    <row r="73" spans="2:46">
      <c r="B73" s="86">
        <v>45576</v>
      </c>
      <c r="C73" s="83">
        <v>1864.55</v>
      </c>
      <c r="D73" s="4">
        <f t="shared" si="3"/>
        <v>1.8907620426787508E-2</v>
      </c>
      <c r="F73" s="88">
        <v>23532.7</v>
      </c>
      <c r="G73" s="4">
        <f t="shared" si="4"/>
        <v>-2.5488442202731498E-2</v>
      </c>
      <c r="L73" s="84">
        <v>45576</v>
      </c>
      <c r="M73" s="88">
        <v>4080.85</v>
      </c>
      <c r="N73" s="4">
        <f t="shared" si="0"/>
        <v>-2.645807252941168E-4</v>
      </c>
      <c r="T73" s="84">
        <v>45576</v>
      </c>
      <c r="U73" s="88">
        <v>1852.73</v>
      </c>
      <c r="V73" s="4">
        <f t="shared" si="5"/>
        <v>1.1674447811723665E-2</v>
      </c>
      <c r="AB73" s="86">
        <v>45576</v>
      </c>
      <c r="AC73" s="88">
        <v>5994.65</v>
      </c>
      <c r="AD73" s="4">
        <f t="shared" si="6"/>
        <v>1.1422401066315757E-2</v>
      </c>
      <c r="AJ73" s="84">
        <v>45576</v>
      </c>
      <c r="AK73" s="88">
        <v>1687.5</v>
      </c>
      <c r="AL73" s="4">
        <f t="shared" si="1"/>
        <v>3.6577750022304123E-3</v>
      </c>
      <c r="AR73" s="86">
        <v>45576</v>
      </c>
      <c r="AS73" s="88">
        <v>283.35000000000002</v>
      </c>
      <c r="AT73" s="4">
        <f t="shared" si="2"/>
        <v>-4.0421792618627883E-3</v>
      </c>
    </row>
    <row r="74" spans="2:46">
      <c r="B74" s="85" t="s">
        <v>228</v>
      </c>
      <c r="C74" s="83">
        <v>1902.25</v>
      </c>
      <c r="D74" s="4">
        <f t="shared" si="3"/>
        <v>2.0219355876753164E-2</v>
      </c>
      <c r="F74" s="88">
        <v>23907.25</v>
      </c>
      <c r="G74" s="4">
        <f t="shared" si="4"/>
        <v>1.5916150717937061E-2</v>
      </c>
      <c r="L74" t="s">
        <v>228</v>
      </c>
      <c r="M74" s="88">
        <v>4178</v>
      </c>
      <c r="N74" s="4">
        <f t="shared" si="0"/>
        <v>2.38063148608747E-2</v>
      </c>
      <c r="T74" t="s">
        <v>228</v>
      </c>
      <c r="U74" s="88">
        <v>1892.04</v>
      </c>
      <c r="V74" s="4">
        <f t="shared" si="5"/>
        <v>2.1217338737970382E-2</v>
      </c>
      <c r="AB74" s="85" t="s">
        <v>228</v>
      </c>
      <c r="AC74" s="88">
        <v>6133.7</v>
      </c>
      <c r="AD74" s="4">
        <f t="shared" si="6"/>
        <v>2.3195682817178653E-2</v>
      </c>
      <c r="AJ74" t="s">
        <v>228</v>
      </c>
      <c r="AK74" s="88">
        <v>1747.45</v>
      </c>
      <c r="AL74" s="4">
        <f t="shared" si="1"/>
        <v>3.5525925925925961E-2</v>
      </c>
      <c r="AR74" s="85" t="s">
        <v>228</v>
      </c>
      <c r="AS74" s="88">
        <v>285.83</v>
      </c>
      <c r="AT74" s="4">
        <f t="shared" si="2"/>
        <v>8.7524263278628833E-3</v>
      </c>
    </row>
    <row r="75" spans="2:46">
      <c r="B75" s="85" t="s">
        <v>229</v>
      </c>
      <c r="C75" s="83">
        <v>1857.85</v>
      </c>
      <c r="D75" s="4">
        <f t="shared" si="3"/>
        <v>-2.3340780654488191E-2</v>
      </c>
      <c r="F75" s="88">
        <v>24131.1</v>
      </c>
      <c r="G75" s="4">
        <f t="shared" si="4"/>
        <v>9.3632684645870157E-3</v>
      </c>
      <c r="L75" t="s">
        <v>229</v>
      </c>
      <c r="M75" s="88">
        <v>4203.84</v>
      </c>
      <c r="N75" s="4">
        <f t="shared" si="0"/>
        <v>6.184777405457087E-3</v>
      </c>
      <c r="T75" t="s">
        <v>229</v>
      </c>
      <c r="U75" s="88">
        <v>1841.86</v>
      </c>
      <c r="V75" s="4">
        <f t="shared" si="5"/>
        <v>-2.6521638020337912E-2</v>
      </c>
      <c r="AB75" s="85" t="s">
        <v>229</v>
      </c>
      <c r="AC75" s="88">
        <v>6172.4</v>
      </c>
      <c r="AD75" s="4">
        <f t="shared" si="6"/>
        <v>6.3094054159804625E-3</v>
      </c>
      <c r="AJ75" t="s">
        <v>229</v>
      </c>
      <c r="AK75" s="88">
        <v>1712.3</v>
      </c>
      <c r="AL75" s="4">
        <f t="shared" si="1"/>
        <v>-2.0115024750350541E-2</v>
      </c>
      <c r="AR75" s="85" t="s">
        <v>229</v>
      </c>
      <c r="AS75" s="88">
        <v>288.92</v>
      </c>
      <c r="AT75" s="4">
        <f t="shared" si="2"/>
        <v>1.0810621698212231E-2</v>
      </c>
    </row>
    <row r="76" spans="2:46">
      <c r="B76" s="86">
        <v>45303</v>
      </c>
      <c r="C76" s="83">
        <v>1922.4</v>
      </c>
      <c r="D76" s="4">
        <f t="shared" si="3"/>
        <v>3.4744462685362132E-2</v>
      </c>
      <c r="F76" s="88">
        <v>24677.8</v>
      </c>
      <c r="G76" s="4">
        <f t="shared" si="4"/>
        <v>2.2655411481449228E-2</v>
      </c>
      <c r="L76" s="84">
        <v>45303</v>
      </c>
      <c r="M76" s="88">
        <v>4375.75</v>
      </c>
      <c r="N76" s="4">
        <f t="shared" ref="N76:N114" si="7">M76/M75-1</f>
        <v>4.0893563979599534E-2</v>
      </c>
      <c r="T76" s="84">
        <v>45303</v>
      </c>
      <c r="U76" s="88">
        <v>1916.26</v>
      </c>
      <c r="V76" s="4">
        <f t="shared" si="5"/>
        <v>4.0393949594431877E-2</v>
      </c>
      <c r="AB76" s="86">
        <v>45303</v>
      </c>
      <c r="AC76" s="88">
        <v>6378.9</v>
      </c>
      <c r="AD76" s="4">
        <f t="shared" si="6"/>
        <v>3.3455382023199975E-2</v>
      </c>
      <c r="AJ76" s="84">
        <v>45303</v>
      </c>
      <c r="AK76" s="88">
        <v>1782.8</v>
      </c>
      <c r="AL76" s="4">
        <f t="shared" ref="AL76:AL114" si="8">AK76/AK75-1</f>
        <v>4.117269170122051E-2</v>
      </c>
      <c r="AR76" s="86">
        <v>45303</v>
      </c>
      <c r="AS76" s="88">
        <v>297.35000000000002</v>
      </c>
      <c r="AT76" s="4">
        <f t="shared" ref="AT76:AT114" si="9">AS76/AS75-1</f>
        <v>2.9177627024781883E-2</v>
      </c>
    </row>
    <row r="77" spans="2:46">
      <c r="B77" s="86">
        <v>45516</v>
      </c>
      <c r="C77" s="83">
        <v>1999.7</v>
      </c>
      <c r="D77" s="4">
        <f t="shared" ref="D77:D114" si="10">C77/C76-1</f>
        <v>4.0210153974198803E-2</v>
      </c>
      <c r="F77" s="88">
        <v>24768.3</v>
      </c>
      <c r="G77" s="4">
        <f t="shared" ref="G77:G114" si="11">F77/F76-1</f>
        <v>3.6672636944945491E-3</v>
      </c>
      <c r="L77" s="84">
        <v>45516</v>
      </c>
      <c r="M77" s="88">
        <v>4403.7</v>
      </c>
      <c r="N77" s="4">
        <f t="shared" si="7"/>
        <v>6.3874764326115052E-3</v>
      </c>
      <c r="T77" s="84">
        <v>45516</v>
      </c>
      <c r="U77" s="88">
        <v>1962.21</v>
      </c>
      <c r="V77" s="4">
        <f t="shared" ref="V77:V114" si="12">U77/U76-1</f>
        <v>2.3979000761900737E-2</v>
      </c>
      <c r="AB77" s="86">
        <v>45516</v>
      </c>
      <c r="AC77" s="88">
        <v>6714.45</v>
      </c>
      <c r="AD77" s="4">
        <f t="shared" ref="AD77:AD114" si="13">AC77/AC76-1</f>
        <v>5.2603113389456002E-2</v>
      </c>
      <c r="AJ77" s="84">
        <v>45516</v>
      </c>
      <c r="AK77" s="88">
        <v>1796.4</v>
      </c>
      <c r="AL77" s="4">
        <f t="shared" si="8"/>
        <v>7.6284496297958082E-3</v>
      </c>
      <c r="AR77" s="86">
        <v>45516</v>
      </c>
      <c r="AS77" s="88">
        <v>309.95</v>
      </c>
      <c r="AT77" s="4">
        <f t="shared" si="9"/>
        <v>4.2374306372961135E-2</v>
      </c>
    </row>
    <row r="78" spans="2:46">
      <c r="B78" s="85" t="s">
        <v>230</v>
      </c>
      <c r="C78" s="83">
        <v>1922.15</v>
      </c>
      <c r="D78" s="4">
        <f t="shared" si="10"/>
        <v>-3.8780817122568312E-2</v>
      </c>
      <c r="F78" s="88">
        <v>23587.5</v>
      </c>
      <c r="G78" s="4">
        <f t="shared" si="11"/>
        <v>-4.7673841159869612E-2</v>
      </c>
      <c r="L78" t="s">
        <v>230</v>
      </c>
      <c r="M78" s="88">
        <v>4104.8599999999997</v>
      </c>
      <c r="N78" s="4">
        <f t="shared" si="7"/>
        <v>-6.7861116788155429E-2</v>
      </c>
      <c r="T78" t="s">
        <v>230</v>
      </c>
      <c r="U78" s="88">
        <v>1904.95</v>
      </c>
      <c r="V78" s="4">
        <f t="shared" si="12"/>
        <v>-2.9181382216990071E-2</v>
      </c>
      <c r="AB78" s="85" t="s">
        <v>230</v>
      </c>
      <c r="AC78" s="88">
        <v>5824.3</v>
      </c>
      <c r="AD78" s="4">
        <f t="shared" si="13"/>
        <v>-0.13257228812486499</v>
      </c>
      <c r="AJ78" t="s">
        <v>230</v>
      </c>
      <c r="AK78" s="88">
        <v>1686.05</v>
      </c>
      <c r="AL78" s="4">
        <f t="shared" si="8"/>
        <v>-6.1428412380316266E-2</v>
      </c>
      <c r="AR78" s="85" t="s">
        <v>230</v>
      </c>
      <c r="AS78" s="88">
        <v>305.2</v>
      </c>
      <c r="AT78" s="4">
        <f t="shared" si="9"/>
        <v>-1.5325052427810903E-2</v>
      </c>
    </row>
    <row r="79" spans="2:46">
      <c r="B79" s="85" t="s">
        <v>231</v>
      </c>
      <c r="C79" s="83">
        <v>1916.75</v>
      </c>
      <c r="D79" s="4">
        <f t="shared" si="10"/>
        <v>-2.8093541086804397E-3</v>
      </c>
      <c r="F79" s="88">
        <v>23813.4</v>
      </c>
      <c r="G79" s="4">
        <f t="shared" si="11"/>
        <v>9.5771065182830295E-3</v>
      </c>
      <c r="L79" t="s">
        <v>231</v>
      </c>
      <c r="M79" s="88">
        <v>4099.5</v>
      </c>
      <c r="N79" s="4">
        <f t="shared" si="7"/>
        <v>-1.3057692588783754E-3</v>
      </c>
      <c r="T79" t="s">
        <v>231</v>
      </c>
      <c r="U79" s="88">
        <v>1885.67</v>
      </c>
      <c r="V79" s="4">
        <f t="shared" si="12"/>
        <v>-1.012100055119558E-2</v>
      </c>
      <c r="AB79" s="85" t="s">
        <v>231</v>
      </c>
      <c r="AC79" s="88">
        <v>5678</v>
      </c>
      <c r="AD79" s="4">
        <f t="shared" si="13"/>
        <v>-2.5118898408392432E-2</v>
      </c>
      <c r="AJ79" t="s">
        <v>231</v>
      </c>
      <c r="AK79" s="88">
        <v>1711.65</v>
      </c>
      <c r="AL79" s="4">
        <f t="shared" si="8"/>
        <v>1.5183416861896282E-2</v>
      </c>
      <c r="AR79" s="85" t="s">
        <v>231</v>
      </c>
      <c r="AS79" s="88">
        <v>309.10000000000002</v>
      </c>
      <c r="AT79" s="4">
        <f t="shared" si="9"/>
        <v>1.2778505897772074E-2</v>
      </c>
    </row>
    <row r="80" spans="2:46">
      <c r="B80" s="85" t="s">
        <v>232</v>
      </c>
      <c r="C80" s="83">
        <v>1938.75</v>
      </c>
      <c r="D80" s="4">
        <f t="shared" si="10"/>
        <v>1.1477761836441891E-2</v>
      </c>
      <c r="F80" s="88">
        <v>24004.75</v>
      </c>
      <c r="G80" s="4">
        <f t="shared" si="11"/>
        <v>8.035391838208783E-3</v>
      </c>
      <c r="L80" t="s">
        <v>232</v>
      </c>
      <c r="M80" s="88">
        <v>4035.57</v>
      </c>
      <c r="N80" s="4">
        <f t="shared" si="7"/>
        <v>-1.5594584705451831E-2</v>
      </c>
      <c r="T80" t="s">
        <v>232</v>
      </c>
      <c r="U80" s="88">
        <v>1940.13</v>
      </c>
      <c r="V80" s="4">
        <f t="shared" si="12"/>
        <v>2.8880981295772878E-2</v>
      </c>
      <c r="AB80" s="85" t="s">
        <v>232</v>
      </c>
      <c r="AC80" s="88">
        <v>5733.4</v>
      </c>
      <c r="AD80" s="4">
        <f t="shared" si="13"/>
        <v>9.7569566748854086E-3</v>
      </c>
      <c r="AJ80" t="s">
        <v>232</v>
      </c>
      <c r="AK80" s="88">
        <v>1689.45</v>
      </c>
      <c r="AL80" s="4">
        <f t="shared" si="8"/>
        <v>-1.2969941284725284E-2</v>
      </c>
      <c r="AR80" s="85" t="s">
        <v>232</v>
      </c>
      <c r="AS80" s="88">
        <v>294.45</v>
      </c>
      <c r="AT80" s="4">
        <f t="shared" si="9"/>
        <v>-4.7395664833387308E-2</v>
      </c>
    </row>
    <row r="81" spans="2:46">
      <c r="B81" s="86">
        <v>45778</v>
      </c>
      <c r="C81" s="83">
        <v>1966.95</v>
      </c>
      <c r="D81" s="4">
        <f t="shared" si="10"/>
        <v>1.4545454545454639E-2</v>
      </c>
      <c r="F81" s="88">
        <v>23431.5</v>
      </c>
      <c r="G81" s="4">
        <f t="shared" si="11"/>
        <v>-2.3880690280048689E-2</v>
      </c>
      <c r="L81" s="84">
        <v>45778</v>
      </c>
      <c r="M81" s="88">
        <v>4198.72</v>
      </c>
      <c r="N81" s="4">
        <f t="shared" si="7"/>
        <v>4.0427994062796513E-2</v>
      </c>
      <c r="T81" s="84">
        <v>45778</v>
      </c>
      <c r="U81" s="88">
        <v>1988.42</v>
      </c>
      <c r="V81" s="4">
        <f t="shared" si="12"/>
        <v>2.4890084685046832E-2</v>
      </c>
      <c r="AB81" s="86">
        <v>45778</v>
      </c>
      <c r="AC81" s="88">
        <v>6124.4</v>
      </c>
      <c r="AD81" s="4">
        <f t="shared" si="13"/>
        <v>6.8196881431611178E-2</v>
      </c>
      <c r="AJ81" s="84">
        <v>45778</v>
      </c>
      <c r="AK81" s="88">
        <v>1705.6</v>
      </c>
      <c r="AL81" s="4">
        <f t="shared" si="8"/>
        <v>9.5593240403681889E-3</v>
      </c>
      <c r="AR81" s="86">
        <v>45778</v>
      </c>
      <c r="AS81" s="88">
        <v>300.55</v>
      </c>
      <c r="AT81" s="4">
        <f t="shared" si="9"/>
        <v>2.07165902530142E-2</v>
      </c>
    </row>
    <row r="82" spans="2:46">
      <c r="B82" s="86">
        <v>45992</v>
      </c>
      <c r="C82" s="83">
        <v>1815.45</v>
      </c>
      <c r="D82" s="4">
        <f t="shared" si="10"/>
        <v>-7.7022801799740748E-2</v>
      </c>
      <c r="F82" s="88">
        <v>23203.200000000001</v>
      </c>
      <c r="G82" s="4">
        <f t="shared" si="11"/>
        <v>-9.7432942833365344E-3</v>
      </c>
      <c r="L82" s="84">
        <v>45992</v>
      </c>
      <c r="M82" s="88">
        <v>4124.3</v>
      </c>
      <c r="N82" s="4">
        <f t="shared" si="7"/>
        <v>-1.7724449355994265E-2</v>
      </c>
      <c r="T82" s="84">
        <v>45992</v>
      </c>
      <c r="U82" s="88">
        <v>1788.9</v>
      </c>
      <c r="V82" s="4">
        <f t="shared" si="12"/>
        <v>-0.10034097424085453</v>
      </c>
      <c r="AB82" s="86">
        <v>45992</v>
      </c>
      <c r="AC82" s="88">
        <v>5890.3</v>
      </c>
      <c r="AD82" s="4">
        <f t="shared" si="13"/>
        <v>-3.8224152570047631E-2</v>
      </c>
      <c r="AJ82" s="84">
        <v>45992</v>
      </c>
      <c r="AK82" s="88">
        <v>1660.3</v>
      </c>
      <c r="AL82" s="4">
        <f t="shared" si="8"/>
        <v>-2.6559568480300166E-2</v>
      </c>
      <c r="AR82" s="86">
        <v>45992</v>
      </c>
      <c r="AS82" s="88">
        <v>281.95</v>
      </c>
      <c r="AT82" s="4">
        <f t="shared" si="9"/>
        <v>-6.1886541340875123E-2</v>
      </c>
    </row>
    <row r="83" spans="2:46">
      <c r="B83" s="85" t="s">
        <v>233</v>
      </c>
      <c r="C83" s="83">
        <v>1875.45</v>
      </c>
      <c r="D83" s="4">
        <f t="shared" si="10"/>
        <v>3.3049657109807562E-2</v>
      </c>
      <c r="F83" s="88">
        <v>23092.2</v>
      </c>
      <c r="G83" s="4">
        <f t="shared" si="11"/>
        <v>-4.7838229209764549E-3</v>
      </c>
      <c r="L83" t="s">
        <v>233</v>
      </c>
      <c r="M83" s="88">
        <v>4152.3500000000004</v>
      </c>
      <c r="N83" s="4">
        <f t="shared" si="7"/>
        <v>6.8011541352472893E-3</v>
      </c>
      <c r="T83" t="s">
        <v>233</v>
      </c>
      <c r="U83" s="88">
        <v>1792.85</v>
      </c>
      <c r="V83" s="4">
        <f t="shared" si="12"/>
        <v>2.2080608194978701E-3</v>
      </c>
      <c r="AB83" s="85" t="s">
        <v>233</v>
      </c>
      <c r="AC83" s="88">
        <v>5998.15</v>
      </c>
      <c r="AD83" s="4">
        <f t="shared" si="13"/>
        <v>1.8309763509498644E-2</v>
      </c>
      <c r="AJ83" t="s">
        <v>233</v>
      </c>
      <c r="AK83" s="88">
        <v>1723.05</v>
      </c>
      <c r="AL83" s="4">
        <f t="shared" si="8"/>
        <v>3.7794374510630613E-2</v>
      </c>
      <c r="AR83" s="85" t="s">
        <v>233</v>
      </c>
      <c r="AS83" s="88">
        <v>320.10000000000002</v>
      </c>
      <c r="AT83" s="4">
        <f t="shared" si="9"/>
        <v>0.13530767866643045</v>
      </c>
    </row>
    <row r="84" spans="2:46">
      <c r="B84" s="85" t="s">
        <v>234</v>
      </c>
      <c r="C84" s="83">
        <v>1879.8</v>
      </c>
      <c r="D84" s="4">
        <f t="shared" si="10"/>
        <v>2.319443333599791E-3</v>
      </c>
      <c r="F84" s="88">
        <v>23508.400000000001</v>
      </c>
      <c r="G84" s="4">
        <f t="shared" si="11"/>
        <v>1.8023401841314346E-2</v>
      </c>
      <c r="L84" t="s">
        <v>234</v>
      </c>
      <c r="M84" s="88">
        <v>4112.3999999999996</v>
      </c>
      <c r="N84" s="4">
        <f t="shared" si="7"/>
        <v>-9.6210579551340158E-3</v>
      </c>
      <c r="T84" t="s">
        <v>234</v>
      </c>
      <c r="U84" s="88">
        <v>1725.45</v>
      </c>
      <c r="V84" s="4">
        <f t="shared" si="12"/>
        <v>-3.7593775274004981E-2</v>
      </c>
      <c r="AB84" s="85" t="s">
        <v>234</v>
      </c>
      <c r="AC84" s="88">
        <v>5914.15</v>
      </c>
      <c r="AD84" s="4">
        <f t="shared" si="13"/>
        <v>-1.4004317998049354E-2</v>
      </c>
      <c r="AJ84" t="s">
        <v>234</v>
      </c>
      <c r="AK84" s="88">
        <v>1674.45</v>
      </c>
      <c r="AL84" s="4">
        <f t="shared" si="8"/>
        <v>-2.8205797858448678E-2</v>
      </c>
      <c r="AR84" s="85" t="s">
        <v>234</v>
      </c>
      <c r="AS84" s="88">
        <v>311.89999999999998</v>
      </c>
      <c r="AT84" s="4">
        <f t="shared" si="9"/>
        <v>-2.5616994689159789E-2</v>
      </c>
    </row>
    <row r="85" spans="2:46">
      <c r="B85" s="86">
        <v>45690</v>
      </c>
      <c r="C85" s="83">
        <v>1903.65</v>
      </c>
      <c r="D85" s="4">
        <f t="shared" si="10"/>
        <v>1.2687519948930914E-2</v>
      </c>
      <c r="F85" s="88">
        <v>23559.95</v>
      </c>
      <c r="G85" s="4">
        <f t="shared" si="11"/>
        <v>2.1928332000475947E-3</v>
      </c>
      <c r="L85" s="84">
        <v>45690</v>
      </c>
      <c r="M85" s="88">
        <v>4029.4</v>
      </c>
      <c r="N85" s="4">
        <f t="shared" si="7"/>
        <v>-2.0182861589339463E-2</v>
      </c>
      <c r="T85" s="84">
        <v>45690</v>
      </c>
      <c r="U85" s="88">
        <v>1725.65</v>
      </c>
      <c r="V85" s="4">
        <f t="shared" si="12"/>
        <v>1.159117911269103E-4</v>
      </c>
      <c r="AB85" s="86">
        <v>45690</v>
      </c>
      <c r="AC85" s="88">
        <v>5956.6</v>
      </c>
      <c r="AD85" s="4">
        <f t="shared" si="13"/>
        <v>7.1777009375819656E-3</v>
      </c>
      <c r="AJ85" s="84">
        <v>45690</v>
      </c>
      <c r="AK85" s="88">
        <v>1692.1</v>
      </c>
      <c r="AL85" s="4">
        <f t="shared" si="8"/>
        <v>1.0540774582698642E-2</v>
      </c>
      <c r="AR85" s="86">
        <v>45690</v>
      </c>
      <c r="AS85" s="88">
        <v>318</v>
      </c>
      <c r="AT85" s="4">
        <f t="shared" si="9"/>
        <v>1.955755049695429E-2</v>
      </c>
    </row>
    <row r="86" spans="2:46">
      <c r="B86" s="86">
        <v>45902</v>
      </c>
      <c r="C86" s="83">
        <v>1856.4</v>
      </c>
      <c r="D86" s="4">
        <f t="shared" si="10"/>
        <v>-2.4820739106453438E-2</v>
      </c>
      <c r="F86" s="88">
        <v>22929.25</v>
      </c>
      <c r="G86" s="4">
        <f t="shared" si="11"/>
        <v>-2.6770005878620329E-2</v>
      </c>
      <c r="L86" s="84">
        <v>45902</v>
      </c>
      <c r="M86" s="88">
        <v>3934.85</v>
      </c>
      <c r="N86" s="4">
        <f t="shared" si="7"/>
        <v>-2.3465032014692078E-2</v>
      </c>
      <c r="T86" s="84">
        <v>45902</v>
      </c>
      <c r="U86" s="88">
        <v>1711.25</v>
      </c>
      <c r="V86" s="4">
        <f t="shared" si="12"/>
        <v>-8.3446817141367147E-3</v>
      </c>
      <c r="AB86" s="86">
        <v>45902</v>
      </c>
      <c r="AC86" s="88">
        <v>5511.6</v>
      </c>
      <c r="AD86" s="4">
        <f t="shared" si="13"/>
        <v>-7.4707047644629432E-2</v>
      </c>
      <c r="AJ86" s="84">
        <v>45902</v>
      </c>
      <c r="AK86" s="88">
        <v>1659.1</v>
      </c>
      <c r="AL86" s="4">
        <f t="shared" si="8"/>
        <v>-1.9502393475562929E-2</v>
      </c>
      <c r="AR86" s="86">
        <v>45902</v>
      </c>
      <c r="AS86" s="88">
        <v>308.10000000000002</v>
      </c>
      <c r="AT86" s="4">
        <f t="shared" si="9"/>
        <v>-3.1132075471698051E-2</v>
      </c>
    </row>
    <row r="87" spans="2:46">
      <c r="B87" s="85" t="s">
        <v>235</v>
      </c>
      <c r="C87" s="83">
        <v>1815</v>
      </c>
      <c r="D87" s="4">
        <f t="shared" si="10"/>
        <v>-2.2301228183581157E-2</v>
      </c>
      <c r="F87" s="88">
        <v>22795.9</v>
      </c>
      <c r="G87" s="4">
        <f t="shared" si="11"/>
        <v>-5.8157157342695331E-3</v>
      </c>
      <c r="L87" t="s">
        <v>235</v>
      </c>
      <c r="M87" s="88">
        <v>3786</v>
      </c>
      <c r="N87" s="4">
        <f t="shared" si="7"/>
        <v>-3.7828633874226414E-2</v>
      </c>
      <c r="T87" t="s">
        <v>235</v>
      </c>
      <c r="U87" s="88">
        <v>1700.7</v>
      </c>
      <c r="V87" s="4">
        <f t="shared" si="12"/>
        <v>-6.1650840029218168E-3</v>
      </c>
      <c r="AB87" s="85" t="s">
        <v>235</v>
      </c>
      <c r="AC87" s="88">
        <v>5298.5</v>
      </c>
      <c r="AD87" s="4">
        <f t="shared" si="13"/>
        <v>-3.8663908846795936E-2</v>
      </c>
      <c r="AJ87" t="s">
        <v>235</v>
      </c>
      <c r="AK87" s="88">
        <v>1649.5</v>
      </c>
      <c r="AL87" s="4">
        <f t="shared" si="8"/>
        <v>-5.7862696642757561E-3</v>
      </c>
      <c r="AR87" s="85" t="s">
        <v>235</v>
      </c>
      <c r="AS87" s="88">
        <v>306.35000000000002</v>
      </c>
      <c r="AT87" s="4">
        <f t="shared" si="9"/>
        <v>-5.6799740344044558E-3</v>
      </c>
    </row>
    <row r="88" spans="2:46">
      <c r="B88" s="85" t="s">
        <v>236</v>
      </c>
      <c r="C88" s="83">
        <v>1687.7</v>
      </c>
      <c r="D88" s="4">
        <f t="shared" si="10"/>
        <v>-7.0137741046831903E-2</v>
      </c>
      <c r="F88" s="88">
        <v>22124.7</v>
      </c>
      <c r="G88" s="4">
        <f t="shared" si="11"/>
        <v>-2.9443891226053842E-2</v>
      </c>
      <c r="L88" t="s">
        <v>236</v>
      </c>
      <c r="M88" s="88">
        <v>3483.25</v>
      </c>
      <c r="N88" s="4">
        <f t="shared" si="7"/>
        <v>-7.9965662968832563E-2</v>
      </c>
      <c r="T88" t="s">
        <v>236</v>
      </c>
      <c r="U88" s="88">
        <v>1575.05</v>
      </c>
      <c r="V88" s="4">
        <f t="shared" si="12"/>
        <v>-7.3881342976421571E-2</v>
      </c>
      <c r="AB88" s="85" t="s">
        <v>236</v>
      </c>
      <c r="AC88" s="88">
        <v>4665.95</v>
      </c>
      <c r="AD88" s="4">
        <f t="shared" si="13"/>
        <v>-0.11938284420118905</v>
      </c>
      <c r="AJ88" t="s">
        <v>236</v>
      </c>
      <c r="AK88" s="88">
        <v>1487.85</v>
      </c>
      <c r="AL88" s="4">
        <f t="shared" si="8"/>
        <v>-9.7999393755683561E-2</v>
      </c>
      <c r="AR88" s="85" t="s">
        <v>236</v>
      </c>
      <c r="AS88" s="88">
        <v>277.64999999999998</v>
      </c>
      <c r="AT88" s="4">
        <f t="shared" si="9"/>
        <v>-9.3683695119960997E-2</v>
      </c>
    </row>
    <row r="89" spans="2:46">
      <c r="B89" s="86">
        <v>45691</v>
      </c>
      <c r="C89" s="83">
        <v>1686</v>
      </c>
      <c r="D89" s="4">
        <f t="shared" si="10"/>
        <v>-1.0072880251229543E-3</v>
      </c>
      <c r="F89" s="88">
        <v>22552.5</v>
      </c>
      <c r="G89" s="4">
        <f t="shared" si="11"/>
        <v>1.9335855401429125E-2</v>
      </c>
      <c r="L89" s="84">
        <v>45691</v>
      </c>
      <c r="M89" s="88">
        <v>3611.2</v>
      </c>
      <c r="N89" s="4">
        <f t="shared" si="7"/>
        <v>3.6732936194645793E-2</v>
      </c>
      <c r="T89" s="84">
        <v>45691</v>
      </c>
      <c r="U89" s="88">
        <v>1557.95</v>
      </c>
      <c r="V89" s="4">
        <f t="shared" si="12"/>
        <v>-1.0856798196882567E-2</v>
      </c>
      <c r="AB89" s="86">
        <v>45691</v>
      </c>
      <c r="AC89" s="88">
        <v>4721.95</v>
      </c>
      <c r="AD89" s="4">
        <f t="shared" si="13"/>
        <v>1.2001843140196478E-2</v>
      </c>
      <c r="AJ89" s="84">
        <v>45691</v>
      </c>
      <c r="AK89" s="88">
        <v>1492.35</v>
      </c>
      <c r="AL89" s="4">
        <f t="shared" si="8"/>
        <v>3.0244984373424266E-3</v>
      </c>
      <c r="AR89" s="86">
        <v>45691</v>
      </c>
      <c r="AS89" s="88">
        <v>284.8</v>
      </c>
      <c r="AT89" s="4">
        <f t="shared" si="9"/>
        <v>2.5751845849090627E-2</v>
      </c>
    </row>
    <row r="90" spans="2:46">
      <c r="B90" s="86">
        <v>45903</v>
      </c>
      <c r="C90" s="83">
        <v>1579.85</v>
      </c>
      <c r="D90" s="4">
        <f t="shared" si="10"/>
        <v>-6.2959667852906298E-2</v>
      </c>
      <c r="F90" s="88">
        <v>22397.200000000001</v>
      </c>
      <c r="G90" s="4">
        <f t="shared" si="11"/>
        <v>-6.8861545283227521E-3</v>
      </c>
      <c r="L90" s="84">
        <v>45903</v>
      </c>
      <c r="M90" s="88">
        <v>3511.05</v>
      </c>
      <c r="N90" s="4">
        <f t="shared" si="7"/>
        <v>-2.7733163491360124E-2</v>
      </c>
      <c r="T90" s="84">
        <v>45903</v>
      </c>
      <c r="U90" s="88">
        <v>1534.75</v>
      </c>
      <c r="V90" s="4">
        <f t="shared" si="12"/>
        <v>-1.4891363650951561E-2</v>
      </c>
      <c r="AB90" s="86">
        <v>45903</v>
      </c>
      <c r="AC90" s="88">
        <v>4467.05</v>
      </c>
      <c r="AD90" s="4">
        <f t="shared" si="13"/>
        <v>-5.3981935429218808E-2</v>
      </c>
      <c r="AJ90" s="84">
        <v>45903</v>
      </c>
      <c r="AK90" s="88">
        <v>1440.65</v>
      </c>
      <c r="AL90" s="4">
        <f t="shared" si="8"/>
        <v>-3.4643347740141217E-2</v>
      </c>
      <c r="AR90" s="86">
        <v>45903</v>
      </c>
      <c r="AS90" s="88">
        <v>264</v>
      </c>
      <c r="AT90" s="4">
        <f t="shared" si="9"/>
        <v>-7.3033707865168607E-2</v>
      </c>
    </row>
    <row r="91" spans="2:46">
      <c r="B91" s="85" t="s">
        <v>237</v>
      </c>
      <c r="C91" s="83">
        <v>1592.55</v>
      </c>
      <c r="D91" s="4">
        <f t="shared" si="10"/>
        <v>8.0387378548596455E-3</v>
      </c>
      <c r="F91" s="88">
        <v>23350.400000000001</v>
      </c>
      <c r="G91" s="4">
        <f t="shared" si="11"/>
        <v>4.2558891289982803E-2</v>
      </c>
      <c r="L91" t="s">
        <v>237</v>
      </c>
      <c r="M91" s="88">
        <v>3578.1</v>
      </c>
      <c r="N91" s="4">
        <f t="shared" si="7"/>
        <v>1.9096851369248435E-2</v>
      </c>
      <c r="T91" t="s">
        <v>237</v>
      </c>
      <c r="U91" s="88">
        <v>1566.7</v>
      </c>
      <c r="V91" s="4">
        <f t="shared" si="12"/>
        <v>2.0817722756149237E-2</v>
      </c>
      <c r="AB91" s="85" t="s">
        <v>237</v>
      </c>
      <c r="AC91" s="88">
        <v>4520.25</v>
      </c>
      <c r="AD91" s="4">
        <f t="shared" si="13"/>
        <v>1.1909425683616748E-2</v>
      </c>
      <c r="AJ91" t="s">
        <v>237</v>
      </c>
      <c r="AK91" s="88">
        <v>1409.25</v>
      </c>
      <c r="AL91" s="4">
        <f t="shared" si="8"/>
        <v>-2.1795717210981169E-2</v>
      </c>
      <c r="AR91" s="85" t="s">
        <v>237</v>
      </c>
      <c r="AS91" s="88">
        <v>264.3</v>
      </c>
      <c r="AT91" s="4">
        <f t="shared" si="9"/>
        <v>1.1363636363637131E-3</v>
      </c>
    </row>
    <row r="92" spans="2:46">
      <c r="B92" s="85" t="s">
        <v>238</v>
      </c>
      <c r="C92" s="83">
        <v>1570.65</v>
      </c>
      <c r="D92" s="4">
        <f t="shared" si="10"/>
        <v>-1.3751530564189429E-2</v>
      </c>
      <c r="F92" s="88">
        <v>23519.35</v>
      </c>
      <c r="G92" s="4">
        <f t="shared" si="11"/>
        <v>7.2354220912702605E-3</v>
      </c>
      <c r="L92" t="s">
        <v>238</v>
      </c>
      <c r="M92" s="88">
        <v>3606.15</v>
      </c>
      <c r="N92" s="4">
        <f t="shared" si="7"/>
        <v>7.8393560828373676E-3</v>
      </c>
      <c r="T92" t="s">
        <v>238</v>
      </c>
      <c r="U92" s="88">
        <v>1592.5</v>
      </c>
      <c r="V92" s="4">
        <f t="shared" si="12"/>
        <v>1.6467734729048278E-2</v>
      </c>
      <c r="AB92" s="85" t="s">
        <v>238</v>
      </c>
      <c r="AC92" s="88">
        <v>4491.3500000000004</v>
      </c>
      <c r="AD92" s="4">
        <f t="shared" si="13"/>
        <v>-6.393451689618912E-3</v>
      </c>
      <c r="AJ92" t="s">
        <v>238</v>
      </c>
      <c r="AK92" s="88">
        <v>1418.25</v>
      </c>
      <c r="AL92" s="4">
        <f t="shared" si="8"/>
        <v>6.3863757317721426E-3</v>
      </c>
      <c r="AR92" s="85" t="s">
        <v>238</v>
      </c>
      <c r="AS92" s="88">
        <v>262.25</v>
      </c>
      <c r="AT92" s="4">
        <f t="shared" si="9"/>
        <v>-7.7563374952706043E-3</v>
      </c>
    </row>
    <row r="93" spans="2:46">
      <c r="B93" s="85" t="s">
        <v>239</v>
      </c>
      <c r="C93" s="83">
        <v>1451.65</v>
      </c>
      <c r="D93" s="4">
        <f t="shared" si="10"/>
        <v>-7.5764810747142919E-2</v>
      </c>
      <c r="F93" s="88">
        <v>22904.45</v>
      </c>
      <c r="G93" s="4">
        <f t="shared" si="11"/>
        <v>-2.6144430011883713E-2</v>
      </c>
      <c r="L93" t="s">
        <v>239</v>
      </c>
      <c r="M93" s="88">
        <v>3299.4</v>
      </c>
      <c r="N93" s="4">
        <f t="shared" si="7"/>
        <v>-8.5063017345368364E-2</v>
      </c>
      <c r="T93" t="s">
        <v>239</v>
      </c>
      <c r="U93" s="88">
        <v>1422.1</v>
      </c>
      <c r="V93" s="4">
        <f t="shared" si="12"/>
        <v>-0.10700156985871279</v>
      </c>
      <c r="AB93" s="85" t="s">
        <v>239</v>
      </c>
      <c r="AC93" s="88">
        <v>4136.25</v>
      </c>
      <c r="AD93" s="4">
        <f t="shared" si="13"/>
        <v>-7.9063087935698717E-2</v>
      </c>
      <c r="AJ93" t="s">
        <v>239</v>
      </c>
      <c r="AK93" s="88">
        <v>1320.95</v>
      </c>
      <c r="AL93" s="4">
        <f t="shared" si="8"/>
        <v>-6.8605676009166228E-2</v>
      </c>
      <c r="AR93" s="85" t="s">
        <v>239</v>
      </c>
      <c r="AS93" s="88">
        <v>246.3</v>
      </c>
      <c r="AT93" s="4">
        <f t="shared" si="9"/>
        <v>-6.0819828408007592E-2</v>
      </c>
    </row>
    <row r="94" spans="2:46">
      <c r="B94" s="86">
        <v>45812</v>
      </c>
      <c r="C94" s="83">
        <v>1409.45</v>
      </c>
      <c r="D94" s="4">
        <f t="shared" si="10"/>
        <v>-2.9070368201701502E-2</v>
      </c>
      <c r="F94" s="88">
        <v>22828.55</v>
      </c>
      <c r="G94" s="4">
        <f t="shared" si="11"/>
        <v>-3.3137665388167648E-3</v>
      </c>
      <c r="L94" s="84">
        <v>45812</v>
      </c>
      <c r="M94" s="88">
        <v>3231.5</v>
      </c>
      <c r="N94" s="4">
        <f t="shared" si="7"/>
        <v>-2.0579499302903592E-2</v>
      </c>
      <c r="T94" s="84">
        <v>45812</v>
      </c>
      <c r="U94" s="88">
        <v>1390.55</v>
      </c>
      <c r="V94" s="4">
        <f t="shared" si="12"/>
        <v>-2.2185500316433404E-2</v>
      </c>
      <c r="AB94" s="86">
        <v>45812</v>
      </c>
      <c r="AC94" s="88">
        <v>4240.8</v>
      </c>
      <c r="AD94" s="4">
        <f t="shared" si="13"/>
        <v>2.5276518585675367E-2</v>
      </c>
      <c r="AJ94" s="84">
        <v>45812</v>
      </c>
      <c r="AK94" s="88">
        <v>1282.25</v>
      </c>
      <c r="AL94" s="4">
        <f t="shared" si="8"/>
        <v>-2.9297096786403798E-2</v>
      </c>
      <c r="AR94" s="86">
        <v>45812</v>
      </c>
      <c r="AS94" s="88">
        <v>239.75</v>
      </c>
      <c r="AT94" s="4">
        <f t="shared" si="9"/>
        <v>-2.6593585058871327E-2</v>
      </c>
    </row>
    <row r="95" spans="2:46">
      <c r="B95" s="85" t="s">
        <v>240</v>
      </c>
      <c r="C95" s="83">
        <v>1419.5</v>
      </c>
      <c r="D95" s="4">
        <f t="shared" si="10"/>
        <v>7.1304409521444345E-3</v>
      </c>
      <c r="F95" s="88">
        <v>23851.65</v>
      </c>
      <c r="G95" s="4">
        <f t="shared" si="11"/>
        <v>4.4816687875489425E-2</v>
      </c>
      <c r="L95" t="s">
        <v>240</v>
      </c>
      <c r="M95" s="88">
        <v>3298.9</v>
      </c>
      <c r="N95" s="4">
        <f t="shared" si="7"/>
        <v>2.085718706483064E-2</v>
      </c>
      <c r="T95" t="s">
        <v>240</v>
      </c>
      <c r="U95" s="88">
        <v>1438</v>
      </c>
      <c r="V95" s="4">
        <f t="shared" si="12"/>
        <v>3.4123188666355109E-2</v>
      </c>
      <c r="AB95" s="85" t="s">
        <v>240</v>
      </c>
      <c r="AC95" s="88">
        <v>4191.8999999999996</v>
      </c>
      <c r="AD95" s="4">
        <f t="shared" si="13"/>
        <v>-1.1530843237125166E-2</v>
      </c>
      <c r="AJ95" t="s">
        <v>240</v>
      </c>
      <c r="AK95" s="88">
        <v>1306.8</v>
      </c>
      <c r="AL95" s="4">
        <f t="shared" si="8"/>
        <v>1.9146032364983467E-2</v>
      </c>
      <c r="AR95" s="85" t="s">
        <v>240</v>
      </c>
      <c r="AS95" s="88">
        <v>236.9</v>
      </c>
      <c r="AT95" s="4">
        <f t="shared" si="9"/>
        <v>-1.1887382690302428E-2</v>
      </c>
    </row>
    <row r="96" spans="2:46">
      <c r="B96" s="85" t="s">
        <v>241</v>
      </c>
      <c r="C96" s="83">
        <v>1480.2</v>
      </c>
      <c r="D96" s="4">
        <f t="shared" si="10"/>
        <v>4.2761535752025459E-2</v>
      </c>
      <c r="F96" s="88">
        <v>24039.35</v>
      </c>
      <c r="G96" s="4">
        <f t="shared" si="11"/>
        <v>7.86947653516612E-3</v>
      </c>
      <c r="L96" t="s">
        <v>241</v>
      </c>
      <c r="M96" s="88">
        <v>3448</v>
      </c>
      <c r="N96" s="4">
        <f t="shared" si="7"/>
        <v>4.5196883809754729E-2</v>
      </c>
      <c r="T96" t="s">
        <v>241</v>
      </c>
      <c r="U96" s="88">
        <v>1578.2</v>
      </c>
      <c r="V96" s="4">
        <f t="shared" si="12"/>
        <v>9.749652294853961E-2</v>
      </c>
      <c r="AB96" s="85" t="s">
        <v>241</v>
      </c>
      <c r="AC96" s="88">
        <v>4498.3</v>
      </c>
      <c r="AD96" s="4">
        <f t="shared" si="13"/>
        <v>7.3093346692430838E-2</v>
      </c>
      <c r="AJ96" t="s">
        <v>241</v>
      </c>
      <c r="AK96" s="88">
        <v>1462</v>
      </c>
      <c r="AL96" s="4">
        <f t="shared" si="8"/>
        <v>0.11876339149066428</v>
      </c>
      <c r="AR96" s="85" t="s">
        <v>241</v>
      </c>
      <c r="AS96" s="88">
        <v>240.9</v>
      </c>
      <c r="AT96" s="4">
        <f t="shared" si="9"/>
        <v>1.6884761502743872E-2</v>
      </c>
    </row>
    <row r="97" spans="2:46">
      <c r="B97" s="85" t="s">
        <v>242</v>
      </c>
      <c r="C97" s="83">
        <v>1506.8</v>
      </c>
      <c r="D97" s="4">
        <f t="shared" si="10"/>
        <v>1.7970544521010545E-2</v>
      </c>
      <c r="F97" s="88">
        <v>24346.7</v>
      </c>
      <c r="G97" s="4">
        <f t="shared" si="11"/>
        <v>1.2785287455775673E-2</v>
      </c>
      <c r="L97" t="s">
        <v>242</v>
      </c>
      <c r="M97" s="88">
        <v>3444.7</v>
      </c>
      <c r="N97" s="4">
        <f t="shared" si="7"/>
        <v>-9.5707656612531444E-4</v>
      </c>
      <c r="T97" t="s">
        <v>242</v>
      </c>
      <c r="U97" s="88">
        <v>1576.5</v>
      </c>
      <c r="V97" s="4">
        <f t="shared" si="12"/>
        <v>-1.0771765302243219E-3</v>
      </c>
      <c r="AB97" s="85" t="s">
        <v>242</v>
      </c>
      <c r="AC97" s="88">
        <v>4579.8999999999996</v>
      </c>
      <c r="AD97" s="4">
        <f t="shared" si="13"/>
        <v>1.8140186292599392E-2</v>
      </c>
      <c r="AJ97" t="s">
        <v>242</v>
      </c>
      <c r="AK97" s="88">
        <v>1496.3</v>
      </c>
      <c r="AL97" s="4">
        <f t="shared" si="8"/>
        <v>2.3461012311901452E-2</v>
      </c>
      <c r="AR97" s="85" t="s">
        <v>242</v>
      </c>
      <c r="AS97" s="88">
        <v>242.87</v>
      </c>
      <c r="AT97" s="4">
        <f t="shared" si="9"/>
        <v>8.1776670817765851E-3</v>
      </c>
    </row>
    <row r="98" spans="2:46">
      <c r="B98" s="86">
        <v>45752</v>
      </c>
      <c r="C98" s="83">
        <v>1507.6</v>
      </c>
      <c r="D98" s="4">
        <f t="shared" si="10"/>
        <v>5.3092646668440047E-4</v>
      </c>
      <c r="F98" s="88">
        <v>24008</v>
      </c>
      <c r="G98" s="4">
        <f t="shared" si="11"/>
        <v>-1.391153626569519E-2</v>
      </c>
      <c r="L98" s="84">
        <v>45752</v>
      </c>
      <c r="M98" s="88">
        <v>3440.3</v>
      </c>
      <c r="N98" s="4">
        <f t="shared" si="7"/>
        <v>-1.2773245855951521E-3</v>
      </c>
      <c r="T98" s="84">
        <v>45752</v>
      </c>
      <c r="U98" s="88">
        <v>1569.4</v>
      </c>
      <c r="V98" s="4">
        <f t="shared" si="12"/>
        <v>-4.503647320012627E-3</v>
      </c>
      <c r="AB98" s="86">
        <v>45752</v>
      </c>
      <c r="AC98" s="88">
        <v>4621.6000000000004</v>
      </c>
      <c r="AD98" s="4">
        <f t="shared" si="13"/>
        <v>9.1050022926266738E-3</v>
      </c>
      <c r="AJ98" s="84">
        <v>45752</v>
      </c>
      <c r="AK98" s="88">
        <v>1493.7</v>
      </c>
      <c r="AL98" s="4">
        <f t="shared" si="8"/>
        <v>-1.7376194613378804E-3</v>
      </c>
      <c r="AR98" s="86">
        <v>45752</v>
      </c>
      <c r="AS98" s="88">
        <v>242.01</v>
      </c>
      <c r="AT98" s="4">
        <f t="shared" si="9"/>
        <v>-3.540989006464379E-3</v>
      </c>
    </row>
    <row r="99" spans="2:46">
      <c r="B99" s="86">
        <v>45966</v>
      </c>
      <c r="C99" s="83">
        <v>1589.9</v>
      </c>
      <c r="D99" s="4">
        <f t="shared" si="10"/>
        <v>5.4590076943486388E-2</v>
      </c>
      <c r="F99" s="88">
        <v>25019.8</v>
      </c>
      <c r="G99" s="4">
        <f t="shared" si="11"/>
        <v>4.2144285238253865E-2</v>
      </c>
      <c r="L99" s="84">
        <v>45966</v>
      </c>
      <c r="M99" s="88">
        <v>3561.3</v>
      </c>
      <c r="N99" s="4">
        <f t="shared" si="7"/>
        <v>3.5171351335639311E-2</v>
      </c>
      <c r="T99" s="84">
        <v>45966</v>
      </c>
      <c r="U99" s="88">
        <v>1659.9</v>
      </c>
      <c r="V99" s="4">
        <f t="shared" si="12"/>
        <v>5.7665349815215983E-2</v>
      </c>
      <c r="AB99" s="86">
        <v>45966</v>
      </c>
      <c r="AC99" s="88">
        <v>5047.8</v>
      </c>
      <c r="AD99" s="4">
        <f t="shared" si="13"/>
        <v>9.221914488488836E-2</v>
      </c>
      <c r="AJ99" s="84">
        <v>45966</v>
      </c>
      <c r="AK99" s="88">
        <v>1617</v>
      </c>
      <c r="AL99" s="4">
        <f t="shared" si="8"/>
        <v>8.2546696123719565E-2</v>
      </c>
      <c r="AR99" s="86">
        <v>45966</v>
      </c>
      <c r="AS99" s="88">
        <v>254.31</v>
      </c>
      <c r="AT99" s="4">
        <f t="shared" si="9"/>
        <v>5.0824346101400852E-2</v>
      </c>
    </row>
    <row r="100" spans="2:46">
      <c r="B100" s="85" t="s">
        <v>243</v>
      </c>
      <c r="C100" s="83">
        <v>1564.8</v>
      </c>
      <c r="D100" s="4">
        <f t="shared" si="10"/>
        <v>-1.5787156424932447E-2</v>
      </c>
      <c r="F100" s="88">
        <v>24853.15</v>
      </c>
      <c r="G100" s="4">
        <f t="shared" si="11"/>
        <v>-6.660724706032739E-3</v>
      </c>
      <c r="L100" t="s">
        <v>243</v>
      </c>
      <c r="M100" s="88">
        <v>3514.6</v>
      </c>
      <c r="N100" s="4">
        <f t="shared" si="7"/>
        <v>-1.311318900401548E-2</v>
      </c>
      <c r="T100" t="s">
        <v>243</v>
      </c>
      <c r="U100" s="88">
        <v>1648.2</v>
      </c>
      <c r="V100" s="4">
        <f t="shared" si="12"/>
        <v>-7.0486173865895729E-3</v>
      </c>
      <c r="AB100" s="85" t="s">
        <v>243</v>
      </c>
      <c r="AC100" s="88">
        <v>5045.8</v>
      </c>
      <c r="AD100" s="4">
        <f t="shared" si="13"/>
        <v>-3.9621221126040496E-4</v>
      </c>
      <c r="AJ100" t="s">
        <v>243</v>
      </c>
      <c r="AK100" s="88">
        <v>1580.3</v>
      </c>
      <c r="AL100" s="4">
        <f t="shared" si="8"/>
        <v>-2.2696351267779913E-2</v>
      </c>
      <c r="AR100" s="85" t="s">
        <v>243</v>
      </c>
      <c r="AS100" s="88">
        <v>247.36</v>
      </c>
      <c r="AT100" s="4">
        <f t="shared" si="9"/>
        <v>-2.7328850615390587E-2</v>
      </c>
    </row>
    <row r="101" spans="2:46">
      <c r="B101" s="85" t="s">
        <v>244</v>
      </c>
      <c r="C101" s="83">
        <v>1562.7</v>
      </c>
      <c r="D101" s="4">
        <f t="shared" si="10"/>
        <v>-1.3420245398771957E-3</v>
      </c>
      <c r="F101" s="88">
        <v>24750.7</v>
      </c>
      <c r="G101" s="4">
        <f t="shared" si="11"/>
        <v>-4.1222138843567402E-3</v>
      </c>
      <c r="L101" t="s">
        <v>244</v>
      </c>
      <c r="M101" s="88">
        <v>3463.4</v>
      </c>
      <c r="N101" s="4">
        <f t="shared" si="7"/>
        <v>-1.456780287941728E-2</v>
      </c>
      <c r="T101" t="s">
        <v>244</v>
      </c>
      <c r="U101" s="88">
        <v>1636.6</v>
      </c>
      <c r="V101" s="4">
        <f t="shared" si="12"/>
        <v>-7.0379808275695677E-3</v>
      </c>
      <c r="AB101" s="85" t="s">
        <v>244</v>
      </c>
      <c r="AC101" s="88">
        <v>5068.8999999999996</v>
      </c>
      <c r="AD101" s="4">
        <f t="shared" si="13"/>
        <v>4.5780649252842309E-3</v>
      </c>
      <c r="AJ101" t="s">
        <v>244</v>
      </c>
      <c r="AK101" s="88">
        <v>1573.9</v>
      </c>
      <c r="AL101" s="4">
        <f t="shared" si="8"/>
        <v>-4.0498639498828259E-3</v>
      </c>
      <c r="AR101" s="85" t="s">
        <v>244</v>
      </c>
      <c r="AS101" s="88">
        <v>249.67</v>
      </c>
      <c r="AT101" s="4">
        <f t="shared" si="9"/>
        <v>9.3386157826649274E-3</v>
      </c>
    </row>
    <row r="102" spans="2:46">
      <c r="B102" s="86">
        <v>45663</v>
      </c>
      <c r="C102" s="83">
        <v>1563.8</v>
      </c>
      <c r="D102" s="4">
        <f t="shared" si="10"/>
        <v>7.0390989953272864E-4</v>
      </c>
      <c r="F102" s="88">
        <v>25003.05</v>
      </c>
      <c r="G102" s="4">
        <f t="shared" si="11"/>
        <v>1.0195671233540704E-2</v>
      </c>
      <c r="L102" s="84">
        <v>45663</v>
      </c>
      <c r="M102" s="88">
        <v>3384.2</v>
      </c>
      <c r="N102" s="4">
        <f t="shared" si="7"/>
        <v>-2.2867702257896916E-2</v>
      </c>
      <c r="T102" s="84">
        <v>45663</v>
      </c>
      <c r="U102" s="88">
        <v>1637.7</v>
      </c>
      <c r="V102" s="4">
        <f t="shared" si="12"/>
        <v>6.7212513748016178E-4</v>
      </c>
      <c r="AB102" s="86">
        <v>45663</v>
      </c>
      <c r="AC102" s="88">
        <v>5204</v>
      </c>
      <c r="AD102" s="4">
        <f t="shared" si="13"/>
        <v>2.6652725443390146E-2</v>
      </c>
      <c r="AJ102" s="84">
        <v>45663</v>
      </c>
      <c r="AK102" s="88">
        <v>1571.1</v>
      </c>
      <c r="AL102" s="4">
        <f t="shared" si="8"/>
        <v>-1.779020268123932E-3</v>
      </c>
      <c r="AR102" s="86">
        <v>45663</v>
      </c>
      <c r="AS102" s="88">
        <v>248.59</v>
      </c>
      <c r="AT102" s="4">
        <f t="shared" si="9"/>
        <v>-4.325709937116895E-3</v>
      </c>
    </row>
    <row r="103" spans="2:46">
      <c r="B103" s="86">
        <v>45875</v>
      </c>
      <c r="C103" s="83">
        <v>1602</v>
      </c>
      <c r="D103" s="4">
        <f t="shared" si="10"/>
        <v>2.4427676173423674E-2</v>
      </c>
      <c r="F103" s="88">
        <v>24718.6</v>
      </c>
      <c r="G103" s="4">
        <f t="shared" si="11"/>
        <v>-1.1376612053329516E-2</v>
      </c>
      <c r="L103" s="84">
        <v>45875</v>
      </c>
      <c r="M103" s="88">
        <v>3445.7</v>
      </c>
      <c r="N103" s="4">
        <f t="shared" si="7"/>
        <v>1.8172684829501851E-2</v>
      </c>
      <c r="T103" s="84">
        <v>45875</v>
      </c>
      <c r="U103" s="88">
        <v>1695.3</v>
      </c>
      <c r="V103" s="4">
        <f t="shared" si="12"/>
        <v>3.5171276790620931E-2</v>
      </c>
      <c r="AB103" s="86">
        <v>45875</v>
      </c>
      <c r="AC103" s="88">
        <v>5429</v>
      </c>
      <c r="AD103" s="4">
        <f t="shared" si="13"/>
        <v>4.323597232897769E-2</v>
      </c>
      <c r="AJ103" s="84">
        <v>45875</v>
      </c>
      <c r="AK103" s="88">
        <v>1659</v>
      </c>
      <c r="AL103" s="4">
        <f t="shared" si="8"/>
        <v>5.5948061867481469E-2</v>
      </c>
      <c r="AR103" s="86">
        <v>45875</v>
      </c>
      <c r="AS103" s="88">
        <v>260.20999999999998</v>
      </c>
      <c r="AT103" s="4">
        <f t="shared" si="9"/>
        <v>4.6743634096302999E-2</v>
      </c>
    </row>
    <row r="104" spans="2:46">
      <c r="B104" s="85" t="s">
        <v>245</v>
      </c>
      <c r="C104" s="83">
        <v>1622.9</v>
      </c>
      <c r="D104" s="4">
        <f t="shared" si="10"/>
        <v>1.3046192259675404E-2</v>
      </c>
      <c r="F104" s="88">
        <v>25112.400000000001</v>
      </c>
      <c r="G104" s="4">
        <f t="shared" si="11"/>
        <v>1.5931322971365791E-2</v>
      </c>
      <c r="L104" t="s">
        <v>245</v>
      </c>
      <c r="M104" s="88">
        <v>3435.7</v>
      </c>
      <c r="N104" s="4">
        <f t="shared" si="7"/>
        <v>-2.9021679194358718E-3</v>
      </c>
      <c r="T104" t="s">
        <v>245</v>
      </c>
      <c r="U104" s="88">
        <v>1739.9</v>
      </c>
      <c r="V104" s="4">
        <f t="shared" si="12"/>
        <v>2.6308028077626444E-2</v>
      </c>
      <c r="AB104" s="85" t="s">
        <v>245</v>
      </c>
      <c r="AC104" s="88">
        <v>5376.5</v>
      </c>
      <c r="AD104" s="4">
        <f t="shared" si="13"/>
        <v>-9.6702891876957464E-3</v>
      </c>
      <c r="AJ104" t="s">
        <v>245</v>
      </c>
      <c r="AK104" s="88">
        <v>1696.1</v>
      </c>
      <c r="AL104" s="4">
        <f t="shared" si="8"/>
        <v>2.2362869198312207E-2</v>
      </c>
      <c r="AR104" s="85" t="s">
        <v>245</v>
      </c>
      <c r="AS104" s="88">
        <v>266.54000000000002</v>
      </c>
      <c r="AT104" s="4">
        <f t="shared" si="9"/>
        <v>2.4326505514776775E-2</v>
      </c>
    </row>
    <row r="105" spans="2:46">
      <c r="B105" s="85" t="s">
        <v>246</v>
      </c>
      <c r="C105" s="83">
        <v>1608</v>
      </c>
      <c r="D105" s="4">
        <f t="shared" si="10"/>
        <v>-9.1810955696592922E-3</v>
      </c>
      <c r="F105" s="88">
        <v>25637.8</v>
      </c>
      <c r="G105" s="4">
        <f t="shared" si="11"/>
        <v>2.092193498032846E-2</v>
      </c>
      <c r="L105" t="s">
        <v>246</v>
      </c>
      <c r="M105" s="88">
        <v>3441.1</v>
      </c>
      <c r="N105" s="4">
        <f t="shared" si="7"/>
        <v>1.5717321069941281E-3</v>
      </c>
      <c r="T105" t="s">
        <v>246</v>
      </c>
      <c r="U105" s="88">
        <v>1723.3</v>
      </c>
      <c r="V105" s="4">
        <f t="shared" si="12"/>
        <v>-9.5407782056440293E-3</v>
      </c>
      <c r="AB105" s="85" t="s">
        <v>246</v>
      </c>
      <c r="AC105" s="88">
        <v>5293</v>
      </c>
      <c r="AD105" s="4">
        <f t="shared" si="13"/>
        <v>-1.5530549614061195E-2</v>
      </c>
      <c r="AJ105" t="s">
        <v>246</v>
      </c>
      <c r="AK105" s="88">
        <v>1674.4</v>
      </c>
      <c r="AL105" s="4">
        <f t="shared" si="8"/>
        <v>-1.2794056954188893E-2</v>
      </c>
      <c r="AR105" s="85" t="s">
        <v>246</v>
      </c>
      <c r="AS105" s="88">
        <v>265.05</v>
      </c>
      <c r="AT105" s="4">
        <f t="shared" si="9"/>
        <v>-5.5901553237788226E-3</v>
      </c>
    </row>
    <row r="106" spans="2:46">
      <c r="B106" s="85" t="s">
        <v>247</v>
      </c>
      <c r="C106" s="83">
        <v>1640.7</v>
      </c>
      <c r="D106" s="4">
        <f t="shared" si="10"/>
        <v>2.0335820895522438E-2</v>
      </c>
      <c r="F106" s="88">
        <v>25461</v>
      </c>
      <c r="G106" s="4">
        <f t="shared" si="11"/>
        <v>-6.8960675252947023E-3</v>
      </c>
      <c r="L106" t="s">
        <v>247</v>
      </c>
      <c r="M106" s="88">
        <v>3419.8</v>
      </c>
      <c r="N106" s="4">
        <f t="shared" si="7"/>
        <v>-6.1898811426578382E-3</v>
      </c>
      <c r="T106" t="s">
        <v>247</v>
      </c>
      <c r="U106" s="88">
        <v>1725.9</v>
      </c>
      <c r="V106" s="4">
        <f t="shared" si="12"/>
        <v>1.5087332443568524E-3</v>
      </c>
      <c r="AB106" s="85" t="s">
        <v>247</v>
      </c>
      <c r="AC106" s="88">
        <v>5316</v>
      </c>
      <c r="AD106" s="4">
        <f t="shared" si="13"/>
        <v>4.3453617986020099E-3</v>
      </c>
      <c r="AJ106" t="s">
        <v>247</v>
      </c>
      <c r="AK106" s="88">
        <v>1655.2</v>
      </c>
      <c r="AL106" s="4">
        <f t="shared" si="8"/>
        <v>-1.1466794075489783E-2</v>
      </c>
      <c r="AR106" s="85" t="s">
        <v>247</v>
      </c>
      <c r="AS106" s="88">
        <v>270.05</v>
      </c>
      <c r="AT106" s="4">
        <f t="shared" si="9"/>
        <v>1.8864365214110501E-2</v>
      </c>
    </row>
    <row r="107" spans="2:46">
      <c r="B107" s="86">
        <v>45815</v>
      </c>
      <c r="C107" s="83">
        <v>1594.9</v>
      </c>
      <c r="D107" s="4">
        <f t="shared" si="10"/>
        <v>-2.7914914365819388E-2</v>
      </c>
      <c r="F107" s="88">
        <v>25149.85</v>
      </c>
      <c r="G107" s="4">
        <f t="shared" si="11"/>
        <v>-1.2220651192019205E-2</v>
      </c>
      <c r="L107" s="84">
        <v>45815</v>
      </c>
      <c r="M107" s="88">
        <v>3266</v>
      </c>
      <c r="N107" s="4">
        <f t="shared" si="7"/>
        <v>-4.4973390256740187E-2</v>
      </c>
      <c r="T107" s="84">
        <v>45815</v>
      </c>
      <c r="U107" s="88">
        <v>1638.3</v>
      </c>
      <c r="V107" s="4">
        <f t="shared" si="12"/>
        <v>-5.0756127237962856E-2</v>
      </c>
      <c r="AB107" s="86">
        <v>45815</v>
      </c>
      <c r="AC107" s="88">
        <v>5206</v>
      </c>
      <c r="AD107" s="4">
        <f t="shared" si="13"/>
        <v>-2.0692249811888663E-2</v>
      </c>
      <c r="AJ107" s="84">
        <v>45815</v>
      </c>
      <c r="AK107" s="88">
        <v>1602.5</v>
      </c>
      <c r="AL107" s="4">
        <f t="shared" si="8"/>
        <v>-3.1839052682455349E-2</v>
      </c>
      <c r="AR107" s="86">
        <v>45815</v>
      </c>
      <c r="AS107" s="88">
        <v>258.3</v>
      </c>
      <c r="AT107" s="4">
        <f t="shared" si="9"/>
        <v>-4.3510461025735969E-2</v>
      </c>
    </row>
    <row r="108" spans="2:46">
      <c r="B108" s="85" t="s">
        <v>248</v>
      </c>
      <c r="C108" s="83">
        <v>1586.1</v>
      </c>
      <c r="D108" s="4">
        <f t="shared" si="10"/>
        <v>-5.5175873095493211E-3</v>
      </c>
      <c r="F108" s="88">
        <v>24968.400000000001</v>
      </c>
      <c r="G108" s="4">
        <f t="shared" si="11"/>
        <v>-7.214754759968578E-3</v>
      </c>
      <c r="L108" t="s">
        <v>248</v>
      </c>
      <c r="M108" s="88">
        <v>3189.9</v>
      </c>
      <c r="N108" s="4">
        <f t="shared" si="7"/>
        <v>-2.3300673606858502E-2</v>
      </c>
      <c r="T108" t="s">
        <v>248</v>
      </c>
      <c r="U108" s="88">
        <v>1548.8</v>
      </c>
      <c r="V108" s="4">
        <f t="shared" si="12"/>
        <v>-5.4629799182078997E-2</v>
      </c>
      <c r="AB108" s="85" t="s">
        <v>248</v>
      </c>
      <c r="AC108" s="88">
        <v>5124</v>
      </c>
      <c r="AD108" s="4">
        <f t="shared" si="13"/>
        <v>-1.5751056473299996E-2</v>
      </c>
      <c r="AJ108" t="s">
        <v>248</v>
      </c>
      <c r="AK108" s="88">
        <v>1548.9</v>
      </c>
      <c r="AL108" s="4">
        <f t="shared" si="8"/>
        <v>-3.3447737909516273E-2</v>
      </c>
      <c r="AR108" s="85" t="s">
        <v>248</v>
      </c>
      <c r="AS108" s="88">
        <v>266.95</v>
      </c>
      <c r="AT108" s="4">
        <f t="shared" si="9"/>
        <v>3.3488192024777375E-2</v>
      </c>
    </row>
    <row r="109" spans="2:46">
      <c r="B109" s="85" t="s">
        <v>249</v>
      </c>
      <c r="C109" s="83">
        <v>1515.7</v>
      </c>
      <c r="D109" s="4">
        <f t="shared" si="10"/>
        <v>-4.4385599899123607E-2</v>
      </c>
      <c r="F109" s="88">
        <v>24837</v>
      </c>
      <c r="G109" s="4">
        <f t="shared" si="11"/>
        <v>-5.2626519921180615E-3</v>
      </c>
      <c r="L109" t="s">
        <v>249</v>
      </c>
      <c r="M109" s="88">
        <v>3135.8</v>
      </c>
      <c r="N109" s="4">
        <f t="shared" si="7"/>
        <v>-1.6959779303426403E-2</v>
      </c>
      <c r="T109" t="s">
        <v>249</v>
      </c>
      <c r="U109" s="88">
        <v>1490.1</v>
      </c>
      <c r="V109" s="4">
        <f t="shared" si="12"/>
        <v>-3.7900309917355379E-2</v>
      </c>
      <c r="AB109" s="85" t="s">
        <v>249</v>
      </c>
      <c r="AC109" s="88">
        <v>5096</v>
      </c>
      <c r="AD109" s="4">
        <f t="shared" si="13"/>
        <v>-5.464480874316946E-3</v>
      </c>
      <c r="AJ109" t="s">
        <v>249</v>
      </c>
      <c r="AK109" s="88">
        <v>1461.9</v>
      </c>
      <c r="AL109" s="4">
        <f t="shared" si="8"/>
        <v>-5.616889405384462E-2</v>
      </c>
      <c r="AR109" s="85" t="s">
        <v>249</v>
      </c>
      <c r="AS109" s="88">
        <v>259.2</v>
      </c>
      <c r="AT109" s="4">
        <f t="shared" si="9"/>
        <v>-2.9031653867765517E-2</v>
      </c>
    </row>
    <row r="110" spans="2:46">
      <c r="B110" s="85" t="s">
        <v>250</v>
      </c>
      <c r="C110" s="83">
        <v>1469.6</v>
      </c>
      <c r="D110" s="4">
        <f t="shared" si="10"/>
        <v>-3.041498977370205E-2</v>
      </c>
      <c r="F110" s="88">
        <v>24565.35</v>
      </c>
      <c r="G110" s="4">
        <f t="shared" si="11"/>
        <v>-1.0937311269477057E-2</v>
      </c>
      <c r="L110" t="s">
        <v>250</v>
      </c>
      <c r="M110" s="88">
        <v>3003</v>
      </c>
      <c r="N110" s="4">
        <f t="shared" si="7"/>
        <v>-4.2349639645385628E-2</v>
      </c>
      <c r="T110" t="s">
        <v>250</v>
      </c>
      <c r="U110" s="88">
        <v>1452.1</v>
      </c>
      <c r="V110" s="4">
        <f t="shared" si="12"/>
        <v>-2.5501644184954042E-2</v>
      </c>
      <c r="AB110" s="85" t="s">
        <v>250</v>
      </c>
      <c r="AC110" s="88">
        <v>5017.5</v>
      </c>
      <c r="AD110" s="4">
        <f t="shared" si="13"/>
        <v>-1.5404238618524357E-2</v>
      </c>
      <c r="AJ110" t="s">
        <v>250</v>
      </c>
      <c r="AK110" s="88">
        <v>1438.8</v>
      </c>
      <c r="AL110" s="4">
        <f t="shared" si="8"/>
        <v>-1.5801354401805967E-2</v>
      </c>
      <c r="AR110" s="85" t="s">
        <v>250</v>
      </c>
      <c r="AS110" s="88">
        <v>242.75</v>
      </c>
      <c r="AT110" s="4">
        <f t="shared" si="9"/>
        <v>-6.3464506172839497E-2</v>
      </c>
    </row>
    <row r="111" spans="2:46">
      <c r="B111" s="86">
        <v>45724</v>
      </c>
      <c r="C111" s="83">
        <v>1423.1</v>
      </c>
      <c r="D111" s="4">
        <f t="shared" si="10"/>
        <v>-3.1641262928688074E-2</v>
      </c>
      <c r="F111" s="88">
        <v>24363.3</v>
      </c>
      <c r="G111" s="4">
        <f t="shared" si="11"/>
        <v>-8.2249998473459263E-3</v>
      </c>
      <c r="L111" s="84">
        <v>45724</v>
      </c>
      <c r="M111" s="88">
        <v>3036.4</v>
      </c>
      <c r="N111" s="4">
        <f t="shared" si="7"/>
        <v>1.1122211122211123E-2</v>
      </c>
      <c r="T111" s="84">
        <v>45724</v>
      </c>
      <c r="U111" s="88">
        <v>1475.7</v>
      </c>
      <c r="V111" s="4">
        <f t="shared" si="12"/>
        <v>1.6252324220095149E-2</v>
      </c>
      <c r="AB111" s="86">
        <v>45724</v>
      </c>
      <c r="AC111" s="88">
        <v>5012</v>
      </c>
      <c r="AD111" s="4">
        <f t="shared" si="13"/>
        <v>-1.0961634280020061E-3</v>
      </c>
      <c r="AJ111" s="84">
        <v>45724</v>
      </c>
      <c r="AK111" s="88">
        <v>1480.4</v>
      </c>
      <c r="AL111" s="4">
        <f t="shared" si="8"/>
        <v>2.8912983041423423E-2</v>
      </c>
      <c r="AR111" s="86">
        <v>45724</v>
      </c>
      <c r="AS111" s="88">
        <v>239.05</v>
      </c>
      <c r="AT111" s="4">
        <f t="shared" si="9"/>
        <v>-1.5242018537590107E-2</v>
      </c>
    </row>
    <row r="112" spans="2:46">
      <c r="B112" s="86">
        <v>45938</v>
      </c>
      <c r="C112" s="83">
        <v>1447.7</v>
      </c>
      <c r="D112" s="4">
        <f t="shared" si="10"/>
        <v>1.7286206169629725E-2</v>
      </c>
      <c r="F112" s="88">
        <v>24631.3</v>
      </c>
      <c r="G112" s="4">
        <f t="shared" si="11"/>
        <v>1.100015186776826E-2</v>
      </c>
      <c r="L112" s="84">
        <v>45938</v>
      </c>
      <c r="M112" s="88">
        <v>3022.3</v>
      </c>
      <c r="N112" s="4">
        <f t="shared" si="7"/>
        <v>-4.6436569621920443E-3</v>
      </c>
      <c r="T112" s="84">
        <v>45938</v>
      </c>
      <c r="U112" s="88">
        <v>1489.8</v>
      </c>
      <c r="V112" s="4">
        <f t="shared" si="12"/>
        <v>9.5547875584467423E-3</v>
      </c>
      <c r="AB112" s="86">
        <v>45938</v>
      </c>
      <c r="AC112" s="88">
        <v>5108</v>
      </c>
      <c r="AD112" s="4">
        <f t="shared" si="13"/>
        <v>1.9154030327214633E-2</v>
      </c>
      <c r="AJ112" s="84">
        <v>45938</v>
      </c>
      <c r="AK112" s="88">
        <v>1486.7</v>
      </c>
      <c r="AL112" s="4">
        <f t="shared" si="8"/>
        <v>4.2556065928127662E-3</v>
      </c>
      <c r="AR112" s="86">
        <v>45938</v>
      </c>
      <c r="AS112" s="88">
        <v>246.81</v>
      </c>
      <c r="AT112" s="4">
        <f t="shared" si="9"/>
        <v>3.2461828069441534E-2</v>
      </c>
    </row>
    <row r="113" spans="1:48">
      <c r="B113" s="85" t="s">
        <v>251</v>
      </c>
      <c r="C113" s="83">
        <v>1487.5</v>
      </c>
      <c r="D113" s="4">
        <f t="shared" si="10"/>
        <v>2.7491883677557505E-2</v>
      </c>
      <c r="F113" s="88">
        <v>24870.1</v>
      </c>
      <c r="G113" s="4">
        <f t="shared" si="11"/>
        <v>9.6949815884666002E-3</v>
      </c>
      <c r="L113" t="s">
        <v>251</v>
      </c>
      <c r="M113" s="88">
        <v>3054</v>
      </c>
      <c r="N113" s="4">
        <f t="shared" si="7"/>
        <v>1.0488700658438876E-2</v>
      </c>
      <c r="T113" t="s">
        <v>251</v>
      </c>
      <c r="U113" s="88">
        <v>1466.3</v>
      </c>
      <c r="V113" s="4">
        <f t="shared" si="12"/>
        <v>-1.57739293864948E-2</v>
      </c>
      <c r="AB113" s="85" t="s">
        <v>251</v>
      </c>
      <c r="AC113" s="88">
        <v>5224.5</v>
      </c>
      <c r="AD113" s="4">
        <f t="shared" si="13"/>
        <v>2.2807361002349147E-2</v>
      </c>
      <c r="AJ113" t="s">
        <v>251</v>
      </c>
      <c r="AK113" s="88">
        <v>1505</v>
      </c>
      <c r="AL113" s="4">
        <f t="shared" si="8"/>
        <v>1.2309141050649064E-2</v>
      </c>
      <c r="AR113" s="85" t="s">
        <v>251</v>
      </c>
      <c r="AS113" s="88">
        <v>248.64</v>
      </c>
      <c r="AT113" s="4">
        <f t="shared" si="9"/>
        <v>7.4146104290748749E-3</v>
      </c>
    </row>
    <row r="114" spans="1:48">
      <c r="B114" s="85" t="s">
        <v>252</v>
      </c>
      <c r="C114" s="83">
        <v>1469.6</v>
      </c>
      <c r="D114" s="4">
        <f t="shared" si="10"/>
        <v>-1.2033613445378233E-2</v>
      </c>
      <c r="F114" s="88">
        <v>24426.85</v>
      </c>
      <c r="G114" s="4">
        <f t="shared" si="11"/>
        <v>-1.7822606262138052E-2</v>
      </c>
      <c r="L114" t="s">
        <v>252</v>
      </c>
      <c r="M114" s="88">
        <v>3084.7</v>
      </c>
      <c r="N114" s="4">
        <f t="shared" si="7"/>
        <v>1.0052390307792924E-2</v>
      </c>
      <c r="T114" t="s">
        <v>252</v>
      </c>
      <c r="U114" s="88">
        <v>1454.8</v>
      </c>
      <c r="V114" s="4">
        <f t="shared" si="12"/>
        <v>-7.8428698083611303E-3</v>
      </c>
      <c r="AB114" s="85" t="s">
        <v>252</v>
      </c>
      <c r="AC114" s="88">
        <v>5133.5</v>
      </c>
      <c r="AD114" s="4">
        <f t="shared" si="13"/>
        <v>-1.7417934730596274E-2</v>
      </c>
      <c r="AJ114" t="s">
        <v>252</v>
      </c>
      <c r="AK114" s="88">
        <v>1481.4</v>
      </c>
      <c r="AL114" s="4">
        <f t="shared" si="8"/>
        <v>-1.56810631229235E-2</v>
      </c>
      <c r="AR114" s="85" t="s">
        <v>252</v>
      </c>
      <c r="AS114" s="88">
        <v>249.41</v>
      </c>
      <c r="AT114" s="4">
        <f t="shared" si="9"/>
        <v>3.0968468468468568E-3</v>
      </c>
    </row>
    <row r="115" spans="1:48">
      <c r="B115" s="84"/>
      <c r="C115" s="83"/>
      <c r="G115" s="4"/>
    </row>
    <row r="116" spans="1:48">
      <c r="A116" s="108"/>
      <c r="B116" s="152"/>
      <c r="C116" s="153"/>
      <c r="D116" s="94"/>
      <c r="E116" s="94"/>
      <c r="F116" s="153"/>
      <c r="G116" s="154"/>
      <c r="H116" s="94"/>
      <c r="I116" s="94"/>
      <c r="J116" s="94"/>
      <c r="K116" s="94"/>
      <c r="L116" s="94"/>
      <c r="M116" s="94"/>
      <c r="N116" s="94"/>
      <c r="O116" s="94"/>
      <c r="P116" s="94"/>
      <c r="Q116" s="94"/>
      <c r="R116" s="94"/>
      <c r="S116" s="94"/>
      <c r="T116" s="94"/>
      <c r="U116" s="94"/>
      <c r="V116" s="94"/>
      <c r="W116" s="94"/>
      <c r="X116" s="94"/>
      <c r="Y116" s="94"/>
      <c r="Z116" s="94"/>
      <c r="AA116" s="94"/>
      <c r="AB116" s="94"/>
      <c r="AC116" s="94"/>
      <c r="AD116" s="94"/>
      <c r="AE116" s="94"/>
      <c r="AF116" s="94"/>
      <c r="AG116" s="94"/>
      <c r="AH116" s="94"/>
      <c r="AI116" s="94"/>
      <c r="AJ116" s="94"/>
      <c r="AK116" s="94"/>
      <c r="AL116" s="94"/>
      <c r="AM116" s="94"/>
      <c r="AN116" s="94"/>
      <c r="AO116" s="94"/>
      <c r="AP116" s="94"/>
      <c r="AQ116" s="94"/>
      <c r="AR116" s="94"/>
      <c r="AS116" s="94"/>
      <c r="AT116" s="94"/>
      <c r="AU116" s="94"/>
      <c r="AV116" s="94"/>
    </row>
    <row r="117" spans="1:48">
      <c r="B117" s="84"/>
      <c r="C117" s="83"/>
    </row>
    <row r="118" spans="1:48">
      <c r="B118" s="84"/>
      <c r="C118" s="33"/>
    </row>
  </sheetData>
  <mergeCells count="13">
    <mergeCell ref="B7:D7"/>
    <mergeCell ref="F7:G7"/>
    <mergeCell ref="I7:J7"/>
    <mergeCell ref="L7:N7"/>
    <mergeCell ref="P7:Q7"/>
    <mergeCell ref="AJ7:AL7"/>
    <mergeCell ref="AN7:AO7"/>
    <mergeCell ref="AR7:AT7"/>
    <mergeCell ref="AV7:AW7"/>
    <mergeCell ref="T7:V7"/>
    <mergeCell ref="X7:Y7"/>
    <mergeCell ref="AB7:AD7"/>
    <mergeCell ref="AF7:AG7"/>
  </mergeCells>
  <pageMargins left="0.7" right="0.7" top="0.75" bottom="0.75" header="0.3" footer="0.3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4"/>
  <sheetViews>
    <sheetView showGridLines="0" zoomScale="96" workbookViewId="0">
      <selection activeCell="C11" sqref="C11"/>
    </sheetView>
  </sheetViews>
  <sheetFormatPr defaultRowHeight="14.25"/>
  <cols>
    <col min="1" max="1" width="1.86328125" customWidth="1"/>
    <col min="2" max="2" width="16" bestFit="1" customWidth="1"/>
    <col min="3" max="3" width="15.1328125" customWidth="1"/>
    <col min="4" max="4" width="10.59765625" customWidth="1"/>
    <col min="5" max="5" width="13.86328125" customWidth="1"/>
    <col min="6" max="6" width="10.3984375" customWidth="1"/>
    <col min="7" max="7" width="10.86328125" customWidth="1"/>
    <col min="8" max="8" width="5.3984375" customWidth="1"/>
    <col min="19" max="19" width="16.1328125" bestFit="1" customWidth="1"/>
    <col min="21" max="21" width="13.73046875" bestFit="1" customWidth="1"/>
    <col min="22" max="22" width="10.59765625" bestFit="1" customWidth="1"/>
  </cols>
  <sheetData>
    <row r="2" spans="2:8" ht="30.75">
      <c r="B2" s="146" t="s">
        <v>0</v>
      </c>
      <c r="C2" s="38"/>
      <c r="D2" s="38"/>
      <c r="E2" s="38"/>
      <c r="F2" s="38"/>
      <c r="G2" s="38"/>
      <c r="H2" s="38"/>
    </row>
    <row r="3" spans="2:8">
      <c r="B3" s="69" t="s">
        <v>1</v>
      </c>
      <c r="C3" s="62"/>
      <c r="D3" s="62"/>
      <c r="E3" s="62"/>
      <c r="F3" s="62"/>
      <c r="G3" s="62"/>
      <c r="H3" s="62"/>
    </row>
    <row r="5" spans="2:8">
      <c r="B5" s="208" t="s">
        <v>253</v>
      </c>
      <c r="C5" s="208"/>
      <c r="D5" s="208"/>
      <c r="E5" s="208"/>
      <c r="F5" s="208"/>
      <c r="G5" s="208"/>
      <c r="H5" s="208"/>
    </row>
    <row r="6" spans="2:8">
      <c r="B6" s="2" t="s">
        <v>254</v>
      </c>
      <c r="C6" s="150" t="s">
        <v>255</v>
      </c>
      <c r="D6" s="150" t="s">
        <v>256</v>
      </c>
      <c r="E6" s="150" t="s">
        <v>257</v>
      </c>
      <c r="F6" s="150" t="s">
        <v>258</v>
      </c>
      <c r="G6" s="150" t="s">
        <v>259</v>
      </c>
    </row>
    <row r="7" spans="2:8">
      <c r="B7" s="52">
        <v>1</v>
      </c>
      <c r="C7" s="41" t="s">
        <v>135</v>
      </c>
      <c r="D7" s="51">
        <v>3154.1</v>
      </c>
      <c r="E7" s="41">
        <v>1141180.98</v>
      </c>
      <c r="F7" s="51">
        <v>9392</v>
      </c>
      <c r="G7" s="41">
        <v>0.1</v>
      </c>
    </row>
    <row r="8" spans="2:8">
      <c r="B8" s="52">
        <v>2</v>
      </c>
      <c r="C8" s="41" t="s">
        <v>137</v>
      </c>
      <c r="D8" s="51">
        <v>1511.85</v>
      </c>
      <c r="E8" s="41">
        <v>628078.49</v>
      </c>
      <c r="F8" s="51">
        <v>8485</v>
      </c>
      <c r="G8" s="41">
        <v>0.09</v>
      </c>
    </row>
    <row r="9" spans="2:8" ht="16.5" customHeight="1">
      <c r="B9" s="52">
        <v>3</v>
      </c>
      <c r="C9" s="41" t="s">
        <v>138</v>
      </c>
      <c r="D9" s="51">
        <v>1475.4</v>
      </c>
      <c r="E9" s="41">
        <v>400374.16</v>
      </c>
      <c r="F9" s="51">
        <v>6276</v>
      </c>
      <c r="G9" s="41">
        <v>0.09</v>
      </c>
    </row>
    <row r="10" spans="2:8">
      <c r="B10" s="52">
        <v>4</v>
      </c>
      <c r="C10" s="41" t="s">
        <v>139</v>
      </c>
      <c r="D10" s="51">
        <v>252.45</v>
      </c>
      <c r="E10" s="41">
        <v>264651.93</v>
      </c>
      <c r="F10" s="51">
        <v>19203.5</v>
      </c>
      <c r="G10" s="41">
        <v>0.23</v>
      </c>
    </row>
    <row r="11" spans="2:8">
      <c r="B11" s="52">
        <v>5</v>
      </c>
      <c r="C11" s="41" t="s">
        <v>140</v>
      </c>
      <c r="D11" s="51">
        <v>5256.75</v>
      </c>
      <c r="E11" s="41">
        <v>155818.88</v>
      </c>
      <c r="F11" s="51">
        <v>2187.3000000000002</v>
      </c>
      <c r="G11" s="41">
        <v>0.1</v>
      </c>
    </row>
    <row r="12" spans="2:8">
      <c r="B12" s="52">
        <v>6</v>
      </c>
      <c r="C12" s="41" t="s">
        <v>141</v>
      </c>
      <c r="D12" s="51">
        <v>1519.1</v>
      </c>
      <c r="E12" s="41">
        <v>148761.01</v>
      </c>
      <c r="F12" s="51">
        <v>2025.2</v>
      </c>
      <c r="G12" s="41">
        <v>7.0000000000000007E-2</v>
      </c>
    </row>
    <row r="14" spans="2:8">
      <c r="B14" s="94"/>
      <c r="C14" s="94"/>
      <c r="D14" s="94"/>
      <c r="E14" s="94"/>
      <c r="F14" s="94"/>
      <c r="G14" s="94"/>
      <c r="H14" s="94"/>
    </row>
  </sheetData>
  <mergeCells count="1">
    <mergeCell ref="B5:H5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4"/>
  <sheetViews>
    <sheetView showGridLines="0" topLeftCell="A20" workbookViewId="0">
      <selection activeCell="G10" sqref="G10"/>
    </sheetView>
  </sheetViews>
  <sheetFormatPr defaultRowHeight="14.25"/>
  <cols>
    <col min="1" max="1" width="1.86328125" customWidth="1"/>
    <col min="2" max="2" width="16.3984375" style="52" bestFit="1" customWidth="1"/>
    <col min="3" max="3" width="6.59765625" customWidth="1"/>
    <col min="4" max="4" width="18.3984375" bestFit="1" customWidth="1"/>
    <col min="6" max="6" width="18.59765625" bestFit="1" customWidth="1"/>
  </cols>
  <sheetData>
    <row r="2" spans="2:7" ht="30.75">
      <c r="B2" s="146" t="s">
        <v>0</v>
      </c>
      <c r="C2" s="38"/>
      <c r="D2" s="38"/>
      <c r="E2" s="38"/>
      <c r="F2" s="38"/>
      <c r="G2" s="38"/>
    </row>
    <row r="3" spans="2:7">
      <c r="B3" s="69" t="s">
        <v>1</v>
      </c>
      <c r="C3" s="62"/>
      <c r="D3" s="62"/>
      <c r="E3" s="62"/>
      <c r="F3" s="62"/>
      <c r="G3" s="62"/>
    </row>
    <row r="5" spans="2:7">
      <c r="B5" s="206" t="s">
        <v>260</v>
      </c>
      <c r="C5" s="206"/>
      <c r="D5" s="206"/>
    </row>
    <row r="6" spans="2:7">
      <c r="C6" s="52"/>
      <c r="D6">
        <v>100</v>
      </c>
    </row>
    <row r="7" spans="2:7">
      <c r="B7" s="99" t="s">
        <v>116</v>
      </c>
      <c r="C7" s="98" t="s">
        <v>261</v>
      </c>
      <c r="D7" t="s">
        <v>262</v>
      </c>
    </row>
    <row r="8" spans="2:7">
      <c r="B8" s="99">
        <v>2000</v>
      </c>
      <c r="C8" s="85">
        <f>-14.65</f>
        <v>-14.65</v>
      </c>
      <c r="D8" s="4">
        <f>C8/$D$6</f>
        <v>-0.14649999999999999</v>
      </c>
    </row>
    <row r="9" spans="2:7">
      <c r="B9" s="99">
        <v>2001</v>
      </c>
      <c r="C9" s="85">
        <v>-16.18</v>
      </c>
      <c r="D9" s="4">
        <f t="shared" ref="D9:D32" si="0">C9/$D$6</f>
        <v>-0.1618</v>
      </c>
    </row>
    <row r="10" spans="2:7">
      <c r="B10" s="99">
        <v>2002</v>
      </c>
      <c r="C10" s="85">
        <v>3.25</v>
      </c>
      <c r="D10" s="4">
        <f t="shared" si="0"/>
        <v>3.2500000000000001E-2</v>
      </c>
      <c r="F10" t="s">
        <v>263</v>
      </c>
      <c r="G10" s="4">
        <f>AVERAGE(D8:D32)</f>
        <v>0.15334799999999998</v>
      </c>
    </row>
    <row r="11" spans="2:7">
      <c r="B11" s="99">
        <v>2003</v>
      </c>
      <c r="C11" s="85">
        <v>71.900000000000006</v>
      </c>
      <c r="D11" s="4">
        <f t="shared" si="0"/>
        <v>0.71900000000000008</v>
      </c>
      <c r="F11" t="s">
        <v>264</v>
      </c>
      <c r="G11" s="4">
        <v>1.38E-2</v>
      </c>
    </row>
    <row r="12" spans="2:7">
      <c r="B12" s="99">
        <v>2004</v>
      </c>
      <c r="C12" s="85">
        <v>10.68</v>
      </c>
      <c r="D12" s="4">
        <f t="shared" si="0"/>
        <v>0.10679999999999999</v>
      </c>
      <c r="E12" s="2"/>
      <c r="F12" s="2" t="s">
        <v>265</v>
      </c>
      <c r="G12" s="8">
        <f>SUM(G10:G11)</f>
        <v>0.16714799999999999</v>
      </c>
    </row>
    <row r="13" spans="2:7">
      <c r="B13" s="99">
        <v>2005</v>
      </c>
      <c r="C13" s="85">
        <v>36.340000000000003</v>
      </c>
      <c r="D13" s="4">
        <f t="shared" si="0"/>
        <v>0.36340000000000006</v>
      </c>
    </row>
    <row r="14" spans="2:7">
      <c r="B14" s="99">
        <v>2006</v>
      </c>
      <c r="C14" s="85">
        <v>39.83</v>
      </c>
      <c r="D14" s="4">
        <f t="shared" si="0"/>
        <v>0.39829999999999999</v>
      </c>
    </row>
    <row r="15" spans="2:7">
      <c r="B15" s="99">
        <v>2007</v>
      </c>
      <c r="C15" s="85">
        <v>54.77</v>
      </c>
      <c r="D15" s="4">
        <f t="shared" si="0"/>
        <v>0.54770000000000008</v>
      </c>
    </row>
    <row r="16" spans="2:7">
      <c r="B16" s="99">
        <v>2008</v>
      </c>
      <c r="C16" s="85">
        <v>-51.79</v>
      </c>
      <c r="D16" s="4">
        <f t="shared" si="0"/>
        <v>-0.51790000000000003</v>
      </c>
    </row>
    <row r="17" spans="2:8">
      <c r="B17" s="99">
        <v>2009</v>
      </c>
      <c r="C17" s="85">
        <v>75.760000000000005</v>
      </c>
      <c r="D17" s="4">
        <f t="shared" si="0"/>
        <v>0.75760000000000005</v>
      </c>
      <c r="G17" s="4"/>
      <c r="H17" s="4"/>
    </row>
    <row r="18" spans="2:8">
      <c r="B18" s="99">
        <v>2010</v>
      </c>
      <c r="C18" s="85">
        <v>17.95</v>
      </c>
      <c r="D18" s="4">
        <f t="shared" si="0"/>
        <v>0.17949999999999999</v>
      </c>
    </row>
    <row r="19" spans="2:8">
      <c r="B19" s="99">
        <v>2011</v>
      </c>
      <c r="C19" s="85">
        <v>-24.62</v>
      </c>
      <c r="D19" s="4">
        <f t="shared" si="0"/>
        <v>-0.2462</v>
      </c>
    </row>
    <row r="20" spans="2:8">
      <c r="B20" s="99">
        <v>2012</v>
      </c>
      <c r="C20" s="85">
        <v>27.7</v>
      </c>
      <c r="D20" s="4">
        <f t="shared" si="0"/>
        <v>0.27699999999999997</v>
      </c>
    </row>
    <row r="21" spans="2:8">
      <c r="B21" s="99">
        <v>2013</v>
      </c>
      <c r="C21" s="85">
        <v>6.76</v>
      </c>
      <c r="D21" s="4">
        <f t="shared" si="0"/>
        <v>6.7599999999999993E-2</v>
      </c>
    </row>
    <row r="22" spans="2:8">
      <c r="B22" s="99">
        <v>2014</v>
      </c>
      <c r="C22" s="85">
        <v>31.39</v>
      </c>
      <c r="D22" s="4">
        <f t="shared" si="0"/>
        <v>0.31390000000000001</v>
      </c>
    </row>
    <row r="23" spans="2:8">
      <c r="B23" s="99">
        <v>2015</v>
      </c>
      <c r="C23" s="85">
        <v>-4.0599999999999996</v>
      </c>
      <c r="D23" s="4">
        <f t="shared" si="0"/>
        <v>-4.0599999999999997E-2</v>
      </c>
    </row>
    <row r="24" spans="2:8">
      <c r="B24" s="99">
        <v>2016</v>
      </c>
      <c r="C24" s="85">
        <v>3.01</v>
      </c>
      <c r="D24" s="4">
        <f t="shared" si="0"/>
        <v>3.0099999999999998E-2</v>
      </c>
    </row>
    <row r="25" spans="2:8">
      <c r="B25" s="99">
        <v>2017</v>
      </c>
      <c r="C25" s="85">
        <v>28.65</v>
      </c>
      <c r="D25" s="4">
        <f t="shared" si="0"/>
        <v>0.28649999999999998</v>
      </c>
    </row>
    <row r="26" spans="2:8">
      <c r="B26" s="99">
        <v>2018</v>
      </c>
      <c r="C26" s="85">
        <v>3.15</v>
      </c>
      <c r="D26" s="4">
        <f t="shared" si="0"/>
        <v>3.15E-2</v>
      </c>
    </row>
    <row r="27" spans="2:8">
      <c r="B27" s="99">
        <v>2019</v>
      </c>
      <c r="C27" s="85">
        <v>12.02</v>
      </c>
      <c r="D27" s="4">
        <f t="shared" si="0"/>
        <v>0.1202</v>
      </c>
    </row>
    <row r="28" spans="2:8">
      <c r="B28" s="99">
        <v>2020</v>
      </c>
      <c r="C28" s="85">
        <v>14.9</v>
      </c>
      <c r="D28" s="4">
        <f t="shared" si="0"/>
        <v>0.14899999999999999</v>
      </c>
    </row>
    <row r="29" spans="2:8">
      <c r="B29" s="99">
        <v>2021</v>
      </c>
      <c r="C29" s="85">
        <v>24.12</v>
      </c>
      <c r="D29" s="4">
        <f t="shared" si="0"/>
        <v>0.2412</v>
      </c>
    </row>
    <row r="30" spans="2:8">
      <c r="B30" s="99">
        <v>2022</v>
      </c>
      <c r="C30" s="85">
        <v>4.32</v>
      </c>
      <c r="D30" s="4">
        <f t="shared" si="0"/>
        <v>4.3200000000000002E-2</v>
      </c>
    </row>
    <row r="31" spans="2:8">
      <c r="B31" s="99">
        <v>2023</v>
      </c>
      <c r="C31" s="85">
        <v>19.420000000000002</v>
      </c>
      <c r="D31" s="4">
        <f t="shared" si="0"/>
        <v>0.19420000000000001</v>
      </c>
    </row>
    <row r="32" spans="2:8">
      <c r="B32" s="99">
        <v>2024</v>
      </c>
      <c r="C32" s="85">
        <v>8.75</v>
      </c>
      <c r="D32" s="4">
        <f t="shared" si="0"/>
        <v>8.7499999999999994E-2</v>
      </c>
    </row>
    <row r="33" spans="2:7">
      <c r="B33" s="99"/>
      <c r="D33" s="4"/>
    </row>
    <row r="34" spans="2:7">
      <c r="B34" s="151"/>
      <c r="C34" s="94"/>
      <c r="D34" s="94"/>
      <c r="E34" s="94"/>
      <c r="F34" s="94"/>
      <c r="G34" s="94"/>
    </row>
  </sheetData>
  <mergeCells count="1">
    <mergeCell ref="B5:D5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66"/>
  <sheetViews>
    <sheetView showGridLines="0" zoomScale="50" workbookViewId="0">
      <selection activeCell="I19" sqref="I19"/>
    </sheetView>
  </sheetViews>
  <sheetFormatPr defaultRowHeight="14.25"/>
  <cols>
    <col min="1" max="1" width="1.86328125" customWidth="1"/>
    <col min="2" max="2" width="30.1328125" bestFit="1" customWidth="1"/>
    <col min="5" max="5" width="14.3984375" bestFit="1" customWidth="1"/>
    <col min="6" max="6" width="11.86328125" customWidth="1"/>
    <col min="7" max="7" width="11.265625" customWidth="1"/>
    <col min="8" max="8" width="13.86328125" bestFit="1" customWidth="1"/>
    <col min="9" max="9" width="10.1328125" bestFit="1" customWidth="1"/>
  </cols>
  <sheetData>
    <row r="2" spans="1:16" ht="30.75">
      <c r="B2" s="146" t="s">
        <v>0</v>
      </c>
      <c r="C2" s="38"/>
      <c r="D2" s="38"/>
      <c r="E2" s="38"/>
      <c r="F2" s="38"/>
      <c r="G2" s="38"/>
      <c r="H2" s="38"/>
      <c r="I2" s="38"/>
    </row>
    <row r="3" spans="1:16">
      <c r="B3" s="69" t="s">
        <v>1</v>
      </c>
      <c r="C3" s="62"/>
      <c r="D3" s="62"/>
      <c r="E3" s="62"/>
      <c r="F3" s="62"/>
      <c r="G3" s="62"/>
      <c r="H3" s="62"/>
      <c r="I3" s="62"/>
    </row>
    <row r="5" spans="1:16">
      <c r="B5" s="60" t="s">
        <v>266</v>
      </c>
      <c r="C5" s="60"/>
      <c r="D5" s="60"/>
      <c r="E5" s="110">
        <f>'Data Room'!J2</f>
        <v>44256</v>
      </c>
      <c r="F5" s="110">
        <f>'Data Room'!K2</f>
        <v>44621</v>
      </c>
      <c r="G5" s="110">
        <f>'Data Room'!L2</f>
        <v>44986</v>
      </c>
      <c r="H5" s="110">
        <f>'Data Room'!M2</f>
        <v>45352</v>
      </c>
      <c r="I5" s="110">
        <f>'Data Room'!N2</f>
        <v>45717</v>
      </c>
      <c r="N5" s="108"/>
      <c r="O5" s="108"/>
      <c r="P5" s="108"/>
    </row>
    <row r="6" spans="1:16" ht="4.5" customHeight="1">
      <c r="N6" s="108"/>
      <c r="O6" s="108"/>
      <c r="P6" s="108"/>
    </row>
    <row r="7" spans="1:16">
      <c r="B7" s="2" t="s">
        <v>267</v>
      </c>
      <c r="E7" s="43"/>
      <c r="F7" s="43"/>
      <c r="G7" s="43"/>
      <c r="H7" s="43"/>
      <c r="I7" s="43"/>
      <c r="N7" s="108"/>
      <c r="O7" s="108"/>
      <c r="P7" s="108"/>
    </row>
    <row r="8" spans="1:16">
      <c r="B8" t="str">
        <f>'Data Room'!B29</f>
        <v>Trade receivables</v>
      </c>
      <c r="E8" s="43">
        <f>'Data Room'!J29</f>
        <v>19294</v>
      </c>
      <c r="F8" s="43">
        <f>'Data Room'!K29</f>
        <v>22698</v>
      </c>
      <c r="G8" s="43">
        <f>'Data Room'!L29</f>
        <v>25424</v>
      </c>
      <c r="H8" s="43">
        <f>'Data Room'!M29</f>
        <v>30193</v>
      </c>
      <c r="I8" s="43">
        <f>'Data Room'!N29</f>
        <v>31158</v>
      </c>
    </row>
    <row r="9" spans="1:16">
      <c r="B9" t="str" cm="1">
        <f t="array" ref="B9:B10">'Data Room'!B31:B32</f>
        <v>Loans n Advances</v>
      </c>
      <c r="E9" s="43">
        <f>'Data Room'!J31</f>
        <v>1460</v>
      </c>
      <c r="F9" s="43">
        <f>'Data Room'!K31</f>
        <v>2491</v>
      </c>
      <c r="G9" s="43">
        <f>'Data Room'!L31</f>
        <v>3242</v>
      </c>
      <c r="H9" s="43">
        <f>'Data Room'!M31</f>
        <v>10330</v>
      </c>
      <c r="I9" s="43">
        <f>'Data Room'!N31</f>
        <v>6717</v>
      </c>
    </row>
    <row r="10" spans="1:16">
      <c r="B10" t="str">
        <v>Other asset items</v>
      </c>
      <c r="E10" s="43">
        <f>'Data Room'!J32</f>
        <v>21411</v>
      </c>
      <c r="F10" s="43">
        <f>'Data Room'!K32</f>
        <v>27528</v>
      </c>
      <c r="G10" s="43">
        <f>'Data Room'!L32</f>
        <v>34766</v>
      </c>
      <c r="H10" s="43">
        <f>'Data Room'!M32</f>
        <v>29513</v>
      </c>
      <c r="I10" s="43">
        <f>'Data Room'!N32</f>
        <v>30149</v>
      </c>
    </row>
    <row r="11" spans="1:16">
      <c r="A11" t="s">
        <v>4</v>
      </c>
      <c r="B11" s="37" t="s">
        <v>268</v>
      </c>
      <c r="C11" s="37"/>
      <c r="D11" s="37"/>
      <c r="E11" s="119">
        <f>SUM(E8:E10)</f>
        <v>42165</v>
      </c>
      <c r="F11" s="119">
        <f t="shared" ref="F11:I11" si="0">SUM(F8:F10)</f>
        <v>52717</v>
      </c>
      <c r="G11" s="119">
        <f t="shared" si="0"/>
        <v>63432</v>
      </c>
      <c r="H11" s="119">
        <f t="shared" si="0"/>
        <v>70036</v>
      </c>
      <c r="I11" s="119">
        <f t="shared" si="0"/>
        <v>68024</v>
      </c>
    </row>
    <row r="12" spans="1:16" ht="9" customHeight="1"/>
    <row r="13" spans="1:16">
      <c r="B13" s="2" t="s">
        <v>269</v>
      </c>
    </row>
    <row r="14" spans="1:16">
      <c r="B14" t="str" cm="1">
        <f t="array" ref="B14:B16">'Data Room'!B9:B11</f>
        <v>Trade Payables</v>
      </c>
      <c r="E14" s="83">
        <f>'Data Room'!J9</f>
        <v>2645</v>
      </c>
      <c r="F14" s="83">
        <f>'Data Room'!K9</f>
        <v>4134</v>
      </c>
      <c r="G14" s="83">
        <f>'Data Room'!L9</f>
        <v>3865</v>
      </c>
      <c r="H14" s="83">
        <f>'Data Room'!M9</f>
        <v>3956</v>
      </c>
      <c r="I14" s="83">
        <f>'Data Room'!N9</f>
        <v>4164</v>
      </c>
    </row>
    <row r="15" spans="1:16">
      <c r="B15" t="str">
        <v>Advance from Customers</v>
      </c>
      <c r="E15" s="83">
        <f>'Data Room'!J10</f>
        <v>0</v>
      </c>
      <c r="F15" s="83">
        <f>'Data Room'!K10</f>
        <v>0</v>
      </c>
      <c r="G15" s="83">
        <f>'Data Room'!L10</f>
        <v>0</v>
      </c>
      <c r="H15" s="83">
        <f>'Data Room'!M10</f>
        <v>0</v>
      </c>
      <c r="I15" s="83">
        <f>'Data Room'!N10</f>
        <v>0</v>
      </c>
    </row>
    <row r="16" spans="1:16">
      <c r="B16" t="str">
        <v>Other liability items</v>
      </c>
      <c r="E16" s="83">
        <f>'Data Room'!J11</f>
        <v>22759</v>
      </c>
      <c r="F16" s="83">
        <f>'Data Room'!K11</f>
        <v>31385</v>
      </c>
      <c r="G16" s="83">
        <f>'Data Room'!L11</f>
        <v>36637</v>
      </c>
      <c r="H16" s="83">
        <f>'Data Room'!M11</f>
        <v>36584</v>
      </c>
      <c r="I16" s="83">
        <f>'Data Room'!N11</f>
        <v>39201</v>
      </c>
    </row>
    <row r="17" spans="1:15">
      <c r="A17" t="s">
        <v>4</v>
      </c>
      <c r="B17" s="37" t="s">
        <v>270</v>
      </c>
      <c r="C17" s="38"/>
      <c r="D17" s="38"/>
      <c r="E17" s="120">
        <f>SUM(E14:E16)</f>
        <v>25404</v>
      </c>
      <c r="F17" s="120">
        <f t="shared" ref="F17:I17" si="1">SUM(F14:F16)</f>
        <v>35519</v>
      </c>
      <c r="G17" s="120">
        <f t="shared" si="1"/>
        <v>40502</v>
      </c>
      <c r="H17" s="120">
        <f t="shared" si="1"/>
        <v>40540</v>
      </c>
      <c r="I17" s="120">
        <f t="shared" si="1"/>
        <v>43365</v>
      </c>
    </row>
    <row r="18" spans="1:15">
      <c r="E18" s="83"/>
      <c r="F18" s="83"/>
      <c r="G18" s="83"/>
      <c r="H18" s="83"/>
      <c r="I18" s="83"/>
    </row>
    <row r="19" spans="1:15">
      <c r="A19" t="s">
        <v>4</v>
      </c>
      <c r="B19" s="111" t="s">
        <v>271</v>
      </c>
      <c r="C19" s="111"/>
      <c r="D19" s="111"/>
      <c r="E19" s="121">
        <f>E11-E17</f>
        <v>16761</v>
      </c>
      <c r="F19" s="121">
        <f t="shared" ref="F19:I19" si="2">F11-F17</f>
        <v>17198</v>
      </c>
      <c r="G19" s="121">
        <f t="shared" si="2"/>
        <v>22930</v>
      </c>
      <c r="H19" s="121">
        <f t="shared" si="2"/>
        <v>29496</v>
      </c>
      <c r="I19" s="121">
        <f t="shared" si="2"/>
        <v>24659</v>
      </c>
    </row>
    <row r="20" spans="1:15">
      <c r="E20" s="83"/>
      <c r="F20" s="83"/>
      <c r="G20" s="83"/>
      <c r="H20" s="83"/>
      <c r="I20" s="83"/>
    </row>
    <row r="21" spans="1:15">
      <c r="B21" s="2" t="s">
        <v>272</v>
      </c>
      <c r="E21" s="83"/>
      <c r="F21" s="83"/>
      <c r="G21" s="83"/>
      <c r="H21" s="83"/>
      <c r="I21" s="83"/>
    </row>
    <row r="22" spans="1:15">
      <c r="B22" s="105" t="s">
        <v>273</v>
      </c>
      <c r="E22" s="83">
        <f>'Data Room'!J15</f>
        <v>2036</v>
      </c>
      <c r="F22" s="83">
        <f>'Data Room'!K15</f>
        <v>2065</v>
      </c>
      <c r="G22" s="83">
        <f>'Data Room'!L15</f>
        <v>2054</v>
      </c>
      <c r="H22" s="83">
        <f>'Data Room'!M15</f>
        <v>2037</v>
      </c>
      <c r="I22" s="83">
        <f>'Data Room'!N15</f>
        <v>2079</v>
      </c>
    </row>
    <row r="23" spans="1:15">
      <c r="B23" s="105" t="s">
        <v>274</v>
      </c>
      <c r="E23" s="83">
        <f>'Data Room'!J16</f>
        <v>16328</v>
      </c>
      <c r="F23" s="83">
        <f>'Data Room'!K16</f>
        <v>16761</v>
      </c>
      <c r="G23" s="83">
        <f>'Data Room'!L16</f>
        <v>16903</v>
      </c>
      <c r="H23" s="83">
        <f>'Data Room'!M16</f>
        <v>16515</v>
      </c>
      <c r="I23" s="83">
        <f>'Data Room'!N16</f>
        <v>16376</v>
      </c>
    </row>
    <row r="24" spans="1:15">
      <c r="B24" s="105" t="s">
        <v>275</v>
      </c>
      <c r="E24" s="83">
        <f>'Data Room'!J17</f>
        <v>3296</v>
      </c>
      <c r="F24" s="83">
        <f>'Data Room'!K17</f>
        <v>3210</v>
      </c>
      <c r="G24" s="83">
        <f>'Data Room'!L17</f>
        <v>3302</v>
      </c>
      <c r="H24" s="83">
        <f>'Data Room'!M17</f>
        <v>3428</v>
      </c>
      <c r="I24" s="83">
        <f>'Data Room'!N17</f>
        <v>3461</v>
      </c>
    </row>
    <row r="25" spans="1:15">
      <c r="B25" s="105" t="s">
        <v>276</v>
      </c>
      <c r="E25" s="83">
        <f>'Data Room'!J18</f>
        <v>1371</v>
      </c>
      <c r="F25" s="83">
        <f>'Data Room'!K18</f>
        <v>1427</v>
      </c>
      <c r="G25" s="83">
        <f>'Data Room'!L18</f>
        <v>1482</v>
      </c>
      <c r="H25" s="83">
        <f>'Data Room'!M18</f>
        <v>1528</v>
      </c>
      <c r="I25" s="83">
        <f>'Data Room'!N18</f>
        <v>1628</v>
      </c>
      <c r="L25" s="4"/>
      <c r="M25" s="4"/>
      <c r="N25" s="4"/>
      <c r="O25" s="4"/>
    </row>
    <row r="26" spans="1:15">
      <c r="B26" s="105" t="s">
        <v>277</v>
      </c>
      <c r="E26" s="83">
        <f>'Data Room'!J19</f>
        <v>8650</v>
      </c>
      <c r="F26" s="83">
        <f>'Data Room'!K19</f>
        <v>9936</v>
      </c>
      <c r="G26" s="83">
        <f>'Data Room'!L19</f>
        <v>11898</v>
      </c>
      <c r="H26" s="83">
        <f>'Data Room'!M19</f>
        <v>12353</v>
      </c>
      <c r="I26" s="83">
        <f>'Data Room'!N19</f>
        <v>12925</v>
      </c>
    </row>
    <row r="27" spans="1:15">
      <c r="B27" s="105" t="s">
        <v>278</v>
      </c>
      <c r="E27" s="83">
        <f>'Data Room'!J20</f>
        <v>2149</v>
      </c>
      <c r="F27" s="83">
        <f>'Data Room'!K20</f>
        <v>2279</v>
      </c>
      <c r="G27" s="83">
        <f>'Data Room'!L20</f>
        <v>2303</v>
      </c>
      <c r="H27" s="83">
        <f>'Data Room'!M20</f>
        <v>2326</v>
      </c>
      <c r="I27" s="83">
        <f>'Data Room'!N20</f>
        <v>2340</v>
      </c>
    </row>
    <row r="28" spans="1:15">
      <c r="B28" s="105" t="s">
        <v>279</v>
      </c>
      <c r="E28" s="83">
        <f>'Data Room'!J21</f>
        <v>74</v>
      </c>
      <c r="F28" s="83">
        <f>'Data Room'!K21</f>
        <v>71</v>
      </c>
      <c r="G28" s="83">
        <f>'Data Room'!L21</f>
        <v>60</v>
      </c>
      <c r="H28" s="83">
        <f>'Data Room'!M21</f>
        <v>62</v>
      </c>
      <c r="I28" s="83">
        <f>'Data Room'!N21</f>
        <v>72</v>
      </c>
    </row>
    <row r="29" spans="1:15">
      <c r="B29" s="105" t="s">
        <v>280</v>
      </c>
      <c r="E29" s="83">
        <f>'Data Room'!J22</f>
        <v>6372</v>
      </c>
      <c r="F29" s="83">
        <f>'Data Room'!K22</f>
        <v>6495</v>
      </c>
      <c r="G29" s="83">
        <f>'Data Room'!L22</f>
        <v>7594</v>
      </c>
      <c r="H29" s="83">
        <f>'Data Room'!M22</f>
        <v>7653</v>
      </c>
      <c r="I29" s="83">
        <f>'Data Room'!N22</f>
        <v>10626</v>
      </c>
    </row>
    <row r="30" spans="1:15">
      <c r="B30" s="105" t="s">
        <v>281</v>
      </c>
      <c r="E30" s="83">
        <f>'Data Room'!J23</f>
        <v>2730</v>
      </c>
      <c r="F30" s="83">
        <f>'Data Room'!K23</f>
        <v>2766</v>
      </c>
      <c r="G30" s="83">
        <f>'Data Room'!L23</f>
        <v>3281</v>
      </c>
      <c r="H30" s="83">
        <f>'Data Room'!M23</f>
        <v>3294</v>
      </c>
      <c r="I30" s="83">
        <f>'Data Room'!N23</f>
        <v>5184</v>
      </c>
    </row>
    <row r="31" spans="1:15">
      <c r="B31" s="2" t="s">
        <v>282</v>
      </c>
      <c r="E31" s="83">
        <f>'Data Room'!J24</f>
        <v>43006</v>
      </c>
      <c r="F31" s="83">
        <f>'Data Room'!K24</f>
        <v>45010</v>
      </c>
      <c r="G31" s="83">
        <f>'Data Room'!L24</f>
        <v>48877</v>
      </c>
      <c r="H31" s="83">
        <f>'Data Room'!M24</f>
        <v>49196</v>
      </c>
      <c r="I31" s="83">
        <f>'Data Room'!N24</f>
        <v>54691</v>
      </c>
      <c r="J31" s="33"/>
    </row>
    <row r="32" spans="1:15">
      <c r="B32" s="109" t="s">
        <v>283</v>
      </c>
      <c r="E32" s="83">
        <f>-'Data Room'!J25</f>
        <v>-17501</v>
      </c>
      <c r="F32" s="83">
        <f>-'Data Room'!K25</f>
        <v>-19210</v>
      </c>
      <c r="G32" s="83">
        <f>-'Data Room'!L25</f>
        <v>-19652</v>
      </c>
      <c r="H32" s="83">
        <f>-'Data Room'!M25</f>
        <v>-21574</v>
      </c>
      <c r="I32" s="83">
        <f>-'Data Room'!N25</f>
        <v>-23730</v>
      </c>
    </row>
    <row r="33" spans="1:15">
      <c r="A33" t="s">
        <v>4</v>
      </c>
      <c r="B33" s="101" t="s">
        <v>284</v>
      </c>
      <c r="C33" s="113"/>
      <c r="D33" s="113"/>
      <c r="E33" s="155">
        <f>SUM(E31:E32)</f>
        <v>25505</v>
      </c>
      <c r="F33" s="155">
        <f t="shared" ref="F33:I33" si="3">SUM(F31:F32)</f>
        <v>25800</v>
      </c>
      <c r="G33" s="155">
        <f t="shared" si="3"/>
        <v>29225</v>
      </c>
      <c r="H33" s="155">
        <f t="shared" si="3"/>
        <v>27622</v>
      </c>
      <c r="I33" s="155">
        <f t="shared" si="3"/>
        <v>30961</v>
      </c>
    </row>
    <row r="34" spans="1:15">
      <c r="E34" s="83"/>
      <c r="F34" s="83"/>
      <c r="G34" s="83"/>
      <c r="H34" s="83"/>
      <c r="I34" s="83"/>
    </row>
    <row r="35" spans="1:15">
      <c r="A35" t="s">
        <v>4</v>
      </c>
      <c r="B35" s="2" t="s">
        <v>285</v>
      </c>
      <c r="C35" s="2"/>
      <c r="D35" s="2"/>
      <c r="E35" s="122">
        <f>E33+E19</f>
        <v>42266</v>
      </c>
      <c r="F35" s="122">
        <f t="shared" ref="F35:I35" si="4">F33+F19</f>
        <v>42998</v>
      </c>
      <c r="G35" s="122">
        <f t="shared" si="4"/>
        <v>52155</v>
      </c>
      <c r="H35" s="122">
        <f t="shared" si="4"/>
        <v>57118</v>
      </c>
      <c r="I35" s="122">
        <f t="shared" si="4"/>
        <v>55620</v>
      </c>
      <c r="J35" s="33"/>
    </row>
    <row r="36" spans="1:15">
      <c r="B36" t="s">
        <v>286</v>
      </c>
      <c r="E36" s="83">
        <f>('Historical FS'!H30+'Historical FS'!H24)</f>
        <v>24622</v>
      </c>
      <c r="F36" s="83">
        <f>('Historical FS'!I30+'Historical FS'!I24)</f>
        <v>28015</v>
      </c>
      <c r="G36" s="83">
        <f>('Historical FS'!J30+'Historical FS'!J24)</f>
        <v>30905</v>
      </c>
      <c r="H36" s="83">
        <f>('Historical FS'!K30+'Historical FS'!K24)</f>
        <v>31747</v>
      </c>
      <c r="I36" s="83">
        <f>('Historical FS'!L30+'Historical FS'!L24)</f>
        <v>34424</v>
      </c>
    </row>
    <row r="37" spans="1:15">
      <c r="B37" t="s">
        <v>287</v>
      </c>
      <c r="E37">
        <f>E36*(1-E47)</f>
        <v>17235.399999999998</v>
      </c>
      <c r="F37">
        <f>F36*(1-F47)</f>
        <v>19610.5</v>
      </c>
      <c r="G37">
        <f>G36*(1-G47)</f>
        <v>21633.5</v>
      </c>
      <c r="H37">
        <f>H36*(1-H47)</f>
        <v>22222.899999999998</v>
      </c>
      <c r="I37">
        <f>I36*(1-I47)</f>
        <v>24096.799999999999</v>
      </c>
    </row>
    <row r="39" spans="1:15">
      <c r="B39" s="112" t="s">
        <v>288</v>
      </c>
      <c r="C39" s="112"/>
      <c r="D39" s="112"/>
      <c r="E39" s="114">
        <f>E37/E35</f>
        <v>0.40778403444849282</v>
      </c>
      <c r="F39" s="114">
        <f t="shared" ref="F39:I39" si="5">F37/F35</f>
        <v>0.45607935252802456</v>
      </c>
      <c r="G39" s="114">
        <f t="shared" si="5"/>
        <v>0.41479244559486145</v>
      </c>
      <c r="H39" s="114">
        <f t="shared" si="5"/>
        <v>0.38906999544801985</v>
      </c>
      <c r="I39" s="114">
        <f t="shared" si="5"/>
        <v>0.43323984178353109</v>
      </c>
    </row>
    <row r="41" spans="1:15">
      <c r="B41" s="60" t="s">
        <v>289</v>
      </c>
      <c r="C41" s="60"/>
      <c r="D41" s="60"/>
      <c r="E41" s="110">
        <f>E5</f>
        <v>44256</v>
      </c>
      <c r="F41" s="110">
        <f t="shared" ref="F41:I41" si="6">F5</f>
        <v>44621</v>
      </c>
      <c r="G41" s="110">
        <f t="shared" si="6"/>
        <v>44986</v>
      </c>
      <c r="H41" s="110">
        <f t="shared" si="6"/>
        <v>45352</v>
      </c>
      <c r="I41" s="110">
        <f t="shared" si="6"/>
        <v>45717</v>
      </c>
    </row>
    <row r="43" spans="1:15">
      <c r="B43" t="s">
        <v>290</v>
      </c>
      <c r="E43" s="33">
        <f>-'Data Room'!J46</f>
        <v>2107</v>
      </c>
      <c r="F43" s="33">
        <f>-'Data Room'!K46</f>
        <v>2161</v>
      </c>
      <c r="G43" s="33">
        <f>-'Data Room'!L46</f>
        <v>2579</v>
      </c>
      <c r="H43" s="33">
        <f>-'Data Room'!M46</f>
        <v>2201</v>
      </c>
      <c r="I43" s="33">
        <f>-'Data Room'!N46</f>
        <v>2237</v>
      </c>
      <c r="K43" s="83"/>
      <c r="L43" s="83"/>
      <c r="M43" s="83"/>
      <c r="N43" s="83"/>
    </row>
    <row r="44" spans="1:15">
      <c r="B44" t="s">
        <v>291</v>
      </c>
      <c r="F44" s="33">
        <f>F19-E19</f>
        <v>437</v>
      </c>
      <c r="G44" s="33">
        <f t="shared" ref="G44:I44" si="7">G19-F19</f>
        <v>5732</v>
      </c>
      <c r="H44" s="33">
        <f t="shared" si="7"/>
        <v>6566</v>
      </c>
      <c r="I44" s="33">
        <f t="shared" si="7"/>
        <v>-4837</v>
      </c>
      <c r="K44" s="33"/>
    </row>
    <row r="45" spans="1:15">
      <c r="B45" t="s">
        <v>292</v>
      </c>
      <c r="F45" s="83">
        <f>F35-E35</f>
        <v>732</v>
      </c>
      <c r="G45" s="83">
        <f t="shared" ref="G45:I45" si="8">G35-F35</f>
        <v>9157</v>
      </c>
      <c r="H45" s="83">
        <f t="shared" si="8"/>
        <v>4963</v>
      </c>
      <c r="I45" s="83">
        <f t="shared" si="8"/>
        <v>-1498</v>
      </c>
    </row>
    <row r="46" spans="1:15">
      <c r="B46" t="s">
        <v>286</v>
      </c>
      <c r="E46">
        <f>E36</f>
        <v>24622</v>
      </c>
      <c r="F46">
        <f t="shared" ref="F46:I46" si="9">F36</f>
        <v>28015</v>
      </c>
      <c r="G46">
        <f t="shared" si="9"/>
        <v>30905</v>
      </c>
      <c r="H46">
        <f t="shared" si="9"/>
        <v>31747</v>
      </c>
      <c r="I46">
        <f t="shared" si="9"/>
        <v>34424</v>
      </c>
      <c r="L46" s="4"/>
      <c r="M46" s="4"/>
      <c r="N46" s="4"/>
      <c r="O46" s="4"/>
    </row>
    <row r="47" spans="1:15">
      <c r="B47" t="s">
        <v>293</v>
      </c>
      <c r="E47" s="4">
        <v>0.3</v>
      </c>
      <c r="F47" s="4">
        <v>0.3</v>
      </c>
      <c r="G47" s="4">
        <v>0.3</v>
      </c>
      <c r="H47" s="4">
        <v>0.3</v>
      </c>
      <c r="I47" s="4">
        <v>0.3</v>
      </c>
      <c r="O47" s="4"/>
    </row>
    <row r="48" spans="1:15">
      <c r="B48" t="s">
        <v>294</v>
      </c>
      <c r="E48">
        <f>E46*(1-E47)</f>
        <v>17235.399999999998</v>
      </c>
      <c r="F48">
        <f t="shared" ref="F48:I48" si="10">F46*(1-F47)</f>
        <v>19610.5</v>
      </c>
      <c r="G48">
        <f t="shared" si="10"/>
        <v>21633.5</v>
      </c>
      <c r="H48">
        <f t="shared" si="10"/>
        <v>22222.899999999998</v>
      </c>
      <c r="I48">
        <f t="shared" si="10"/>
        <v>24096.799999999999</v>
      </c>
      <c r="O48" s="4"/>
    </row>
    <row r="50" spans="2:16">
      <c r="B50" t="s">
        <v>295</v>
      </c>
      <c r="F50" s="33">
        <f>SUM(F43:F44)</f>
        <v>2598</v>
      </c>
      <c r="G50" s="33">
        <f t="shared" ref="G50:I50" si="11">SUM(G43:G44)</f>
        <v>8311</v>
      </c>
      <c r="H50" s="33">
        <f t="shared" si="11"/>
        <v>8767</v>
      </c>
      <c r="I50" s="33">
        <f t="shared" si="11"/>
        <v>-2600</v>
      </c>
      <c r="M50" s="43"/>
      <c r="N50" s="43"/>
      <c r="O50" s="43"/>
      <c r="P50" s="43"/>
    </row>
    <row r="51" spans="2:16">
      <c r="B51" s="2" t="s">
        <v>296</v>
      </c>
      <c r="C51" s="2"/>
      <c r="D51" s="2"/>
      <c r="E51" s="2"/>
      <c r="F51" s="8">
        <f>F50/F48</f>
        <v>0.13248004895336682</v>
      </c>
      <c r="G51" s="8">
        <f t="shared" ref="G51:I51" si="12">G50/G48</f>
        <v>0.38417269512561536</v>
      </c>
      <c r="H51" s="8">
        <f t="shared" si="12"/>
        <v>0.39450296765948645</v>
      </c>
      <c r="I51" s="8">
        <f t="shared" si="12"/>
        <v>-0.10789814415192059</v>
      </c>
      <c r="J51" s="2"/>
    </row>
    <row r="52" spans="2:16">
      <c r="L52" s="4"/>
      <c r="M52" s="4"/>
      <c r="N52" s="4"/>
      <c r="O52" s="4"/>
      <c r="P52" s="4"/>
    </row>
    <row r="53" spans="2:16">
      <c r="B53" s="38"/>
      <c r="C53" s="38"/>
      <c r="D53" s="38"/>
      <c r="E53" s="38"/>
      <c r="F53" s="38"/>
      <c r="G53" s="38"/>
      <c r="H53" s="38" t="s">
        <v>297</v>
      </c>
      <c r="I53" s="74">
        <f>AVERAGE(F51:I51)</f>
        <v>0.20081439189663702</v>
      </c>
    </row>
    <row r="54" spans="2:16">
      <c r="H54" t="s">
        <v>298</v>
      </c>
      <c r="I54" s="4">
        <f>MEDIAN(F51:I51)</f>
        <v>0.25832637203949105</v>
      </c>
      <c r="N54" s="4"/>
    </row>
    <row r="55" spans="2:16">
      <c r="N55" s="4"/>
    </row>
    <row r="56" spans="2:16">
      <c r="B56" s="60" t="s">
        <v>299</v>
      </c>
      <c r="C56" s="60"/>
      <c r="D56" s="60"/>
      <c r="E56" s="110">
        <f>E41</f>
        <v>44256</v>
      </c>
      <c r="F56" s="110">
        <f t="shared" ref="F56:I56" si="13">F41</f>
        <v>44621</v>
      </c>
      <c r="G56" s="110">
        <f t="shared" si="13"/>
        <v>44986</v>
      </c>
      <c r="H56" s="110">
        <f t="shared" si="13"/>
        <v>45352</v>
      </c>
      <c r="I56" s="110">
        <f t="shared" si="13"/>
        <v>45717</v>
      </c>
      <c r="J56" s="118"/>
    </row>
    <row r="58" spans="2:16">
      <c r="B58" t="s">
        <v>296</v>
      </c>
      <c r="F58" s="4">
        <f>F51</f>
        <v>0.13248004895336682</v>
      </c>
      <c r="G58" s="4">
        <f t="shared" ref="G58:I58" si="14">G51</f>
        <v>0.38417269512561536</v>
      </c>
      <c r="H58" s="4">
        <f t="shared" si="14"/>
        <v>0.39450296765948645</v>
      </c>
      <c r="I58" s="4">
        <f t="shared" si="14"/>
        <v>-0.10789814415192059</v>
      </c>
    </row>
    <row r="59" spans="2:16">
      <c r="B59" t="s">
        <v>288</v>
      </c>
      <c r="E59" s="4">
        <f>E39</f>
        <v>0.40778403444849282</v>
      </c>
      <c r="F59" s="4">
        <f t="shared" ref="F59:I59" si="15">F39</f>
        <v>0.45607935252802456</v>
      </c>
      <c r="G59" s="4">
        <f t="shared" si="15"/>
        <v>0.41479244559486145</v>
      </c>
      <c r="H59" s="4">
        <f t="shared" si="15"/>
        <v>0.38906999544801985</v>
      </c>
      <c r="I59" s="4">
        <f t="shared" si="15"/>
        <v>0.43323984178353109</v>
      </c>
    </row>
    <row r="61" spans="2:16" s="2" customFormat="1">
      <c r="B61" s="123" t="s">
        <v>300</v>
      </c>
      <c r="C61" s="123"/>
      <c r="D61" s="123"/>
      <c r="E61" s="123"/>
      <c r="F61" s="124">
        <f>F58*F59</f>
        <v>6.0421414949532536E-2</v>
      </c>
      <c r="G61" s="124">
        <f t="shared" ref="G61:I61" si="16">G58*G59</f>
        <v>0.15935193174192311</v>
      </c>
      <c r="H61" s="124">
        <f t="shared" si="16"/>
        <v>0.15348926783150671</v>
      </c>
      <c r="I61" s="124">
        <f t="shared" si="16"/>
        <v>-4.6745774901114708E-2</v>
      </c>
      <c r="J61" s="8"/>
    </row>
    <row r="63" spans="2:16">
      <c r="H63" s="38" t="s">
        <v>297</v>
      </c>
      <c r="I63" s="74">
        <f>AVERAGE(F61:I61)</f>
        <v>8.1629209905461922E-2</v>
      </c>
    </row>
    <row r="64" spans="2:16">
      <c r="H64" t="s">
        <v>298</v>
      </c>
      <c r="I64" s="4">
        <f>MEDIAN(F61:I61)</f>
        <v>0.10695534139051963</v>
      </c>
    </row>
    <row r="66" spans="2:9">
      <c r="B66" s="94"/>
      <c r="C66" s="94"/>
      <c r="D66" s="94"/>
      <c r="E66" s="94"/>
      <c r="F66" s="94"/>
      <c r="G66" s="94"/>
      <c r="H66" s="94"/>
      <c r="I66" s="94"/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49"/>
  <sheetViews>
    <sheetView showGridLines="0" topLeftCell="A24" workbookViewId="0">
      <selection activeCell="I32" sqref="I32"/>
    </sheetView>
  </sheetViews>
  <sheetFormatPr defaultRowHeight="14.25"/>
  <cols>
    <col min="1" max="1" width="1.86328125" customWidth="1"/>
    <col min="2" max="2" width="36.59765625" bestFit="1" customWidth="1"/>
    <col min="4" max="4" width="13.3984375" customWidth="1"/>
    <col min="5" max="5" width="17.1328125" customWidth="1"/>
    <col min="6" max="6" width="15.73046875" customWidth="1"/>
    <col min="7" max="7" width="10.1328125" bestFit="1" customWidth="1"/>
    <col min="8" max="8" width="10.59765625" bestFit="1" customWidth="1"/>
    <col min="9" max="10" width="10.1328125" bestFit="1" customWidth="1"/>
  </cols>
  <sheetData>
    <row r="2" spans="2:10" ht="30.75">
      <c r="B2" s="146" t="s">
        <v>0</v>
      </c>
      <c r="C2" s="38"/>
      <c r="D2" s="38"/>
      <c r="E2" s="38"/>
      <c r="F2" s="38"/>
      <c r="G2" s="38"/>
      <c r="H2" s="38"/>
      <c r="I2" s="38"/>
      <c r="J2" s="38"/>
    </row>
    <row r="3" spans="2:10">
      <c r="B3" s="69" t="s">
        <v>1</v>
      </c>
      <c r="C3" s="62"/>
      <c r="D3" s="62"/>
      <c r="E3" s="62"/>
      <c r="F3" s="62"/>
      <c r="G3" s="62"/>
      <c r="H3" s="62"/>
      <c r="I3" s="62"/>
      <c r="J3" s="62"/>
    </row>
    <row r="5" spans="2:10">
      <c r="B5" s="60" t="s">
        <v>301</v>
      </c>
      <c r="C5" s="60"/>
      <c r="D5" s="60"/>
      <c r="E5" s="110">
        <f>'Intrinsic Growth'!I5</f>
        <v>45717</v>
      </c>
      <c r="F5" s="110">
        <f>E5+366</f>
        <v>46083</v>
      </c>
      <c r="G5" s="110">
        <f t="shared" ref="G5:J5" si="0">F5+366</f>
        <v>46449</v>
      </c>
      <c r="H5" s="110">
        <f t="shared" si="0"/>
        <v>46815</v>
      </c>
      <c r="I5" s="110">
        <f t="shared" si="0"/>
        <v>47181</v>
      </c>
      <c r="J5" s="110">
        <f t="shared" si="0"/>
        <v>47547</v>
      </c>
    </row>
    <row r="7" spans="2:10">
      <c r="B7" t="s">
        <v>286</v>
      </c>
      <c r="E7" s="68">
        <f>'Historical FS'!L21-'Historical FS'!L27</f>
        <v>34424</v>
      </c>
      <c r="F7">
        <f>E7*(1+$E$18)</f>
        <v>36661.56</v>
      </c>
      <c r="G7">
        <f t="shared" ref="G7:J7" si="1">F7*(1+$E$18)</f>
        <v>39044.561399999999</v>
      </c>
      <c r="H7">
        <f t="shared" si="1"/>
        <v>41582.457890999998</v>
      </c>
      <c r="I7">
        <f t="shared" si="1"/>
        <v>44285.317653914994</v>
      </c>
      <c r="J7">
        <f t="shared" si="1"/>
        <v>47163.863301419464</v>
      </c>
    </row>
    <row r="8" spans="2:10">
      <c r="B8" t="s">
        <v>158</v>
      </c>
      <c r="E8" s="128">
        <v>0.3</v>
      </c>
      <c r="F8" s="72">
        <v>0.3</v>
      </c>
      <c r="G8" s="72">
        <v>0.3</v>
      </c>
      <c r="H8" s="72">
        <v>0.3</v>
      </c>
      <c r="I8" s="72">
        <v>0.3</v>
      </c>
      <c r="J8" s="72">
        <v>0.3</v>
      </c>
    </row>
    <row r="9" spans="2:10">
      <c r="B9" t="s">
        <v>302</v>
      </c>
      <c r="E9" s="68">
        <f t="shared" ref="E9:J9" si="2">E7*(1-E8)</f>
        <v>24096.799999999999</v>
      </c>
      <c r="F9">
        <f t="shared" si="2"/>
        <v>25663.091999999997</v>
      </c>
      <c r="G9">
        <f t="shared" si="2"/>
        <v>27331.192979999996</v>
      </c>
      <c r="H9">
        <f t="shared" si="2"/>
        <v>29107.720523699998</v>
      </c>
      <c r="I9">
        <f t="shared" si="2"/>
        <v>30999.722357740495</v>
      </c>
      <c r="J9">
        <f t="shared" si="2"/>
        <v>33014.70431099362</v>
      </c>
    </row>
    <row r="10" spans="2:10">
      <c r="B10" t="s">
        <v>303</v>
      </c>
      <c r="E10" s="58">
        <f>'Intrinsic Growth'!I53</f>
        <v>0.20081439189663702</v>
      </c>
      <c r="F10" s="4">
        <f>E10+(($J$10-$E$10)/4)</f>
        <v>0.21311079392247778</v>
      </c>
      <c r="G10" s="4">
        <f t="shared" ref="G10:I10" si="3">F10+(($J$10-$E$10)/4)</f>
        <v>0.22540719594831854</v>
      </c>
      <c r="H10" s="4">
        <f t="shared" si="3"/>
        <v>0.2377035979741593</v>
      </c>
      <c r="I10" s="4">
        <f t="shared" si="3"/>
        <v>0.25000000000000006</v>
      </c>
      <c r="J10" s="72">
        <v>0.25</v>
      </c>
    </row>
    <row r="11" spans="2:10">
      <c r="B11" t="s">
        <v>304</v>
      </c>
      <c r="E11" s="68">
        <f t="shared" ref="E11:J11" si="4">E9*(1-E10)</f>
        <v>19257.815761345119</v>
      </c>
      <c r="F11">
        <f t="shared" si="4"/>
        <v>20194.010089374409</v>
      </c>
      <c r="G11">
        <f t="shared" si="4"/>
        <v>21170.545408455826</v>
      </c>
      <c r="H11">
        <f t="shared" si="4"/>
        <v>22188.710626390228</v>
      </c>
      <c r="I11">
        <f t="shared" si="4"/>
        <v>23249.791768305371</v>
      </c>
      <c r="J11">
        <f t="shared" si="4"/>
        <v>24761.028233245215</v>
      </c>
    </row>
    <row r="12" spans="2:10">
      <c r="B12" t="s">
        <v>305</v>
      </c>
      <c r="E12" s="68"/>
      <c r="F12" s="66">
        <v>0.5</v>
      </c>
      <c r="G12" s="66">
        <f>F12+1</f>
        <v>1.5</v>
      </c>
      <c r="H12" s="66">
        <f t="shared" ref="H12:J12" si="5">G12+1</f>
        <v>2.5</v>
      </c>
      <c r="I12" s="66">
        <f t="shared" si="5"/>
        <v>3.5</v>
      </c>
      <c r="J12" s="66">
        <f t="shared" si="5"/>
        <v>4.5</v>
      </c>
    </row>
    <row r="13" spans="2:10">
      <c r="B13" t="s">
        <v>306</v>
      </c>
      <c r="E13" s="68"/>
      <c r="F13" s="130">
        <f>1/(1+$E$19)^F12</f>
        <v>0.94510642650758403</v>
      </c>
      <c r="G13" s="130">
        <f t="shared" ref="G13:J13" si="6">1/(1+$E$19)^G12</f>
        <v>0.84419378170792614</v>
      </c>
      <c r="H13" s="130">
        <f t="shared" si="6"/>
        <v>0.75405596775783967</v>
      </c>
      <c r="I13" s="130">
        <f t="shared" si="6"/>
        <v>0.67354251456442993</v>
      </c>
      <c r="J13" s="130">
        <f t="shared" si="6"/>
        <v>0.60162579214738776</v>
      </c>
    </row>
    <row r="14" spans="2:10" ht="6.75" customHeight="1">
      <c r="E14" s="68"/>
    </row>
    <row r="15" spans="2:10">
      <c r="B15" s="125" t="s">
        <v>307</v>
      </c>
      <c r="C15" s="125"/>
      <c r="D15" s="125"/>
      <c r="E15" s="129"/>
      <c r="F15" s="131">
        <f>F11*F13</f>
        <v>19085.488712426744</v>
      </c>
      <c r="G15" s="131">
        <f>G11*G13</f>
        <v>17872.042789183695</v>
      </c>
      <c r="H15" s="131">
        <f>H11*H13</f>
        <v>16731.529664681344</v>
      </c>
      <c r="I15" s="131">
        <f>I11*I13</f>
        <v>15659.723210723783</v>
      </c>
      <c r="J15" s="131">
        <f>J11*J13</f>
        <v>14896.873225209985</v>
      </c>
    </row>
    <row r="17" spans="2:10">
      <c r="B17" s="126" t="s">
        <v>308</v>
      </c>
      <c r="C17" s="126"/>
      <c r="D17" s="126"/>
      <c r="E17" s="127">
        <f>'Intrinsic Growth'!I64</f>
        <v>0.10695534139051963</v>
      </c>
    </row>
    <row r="18" spans="2:10">
      <c r="B18" s="126" t="s">
        <v>309</v>
      </c>
      <c r="C18" s="126"/>
      <c r="D18" s="126"/>
      <c r="E18" s="156">
        <v>6.5000000000000002E-2</v>
      </c>
    </row>
    <row r="19" spans="2:10">
      <c r="B19" s="126" t="s">
        <v>310</v>
      </c>
      <c r="C19" s="126"/>
      <c r="D19" s="126"/>
      <c r="E19" s="127">
        <f>WACC!L46</f>
        <v>0.1195372993573785</v>
      </c>
    </row>
    <row r="20" spans="2:10">
      <c r="B20" s="126"/>
      <c r="C20" s="126"/>
      <c r="D20" s="126"/>
      <c r="E20" s="126"/>
    </row>
    <row r="22" spans="2:10">
      <c r="B22" s="60" t="s">
        <v>311</v>
      </c>
      <c r="C22" s="60"/>
      <c r="D22" s="60"/>
      <c r="F22" s="208" t="s">
        <v>312</v>
      </c>
      <c r="G22" s="208"/>
      <c r="H22" s="208"/>
      <c r="I22" s="208"/>
      <c r="J22" s="208"/>
    </row>
    <row r="23" spans="2:10">
      <c r="F23" s="167">
        <f>D34</f>
        <v>406264.43857841863</v>
      </c>
      <c r="G23" s="168">
        <v>0.1</v>
      </c>
      <c r="H23" s="8">
        <v>0.1195</v>
      </c>
      <c r="I23" s="168">
        <v>0.13</v>
      </c>
      <c r="J23" s="168">
        <v>0.14000000000000001</v>
      </c>
    </row>
    <row r="24" spans="2:10">
      <c r="B24" t="s">
        <v>313</v>
      </c>
      <c r="D24" s="43">
        <f>J11*(1+E17)</f>
        <v>27409.352461112248</v>
      </c>
      <c r="F24" s="169">
        <v>0.03</v>
      </c>
      <c r="G24" s="43">
        <f t="dataTable" ref="G24:J28" dt2D="1" dtr="1" r1="D25" r2="D26"/>
        <v>326886.78029170434</v>
      </c>
      <c r="H24" s="43">
        <v>274020.83735935984</v>
      </c>
      <c r="I24" s="43">
        <v>254094.44348486076</v>
      </c>
      <c r="J24" s="43">
        <v>238653.64476825751</v>
      </c>
    </row>
    <row r="25" spans="2:10">
      <c r="B25" t="s">
        <v>310</v>
      </c>
      <c r="D25" s="4">
        <f>E19</f>
        <v>0.1195372993573785</v>
      </c>
      <c r="F25" s="169">
        <v>0.04</v>
      </c>
      <c r="G25" s="43">
        <v>370075.32963772811</v>
      </c>
      <c r="H25" s="43">
        <v>299966.16479883133</v>
      </c>
      <c r="I25" s="43">
        <v>274798.77229256061</v>
      </c>
      <c r="J25" s="43">
        <v>255743.46082352713</v>
      </c>
    </row>
    <row r="26" spans="2:10">
      <c r="B26" t="s">
        <v>314</v>
      </c>
      <c r="D26" s="4">
        <f>E18</f>
        <v>6.5000000000000002E-2</v>
      </c>
      <c r="F26" s="169">
        <v>0.05</v>
      </c>
      <c r="G26" s="43">
        <v>430539.29872216133</v>
      </c>
      <c r="H26" s="43">
        <v>333377.7735158485</v>
      </c>
      <c r="I26" s="43">
        <v>300679.18330218544</v>
      </c>
      <c r="J26" s="43">
        <v>276631.01377996762</v>
      </c>
    </row>
    <row r="27" spans="2:10" ht="15.75" customHeight="1">
      <c r="F27" s="170">
        <v>6.5000000000000002E-2</v>
      </c>
      <c r="G27" s="43">
        <v>586018.07636784681</v>
      </c>
      <c r="H27" s="43">
        <v>406484.8256168447</v>
      </c>
      <c r="I27" s="43">
        <v>354430.80616832926</v>
      </c>
      <c r="J27" s="43">
        <v>318406.11969284876</v>
      </c>
    </row>
    <row r="28" spans="2:10">
      <c r="B28" s="101" t="s">
        <v>315</v>
      </c>
      <c r="C28" s="101"/>
      <c r="D28" s="132">
        <f>D24*(1+D26)/(D25-D26)</f>
        <v>535247.63263025822</v>
      </c>
      <c r="F28" s="169">
        <v>7.0000000000000007E-2</v>
      </c>
      <c r="G28" s="43">
        <v>672395.17505989433</v>
      </c>
      <c r="H28" s="43">
        <v>440699.91060687334</v>
      </c>
      <c r="I28" s="43">
        <v>378320.41633105994</v>
      </c>
      <c r="J28" s="43">
        <v>336309.73651265498</v>
      </c>
    </row>
    <row r="30" spans="2:10">
      <c r="B30" s="60" t="s">
        <v>316</v>
      </c>
      <c r="C30" s="60"/>
      <c r="D30" s="60"/>
    </row>
    <row r="32" spans="2:10">
      <c r="B32" t="s">
        <v>307</v>
      </c>
      <c r="D32" s="43">
        <f>SUM(F15:J15)</f>
        <v>84245.657602225561</v>
      </c>
    </row>
    <row r="33" spans="2:4">
      <c r="B33" t="s">
        <v>317</v>
      </c>
      <c r="D33" s="43">
        <f>D28*J13</f>
        <v>322018.78097619308</v>
      </c>
    </row>
    <row r="34" spans="2:4">
      <c r="B34" s="37" t="s">
        <v>318</v>
      </c>
      <c r="C34" s="37"/>
      <c r="D34" s="119">
        <f>SUM(D32:D33)</f>
        <v>406264.43857841863</v>
      </c>
    </row>
    <row r="35" spans="2:4">
      <c r="B35" t="s">
        <v>319</v>
      </c>
      <c r="D35">
        <f>'Data Sheet'!K69</f>
        <v>24455</v>
      </c>
    </row>
    <row r="36" spans="2:4">
      <c r="B36" t="s">
        <v>320</v>
      </c>
      <c r="D36" s="33">
        <f>'Data Room'!O5</f>
        <v>0</v>
      </c>
    </row>
    <row r="37" spans="2:4">
      <c r="D37" s="33"/>
    </row>
    <row r="38" spans="2:4">
      <c r="B38" s="37" t="s">
        <v>321</v>
      </c>
      <c r="C38" s="37"/>
      <c r="D38" s="119">
        <f>D34+D35-D36</f>
        <v>430719.43857841863</v>
      </c>
    </row>
    <row r="39" spans="2:4">
      <c r="B39" t="s">
        <v>322</v>
      </c>
      <c r="D39" s="43">
        <f>'Data Sheet'!B6</f>
        <v>415.43700900430645</v>
      </c>
    </row>
    <row r="40" spans="2:4" ht="9" customHeight="1"/>
    <row r="41" spans="2:4">
      <c r="B41" s="112" t="s">
        <v>323</v>
      </c>
      <c r="C41" s="112"/>
      <c r="D41" s="133">
        <f>D38/D39</f>
        <v>1036.7863941894348</v>
      </c>
    </row>
    <row r="42" spans="2:4">
      <c r="B42" s="2"/>
      <c r="C42" s="2"/>
      <c r="D42" s="90"/>
    </row>
    <row r="43" spans="2:4">
      <c r="B43" t="s">
        <v>324</v>
      </c>
      <c r="D43">
        <v>1499</v>
      </c>
    </row>
    <row r="44" spans="2:4">
      <c r="B44" t="s">
        <v>325</v>
      </c>
      <c r="D44" s="4">
        <f>D43/D41-1</f>
        <v>0.44581372633841942</v>
      </c>
    </row>
    <row r="45" spans="2:4">
      <c r="D45" s="159">
        <f>D41/D43</f>
        <v>0.6916520308134988</v>
      </c>
    </row>
    <row r="46" spans="2:4">
      <c r="B46" s="157" t="s">
        <v>326</v>
      </c>
      <c r="C46" s="158"/>
      <c r="D46" s="158"/>
    </row>
    <row r="47" spans="2:4">
      <c r="B47" s="157" t="s">
        <v>327</v>
      </c>
      <c r="C47" s="158"/>
      <c r="D47" s="158"/>
    </row>
    <row r="48" spans="2:4">
      <c r="B48" s="158"/>
      <c r="C48" s="158"/>
      <c r="D48" s="158"/>
    </row>
    <row r="49" spans="2:11">
      <c r="B49" s="94"/>
      <c r="C49" s="94"/>
      <c r="D49" s="94"/>
      <c r="E49" s="94"/>
      <c r="F49" s="94"/>
      <c r="G49" s="94"/>
      <c r="H49" s="94"/>
      <c r="I49" s="94"/>
      <c r="J49" s="94"/>
      <c r="K49" s="94"/>
    </row>
  </sheetData>
  <mergeCells count="1">
    <mergeCell ref="F22:J22"/>
  </mergeCells>
  <pageMargins left="0.7" right="0.7" top="0.75" bottom="0.75" header="0.3" footer="0.3"/>
  <pageSetup paperSize="9" scale="75" fitToWidth="0" fitToHeight="0"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37"/>
  <sheetViews>
    <sheetView showGridLines="0" zoomScale="67" workbookViewId="0">
      <selection activeCell="M40" sqref="M40"/>
    </sheetView>
  </sheetViews>
  <sheetFormatPr defaultRowHeight="14.25"/>
  <cols>
    <col min="1" max="1" width="1.86328125" customWidth="1"/>
    <col min="2" max="2" width="22.1328125" customWidth="1"/>
    <col min="3" max="3" width="12.1328125" customWidth="1"/>
    <col min="4" max="4" width="9" customWidth="1"/>
    <col min="5" max="5" width="11.86328125" customWidth="1"/>
    <col min="6" max="6" width="11.73046875" customWidth="1"/>
    <col min="7" max="7" width="10" customWidth="1"/>
    <col min="8" max="8" width="13.265625" customWidth="1"/>
    <col min="9" max="9" width="2.73046875" customWidth="1"/>
    <col min="10" max="10" width="11.86328125" bestFit="1" customWidth="1"/>
    <col min="11" max="11" width="9.3984375" bestFit="1" customWidth="1"/>
    <col min="12" max="12" width="11" bestFit="1" customWidth="1"/>
    <col min="13" max="13" width="4" customWidth="1"/>
    <col min="14" max="14" width="12.3984375" customWidth="1"/>
    <col min="15" max="15" width="12.265625" customWidth="1"/>
    <col min="16" max="16" width="10" customWidth="1"/>
    <col min="17" max="17" width="36.59765625" bestFit="1" customWidth="1"/>
  </cols>
  <sheetData>
    <row r="2" spans="2:17" ht="30.75">
      <c r="B2" s="146" t="s">
        <v>0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</row>
    <row r="3" spans="2:17">
      <c r="B3" s="69" t="s">
        <v>1</v>
      </c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</row>
    <row r="5" spans="2:17">
      <c r="B5" s="135" t="s">
        <v>328</v>
      </c>
      <c r="C5" s="135"/>
    </row>
    <row r="6" spans="2:17" ht="7.5" customHeight="1"/>
    <row r="7" spans="2:17">
      <c r="B7" s="209" t="s">
        <v>329</v>
      </c>
      <c r="C7" s="210"/>
      <c r="D7" s="210"/>
      <c r="E7" s="210"/>
      <c r="F7" s="210"/>
      <c r="G7" s="210"/>
      <c r="H7" s="210"/>
      <c r="I7" s="60"/>
      <c r="J7" s="211" t="s">
        <v>330</v>
      </c>
      <c r="K7" s="211"/>
      <c r="L7" s="211"/>
      <c r="M7" s="94"/>
      <c r="N7" s="211" t="s">
        <v>331</v>
      </c>
      <c r="O7" s="211"/>
      <c r="P7" s="211"/>
      <c r="Q7" s="108"/>
    </row>
    <row r="8" spans="2:17" ht="28.5">
      <c r="B8" s="60" t="s">
        <v>332</v>
      </c>
      <c r="C8" s="60" t="s">
        <v>333</v>
      </c>
      <c r="D8" s="134" t="s">
        <v>324</v>
      </c>
      <c r="E8" s="134" t="s">
        <v>334</v>
      </c>
      <c r="F8" s="134" t="s">
        <v>335</v>
      </c>
      <c r="G8" s="134" t="s">
        <v>336</v>
      </c>
      <c r="H8" s="134" t="s">
        <v>318</v>
      </c>
      <c r="I8" s="60"/>
      <c r="J8" s="60" t="s">
        <v>337</v>
      </c>
      <c r="K8" s="60" t="s">
        <v>117</v>
      </c>
      <c r="L8" s="60" t="s">
        <v>338</v>
      </c>
      <c r="M8" s="94"/>
      <c r="N8" s="60" t="s">
        <v>339</v>
      </c>
      <c r="O8" s="60" t="s">
        <v>340</v>
      </c>
      <c r="P8" s="54" t="s">
        <v>341</v>
      </c>
      <c r="Q8" s="108"/>
    </row>
    <row r="9" spans="2:17">
      <c r="D9" s="137"/>
      <c r="E9" s="137"/>
      <c r="F9" s="137"/>
      <c r="G9" s="137"/>
      <c r="H9" s="137"/>
      <c r="I9" s="137"/>
      <c r="J9" s="137"/>
      <c r="K9" s="137"/>
      <c r="L9" s="137"/>
    </row>
    <row r="10" spans="2:17">
      <c r="B10" s="52" t="str">
        <f>'Data Room'!C67</f>
        <v>TCS</v>
      </c>
      <c r="C10" s="52"/>
      <c r="D10" s="136">
        <f>'Data Room'!D67</f>
        <v>3048.3</v>
      </c>
      <c r="E10" s="136">
        <f>'Data Room'!E67</f>
        <v>361.81</v>
      </c>
      <c r="F10" s="136">
        <f>E10*D10</f>
        <v>1102905.4230000002</v>
      </c>
      <c r="G10" s="136">
        <f>'Data Room'!J67</f>
        <v>-6071</v>
      </c>
      <c r="H10" s="136">
        <f>F10+G10</f>
        <v>1096834.4230000002</v>
      </c>
      <c r="I10" s="136"/>
      <c r="J10" s="136">
        <f>'Data Room'!L67</f>
        <v>256148</v>
      </c>
      <c r="K10" s="136">
        <f>'Data Room'!K67</f>
        <v>71323</v>
      </c>
      <c r="L10" s="136">
        <f>'Data Room'!M67</f>
        <v>49511</v>
      </c>
      <c r="M10" s="138"/>
      <c r="N10" s="159">
        <f>H10/J10</f>
        <v>4.2820339139872265</v>
      </c>
      <c r="O10" s="159">
        <f>H10/K10</f>
        <v>15.37841121377396</v>
      </c>
      <c r="P10" s="159">
        <f>F10/L10</f>
        <v>22.275967421381111</v>
      </c>
    </row>
    <row r="11" spans="2:17">
      <c r="B11" s="139" t="str">
        <f>'Data Room'!C68</f>
        <v>Infosys</v>
      </c>
      <c r="C11" s="139"/>
      <c r="D11" s="140">
        <f>'Data Room'!D68</f>
        <v>1444.6</v>
      </c>
      <c r="E11" s="140">
        <f>'Data Room'!E68</f>
        <v>415.44</v>
      </c>
      <c r="F11" s="140">
        <f t="shared" ref="F11:F19" si="0">E11*D11</f>
        <v>600144.62399999995</v>
      </c>
      <c r="G11" s="140">
        <f>'Data Room'!J68</f>
        <v>-15970</v>
      </c>
      <c r="H11" s="140">
        <f t="shared" ref="H11:H19" si="1">F11+G11</f>
        <v>584174.62399999995</v>
      </c>
      <c r="I11" s="140"/>
      <c r="J11" s="140">
        <f>'Data Room'!L68</f>
        <v>165954</v>
      </c>
      <c r="K11" s="140">
        <f>'Data Room'!K68</f>
        <v>42545</v>
      </c>
      <c r="L11" s="140">
        <f>'Data Room'!M68</f>
        <v>27300</v>
      </c>
      <c r="M11" s="141"/>
      <c r="N11" s="162">
        <f t="shared" ref="N11:N19" si="2">H11/J11</f>
        <v>3.5200996902756181</v>
      </c>
      <c r="O11" s="162">
        <f t="shared" ref="O11:O19" si="3">H11/K11</f>
        <v>13.730746832765305</v>
      </c>
      <c r="P11" s="162">
        <f t="shared" ref="P11:P19" si="4">F11/L11</f>
        <v>21.983319560439558</v>
      </c>
    </row>
    <row r="12" spans="2:17">
      <c r="B12" s="52" t="str">
        <f>'Data Room'!C69</f>
        <v>HCL Technologies</v>
      </c>
      <c r="C12" s="52"/>
      <c r="D12" s="136">
        <f>'Data Room'!D69</f>
        <v>1419</v>
      </c>
      <c r="E12" s="136">
        <f>'Data Room'!E69</f>
        <v>271.37</v>
      </c>
      <c r="F12" s="136">
        <f t="shared" si="0"/>
        <v>385074.03</v>
      </c>
      <c r="G12" s="136">
        <f>'Data Room'!J69</f>
        <v>-15013</v>
      </c>
      <c r="H12" s="136">
        <f t="shared" si="1"/>
        <v>370061.03</v>
      </c>
      <c r="I12" s="136"/>
      <c r="J12" s="136">
        <f>'Data Room'!L69</f>
        <v>119347</v>
      </c>
      <c r="K12" s="136">
        <f>'Data Room'!K69</f>
        <v>27787</v>
      </c>
      <c r="L12" s="136">
        <f>'Data Room'!M69</f>
        <v>16984</v>
      </c>
      <c r="M12" s="138"/>
      <c r="N12" s="159">
        <f t="shared" si="2"/>
        <v>3.1007149739834268</v>
      </c>
      <c r="O12" s="159">
        <f t="shared" si="3"/>
        <v>13.317775578507936</v>
      </c>
      <c r="P12" s="159">
        <f t="shared" si="4"/>
        <v>22.672752590673579</v>
      </c>
    </row>
    <row r="13" spans="2:17">
      <c r="B13" s="52" t="str">
        <f>'Data Room'!C70</f>
        <v>Wipro</v>
      </c>
      <c r="C13" s="52"/>
      <c r="D13" s="136">
        <f>'Data Room'!D70</f>
        <v>243.67</v>
      </c>
      <c r="E13" s="136">
        <f>'Data Room'!E70</f>
        <v>1048.33</v>
      </c>
      <c r="F13" s="136">
        <f t="shared" si="0"/>
        <v>255446.57109999997</v>
      </c>
      <c r="G13" s="136">
        <f>'Data Room'!J70</f>
        <v>7006.1</v>
      </c>
      <c r="H13" s="136">
        <f t="shared" si="1"/>
        <v>262452.67109999998</v>
      </c>
      <c r="I13" s="136"/>
      <c r="J13" s="136">
        <f>'Data Room'!L70</f>
        <v>89259.199999999997</v>
      </c>
      <c r="K13" s="136">
        <f>'Data Room'!K70</f>
        <v>21870</v>
      </c>
      <c r="L13" s="136">
        <f>'Data Room'!M70</f>
        <v>13517.9</v>
      </c>
      <c r="M13" s="138"/>
      <c r="N13" s="159">
        <f t="shared" si="2"/>
        <v>2.940343080601215</v>
      </c>
      <c r="O13" s="159">
        <f t="shared" si="3"/>
        <v>12.000579382716049</v>
      </c>
      <c r="P13" s="159">
        <f t="shared" si="4"/>
        <v>18.896912323659738</v>
      </c>
    </row>
    <row r="14" spans="2:17">
      <c r="B14" s="52" t="str">
        <f>'Data Room'!C71</f>
        <v>LTIMindtree</v>
      </c>
      <c r="C14" s="52"/>
      <c r="D14" s="136">
        <f>'Data Room'!D71</f>
        <v>5195.5</v>
      </c>
      <c r="E14" s="136">
        <f>'Data Room'!E71</f>
        <v>29.64</v>
      </c>
      <c r="F14" s="136">
        <f t="shared" si="0"/>
        <v>153994.62</v>
      </c>
      <c r="G14" s="136">
        <f>'Data Room'!J71</f>
        <v>-1400.8999999999996</v>
      </c>
      <c r="H14" s="136">
        <f t="shared" si="1"/>
        <v>152593.72</v>
      </c>
      <c r="I14" s="136"/>
      <c r="J14" s="136">
        <f>'Data Room'!L71</f>
        <v>38706.1</v>
      </c>
      <c r="K14" s="136">
        <f>'Data Room'!K71</f>
        <v>7484.6</v>
      </c>
      <c r="L14" s="136">
        <f>'Data Room'!M71</f>
        <v>4721.5</v>
      </c>
      <c r="M14" s="138"/>
      <c r="N14" s="159">
        <f t="shared" si="2"/>
        <v>3.9423687739141893</v>
      </c>
      <c r="O14" s="159">
        <f t="shared" si="3"/>
        <v>20.387692061031984</v>
      </c>
      <c r="P14" s="159">
        <f t="shared" si="4"/>
        <v>32.615613682092551</v>
      </c>
    </row>
    <row r="15" spans="2:17">
      <c r="B15" s="52" t="str">
        <f>'Data Room'!C72</f>
        <v>Tech Mahindra</v>
      </c>
      <c r="C15" s="52"/>
      <c r="D15" s="136">
        <f>'Data Room'!D72</f>
        <v>1477.9</v>
      </c>
      <c r="E15" s="136">
        <f>'Data Room'!E72</f>
        <v>97.93</v>
      </c>
      <c r="F15" s="136">
        <f t="shared" si="0"/>
        <v>144730.74700000003</v>
      </c>
      <c r="G15" s="136">
        <f>'Data Room'!J72</f>
        <v>-2517</v>
      </c>
      <c r="H15" s="136">
        <f t="shared" si="1"/>
        <v>142213.74700000003</v>
      </c>
      <c r="I15" s="136"/>
      <c r="J15" s="136">
        <f>'Data Room'!L72</f>
        <v>53334</v>
      </c>
      <c r="K15" s="136">
        <f>'Data Room'!K72</f>
        <v>7374.2</v>
      </c>
      <c r="L15" s="136">
        <f>'Data Room'!M72</f>
        <v>4517</v>
      </c>
      <c r="M15" s="138"/>
      <c r="N15" s="159">
        <f t="shared" si="2"/>
        <v>2.6664744253196839</v>
      </c>
      <c r="O15" s="159">
        <f t="shared" si="3"/>
        <v>19.285311898239815</v>
      </c>
      <c r="P15" s="159">
        <f t="shared" si="4"/>
        <v>32.04134314810716</v>
      </c>
    </row>
    <row r="16" spans="2:17">
      <c r="B16" s="52" t="str">
        <f>'Data Room'!C73</f>
        <v>Persistent Sys</v>
      </c>
      <c r="C16" s="52"/>
      <c r="D16" s="136">
        <f>'Data Room'!D73</f>
        <v>5132</v>
      </c>
      <c r="E16" s="136">
        <f>'Data Room'!E73</f>
        <v>15.64</v>
      </c>
      <c r="F16" s="136">
        <f t="shared" si="0"/>
        <v>80264.479999999996</v>
      </c>
      <c r="G16" s="136">
        <f>'Data Room'!J73</f>
        <v>-714.57</v>
      </c>
      <c r="H16" s="136">
        <f t="shared" si="1"/>
        <v>79549.909999999989</v>
      </c>
      <c r="I16" s="136"/>
      <c r="J16" s="136">
        <f>'Data Room'!L73</f>
        <v>12535.13</v>
      </c>
      <c r="K16" s="136">
        <f>'Data Room'!K73</f>
        <v>2139.39</v>
      </c>
      <c r="L16" s="136">
        <f>'Data Room'!M73</f>
        <v>1518.69</v>
      </c>
      <c r="M16" s="138"/>
      <c r="N16" s="159">
        <f t="shared" si="2"/>
        <v>6.3461575587967571</v>
      </c>
      <c r="O16" s="159">
        <f t="shared" si="3"/>
        <v>37.18345416216772</v>
      </c>
      <c r="P16" s="159">
        <f t="shared" si="4"/>
        <v>52.851128275026497</v>
      </c>
    </row>
    <row r="17" spans="2:16">
      <c r="B17" s="52" t="str">
        <f>'Data Room'!C74</f>
        <v>Coforge</v>
      </c>
      <c r="C17" s="52"/>
      <c r="D17" s="136">
        <f>'Data Room'!D74</f>
        <v>1658.3</v>
      </c>
      <c r="E17" s="136">
        <f>'Data Room'!E74</f>
        <v>33.450000000000003</v>
      </c>
      <c r="F17" s="136">
        <f t="shared" si="0"/>
        <v>55470.135000000002</v>
      </c>
      <c r="G17" s="136">
        <f>'Data Room'!J74</f>
        <v>187.20000000000005</v>
      </c>
      <c r="H17" s="136">
        <f t="shared" si="1"/>
        <v>55657.334999999999</v>
      </c>
      <c r="I17" s="136"/>
      <c r="J17" s="136">
        <f>'Data Room'!L74</f>
        <v>13418.9</v>
      </c>
      <c r="K17" s="136">
        <f>'Data Room'!K74</f>
        <v>1836.7</v>
      </c>
      <c r="L17" s="136">
        <f>'Data Room'!M74</f>
        <v>1153.2</v>
      </c>
      <c r="M17" s="138"/>
      <c r="N17" s="159">
        <f t="shared" si="2"/>
        <v>4.1476823733689052</v>
      </c>
      <c r="O17" s="159">
        <f t="shared" si="3"/>
        <v>30.302899221429737</v>
      </c>
      <c r="P17" s="159">
        <f t="shared" si="4"/>
        <v>48.101053590010409</v>
      </c>
    </row>
    <row r="18" spans="2:16">
      <c r="B18" s="52" t="str">
        <f>'Data Room'!C75</f>
        <v>Mphasis</v>
      </c>
      <c r="C18" s="52"/>
      <c r="D18" s="136">
        <f>'Data Room'!D75</f>
        <v>2797.4</v>
      </c>
      <c r="E18" s="136">
        <f>'Data Room'!E75</f>
        <v>19.03</v>
      </c>
      <c r="F18" s="136">
        <f t="shared" si="0"/>
        <v>53234.522000000004</v>
      </c>
      <c r="G18" s="136">
        <f>'Data Room'!J75</f>
        <v>-496.63999999999987</v>
      </c>
      <c r="H18" s="136">
        <f t="shared" si="1"/>
        <v>52737.882000000005</v>
      </c>
      <c r="I18" s="136"/>
      <c r="J18" s="136">
        <f>'Data Room'!L75</f>
        <v>14540.02</v>
      </c>
      <c r="K18" s="136">
        <f>'Data Room'!K75</f>
        <v>2870.53</v>
      </c>
      <c r="L18" s="136">
        <f>'Data Room'!M75</f>
        <v>1739.33</v>
      </c>
      <c r="M18" s="138"/>
      <c r="N18" s="159">
        <f t="shared" si="2"/>
        <v>3.6270845569675974</v>
      </c>
      <c r="O18" s="159">
        <f t="shared" si="3"/>
        <v>18.372175869961296</v>
      </c>
      <c r="P18" s="159">
        <f t="shared" si="4"/>
        <v>30.606338072706162</v>
      </c>
    </row>
    <row r="19" spans="2:16">
      <c r="B19" s="52" t="str">
        <f>'Data Room'!C76</f>
        <v>Hexaware Tech.</v>
      </c>
      <c r="C19" s="52"/>
      <c r="D19" s="136">
        <f>'Data Room'!D76</f>
        <v>721.25</v>
      </c>
      <c r="E19" s="136">
        <f>'Data Room'!E76</f>
        <v>60.88</v>
      </c>
      <c r="F19" s="136">
        <f t="shared" si="0"/>
        <v>43909.700000000004</v>
      </c>
      <c r="G19" s="136">
        <f>'Data Room'!J76</f>
        <v>-1405.3000000000002</v>
      </c>
      <c r="H19" s="136">
        <f t="shared" si="1"/>
        <v>42504.4</v>
      </c>
      <c r="I19" s="136"/>
      <c r="J19" s="136">
        <f>'Data Room'!L76</f>
        <v>12758.7</v>
      </c>
      <c r="K19" s="136">
        <f>'Data Room'!K76</f>
        <v>1896.3</v>
      </c>
      <c r="L19" s="136">
        <f>'Data Room'!M76</f>
        <v>1327.2</v>
      </c>
      <c r="M19" s="138"/>
      <c r="N19" s="159">
        <f t="shared" si="2"/>
        <v>3.3314052372106877</v>
      </c>
      <c r="O19" s="159">
        <f t="shared" si="3"/>
        <v>22.414385909402522</v>
      </c>
      <c r="P19" s="159">
        <f t="shared" si="4"/>
        <v>33.084463532248343</v>
      </c>
    </row>
    <row r="20" spans="2:16" ht="12" customHeight="1">
      <c r="B20" s="52"/>
      <c r="C20" s="52"/>
      <c r="J20" s="43"/>
      <c r="N20" s="138"/>
    </row>
    <row r="21" spans="2:16">
      <c r="B21" s="126" t="s">
        <v>342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62">
        <f>MAX(N10:N19)</f>
        <v>6.3461575587967571</v>
      </c>
      <c r="O21" s="162">
        <f t="shared" ref="O21:P21" si="5">MAX(O10:O19)</f>
        <v>37.18345416216772</v>
      </c>
      <c r="P21" s="162">
        <f t="shared" si="5"/>
        <v>52.851128275026497</v>
      </c>
    </row>
    <row r="22" spans="2:16">
      <c r="B22" s="126" t="s">
        <v>343</v>
      </c>
      <c r="C22" s="126"/>
      <c r="D22" s="126"/>
      <c r="E22" s="126"/>
      <c r="F22" s="126"/>
      <c r="G22" s="126"/>
      <c r="H22" s="126"/>
      <c r="I22" s="126"/>
      <c r="J22" s="126"/>
      <c r="K22" s="126"/>
      <c r="L22" s="126"/>
      <c r="M22" s="126"/>
      <c r="N22" s="162">
        <f>QUARTILE(N10:N19,3)</f>
        <v>4.0963539735052263</v>
      </c>
      <c r="O22" s="162">
        <f t="shared" ref="O22:P22" si="6">QUARTILE(O10:O19,3)</f>
        <v>21.907712447309887</v>
      </c>
      <c r="P22" s="162">
        <f t="shared" si="6"/>
        <v>32.967251069709391</v>
      </c>
    </row>
    <row r="23" spans="2:16">
      <c r="B23" s="142" t="s">
        <v>142</v>
      </c>
      <c r="C23" s="142"/>
      <c r="D23" s="142"/>
      <c r="E23" s="142"/>
      <c r="F23" s="142"/>
      <c r="G23" s="142"/>
      <c r="H23" s="142"/>
      <c r="I23" s="142"/>
      <c r="J23" s="142"/>
      <c r="K23" s="142"/>
      <c r="L23" s="142"/>
      <c r="M23" s="142"/>
      <c r="N23" s="163">
        <f>AVERAGE(N10:N19)</f>
        <v>3.7904364584425307</v>
      </c>
      <c r="O23" s="163">
        <f t="shared" ref="O23:P23" si="7">AVERAGE(O10:O19)</f>
        <v>20.23734321299963</v>
      </c>
      <c r="P23" s="163">
        <f t="shared" si="7"/>
        <v>31.512889219634509</v>
      </c>
    </row>
    <row r="24" spans="2:16">
      <c r="B24" s="142" t="s">
        <v>86</v>
      </c>
      <c r="C24" s="142"/>
      <c r="D24" s="142"/>
      <c r="E24" s="142"/>
      <c r="F24" s="142"/>
      <c r="G24" s="142"/>
      <c r="H24" s="142"/>
      <c r="I24" s="142"/>
      <c r="J24" s="142"/>
      <c r="K24" s="142"/>
      <c r="L24" s="142"/>
      <c r="M24" s="142"/>
      <c r="N24" s="163">
        <f>MEDIAN(N10:N19)</f>
        <v>3.5735921236216077</v>
      </c>
      <c r="O24" s="163">
        <f t="shared" ref="O24:P24" si="8">MEDIAN(O10:O19)</f>
        <v>18.828743884100554</v>
      </c>
      <c r="P24" s="163">
        <f t="shared" si="8"/>
        <v>31.323840610406663</v>
      </c>
    </row>
    <row r="25" spans="2:16">
      <c r="B25" s="126" t="s">
        <v>344</v>
      </c>
      <c r="C25" s="126"/>
      <c r="D25" s="126"/>
      <c r="E25" s="126"/>
      <c r="F25" s="126"/>
      <c r="G25" s="126"/>
      <c r="H25" s="126"/>
      <c r="I25" s="126"/>
      <c r="J25" s="126"/>
      <c r="K25" s="126"/>
      <c r="L25" s="126"/>
      <c r="M25" s="126"/>
      <c r="N25" s="162">
        <f>QUARTILE(N10:N19,1)</f>
        <v>3.1583875397902421</v>
      </c>
      <c r="O25" s="162">
        <f t="shared" ref="O25:P25" si="9">QUARTILE(O10:O19,1)</f>
        <v>14.142662928017469</v>
      </c>
      <c r="P25" s="162">
        <f t="shared" si="9"/>
        <v>22.375163713704229</v>
      </c>
    </row>
    <row r="26" spans="2:16">
      <c r="B26" s="126"/>
      <c r="C26" s="126"/>
      <c r="D26" s="126"/>
      <c r="E26" s="126"/>
      <c r="F26" s="126"/>
      <c r="G26" s="126"/>
      <c r="H26" s="126"/>
      <c r="I26" s="126"/>
      <c r="J26" s="126"/>
      <c r="K26" s="126"/>
      <c r="L26" s="126"/>
      <c r="M26" s="126"/>
      <c r="N26" s="126"/>
      <c r="O26" s="126"/>
      <c r="P26" s="126"/>
    </row>
    <row r="27" spans="2:16" ht="9" customHeight="1"/>
    <row r="28" spans="2:16">
      <c r="B28" s="143" t="s">
        <v>345</v>
      </c>
      <c r="C28" s="94"/>
      <c r="D28" s="94"/>
      <c r="E28" s="94"/>
      <c r="F28" s="94"/>
      <c r="G28" s="94"/>
      <c r="H28" s="94"/>
      <c r="I28" s="94"/>
      <c r="J28" s="94"/>
      <c r="K28" s="94"/>
      <c r="L28" s="94"/>
      <c r="M28" s="94"/>
      <c r="N28" s="60" t="s">
        <v>339</v>
      </c>
      <c r="O28" s="60" t="s">
        <v>340</v>
      </c>
      <c r="P28" s="54" t="s">
        <v>341</v>
      </c>
    </row>
    <row r="29" spans="2:16" ht="6" customHeight="1">
      <c r="N29" s="44"/>
      <c r="O29" s="44"/>
      <c r="P29" s="44"/>
    </row>
    <row r="30" spans="2:16">
      <c r="B30" s="22" t="s">
        <v>346</v>
      </c>
      <c r="N30" s="44">
        <f>N24*J11</f>
        <v>593051.9072835003</v>
      </c>
      <c r="O30" s="44">
        <f>O24*K11</f>
        <v>801068.90854905802</v>
      </c>
      <c r="P30" s="44">
        <f>P32+P31</f>
        <v>839170.84866410191</v>
      </c>
    </row>
    <row r="31" spans="2:16">
      <c r="B31" t="s">
        <v>336</v>
      </c>
      <c r="N31" s="44">
        <f>$G$11</f>
        <v>-15970</v>
      </c>
      <c r="O31" s="44">
        <f t="shared" ref="O31:P31" si="10">$G$11</f>
        <v>-15970</v>
      </c>
      <c r="P31" s="44">
        <f t="shared" si="10"/>
        <v>-15970</v>
      </c>
    </row>
    <row r="32" spans="2:16">
      <c r="B32" t="s">
        <v>347</v>
      </c>
      <c r="N32" s="44">
        <f>N30-N31</f>
        <v>609021.9072835003</v>
      </c>
      <c r="O32" s="44">
        <f t="shared" ref="O32" si="11">O30-O31</f>
        <v>817038.90854905802</v>
      </c>
      <c r="P32" s="44">
        <f>P24*L11</f>
        <v>855140.84866410191</v>
      </c>
    </row>
    <row r="33" spans="2:16">
      <c r="B33" t="s">
        <v>348</v>
      </c>
      <c r="N33" s="136">
        <f>E11</f>
        <v>415.44</v>
      </c>
      <c r="O33" s="136">
        <f>$E$11</f>
        <v>415.44</v>
      </c>
      <c r="P33" s="136">
        <f>$E$11</f>
        <v>415.44</v>
      </c>
    </row>
    <row r="34" spans="2:16">
      <c r="B34" s="144" t="s">
        <v>349</v>
      </c>
      <c r="C34" s="144"/>
      <c r="D34" s="144"/>
      <c r="E34" s="144"/>
      <c r="F34" s="144"/>
      <c r="G34" s="144"/>
      <c r="H34" s="144"/>
      <c r="I34" s="144"/>
      <c r="J34" s="144"/>
      <c r="K34" s="144"/>
      <c r="L34" s="144"/>
      <c r="M34" s="144"/>
      <c r="N34" s="145">
        <f>N32/N33</f>
        <v>1465.9683884158972</v>
      </c>
      <c r="O34" s="145">
        <f t="shared" ref="O34:P34" si="12">O32/O33</f>
        <v>1966.6832961415801</v>
      </c>
      <c r="P34" s="145">
        <f t="shared" si="12"/>
        <v>2058.3979603892303</v>
      </c>
    </row>
    <row r="35" spans="2:16" ht="6.75" customHeight="1"/>
    <row r="37" spans="2:16">
      <c r="B37" s="94"/>
      <c r="C37" s="94"/>
      <c r="D37" s="94"/>
      <c r="E37" s="94"/>
      <c r="F37" s="94"/>
      <c r="G37" s="94"/>
      <c r="H37" s="94"/>
      <c r="I37" s="94"/>
      <c r="J37" s="94"/>
      <c r="K37" s="94"/>
      <c r="L37" s="94"/>
      <c r="M37" s="94"/>
      <c r="N37" s="94"/>
      <c r="O37" s="94"/>
      <c r="P37" s="94"/>
    </row>
  </sheetData>
  <mergeCells count="3">
    <mergeCell ref="B7:H7"/>
    <mergeCell ref="J7:L7"/>
    <mergeCell ref="N7:P7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74069"/>
  </sheetPr>
  <dimension ref="A1"/>
  <sheetViews>
    <sheetView workbookViewId="0">
      <selection activeCell="I20" sqref="I20"/>
    </sheetView>
  </sheetViews>
  <sheetFormatPr defaultRowHeight="14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93"/>
  <sheetViews>
    <sheetView tabSelected="1" zoomScale="120" zoomScaleNormal="120" zoomScalePageLayoutView="120" workbookViewId="0">
      <pane xSplit="1" ySplit="1" topLeftCell="B50" activePane="bottomRight" state="frozen"/>
      <selection pane="topRight" activeCell="C4" sqref="C4"/>
      <selection pane="bottomLeft" activeCell="C4" sqref="C4"/>
      <selection pane="bottomRight" activeCell="C34" sqref="C34"/>
    </sheetView>
  </sheetViews>
  <sheetFormatPr defaultColWidth="8.86328125" defaultRowHeight="14.25"/>
  <cols>
    <col min="1" max="1" width="27.73046875" style="3" bestFit="1" customWidth="1"/>
    <col min="2" max="2" width="16.1328125" style="3" customWidth="1"/>
    <col min="3" max="3" width="17.3984375" style="3" customWidth="1"/>
    <col min="4" max="4" width="18.1328125" style="3" customWidth="1"/>
    <col min="5" max="11" width="13.3984375" style="3" bestFit="1" customWidth="1"/>
    <col min="12" max="16384" width="8.86328125" style="3"/>
  </cols>
  <sheetData>
    <row r="1" spans="1:11" s="1" customFormat="1">
      <c r="A1" s="1" t="s">
        <v>414</v>
      </c>
      <c r="B1" s="1" t="s">
        <v>0</v>
      </c>
      <c r="E1" s="225" t="str">
        <f>IF(B2&lt;&gt;B3, "A NEW VERSION OF THE WORKSHEET IS AVAILABLE", "")</f>
        <v/>
      </c>
      <c r="F1" s="225"/>
      <c r="G1" s="225"/>
      <c r="H1" s="225"/>
      <c r="I1" s="225"/>
      <c r="J1" s="225"/>
      <c r="K1" s="225"/>
    </row>
    <row r="2" spans="1:11">
      <c r="A2" s="1" t="s">
        <v>415</v>
      </c>
      <c r="B2" s="3">
        <v>2.1</v>
      </c>
      <c r="E2" s="226" t="s">
        <v>416</v>
      </c>
      <c r="F2" s="226"/>
      <c r="G2" s="226"/>
      <c r="H2" s="226"/>
      <c r="I2" s="226"/>
      <c r="J2" s="226"/>
      <c r="K2" s="226"/>
    </row>
    <row r="3" spans="1:11">
      <c r="A3" s="1" t="s">
        <v>417</v>
      </c>
      <c r="B3" s="3">
        <v>2.1</v>
      </c>
    </row>
    <row r="4" spans="1:11">
      <c r="A4" s="1"/>
    </row>
    <row r="5" spans="1:11">
      <c r="A5" s="1" t="s">
        <v>418</v>
      </c>
    </row>
    <row r="6" spans="1:11">
      <c r="A6" s="3" t="s">
        <v>419</v>
      </c>
      <c r="B6" s="3">
        <f>IF(B9&gt;0, B9/B8, 0)</f>
        <v>415.43700900430645</v>
      </c>
    </row>
    <row r="7" spans="1:11">
      <c r="A7" s="3" t="s">
        <v>420</v>
      </c>
      <c r="B7">
        <v>5</v>
      </c>
    </row>
    <row r="8" spans="1:11">
      <c r="A8" s="3" t="s">
        <v>421</v>
      </c>
      <c r="B8">
        <v>1532.6</v>
      </c>
    </row>
    <row r="9" spans="1:11">
      <c r="A9" s="3" t="s">
        <v>399</v>
      </c>
      <c r="B9">
        <v>636698.76</v>
      </c>
    </row>
    <row r="15" spans="1:11">
      <c r="A15" s="1" t="s">
        <v>422</v>
      </c>
    </row>
    <row r="16" spans="1:11" s="10" customFormat="1">
      <c r="A16" s="9" t="s">
        <v>423</v>
      </c>
      <c r="B16" s="7">
        <v>42460</v>
      </c>
      <c r="C16" s="7">
        <v>42825</v>
      </c>
      <c r="D16" s="7">
        <v>43190</v>
      </c>
      <c r="E16" s="7">
        <v>43555</v>
      </c>
      <c r="F16" s="7">
        <v>43921</v>
      </c>
      <c r="G16" s="7">
        <v>44286</v>
      </c>
      <c r="H16" s="7">
        <v>44651</v>
      </c>
      <c r="I16" s="7">
        <v>45016</v>
      </c>
      <c r="J16" s="7">
        <v>45382</v>
      </c>
      <c r="K16" s="7">
        <v>45747</v>
      </c>
    </row>
    <row r="17" spans="1:11" s="5" customFormat="1">
      <c r="A17" s="5" t="s">
        <v>6</v>
      </c>
      <c r="B17">
        <v>62441</v>
      </c>
      <c r="C17">
        <v>68484</v>
      </c>
      <c r="D17">
        <v>70522</v>
      </c>
      <c r="E17">
        <v>82675</v>
      </c>
      <c r="F17">
        <v>90791</v>
      </c>
      <c r="G17">
        <v>100472</v>
      </c>
      <c r="H17">
        <v>121641</v>
      </c>
      <c r="I17">
        <v>146767</v>
      </c>
      <c r="J17">
        <v>153670</v>
      </c>
      <c r="K17">
        <v>162990</v>
      </c>
    </row>
    <row r="18" spans="1:11" s="5" customFormat="1">
      <c r="A18" s="3" t="s">
        <v>424</v>
      </c>
    </row>
    <row r="19" spans="1:11" s="5" customFormat="1">
      <c r="A19" s="3" t="s">
        <v>425</v>
      </c>
    </row>
    <row r="20" spans="1:11" s="5" customFormat="1">
      <c r="A20" s="3" t="s">
        <v>426</v>
      </c>
      <c r="B20">
        <v>217</v>
      </c>
      <c r="C20">
        <v>228</v>
      </c>
      <c r="D20">
        <v>207</v>
      </c>
      <c r="E20">
        <v>221</v>
      </c>
      <c r="F20">
        <v>229</v>
      </c>
      <c r="G20">
        <v>143</v>
      </c>
      <c r="H20">
        <v>132</v>
      </c>
      <c r="I20">
        <v>176</v>
      </c>
      <c r="J20">
        <v>199</v>
      </c>
      <c r="K20">
        <v>222</v>
      </c>
    </row>
    <row r="21" spans="1:11" s="5" customFormat="1">
      <c r="A21" s="3" t="s">
        <v>427</v>
      </c>
      <c r="B21">
        <v>5860</v>
      </c>
      <c r="C21">
        <v>6712</v>
      </c>
      <c r="D21">
        <v>7286</v>
      </c>
      <c r="E21">
        <v>9902</v>
      </c>
      <c r="F21">
        <v>11086</v>
      </c>
      <c r="G21">
        <v>12800</v>
      </c>
      <c r="H21">
        <v>20690</v>
      </c>
      <c r="I21">
        <v>26330</v>
      </c>
      <c r="J21">
        <v>27195</v>
      </c>
      <c r="K21">
        <v>30395</v>
      </c>
    </row>
    <row r="22" spans="1:11" s="5" customFormat="1">
      <c r="A22" s="3" t="s">
        <v>428</v>
      </c>
      <c r="B22">
        <v>34415</v>
      </c>
      <c r="C22">
        <v>37669</v>
      </c>
      <c r="D22">
        <v>38902</v>
      </c>
      <c r="E22">
        <v>45323</v>
      </c>
      <c r="F22">
        <v>50895</v>
      </c>
      <c r="G22">
        <v>55547</v>
      </c>
      <c r="H22">
        <v>63997</v>
      </c>
      <c r="I22">
        <v>78374</v>
      </c>
      <c r="J22">
        <v>82636</v>
      </c>
      <c r="K22">
        <v>85968</v>
      </c>
    </row>
    <row r="23" spans="1:11" s="5" customFormat="1">
      <c r="A23" s="3" t="s">
        <v>429</v>
      </c>
      <c r="B23">
        <v>4441</v>
      </c>
      <c r="C23">
        <v>4584</v>
      </c>
      <c r="D23">
        <v>4585</v>
      </c>
      <c r="E23">
        <v>5553</v>
      </c>
      <c r="F23">
        <v>5375</v>
      </c>
      <c r="G23">
        <v>3194</v>
      </c>
      <c r="H23">
        <v>4305</v>
      </c>
      <c r="I23">
        <v>5300</v>
      </c>
      <c r="J23">
        <v>5705</v>
      </c>
      <c r="K23">
        <v>6039</v>
      </c>
    </row>
    <row r="24" spans="1:11" s="5" customFormat="1">
      <c r="A24" s="3" t="s">
        <v>430</v>
      </c>
      <c r="B24">
        <v>429</v>
      </c>
      <c r="C24">
        <v>687</v>
      </c>
      <c r="D24">
        <v>720</v>
      </c>
      <c r="E24">
        <v>1506</v>
      </c>
      <c r="F24">
        <v>939</v>
      </c>
      <c r="G24">
        <v>899</v>
      </c>
      <c r="H24">
        <v>1026</v>
      </c>
      <c r="I24">
        <v>1457</v>
      </c>
      <c r="J24">
        <v>1510</v>
      </c>
      <c r="K24">
        <v>1130</v>
      </c>
    </row>
    <row r="25" spans="1:11" s="5" customFormat="1">
      <c r="A25" s="5" t="s">
        <v>431</v>
      </c>
      <c r="B25">
        <v>3120</v>
      </c>
      <c r="C25">
        <v>3050</v>
      </c>
      <c r="D25">
        <v>3311</v>
      </c>
      <c r="E25">
        <v>2882</v>
      </c>
      <c r="F25">
        <v>2803</v>
      </c>
      <c r="G25">
        <v>2201</v>
      </c>
      <c r="H25">
        <v>2295</v>
      </c>
      <c r="I25">
        <v>2701</v>
      </c>
      <c r="J25">
        <v>4711</v>
      </c>
      <c r="K25">
        <v>3600</v>
      </c>
    </row>
    <row r="26" spans="1:11" s="5" customFormat="1">
      <c r="A26" s="5" t="s">
        <v>19</v>
      </c>
      <c r="B26">
        <v>1459</v>
      </c>
      <c r="C26">
        <v>1703</v>
      </c>
      <c r="D26">
        <v>1863</v>
      </c>
      <c r="E26">
        <v>2011</v>
      </c>
      <c r="F26">
        <v>2893</v>
      </c>
      <c r="G26">
        <v>3267</v>
      </c>
      <c r="H26">
        <v>3476</v>
      </c>
      <c r="I26">
        <v>4225</v>
      </c>
      <c r="J26">
        <v>4678</v>
      </c>
      <c r="K26">
        <v>4812</v>
      </c>
    </row>
    <row r="27" spans="1:11" s="5" customFormat="1">
      <c r="A27" s="5" t="s">
        <v>17</v>
      </c>
      <c r="F27">
        <v>170</v>
      </c>
      <c r="G27">
        <v>195</v>
      </c>
      <c r="H27">
        <v>200</v>
      </c>
      <c r="I27">
        <v>284</v>
      </c>
      <c r="J27">
        <v>470</v>
      </c>
      <c r="K27">
        <v>416</v>
      </c>
    </row>
    <row r="28" spans="1:11" s="5" customFormat="1">
      <c r="A28" s="5" t="s">
        <v>432</v>
      </c>
      <c r="B28">
        <v>18740</v>
      </c>
      <c r="C28">
        <v>19951</v>
      </c>
      <c r="D28">
        <v>20270</v>
      </c>
      <c r="E28">
        <v>21041</v>
      </c>
      <c r="F28">
        <v>22007</v>
      </c>
      <c r="G28">
        <v>26628</v>
      </c>
      <c r="H28">
        <v>30110</v>
      </c>
      <c r="I28">
        <v>33322</v>
      </c>
      <c r="J28">
        <v>35988</v>
      </c>
      <c r="K28">
        <v>37608</v>
      </c>
    </row>
    <row r="29" spans="1:11" s="5" customFormat="1">
      <c r="A29" s="5" t="s">
        <v>23</v>
      </c>
      <c r="B29">
        <v>5251</v>
      </c>
      <c r="C29">
        <v>5598</v>
      </c>
      <c r="D29">
        <v>4241</v>
      </c>
      <c r="E29">
        <v>5631</v>
      </c>
      <c r="F29">
        <v>5368</v>
      </c>
      <c r="G29">
        <v>7205</v>
      </c>
      <c r="H29">
        <v>7964</v>
      </c>
      <c r="I29">
        <v>9214</v>
      </c>
      <c r="J29">
        <v>9740</v>
      </c>
      <c r="K29">
        <v>10858</v>
      </c>
    </row>
    <row r="30" spans="1:11" s="5" customFormat="1">
      <c r="A30" s="5" t="s">
        <v>433</v>
      </c>
      <c r="B30">
        <v>13489</v>
      </c>
      <c r="C30">
        <v>14353</v>
      </c>
      <c r="D30">
        <v>16029</v>
      </c>
      <c r="E30">
        <v>15404</v>
      </c>
      <c r="F30">
        <v>16594</v>
      </c>
      <c r="G30">
        <v>19351</v>
      </c>
      <c r="H30">
        <v>22110</v>
      </c>
      <c r="I30">
        <v>24095</v>
      </c>
      <c r="J30">
        <v>26233</v>
      </c>
      <c r="K30">
        <v>26713</v>
      </c>
    </row>
    <row r="31" spans="1:11" s="5" customFormat="1">
      <c r="A31" s="5" t="s">
        <v>434</v>
      </c>
      <c r="B31">
        <v>5548.4</v>
      </c>
      <c r="C31">
        <v>5891.6</v>
      </c>
      <c r="D31">
        <v>9465.6</v>
      </c>
      <c r="E31">
        <v>9222.5</v>
      </c>
      <c r="F31">
        <v>7427</v>
      </c>
      <c r="G31">
        <v>11469.6</v>
      </c>
      <c r="H31">
        <v>13007.6</v>
      </c>
      <c r="I31">
        <v>14069.2</v>
      </c>
      <c r="J31">
        <v>19053.2</v>
      </c>
      <c r="K31">
        <v>17827.8</v>
      </c>
    </row>
    <row r="32" spans="1:11" s="5" customFormat="1">
      <c r="A32" s="186" t="s">
        <v>435</v>
      </c>
      <c r="B32" s="186">
        <v>20.75</v>
      </c>
      <c r="C32" s="186">
        <v>16.36</v>
      </c>
      <c r="D32" s="186">
        <v>15.42</v>
      </c>
      <c r="E32" s="186">
        <v>21.1</v>
      </c>
      <c r="F32" s="186">
        <v>16.46</v>
      </c>
      <c r="G32" s="186">
        <v>30.12</v>
      </c>
      <c r="H32" s="186">
        <v>36.28</v>
      </c>
      <c r="I32" s="186">
        <v>24.59</v>
      </c>
      <c r="J32" s="186">
        <v>23.7</v>
      </c>
      <c r="K32" s="186">
        <v>24.42</v>
      </c>
    </row>
    <row r="33" spans="1:11">
      <c r="A33" s="5"/>
    </row>
    <row r="34" spans="1:11">
      <c r="A34" s="5"/>
    </row>
    <row r="35" spans="1:11">
      <c r="A35" s="5"/>
    </row>
    <row r="36" spans="1:11">
      <c r="A36" s="5"/>
    </row>
    <row r="37" spans="1:11">
      <c r="A37" s="5"/>
    </row>
    <row r="38" spans="1:11">
      <c r="A38" s="5"/>
    </row>
    <row r="39" spans="1:11">
      <c r="A39" s="5"/>
    </row>
    <row r="40" spans="1:11">
      <c r="A40" s="1" t="s">
        <v>436</v>
      </c>
    </row>
    <row r="41" spans="1:11" s="10" customFormat="1">
      <c r="A41" s="9" t="s">
        <v>423</v>
      </c>
      <c r="B41" s="7">
        <v>45016</v>
      </c>
      <c r="C41" s="7">
        <v>45107</v>
      </c>
      <c r="D41" s="7">
        <v>45199</v>
      </c>
      <c r="E41" s="7">
        <v>45291</v>
      </c>
      <c r="F41" s="7">
        <v>45382</v>
      </c>
      <c r="G41" s="7">
        <v>45473</v>
      </c>
      <c r="H41" s="7">
        <v>45565</v>
      </c>
      <c r="I41" s="7">
        <v>45657</v>
      </c>
      <c r="J41" s="7">
        <v>45747</v>
      </c>
      <c r="K41" s="7">
        <v>45838</v>
      </c>
    </row>
    <row r="42" spans="1:11" s="5" customFormat="1">
      <c r="A42" s="5" t="s">
        <v>6</v>
      </c>
      <c r="B42">
        <v>37441</v>
      </c>
      <c r="C42">
        <v>37933</v>
      </c>
      <c r="D42">
        <v>38994</v>
      </c>
      <c r="E42">
        <v>38821</v>
      </c>
      <c r="F42">
        <v>37923</v>
      </c>
      <c r="G42">
        <v>39315</v>
      </c>
      <c r="H42">
        <v>40986</v>
      </c>
      <c r="I42">
        <v>41764</v>
      </c>
      <c r="J42">
        <v>40925</v>
      </c>
      <c r="K42">
        <v>42279</v>
      </c>
    </row>
    <row r="43" spans="1:11" s="5" customFormat="1">
      <c r="A43" s="5" t="s">
        <v>437</v>
      </c>
      <c r="B43">
        <v>28443</v>
      </c>
      <c r="C43">
        <v>28869</v>
      </c>
      <c r="D43">
        <v>29554</v>
      </c>
      <c r="E43">
        <v>29684</v>
      </c>
      <c r="F43">
        <v>29139</v>
      </c>
      <c r="G43">
        <v>29878</v>
      </c>
      <c r="H43">
        <v>31177</v>
      </c>
      <c r="I43">
        <v>31649</v>
      </c>
      <c r="J43">
        <v>31051</v>
      </c>
      <c r="K43">
        <v>32336</v>
      </c>
    </row>
    <row r="44" spans="1:11" s="5" customFormat="1">
      <c r="A44" s="5" t="s">
        <v>431</v>
      </c>
      <c r="B44">
        <v>671</v>
      </c>
      <c r="C44">
        <v>561</v>
      </c>
      <c r="D44">
        <v>632</v>
      </c>
      <c r="E44">
        <v>789</v>
      </c>
      <c r="F44">
        <v>2729</v>
      </c>
      <c r="G44">
        <v>838</v>
      </c>
      <c r="H44">
        <v>712</v>
      </c>
      <c r="I44">
        <v>859</v>
      </c>
      <c r="J44">
        <v>1190</v>
      </c>
      <c r="K44">
        <v>1042</v>
      </c>
    </row>
    <row r="45" spans="1:11" s="5" customFormat="1">
      <c r="A45" s="5" t="s">
        <v>19</v>
      </c>
      <c r="B45">
        <v>1121</v>
      </c>
      <c r="C45">
        <v>1173</v>
      </c>
      <c r="D45">
        <v>1166</v>
      </c>
      <c r="E45">
        <v>1176</v>
      </c>
      <c r="F45">
        <v>1163</v>
      </c>
      <c r="G45">
        <v>1149</v>
      </c>
      <c r="H45">
        <v>1160</v>
      </c>
      <c r="I45">
        <v>1203</v>
      </c>
      <c r="J45">
        <v>1299</v>
      </c>
      <c r="K45">
        <v>1140</v>
      </c>
    </row>
    <row r="46" spans="1:11" s="5" customFormat="1">
      <c r="A46" s="5" t="s">
        <v>17</v>
      </c>
      <c r="B46">
        <v>82</v>
      </c>
      <c r="C46">
        <v>90</v>
      </c>
      <c r="D46">
        <v>138</v>
      </c>
      <c r="E46">
        <v>131</v>
      </c>
      <c r="F46">
        <v>110</v>
      </c>
      <c r="G46">
        <v>105</v>
      </c>
      <c r="H46">
        <v>108</v>
      </c>
      <c r="I46">
        <v>101</v>
      </c>
      <c r="J46">
        <v>102</v>
      </c>
      <c r="K46">
        <v>105</v>
      </c>
    </row>
    <row r="47" spans="1:11" s="5" customFormat="1">
      <c r="A47" s="5" t="s">
        <v>432</v>
      </c>
      <c r="B47">
        <v>8466</v>
      </c>
      <c r="C47">
        <v>8362</v>
      </c>
      <c r="D47">
        <v>8768</v>
      </c>
      <c r="E47">
        <v>8619</v>
      </c>
      <c r="F47">
        <v>10240</v>
      </c>
      <c r="G47">
        <v>9021</v>
      </c>
      <c r="H47">
        <v>9253</v>
      </c>
      <c r="I47">
        <v>9670</v>
      </c>
      <c r="J47">
        <v>9663</v>
      </c>
      <c r="K47">
        <v>9740</v>
      </c>
    </row>
    <row r="48" spans="1:11" s="5" customFormat="1">
      <c r="A48" s="5" t="s">
        <v>23</v>
      </c>
      <c r="B48">
        <v>2332</v>
      </c>
      <c r="C48">
        <v>2417</v>
      </c>
      <c r="D48">
        <v>2553</v>
      </c>
      <c r="E48">
        <v>2506</v>
      </c>
      <c r="F48">
        <v>2265</v>
      </c>
      <c r="G48">
        <v>2647</v>
      </c>
      <c r="H48">
        <v>2737</v>
      </c>
      <c r="I48">
        <v>2848</v>
      </c>
      <c r="J48">
        <v>2625</v>
      </c>
      <c r="K48">
        <v>2816</v>
      </c>
    </row>
    <row r="49" spans="1:11" s="5" customFormat="1">
      <c r="A49" s="5" t="s">
        <v>433</v>
      </c>
      <c r="B49">
        <v>6128</v>
      </c>
      <c r="C49">
        <v>5945</v>
      </c>
      <c r="D49">
        <v>6212</v>
      </c>
      <c r="E49">
        <v>6106</v>
      </c>
      <c r="F49">
        <v>7969</v>
      </c>
      <c r="G49">
        <v>6368</v>
      </c>
      <c r="H49">
        <v>6506</v>
      </c>
      <c r="I49">
        <v>6806</v>
      </c>
      <c r="J49">
        <v>7033</v>
      </c>
      <c r="K49">
        <v>6921</v>
      </c>
    </row>
    <row r="50" spans="1:11">
      <c r="A50" s="5" t="s">
        <v>438</v>
      </c>
      <c r="B50">
        <v>8998</v>
      </c>
      <c r="C50">
        <v>9064</v>
      </c>
      <c r="D50">
        <v>9440</v>
      </c>
      <c r="E50">
        <v>9137</v>
      </c>
      <c r="F50">
        <v>8784</v>
      </c>
      <c r="G50">
        <v>9437</v>
      </c>
      <c r="H50">
        <v>9809</v>
      </c>
      <c r="I50">
        <v>10115</v>
      </c>
      <c r="J50">
        <v>9874</v>
      </c>
      <c r="K50">
        <v>9943</v>
      </c>
    </row>
    <row r="51" spans="1:11">
      <c r="A51" s="5"/>
    </row>
    <row r="52" spans="1:11">
      <c r="A52" s="5"/>
    </row>
    <row r="53" spans="1:11">
      <c r="A53" s="5"/>
    </row>
    <row r="54" spans="1:11">
      <c r="A54" s="5"/>
    </row>
    <row r="55" spans="1:11">
      <c r="A55" s="1" t="s">
        <v>439</v>
      </c>
    </row>
    <row r="56" spans="1:11" s="10" customFormat="1">
      <c r="A56" s="9" t="s">
        <v>423</v>
      </c>
      <c r="B56" s="7">
        <v>42460</v>
      </c>
      <c r="C56" s="7">
        <v>42825</v>
      </c>
      <c r="D56" s="7">
        <v>43190</v>
      </c>
      <c r="E56" s="7">
        <v>43555</v>
      </c>
      <c r="F56" s="7">
        <v>43921</v>
      </c>
      <c r="G56" s="7">
        <v>44286</v>
      </c>
      <c r="H56" s="7">
        <v>44651</v>
      </c>
      <c r="I56" s="7">
        <v>45016</v>
      </c>
      <c r="J56" s="7">
        <v>45382</v>
      </c>
      <c r="K56" s="7">
        <v>45747</v>
      </c>
    </row>
    <row r="57" spans="1:11">
      <c r="A57" s="5" t="s">
        <v>35</v>
      </c>
      <c r="B57">
        <v>1144</v>
      </c>
      <c r="C57">
        <v>1144</v>
      </c>
      <c r="D57">
        <v>1088</v>
      </c>
      <c r="E57">
        <v>2170</v>
      </c>
      <c r="F57">
        <v>2122</v>
      </c>
      <c r="G57">
        <v>2124</v>
      </c>
      <c r="H57">
        <v>2098</v>
      </c>
      <c r="I57">
        <v>2069</v>
      </c>
      <c r="J57">
        <v>2071</v>
      </c>
      <c r="K57">
        <v>2073</v>
      </c>
    </row>
    <row r="58" spans="1:11">
      <c r="A58" s="5" t="s">
        <v>36</v>
      </c>
      <c r="B58">
        <v>60600</v>
      </c>
      <c r="C58">
        <v>67838</v>
      </c>
      <c r="D58">
        <v>63835</v>
      </c>
      <c r="E58">
        <v>62778</v>
      </c>
      <c r="F58">
        <v>63328</v>
      </c>
      <c r="G58">
        <v>74227</v>
      </c>
      <c r="H58">
        <v>73252</v>
      </c>
      <c r="I58">
        <v>73338</v>
      </c>
      <c r="J58">
        <v>86045</v>
      </c>
      <c r="K58">
        <v>93745</v>
      </c>
    </row>
    <row r="59" spans="1:11">
      <c r="A59" s="5" t="s">
        <v>37</v>
      </c>
      <c r="F59">
        <v>4633</v>
      </c>
      <c r="G59">
        <v>5325</v>
      </c>
      <c r="H59">
        <v>5474</v>
      </c>
      <c r="I59">
        <v>8299</v>
      </c>
      <c r="J59">
        <v>8359</v>
      </c>
      <c r="K59">
        <v>8227</v>
      </c>
    </row>
    <row r="60" spans="1:11">
      <c r="A60" s="5" t="s">
        <v>38</v>
      </c>
      <c r="B60">
        <v>13354</v>
      </c>
      <c r="C60">
        <v>14166</v>
      </c>
      <c r="D60">
        <v>14426</v>
      </c>
      <c r="E60">
        <v>19118</v>
      </c>
      <c r="F60">
        <v>21717</v>
      </c>
      <c r="G60">
        <v>25835</v>
      </c>
      <c r="H60">
        <v>35905</v>
      </c>
      <c r="I60">
        <v>40890</v>
      </c>
      <c r="J60">
        <v>40885</v>
      </c>
      <c r="K60">
        <v>43750</v>
      </c>
    </row>
    <row r="61" spans="1:11" s="1" customFormat="1">
      <c r="A61" s="1" t="s">
        <v>440</v>
      </c>
      <c r="B61">
        <v>75098</v>
      </c>
      <c r="C61">
        <v>83148</v>
      </c>
      <c r="D61">
        <v>79349</v>
      </c>
      <c r="E61">
        <v>84066</v>
      </c>
      <c r="F61">
        <v>91800</v>
      </c>
      <c r="G61">
        <v>107511</v>
      </c>
      <c r="H61">
        <v>116729</v>
      </c>
      <c r="I61">
        <v>124596</v>
      </c>
      <c r="J61">
        <v>137360</v>
      </c>
      <c r="K61">
        <v>147795</v>
      </c>
    </row>
    <row r="62" spans="1:11">
      <c r="A62" s="5" t="s">
        <v>441</v>
      </c>
      <c r="B62">
        <v>13386</v>
      </c>
      <c r="C62">
        <v>14179</v>
      </c>
      <c r="D62">
        <v>12574</v>
      </c>
      <c r="E62">
        <v>15710</v>
      </c>
      <c r="F62">
        <v>23789</v>
      </c>
      <c r="G62">
        <v>25505</v>
      </c>
      <c r="H62">
        <v>25800</v>
      </c>
      <c r="I62">
        <v>29225</v>
      </c>
      <c r="J62">
        <v>27622</v>
      </c>
      <c r="K62">
        <v>30961</v>
      </c>
    </row>
    <row r="63" spans="1:11">
      <c r="A63" s="5" t="s">
        <v>41</v>
      </c>
      <c r="B63">
        <v>960</v>
      </c>
      <c r="C63">
        <v>1365</v>
      </c>
      <c r="D63">
        <v>1606</v>
      </c>
      <c r="E63">
        <v>1388</v>
      </c>
      <c r="F63">
        <v>954</v>
      </c>
      <c r="G63">
        <v>922</v>
      </c>
      <c r="H63">
        <v>416</v>
      </c>
      <c r="I63">
        <v>288</v>
      </c>
      <c r="J63">
        <v>293</v>
      </c>
      <c r="K63">
        <v>814</v>
      </c>
    </row>
    <row r="64" spans="1:11">
      <c r="A64" s="5" t="s">
        <v>42</v>
      </c>
      <c r="B64">
        <v>1892</v>
      </c>
      <c r="C64">
        <v>16423</v>
      </c>
      <c r="D64">
        <v>12163</v>
      </c>
      <c r="E64">
        <v>11261</v>
      </c>
      <c r="F64">
        <v>8792</v>
      </c>
      <c r="G64">
        <v>14205</v>
      </c>
      <c r="H64">
        <v>20324</v>
      </c>
      <c r="I64">
        <v>19478</v>
      </c>
      <c r="J64">
        <v>24623</v>
      </c>
      <c r="K64">
        <v>23541</v>
      </c>
    </row>
    <row r="65" spans="1:11">
      <c r="A65" s="5" t="s">
        <v>43</v>
      </c>
      <c r="B65">
        <v>58860</v>
      </c>
      <c r="C65">
        <v>51181</v>
      </c>
      <c r="D65">
        <v>53006</v>
      </c>
      <c r="E65">
        <v>55707</v>
      </c>
      <c r="F65">
        <v>58265</v>
      </c>
      <c r="G65">
        <v>66879</v>
      </c>
      <c r="H65">
        <v>70189</v>
      </c>
      <c r="I65">
        <v>75605</v>
      </c>
      <c r="J65">
        <v>84822</v>
      </c>
      <c r="K65">
        <v>92479</v>
      </c>
    </row>
    <row r="66" spans="1:11" s="1" customFormat="1">
      <c r="A66" s="1" t="s">
        <v>440</v>
      </c>
      <c r="B66">
        <v>75098</v>
      </c>
      <c r="C66">
        <v>83148</v>
      </c>
      <c r="D66">
        <v>79349</v>
      </c>
      <c r="E66">
        <v>84066</v>
      </c>
      <c r="F66">
        <v>91800</v>
      </c>
      <c r="G66">
        <v>107511</v>
      </c>
      <c r="H66">
        <v>116729</v>
      </c>
      <c r="I66">
        <v>124596</v>
      </c>
      <c r="J66">
        <v>137360</v>
      </c>
      <c r="K66">
        <v>147795</v>
      </c>
    </row>
    <row r="67" spans="1:11" s="5" customFormat="1">
      <c r="A67" s="5" t="s">
        <v>45</v>
      </c>
      <c r="B67">
        <v>11330</v>
      </c>
      <c r="C67">
        <v>12322</v>
      </c>
      <c r="D67">
        <v>13142</v>
      </c>
      <c r="E67">
        <v>14827</v>
      </c>
      <c r="F67">
        <v>18487</v>
      </c>
      <c r="G67">
        <v>19294</v>
      </c>
      <c r="H67">
        <v>22698</v>
      </c>
      <c r="I67">
        <v>25424</v>
      </c>
      <c r="J67">
        <v>30193</v>
      </c>
      <c r="K67">
        <v>31158</v>
      </c>
    </row>
    <row r="68" spans="1:11">
      <c r="A68" s="5" t="s">
        <v>46</v>
      </c>
    </row>
    <row r="69" spans="1:11">
      <c r="A69" s="3" t="s">
        <v>47</v>
      </c>
      <c r="B69">
        <v>32697</v>
      </c>
      <c r="C69">
        <v>22625</v>
      </c>
      <c r="D69">
        <v>19818</v>
      </c>
      <c r="E69">
        <v>19568</v>
      </c>
      <c r="F69">
        <v>18649</v>
      </c>
      <c r="G69">
        <v>24714</v>
      </c>
      <c r="H69">
        <v>17472</v>
      </c>
      <c r="I69">
        <v>12173</v>
      </c>
      <c r="J69">
        <v>14786</v>
      </c>
      <c r="K69">
        <v>24455</v>
      </c>
    </row>
    <row r="70" spans="1:11">
      <c r="A70" s="3" t="s">
        <v>442</v>
      </c>
      <c r="B70">
        <v>2285621088</v>
      </c>
      <c r="C70">
        <v>2285655150</v>
      </c>
      <c r="D70">
        <v>2173312301</v>
      </c>
      <c r="E70">
        <v>4335954462</v>
      </c>
      <c r="F70">
        <v>4240753210</v>
      </c>
      <c r="G70">
        <v>4245146114</v>
      </c>
      <c r="H70">
        <v>4193012929</v>
      </c>
      <c r="I70">
        <v>4136387925</v>
      </c>
      <c r="J70">
        <v>4139950635</v>
      </c>
      <c r="K70">
        <v>4143607528</v>
      </c>
    </row>
    <row r="71" spans="1:11">
      <c r="A71" s="3" t="s">
        <v>443</v>
      </c>
      <c r="B71">
        <v>1148472332</v>
      </c>
      <c r="E71">
        <v>2184191490</v>
      </c>
    </row>
    <row r="72" spans="1:11">
      <c r="A72" s="3" t="s">
        <v>444</v>
      </c>
      <c r="B72">
        <v>5</v>
      </c>
      <c r="C72">
        <v>5</v>
      </c>
      <c r="D72">
        <v>5</v>
      </c>
      <c r="E72">
        <v>5</v>
      </c>
      <c r="F72">
        <v>5</v>
      </c>
      <c r="G72">
        <v>5</v>
      </c>
      <c r="H72">
        <v>5</v>
      </c>
      <c r="I72">
        <v>5</v>
      </c>
      <c r="J72">
        <v>5</v>
      </c>
      <c r="K72">
        <v>5</v>
      </c>
    </row>
    <row r="74" spans="1:11">
      <c r="A74" s="5" t="s">
        <v>445</v>
      </c>
      <c r="B74" s="3">
        <f>B65-SUM(B67:B69)</f>
        <v>14833</v>
      </c>
      <c r="C74" s="3">
        <f t="shared" ref="C74:K74" si="0">C65-SUM(C67:C69)</f>
        <v>16234</v>
      </c>
      <c r="D74" s="3">
        <f t="shared" si="0"/>
        <v>20046</v>
      </c>
      <c r="E74" s="3">
        <f t="shared" si="0"/>
        <v>21312</v>
      </c>
      <c r="F74" s="3">
        <f t="shared" si="0"/>
        <v>21129</v>
      </c>
      <c r="G74" s="3">
        <f t="shared" si="0"/>
        <v>22871</v>
      </c>
      <c r="H74" s="3">
        <f t="shared" si="0"/>
        <v>30019</v>
      </c>
      <c r="I74" s="3">
        <f t="shared" si="0"/>
        <v>38008</v>
      </c>
      <c r="J74" s="3">
        <f t="shared" si="0"/>
        <v>39843</v>
      </c>
      <c r="K74" s="3">
        <f t="shared" si="0"/>
        <v>36866</v>
      </c>
    </row>
    <row r="75" spans="1:11">
      <c r="A75" s="5"/>
    </row>
    <row r="76" spans="1:11">
      <c r="A76" s="5"/>
    </row>
    <row r="77" spans="1:11">
      <c r="A77" s="5"/>
    </row>
    <row r="78" spans="1:11">
      <c r="A78" s="5"/>
    </row>
    <row r="79" spans="1:11">
      <c r="A79" s="5"/>
    </row>
    <row r="80" spans="1:11">
      <c r="A80" s="1" t="s">
        <v>446</v>
      </c>
    </row>
    <row r="81" spans="1:11" s="10" customFormat="1">
      <c r="A81" s="9" t="s">
        <v>423</v>
      </c>
      <c r="B81" s="7">
        <v>42460</v>
      </c>
      <c r="C81" s="7">
        <v>42825</v>
      </c>
      <c r="D81" s="7">
        <v>43190</v>
      </c>
      <c r="E81" s="7">
        <v>43555</v>
      </c>
      <c r="F81" s="7">
        <v>43921</v>
      </c>
      <c r="G81" s="7">
        <v>44286</v>
      </c>
      <c r="H81" s="7">
        <v>44651</v>
      </c>
      <c r="I81" s="7">
        <v>45016</v>
      </c>
      <c r="J81" s="7">
        <v>45382</v>
      </c>
      <c r="K81" s="7">
        <v>45747</v>
      </c>
    </row>
    <row r="82" spans="1:11" s="1" customFormat="1">
      <c r="A82" s="5" t="s">
        <v>447</v>
      </c>
      <c r="B82">
        <v>10028</v>
      </c>
      <c r="C82">
        <v>11531</v>
      </c>
      <c r="D82">
        <v>13218</v>
      </c>
      <c r="E82">
        <v>14841</v>
      </c>
      <c r="F82">
        <v>17003</v>
      </c>
      <c r="G82">
        <v>23224</v>
      </c>
      <c r="H82">
        <v>23885</v>
      </c>
      <c r="I82">
        <v>22467</v>
      </c>
      <c r="J82">
        <v>25210</v>
      </c>
      <c r="K82">
        <v>35694</v>
      </c>
    </row>
    <row r="83" spans="1:11" s="5" customFormat="1">
      <c r="A83" s="5" t="s">
        <v>448</v>
      </c>
      <c r="B83">
        <v>-885</v>
      </c>
      <c r="C83">
        <v>-14664</v>
      </c>
      <c r="D83">
        <v>4533</v>
      </c>
      <c r="E83">
        <v>-632</v>
      </c>
      <c r="F83">
        <v>-331</v>
      </c>
      <c r="G83">
        <v>-7373</v>
      </c>
      <c r="H83">
        <v>-6485</v>
      </c>
      <c r="I83">
        <v>-1071</v>
      </c>
      <c r="J83">
        <v>-5093</v>
      </c>
      <c r="K83">
        <v>-1864</v>
      </c>
    </row>
    <row r="84" spans="1:11" s="5" customFormat="1">
      <c r="A84" s="5" t="s">
        <v>449</v>
      </c>
      <c r="B84">
        <v>-6813</v>
      </c>
      <c r="C84">
        <v>-6939</v>
      </c>
      <c r="D84">
        <v>-20505</v>
      </c>
      <c r="E84">
        <v>-14512</v>
      </c>
      <c r="F84">
        <v>-17591</v>
      </c>
      <c r="G84">
        <v>-9786</v>
      </c>
      <c r="H84">
        <v>-24642</v>
      </c>
      <c r="I84">
        <v>-26695</v>
      </c>
      <c r="J84">
        <v>-17504</v>
      </c>
      <c r="K84">
        <v>-24161</v>
      </c>
    </row>
    <row r="85" spans="1:11" s="1" customFormat="1">
      <c r="A85" s="5" t="s">
        <v>450</v>
      </c>
      <c r="B85">
        <v>2330</v>
      </c>
      <c r="C85">
        <v>-10072</v>
      </c>
      <c r="D85">
        <v>-2754</v>
      </c>
      <c r="E85">
        <v>-303</v>
      </c>
      <c r="F85">
        <v>-919</v>
      </c>
      <c r="G85">
        <v>6065</v>
      </c>
      <c r="H85">
        <v>-7242</v>
      </c>
      <c r="I85">
        <v>-5299</v>
      </c>
      <c r="J85">
        <v>2613</v>
      </c>
      <c r="K85">
        <v>9669</v>
      </c>
    </row>
    <row r="86" spans="1:11">
      <c r="A86" s="5"/>
    </row>
    <row r="87" spans="1:11">
      <c r="A87" s="5"/>
    </row>
    <row r="88" spans="1:11">
      <c r="A88" s="5"/>
    </row>
    <row r="89" spans="1:11">
      <c r="A89" s="5"/>
    </row>
    <row r="90" spans="1:11" s="1" customFormat="1">
      <c r="A90" s="1" t="s">
        <v>451</v>
      </c>
      <c r="B90">
        <v>609.15</v>
      </c>
      <c r="C90">
        <v>511.13</v>
      </c>
      <c r="D90">
        <v>565.9</v>
      </c>
      <c r="E90">
        <v>743.85</v>
      </c>
      <c r="F90">
        <v>641.5</v>
      </c>
      <c r="G90">
        <v>1368.05</v>
      </c>
      <c r="H90">
        <v>1906.85</v>
      </c>
      <c r="I90">
        <v>1427.95</v>
      </c>
      <c r="J90">
        <v>1498.05</v>
      </c>
      <c r="K90">
        <v>1570.65</v>
      </c>
    </row>
    <row r="92" spans="1:11" s="1" customFormat="1">
      <c r="A92" s="1" t="s">
        <v>452</v>
      </c>
    </row>
    <row r="93" spans="1:11">
      <c r="A93" s="3" t="s">
        <v>453</v>
      </c>
      <c r="B93" s="11">
        <v>459.39</v>
      </c>
      <c r="C93" s="11">
        <v>459.39</v>
      </c>
      <c r="D93" s="11">
        <v>436.82</v>
      </c>
      <c r="E93" s="11">
        <v>436.89</v>
      </c>
      <c r="F93" s="11">
        <v>425.9</v>
      </c>
      <c r="G93" s="11">
        <v>426.07</v>
      </c>
      <c r="H93" s="11">
        <v>420.67</v>
      </c>
      <c r="I93" s="11">
        <v>414.86</v>
      </c>
      <c r="J93" s="11">
        <v>415.09</v>
      </c>
      <c r="K93" s="11">
        <v>415.33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N35"/>
  <sheetViews>
    <sheetView zoomScale="150" zoomScaleNormal="150" zoomScalePageLayoutView="150" workbookViewId="0">
      <pane xSplit="1" ySplit="3" topLeftCell="E28" activePane="bottomRight" state="frozen"/>
      <selection pane="topRight" activeCell="B1" sqref="B1"/>
      <selection pane="bottomLeft" activeCell="A4" sqref="A4"/>
      <selection pane="bottomRight" activeCell="A16" sqref="A16"/>
    </sheetView>
  </sheetViews>
  <sheetFormatPr defaultColWidth="8.86328125" defaultRowHeight="14.25"/>
  <cols>
    <col min="1" max="1" width="25.3984375" customWidth="1"/>
    <col min="2" max="2" width="19.1328125" customWidth="1"/>
    <col min="3" max="4" width="13.3984375" customWidth="1"/>
    <col min="5" max="7" width="13.3984375" bestFit="1" customWidth="1"/>
    <col min="8" max="8" width="13.265625" customWidth="1"/>
    <col min="9" max="9" width="13.3984375" bestFit="1" customWidth="1"/>
    <col min="10" max="10" width="11.73046875" customWidth="1"/>
    <col min="11" max="11" width="12.265625" customWidth="1"/>
  </cols>
  <sheetData>
    <row r="1" spans="1:14" s="2" customFormat="1">
      <c r="A1" s="2" t="e">
        <f>#REF!</f>
        <v>#REF!</v>
      </c>
      <c r="C1" t="str">
        <f>UPDATE</f>
        <v/>
      </c>
      <c r="D1"/>
      <c r="H1" s="2" t="s">
        <v>454</v>
      </c>
    </row>
    <row r="3" spans="1:14" s="2" customFormat="1">
      <c r="A3" s="6" t="s">
        <v>455</v>
      </c>
      <c r="B3" s="7">
        <f>'Data Sheet'!D81</f>
        <v>43190</v>
      </c>
      <c r="C3" s="7">
        <f>'Data Sheet'!E81</f>
        <v>43555</v>
      </c>
      <c r="D3" s="7">
        <f>'Data Sheet'!F81</f>
        <v>43921</v>
      </c>
      <c r="E3" s="7">
        <f>'Data Sheet'!G81</f>
        <v>44286</v>
      </c>
      <c r="F3" s="7">
        <f>'Data Sheet'!H81</f>
        <v>44651</v>
      </c>
      <c r="G3" s="7">
        <f>'Data Sheet'!I81</f>
        <v>45016</v>
      </c>
      <c r="H3" s="7">
        <f>'Data Sheet'!J81</f>
        <v>45382</v>
      </c>
      <c r="I3" s="7">
        <f>'Data Sheet'!K81</f>
        <v>45747</v>
      </c>
    </row>
    <row r="4" spans="1:14" s="2" customFormat="1">
      <c r="A4" s="2" t="s">
        <v>447</v>
      </c>
      <c r="B4" s="1">
        <f>'Data Sheet'!D82</f>
        <v>13218</v>
      </c>
      <c r="C4" s="1">
        <f>'Data Sheet'!E82</f>
        <v>14841</v>
      </c>
      <c r="D4" s="1">
        <f>'Data Sheet'!F82</f>
        <v>17003</v>
      </c>
      <c r="E4" s="1">
        <f>'Data Sheet'!G82</f>
        <v>23224</v>
      </c>
      <c r="F4" s="1">
        <f>'Data Sheet'!H82</f>
        <v>23885</v>
      </c>
      <c r="G4" s="1">
        <f>'Data Sheet'!I82</f>
        <v>22467</v>
      </c>
      <c r="H4" s="1">
        <f>'Data Sheet'!J82</f>
        <v>25210</v>
      </c>
      <c r="I4" s="1">
        <f>'Data Sheet'!K82</f>
        <v>35694</v>
      </c>
    </row>
    <row r="5" spans="1:14">
      <c r="A5" t="s">
        <v>448</v>
      </c>
      <c r="B5" s="5">
        <f>'Data Sheet'!D83</f>
        <v>4533</v>
      </c>
      <c r="C5" s="5">
        <f>'Data Sheet'!E83</f>
        <v>-632</v>
      </c>
      <c r="D5" s="5">
        <f>'Data Sheet'!F83</f>
        <v>-331</v>
      </c>
      <c r="E5" s="5">
        <f>'Data Sheet'!G83</f>
        <v>-7373</v>
      </c>
      <c r="F5" s="5">
        <f>'Data Sheet'!H83</f>
        <v>-6485</v>
      </c>
      <c r="G5" s="5">
        <f>'Data Sheet'!I83</f>
        <v>-1071</v>
      </c>
      <c r="H5" s="5">
        <f>'Data Sheet'!J83</f>
        <v>-5093</v>
      </c>
      <c r="I5" s="5">
        <f>'Data Sheet'!K83</f>
        <v>-1864</v>
      </c>
    </row>
    <row r="6" spans="1:14">
      <c r="A6" t="s">
        <v>449</v>
      </c>
      <c r="B6" s="5">
        <f>'Data Sheet'!D84</f>
        <v>-20505</v>
      </c>
      <c r="C6" s="5">
        <f>'Data Sheet'!E84</f>
        <v>-14512</v>
      </c>
      <c r="D6" s="5">
        <f>'Data Sheet'!F84</f>
        <v>-17591</v>
      </c>
      <c r="E6" s="5">
        <f>'Data Sheet'!G84</f>
        <v>-9786</v>
      </c>
      <c r="F6" s="5">
        <f>'Data Sheet'!H84</f>
        <v>-24642</v>
      </c>
      <c r="G6" s="5">
        <f>'Data Sheet'!I84</f>
        <v>-26695</v>
      </c>
      <c r="H6" s="5">
        <f>'Data Sheet'!J84</f>
        <v>-17504</v>
      </c>
      <c r="I6" s="5">
        <f>'Data Sheet'!K84</f>
        <v>-24161</v>
      </c>
      <c r="N6" s="32">
        <v>42064</v>
      </c>
    </row>
    <row r="7" spans="1:14" s="2" customFormat="1">
      <c r="A7" s="2" t="s">
        <v>450</v>
      </c>
      <c r="B7" s="1">
        <f>'Data Sheet'!D85</f>
        <v>-2754</v>
      </c>
      <c r="C7" s="1">
        <f>'Data Sheet'!E85</f>
        <v>-303</v>
      </c>
      <c r="D7" s="1">
        <f>'Data Sheet'!F85</f>
        <v>-919</v>
      </c>
      <c r="E7" s="1">
        <f>'Data Sheet'!G85</f>
        <v>6065</v>
      </c>
      <c r="F7" s="1">
        <f>'Data Sheet'!H85</f>
        <v>-7242</v>
      </c>
      <c r="G7" s="1">
        <f>'Data Sheet'!I85</f>
        <v>-5299</v>
      </c>
      <c r="H7" s="1">
        <f>'Data Sheet'!J85</f>
        <v>2613</v>
      </c>
      <c r="I7" s="1">
        <f>'Data Sheet'!K85</f>
        <v>9669</v>
      </c>
    </row>
    <row r="8" spans="1:14">
      <c r="B8" s="5"/>
      <c r="C8" s="5"/>
      <c r="D8" s="5"/>
      <c r="E8" s="5"/>
      <c r="F8" s="5"/>
      <c r="G8" s="5"/>
      <c r="H8" s="5"/>
      <c r="I8" s="5"/>
    </row>
    <row r="10" spans="1:14">
      <c r="A10" s="22"/>
      <c r="B10" s="32">
        <v>42430</v>
      </c>
      <c r="C10" s="32">
        <v>42795</v>
      </c>
      <c r="D10" s="32">
        <v>43160</v>
      </c>
      <c r="E10" s="32">
        <v>43525</v>
      </c>
      <c r="F10" s="32">
        <v>43891</v>
      </c>
      <c r="G10" s="32">
        <v>44256</v>
      </c>
      <c r="H10" s="32">
        <v>44621</v>
      </c>
      <c r="I10" s="32">
        <v>44986</v>
      </c>
      <c r="J10" s="5">
        <v>45352</v>
      </c>
      <c r="K10" s="32">
        <v>45717</v>
      </c>
    </row>
    <row r="11" spans="1:14">
      <c r="A11" s="34" t="s">
        <v>456</v>
      </c>
      <c r="B11" s="35">
        <v>10028</v>
      </c>
      <c r="C11" s="35">
        <v>11531</v>
      </c>
      <c r="D11" s="35">
        <v>13218</v>
      </c>
      <c r="E11" s="35">
        <v>14841</v>
      </c>
      <c r="F11" s="35">
        <v>17003</v>
      </c>
      <c r="G11" s="35">
        <v>23224</v>
      </c>
      <c r="H11" s="35">
        <v>23885</v>
      </c>
      <c r="I11" s="35">
        <v>22467</v>
      </c>
      <c r="J11" s="1">
        <v>25210</v>
      </c>
      <c r="K11" s="35">
        <v>35694</v>
      </c>
    </row>
    <row r="12" spans="1:14">
      <c r="A12" s="22" t="s">
        <v>53</v>
      </c>
      <c r="B12" s="33">
        <v>17839</v>
      </c>
      <c r="C12" s="33">
        <v>19340</v>
      </c>
      <c r="D12" s="33">
        <v>19963</v>
      </c>
      <c r="E12" s="33">
        <v>22126</v>
      </c>
      <c r="F12" s="33">
        <v>23920</v>
      </c>
      <c r="G12" s="33">
        <v>28845</v>
      </c>
      <c r="H12" s="33">
        <v>32921</v>
      </c>
      <c r="I12" s="33">
        <v>37605</v>
      </c>
      <c r="J12" s="5">
        <v>39523</v>
      </c>
      <c r="K12" s="33">
        <v>41591</v>
      </c>
    </row>
    <row r="13" spans="1:14">
      <c r="A13" s="22" t="s">
        <v>45</v>
      </c>
      <c r="B13" s="33">
        <v>-1654</v>
      </c>
      <c r="C13" s="33">
        <v>-1743</v>
      </c>
      <c r="D13" s="33">
        <v>-1523</v>
      </c>
      <c r="E13" s="33">
        <v>-2881</v>
      </c>
      <c r="F13" s="33">
        <v>-3861</v>
      </c>
      <c r="G13" s="33">
        <v>-1835</v>
      </c>
      <c r="H13" s="33">
        <v>-7937</v>
      </c>
      <c r="I13" s="33">
        <v>-7076</v>
      </c>
      <c r="J13" s="5">
        <v>-2667</v>
      </c>
      <c r="K13" s="33">
        <v>-1769</v>
      </c>
    </row>
    <row r="14" spans="1:14">
      <c r="A14" s="22" t="s">
        <v>54</v>
      </c>
      <c r="B14">
        <v>242</v>
      </c>
      <c r="C14">
        <v>-19</v>
      </c>
      <c r="D14">
        <v>328</v>
      </c>
      <c r="E14">
        <v>916</v>
      </c>
      <c r="F14">
        <v>-373</v>
      </c>
      <c r="G14">
        <v>-245</v>
      </c>
      <c r="H14" s="33">
        <v>1489</v>
      </c>
      <c r="I14">
        <v>-279</v>
      </c>
      <c r="J14" s="5">
        <v>91</v>
      </c>
      <c r="K14">
        <v>176</v>
      </c>
    </row>
    <row r="15" spans="1:14">
      <c r="A15" s="22" t="s">
        <v>55</v>
      </c>
      <c r="B15" s="33">
        <v>-1134</v>
      </c>
      <c r="C15">
        <v>0</v>
      </c>
      <c r="D15">
        <v>0</v>
      </c>
      <c r="E15">
        <v>0</v>
      </c>
      <c r="F15">
        <v>0</v>
      </c>
      <c r="G15">
        <v>-534</v>
      </c>
      <c r="H15" s="33">
        <v>-1914</v>
      </c>
      <c r="I15" s="33">
        <v>-3108</v>
      </c>
      <c r="J15" s="5">
        <v>-1172</v>
      </c>
      <c r="K15" s="33">
        <v>-1024</v>
      </c>
    </row>
    <row r="16" spans="1:14">
      <c r="A16" s="22" t="s">
        <v>56</v>
      </c>
      <c r="B16">
        <v>600</v>
      </c>
      <c r="C16">
        <v>-394</v>
      </c>
      <c r="D16" s="33">
        <v>1279</v>
      </c>
      <c r="E16" s="33">
        <v>1512</v>
      </c>
      <c r="F16" s="33">
        <v>1867</v>
      </c>
      <c r="G16" s="33">
        <v>3382</v>
      </c>
      <c r="H16" s="33">
        <v>6938</v>
      </c>
      <c r="I16" s="33">
        <v>4119</v>
      </c>
      <c r="J16" s="5">
        <v>-1334</v>
      </c>
      <c r="K16" s="33">
        <v>2322</v>
      </c>
    </row>
    <row r="17" spans="1:12">
      <c r="A17" s="22" t="s">
        <v>57</v>
      </c>
      <c r="B17" s="33">
        <v>-1946</v>
      </c>
      <c r="C17" s="33">
        <v>-2156</v>
      </c>
      <c r="D17">
        <v>84</v>
      </c>
      <c r="E17">
        <v>-453</v>
      </c>
      <c r="F17" s="33">
        <v>-2367</v>
      </c>
      <c r="G17">
        <v>768</v>
      </c>
      <c r="H17" s="33">
        <v>-1424</v>
      </c>
      <c r="I17" s="33">
        <v>-6344</v>
      </c>
      <c r="J17" s="5">
        <v>-5082</v>
      </c>
      <c r="K17">
        <v>-295</v>
      </c>
    </row>
    <row r="18" spans="1:12">
      <c r="A18" s="22" t="s">
        <v>58</v>
      </c>
      <c r="B18" s="33">
        <v>-5865</v>
      </c>
      <c r="C18" s="33">
        <v>-5653</v>
      </c>
      <c r="D18" s="33">
        <v>-6829</v>
      </c>
      <c r="E18" s="33">
        <v>-6832</v>
      </c>
      <c r="F18" s="33">
        <v>-4550</v>
      </c>
      <c r="G18" s="33">
        <v>-6389</v>
      </c>
      <c r="H18" s="33">
        <v>-7612</v>
      </c>
      <c r="I18" s="33">
        <v>-8794</v>
      </c>
      <c r="J18" s="5">
        <v>-9231</v>
      </c>
      <c r="K18" s="33">
        <v>-5602</v>
      </c>
    </row>
    <row r="19" spans="1:12">
      <c r="A19" s="34" t="s">
        <v>457</v>
      </c>
      <c r="B19" s="2">
        <v>-885</v>
      </c>
      <c r="C19" s="35">
        <v>-14664</v>
      </c>
      <c r="D19" s="35">
        <v>4533</v>
      </c>
      <c r="E19" s="2">
        <v>-632</v>
      </c>
      <c r="F19" s="2">
        <v>-331</v>
      </c>
      <c r="G19" s="35">
        <v>-7373</v>
      </c>
      <c r="H19" s="35">
        <v>-6485</v>
      </c>
      <c r="I19" s="35">
        <v>-1071</v>
      </c>
      <c r="J19" s="1">
        <v>-5093</v>
      </c>
      <c r="K19" s="35">
        <v>-1864</v>
      </c>
    </row>
    <row r="20" spans="1:12">
      <c r="A20" s="22" t="s">
        <v>61</v>
      </c>
      <c r="B20" s="33">
        <v>-2723</v>
      </c>
      <c r="C20" s="33">
        <v>-2760</v>
      </c>
      <c r="D20" s="33">
        <v>-1998</v>
      </c>
      <c r="E20" s="33">
        <v>-2445</v>
      </c>
      <c r="F20" s="33">
        <v>-3307</v>
      </c>
      <c r="G20" s="33">
        <v>-2107</v>
      </c>
      <c r="H20" s="33">
        <v>-2161</v>
      </c>
      <c r="I20" s="33">
        <v>-2579</v>
      </c>
      <c r="J20" s="5">
        <v>-2201</v>
      </c>
      <c r="K20" s="33">
        <v>-2237</v>
      </c>
    </row>
    <row r="21" spans="1:12">
      <c r="A21" s="22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 s="5">
        <v>0</v>
      </c>
      <c r="K21">
        <v>0</v>
      </c>
    </row>
    <row r="22" spans="1:12">
      <c r="A22" s="22" t="s">
        <v>63</v>
      </c>
      <c r="B22" s="33">
        <v>-24577</v>
      </c>
      <c r="C22" s="33">
        <v>-66410</v>
      </c>
      <c r="D22" s="33">
        <v>-69159</v>
      </c>
      <c r="E22" s="33">
        <v>-79410</v>
      </c>
      <c r="F22" s="33">
        <v>-37482</v>
      </c>
      <c r="G22" s="33">
        <v>-46738</v>
      </c>
      <c r="H22" s="33">
        <v>-59951</v>
      </c>
      <c r="I22" s="33">
        <v>-75800</v>
      </c>
      <c r="J22" s="5">
        <v>-78118</v>
      </c>
      <c r="K22" s="33">
        <v>-82753</v>
      </c>
    </row>
    <row r="23" spans="1:12">
      <c r="A23" s="22" t="s">
        <v>64</v>
      </c>
      <c r="B23" s="33">
        <v>24980</v>
      </c>
      <c r="C23" s="33">
        <v>52048</v>
      </c>
      <c r="D23" s="33">
        <v>74003</v>
      </c>
      <c r="E23" s="33">
        <v>78098</v>
      </c>
      <c r="F23" s="33">
        <v>38861</v>
      </c>
      <c r="G23" s="33">
        <v>40381</v>
      </c>
      <c r="H23" s="33">
        <v>57356</v>
      </c>
      <c r="I23" s="33">
        <v>76722</v>
      </c>
      <c r="J23" s="5">
        <v>72956</v>
      </c>
      <c r="K23" s="33">
        <v>84888</v>
      </c>
    </row>
    <row r="24" spans="1:12">
      <c r="A24" s="22" t="s">
        <v>65</v>
      </c>
      <c r="B24" s="33">
        <v>2383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 s="5">
        <v>0</v>
      </c>
      <c r="K24">
        <v>0</v>
      </c>
    </row>
    <row r="25" spans="1:12">
      <c r="A25" s="22" t="s">
        <v>66</v>
      </c>
      <c r="B25">
        <v>0</v>
      </c>
      <c r="C25" s="33">
        <v>2753</v>
      </c>
      <c r="D25" s="33">
        <v>1768</v>
      </c>
      <c r="E25" s="33">
        <v>1557</v>
      </c>
      <c r="F25" s="33">
        <v>1929</v>
      </c>
      <c r="G25" s="33">
        <v>1418</v>
      </c>
      <c r="H25" s="33">
        <v>1898</v>
      </c>
      <c r="I25" s="33">
        <v>1525</v>
      </c>
      <c r="J25" s="5">
        <v>1768</v>
      </c>
      <c r="K25" s="33">
        <v>2040</v>
      </c>
    </row>
    <row r="26" spans="1:12">
      <c r="A26" s="22" t="s">
        <v>67</v>
      </c>
      <c r="B26">
        <v>-747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 s="5">
        <v>0</v>
      </c>
      <c r="K26">
        <v>0</v>
      </c>
    </row>
    <row r="27" spans="1:12">
      <c r="A27" s="22" t="s">
        <v>68</v>
      </c>
      <c r="B27">
        <v>-142</v>
      </c>
      <c r="C27">
        <v>-164</v>
      </c>
      <c r="D27">
        <v>-130</v>
      </c>
      <c r="E27">
        <v>-24</v>
      </c>
      <c r="F27">
        <v>-108</v>
      </c>
      <c r="G27">
        <v>0</v>
      </c>
      <c r="H27">
        <v>0</v>
      </c>
      <c r="I27">
        <v>0</v>
      </c>
      <c r="J27" s="5">
        <v>0</v>
      </c>
      <c r="K27">
        <v>0</v>
      </c>
    </row>
    <row r="28" spans="1:12">
      <c r="A28" s="22" t="s">
        <v>69</v>
      </c>
      <c r="B28">
        <v>-59</v>
      </c>
      <c r="C28">
        <v>-131</v>
      </c>
      <c r="D28">
        <v>49</v>
      </c>
      <c r="E28" s="33">
        <v>1592</v>
      </c>
      <c r="F28">
        <v>-224</v>
      </c>
      <c r="G28">
        <v>-327</v>
      </c>
      <c r="H28" s="33">
        <v>-3627</v>
      </c>
      <c r="I28">
        <v>-939</v>
      </c>
      <c r="J28" s="5">
        <v>502</v>
      </c>
      <c r="K28" s="33">
        <v>-3802</v>
      </c>
    </row>
    <row r="29" spans="1:12">
      <c r="A29" s="34" t="s">
        <v>458</v>
      </c>
      <c r="B29" s="35">
        <v>-6813</v>
      </c>
      <c r="C29" s="35">
        <v>-6939</v>
      </c>
      <c r="D29" s="35">
        <v>-20505</v>
      </c>
      <c r="E29" s="35">
        <v>-14512</v>
      </c>
      <c r="F29" s="35">
        <v>-17591</v>
      </c>
      <c r="G29" s="35">
        <v>-9786</v>
      </c>
      <c r="H29" s="35">
        <v>-24642</v>
      </c>
      <c r="I29" s="35">
        <v>-26695</v>
      </c>
      <c r="J29" s="1">
        <v>-17504</v>
      </c>
      <c r="K29" s="35">
        <v>-24161</v>
      </c>
      <c r="L29" s="2"/>
    </row>
    <row r="30" spans="1:12">
      <c r="A30" s="22" t="s">
        <v>72</v>
      </c>
      <c r="B30">
        <v>0</v>
      </c>
      <c r="C30">
        <v>0</v>
      </c>
      <c r="D30">
        <v>5</v>
      </c>
      <c r="E30">
        <v>6</v>
      </c>
      <c r="F30">
        <v>6</v>
      </c>
      <c r="G30">
        <v>15</v>
      </c>
      <c r="H30">
        <v>21</v>
      </c>
      <c r="I30">
        <v>35</v>
      </c>
      <c r="J30" s="5">
        <v>5</v>
      </c>
      <c r="K30">
        <v>6</v>
      </c>
    </row>
    <row r="31" spans="1:12">
      <c r="A31" s="22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 s="5">
        <v>0</v>
      </c>
      <c r="K31">
        <v>-985</v>
      </c>
    </row>
    <row r="32" spans="1:12">
      <c r="A32" s="22" t="s">
        <v>74</v>
      </c>
      <c r="B32" s="33">
        <v>-6813</v>
      </c>
      <c r="C32" s="33">
        <v>-6939</v>
      </c>
      <c r="D32" s="33">
        <v>-7464</v>
      </c>
      <c r="E32" s="33">
        <v>-13705</v>
      </c>
      <c r="F32" s="33">
        <v>-9548</v>
      </c>
      <c r="G32" s="33">
        <v>-9137</v>
      </c>
      <c r="H32" s="33">
        <v>-12731</v>
      </c>
      <c r="I32" s="33">
        <v>-13653</v>
      </c>
      <c r="J32" s="5">
        <v>-14731</v>
      </c>
      <c r="K32" s="33">
        <v>-20289</v>
      </c>
    </row>
    <row r="33" spans="1:11">
      <c r="A33" s="22" t="s">
        <v>75</v>
      </c>
      <c r="B33">
        <v>0</v>
      </c>
      <c r="C33">
        <v>0</v>
      </c>
      <c r="D33">
        <v>0</v>
      </c>
      <c r="E33">
        <v>0</v>
      </c>
      <c r="F33">
        <v>-571</v>
      </c>
      <c r="G33">
        <v>-698</v>
      </c>
      <c r="H33">
        <v>-915</v>
      </c>
      <c r="I33" s="33">
        <v>-1231</v>
      </c>
      <c r="J33" s="5">
        <v>-2024</v>
      </c>
      <c r="K33" s="33">
        <v>-2355</v>
      </c>
    </row>
    <row r="34" spans="1:11">
      <c r="A34" s="22" t="s">
        <v>76</v>
      </c>
      <c r="B34">
        <v>0</v>
      </c>
      <c r="C34">
        <v>0</v>
      </c>
      <c r="D34" s="33">
        <v>-13046</v>
      </c>
      <c r="E34">
        <v>-813</v>
      </c>
      <c r="F34" s="33">
        <v>-7478</v>
      </c>
      <c r="G34">
        <v>34</v>
      </c>
      <c r="H34" s="33">
        <v>-11017</v>
      </c>
      <c r="I34" s="33">
        <v>-11846</v>
      </c>
      <c r="J34" s="5">
        <v>-754</v>
      </c>
      <c r="K34">
        <v>-538</v>
      </c>
    </row>
    <row r="35" spans="1:11">
      <c r="A35" s="22" t="s">
        <v>450</v>
      </c>
      <c r="B35" s="33">
        <v>2330</v>
      </c>
      <c r="C35" s="33">
        <v>-10072</v>
      </c>
      <c r="D35" s="33">
        <v>-2754</v>
      </c>
      <c r="E35">
        <v>-303</v>
      </c>
      <c r="F35">
        <v>-919</v>
      </c>
      <c r="G35" s="33">
        <v>6065</v>
      </c>
      <c r="H35" s="33">
        <v>-7242</v>
      </c>
      <c r="I35" s="33">
        <v>-5299</v>
      </c>
      <c r="J35" s="33">
        <v>2613</v>
      </c>
      <c r="K35" s="33">
        <v>9669</v>
      </c>
    </row>
  </sheetData>
  <hyperlinks>
    <hyperlink ref="H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06"/>
  <sheetViews>
    <sheetView showGridLines="0" workbookViewId="0">
      <pane ySplit="2" topLeftCell="A3" activePane="bottomLeft" state="frozen"/>
      <selection pane="bottomLeft" activeCell="Q11" sqref="Q11"/>
    </sheetView>
  </sheetViews>
  <sheetFormatPr defaultRowHeight="14.25"/>
  <cols>
    <col min="2" max="2" width="25.3984375" customWidth="1"/>
    <col min="3" max="3" width="16.86328125" bestFit="1" customWidth="1"/>
    <col min="5" max="5" width="16.265625" bestFit="1" customWidth="1"/>
    <col min="6" max="6" width="16.265625" customWidth="1"/>
    <col min="7" max="7" width="10.59765625" bestFit="1" customWidth="1"/>
    <col min="8" max="8" width="11.86328125" customWidth="1"/>
    <col min="9" max="9" width="14.265625" bestFit="1" customWidth="1"/>
    <col min="10" max="10" width="14.265625" customWidth="1"/>
    <col min="11" max="11" width="15.3984375" bestFit="1" customWidth="1"/>
    <col min="12" max="12" width="10.73046875" bestFit="1" customWidth="1"/>
    <col min="13" max="13" width="13.265625" bestFit="1" customWidth="1"/>
  </cols>
  <sheetData>
    <row r="2" spans="2:16">
      <c r="B2" s="2" t="s">
        <v>80</v>
      </c>
      <c r="C2" s="106">
        <v>41699</v>
      </c>
      <c r="D2" s="106">
        <v>42064</v>
      </c>
      <c r="E2" s="106">
        <v>42430</v>
      </c>
      <c r="F2" s="106">
        <v>42795</v>
      </c>
      <c r="G2" s="106">
        <v>43160</v>
      </c>
      <c r="H2" s="106">
        <v>43525</v>
      </c>
      <c r="I2" s="106">
        <v>43891</v>
      </c>
      <c r="J2" s="106">
        <v>44256</v>
      </c>
      <c r="K2" s="106">
        <v>44621</v>
      </c>
      <c r="L2" s="106">
        <v>44986</v>
      </c>
      <c r="M2" s="106">
        <v>45352</v>
      </c>
      <c r="N2" s="106">
        <v>45717</v>
      </c>
      <c r="O2" s="106"/>
      <c r="P2" s="107"/>
    </row>
    <row r="3" spans="2:16">
      <c r="B3" s="196" t="s">
        <v>459</v>
      </c>
      <c r="C3" s="200">
        <v>286</v>
      </c>
      <c r="D3" s="200">
        <v>572</v>
      </c>
      <c r="E3" s="197">
        <v>1144</v>
      </c>
      <c r="F3" s="197">
        <v>1144</v>
      </c>
      <c r="G3" s="197">
        <v>1088</v>
      </c>
      <c r="H3" s="197">
        <v>2170</v>
      </c>
      <c r="I3" s="197">
        <v>2122</v>
      </c>
      <c r="J3" s="197">
        <v>2124</v>
      </c>
      <c r="K3" s="197">
        <v>2098</v>
      </c>
      <c r="L3" s="197">
        <v>2069</v>
      </c>
      <c r="M3" s="197">
        <v>2071</v>
      </c>
      <c r="N3" s="197">
        <v>2073</v>
      </c>
      <c r="O3" s="197"/>
    </row>
    <row r="4" spans="2:16">
      <c r="B4" s="196" t="s">
        <v>36</v>
      </c>
      <c r="C4" s="197">
        <v>44244</v>
      </c>
      <c r="D4" s="197">
        <v>50164</v>
      </c>
      <c r="E4" s="197">
        <v>60600</v>
      </c>
      <c r="F4" s="197">
        <v>67838</v>
      </c>
      <c r="G4" s="197">
        <v>63835</v>
      </c>
      <c r="H4" s="197">
        <v>62778</v>
      </c>
      <c r="I4" s="197">
        <v>63328</v>
      </c>
      <c r="J4" s="197">
        <v>74227</v>
      </c>
      <c r="K4" s="197">
        <v>73252</v>
      </c>
      <c r="L4" s="197">
        <v>73338</v>
      </c>
      <c r="M4" s="197">
        <v>86045</v>
      </c>
      <c r="N4" s="197">
        <v>93745</v>
      </c>
      <c r="O4" s="197"/>
    </row>
    <row r="5" spans="2:16">
      <c r="B5" s="115" t="s">
        <v>460</v>
      </c>
      <c r="C5" s="198">
        <v>0</v>
      </c>
      <c r="D5" s="198">
        <v>0</v>
      </c>
      <c r="E5" s="198">
        <v>0</v>
      </c>
      <c r="F5" s="198">
        <v>0</v>
      </c>
      <c r="G5" s="198">
        <v>0</v>
      </c>
      <c r="H5" s="198">
        <v>0</v>
      </c>
      <c r="I5" s="116">
        <v>4633</v>
      </c>
      <c r="J5" s="116">
        <v>5325</v>
      </c>
      <c r="K5" s="116">
        <v>5474</v>
      </c>
      <c r="L5" s="116">
        <v>8299</v>
      </c>
      <c r="M5" s="116">
        <v>8359</v>
      </c>
      <c r="N5" s="116">
        <v>8227</v>
      </c>
      <c r="O5" s="116"/>
    </row>
    <row r="6" spans="2:16">
      <c r="B6" s="199" t="s">
        <v>461</v>
      </c>
      <c r="C6" s="200">
        <v>0</v>
      </c>
      <c r="D6" s="200">
        <v>0</v>
      </c>
      <c r="E6" s="200">
        <v>0</v>
      </c>
      <c r="F6" s="200">
        <v>0</v>
      </c>
      <c r="G6" s="200">
        <v>0</v>
      </c>
      <c r="H6" s="200">
        <v>0</v>
      </c>
      <c r="I6" s="197">
        <v>4633</v>
      </c>
      <c r="J6" s="197">
        <v>5325</v>
      </c>
      <c r="K6" s="197">
        <v>5474</v>
      </c>
      <c r="L6" s="197">
        <v>8299</v>
      </c>
      <c r="M6" s="197">
        <v>8359</v>
      </c>
      <c r="N6" s="197">
        <v>8227</v>
      </c>
      <c r="O6" s="197"/>
    </row>
    <row r="7" spans="2:16">
      <c r="B7" s="115" t="s">
        <v>462</v>
      </c>
      <c r="C7" s="116">
        <v>12436</v>
      </c>
      <c r="D7" s="116">
        <v>15553</v>
      </c>
      <c r="E7" s="116">
        <v>13354</v>
      </c>
      <c r="F7" s="116">
        <v>14166</v>
      </c>
      <c r="G7" s="116">
        <v>14426</v>
      </c>
      <c r="H7" s="116">
        <v>19118</v>
      </c>
      <c r="I7" s="116">
        <v>21717</v>
      </c>
      <c r="J7" s="116">
        <v>25835</v>
      </c>
      <c r="K7" s="116">
        <v>35905</v>
      </c>
      <c r="L7" s="116">
        <v>40890</v>
      </c>
      <c r="M7" s="116">
        <v>40885</v>
      </c>
      <c r="N7" s="116">
        <v>43750</v>
      </c>
      <c r="O7" s="116"/>
    </row>
    <row r="8" spans="2:16">
      <c r="B8" s="199" t="s">
        <v>463</v>
      </c>
      <c r="C8" s="200">
        <v>0</v>
      </c>
      <c r="D8" s="200">
        <v>0</v>
      </c>
      <c r="E8" s="200">
        <v>0</v>
      </c>
      <c r="F8" s="200">
        <v>0</v>
      </c>
      <c r="G8" s="200">
        <v>1</v>
      </c>
      <c r="H8" s="200">
        <v>58</v>
      </c>
      <c r="I8" s="200">
        <v>394</v>
      </c>
      <c r="J8" s="200">
        <v>431</v>
      </c>
      <c r="K8" s="200">
        <v>386</v>
      </c>
      <c r="L8" s="200">
        <v>388</v>
      </c>
      <c r="M8" s="200">
        <v>345</v>
      </c>
      <c r="N8" s="200">
        <v>385</v>
      </c>
      <c r="O8" s="200"/>
    </row>
    <row r="9" spans="2:16">
      <c r="B9" s="199" t="s">
        <v>464</v>
      </c>
      <c r="C9" s="200">
        <v>173</v>
      </c>
      <c r="D9" s="200">
        <v>140</v>
      </c>
      <c r="E9" s="200">
        <v>386</v>
      </c>
      <c r="F9" s="200">
        <v>367</v>
      </c>
      <c r="G9" s="200">
        <v>694</v>
      </c>
      <c r="H9" s="197">
        <v>1655</v>
      </c>
      <c r="I9" s="197">
        <v>2852</v>
      </c>
      <c r="J9" s="197">
        <v>2645</v>
      </c>
      <c r="K9" s="197">
        <v>4134</v>
      </c>
      <c r="L9" s="197">
        <v>3865</v>
      </c>
      <c r="M9" s="197">
        <v>3956</v>
      </c>
      <c r="N9" s="197">
        <v>4164</v>
      </c>
      <c r="O9" s="197"/>
    </row>
    <row r="10" spans="2:16">
      <c r="B10" s="199" t="s">
        <v>465</v>
      </c>
      <c r="C10" s="200">
        <v>40</v>
      </c>
      <c r="D10" s="200">
        <v>27</v>
      </c>
      <c r="E10" s="200">
        <v>28</v>
      </c>
      <c r="F10" s="200">
        <v>0</v>
      </c>
      <c r="G10" s="200">
        <v>0</v>
      </c>
      <c r="H10" s="200">
        <v>0</v>
      </c>
      <c r="I10" s="200">
        <v>0</v>
      </c>
      <c r="J10" s="200">
        <v>0</v>
      </c>
      <c r="K10" s="200">
        <v>0</v>
      </c>
      <c r="L10" s="200">
        <v>0</v>
      </c>
      <c r="M10" s="200">
        <v>0</v>
      </c>
      <c r="N10" s="200">
        <v>0</v>
      </c>
      <c r="O10" s="200"/>
    </row>
    <row r="11" spans="2:16">
      <c r="B11" s="199" t="s">
        <v>466</v>
      </c>
      <c r="C11" s="197">
        <v>12223</v>
      </c>
      <c r="D11" s="197">
        <v>15386</v>
      </c>
      <c r="E11" s="197">
        <v>12940</v>
      </c>
      <c r="F11" s="197">
        <v>13799</v>
      </c>
      <c r="G11" s="197">
        <v>13731</v>
      </c>
      <c r="H11" s="197">
        <v>17405</v>
      </c>
      <c r="I11" s="197">
        <v>18471</v>
      </c>
      <c r="J11" s="197">
        <v>22759</v>
      </c>
      <c r="K11" s="197">
        <v>31385</v>
      </c>
      <c r="L11" s="197">
        <v>36637</v>
      </c>
      <c r="M11" s="197">
        <v>36584</v>
      </c>
      <c r="N11" s="197">
        <v>39201</v>
      </c>
      <c r="O11" s="197"/>
    </row>
    <row r="12" spans="2:16">
      <c r="B12" s="115" t="s">
        <v>39</v>
      </c>
      <c r="C12" s="116">
        <v>56966</v>
      </c>
      <c r="D12" s="116">
        <v>66289</v>
      </c>
      <c r="E12" s="116">
        <v>75098</v>
      </c>
      <c r="F12" s="116">
        <v>83148</v>
      </c>
      <c r="G12" s="116">
        <v>79349</v>
      </c>
      <c r="H12" s="116">
        <v>84066</v>
      </c>
      <c r="I12" s="116">
        <v>91800</v>
      </c>
      <c r="J12" s="116">
        <v>107511</v>
      </c>
      <c r="K12" s="116">
        <v>116729</v>
      </c>
      <c r="L12" s="116">
        <v>124596</v>
      </c>
      <c r="M12" s="116">
        <v>137360</v>
      </c>
      <c r="N12" s="116">
        <v>147795</v>
      </c>
      <c r="O12" s="116"/>
    </row>
    <row r="13" spans="2:16" s="108" customFormat="1">
      <c r="B13" s="115"/>
      <c r="C13" s="116"/>
      <c r="D13" s="117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116"/>
    </row>
    <row r="14" spans="2:16">
      <c r="B14" s="115" t="s">
        <v>467</v>
      </c>
      <c r="C14" s="116">
        <v>8378</v>
      </c>
      <c r="D14" s="116">
        <v>11346</v>
      </c>
      <c r="E14" s="116">
        <v>13386</v>
      </c>
      <c r="F14" s="116">
        <v>14179</v>
      </c>
      <c r="G14" s="116">
        <v>12574</v>
      </c>
      <c r="H14" s="116">
        <v>15710</v>
      </c>
      <c r="I14" s="116">
        <v>23789</v>
      </c>
      <c r="J14" s="116">
        <v>25505</v>
      </c>
      <c r="K14" s="116">
        <v>25800</v>
      </c>
      <c r="L14" s="116">
        <v>29225</v>
      </c>
      <c r="M14" s="116">
        <v>27622</v>
      </c>
      <c r="N14" s="116">
        <v>30961</v>
      </c>
      <c r="O14" s="116"/>
    </row>
    <row r="15" spans="2:16">
      <c r="B15" s="199" t="s">
        <v>273</v>
      </c>
      <c r="C15" s="197">
        <v>1142</v>
      </c>
      <c r="D15" s="197">
        <v>1564</v>
      </c>
      <c r="E15" s="197">
        <v>1622</v>
      </c>
      <c r="F15" s="197">
        <v>1095</v>
      </c>
      <c r="G15" s="197">
        <v>1229</v>
      </c>
      <c r="H15" s="197">
        <v>1307</v>
      </c>
      <c r="I15" s="197">
        <v>1950</v>
      </c>
      <c r="J15" s="197">
        <v>2036</v>
      </c>
      <c r="K15" s="197">
        <v>2065</v>
      </c>
      <c r="L15" s="197">
        <v>2054</v>
      </c>
      <c r="M15" s="197">
        <v>2037</v>
      </c>
      <c r="N15" s="197">
        <v>2079</v>
      </c>
      <c r="O15" s="197"/>
    </row>
    <row r="16" spans="2:16">
      <c r="B16" s="199" t="s">
        <v>274</v>
      </c>
      <c r="C16" s="197">
        <v>5238</v>
      </c>
      <c r="D16" s="197">
        <v>6102</v>
      </c>
      <c r="E16" s="197">
        <v>6325</v>
      </c>
      <c r="F16" s="197">
        <v>8419</v>
      </c>
      <c r="G16" s="197">
        <v>9334</v>
      </c>
      <c r="H16" s="197">
        <v>10270</v>
      </c>
      <c r="I16" s="197">
        <v>15104</v>
      </c>
      <c r="J16" s="197">
        <v>16328</v>
      </c>
      <c r="K16" s="197">
        <v>16761</v>
      </c>
      <c r="L16" s="197">
        <v>16903</v>
      </c>
      <c r="M16" s="197">
        <v>16515</v>
      </c>
      <c r="N16" s="197">
        <v>16376</v>
      </c>
      <c r="O16" s="197"/>
    </row>
    <row r="17" spans="2:15">
      <c r="B17" s="199" t="s">
        <v>275</v>
      </c>
      <c r="C17" s="197">
        <v>1150</v>
      </c>
      <c r="D17" s="197">
        <v>1427</v>
      </c>
      <c r="E17" s="197">
        <v>1759</v>
      </c>
      <c r="F17" s="197">
        <v>2048</v>
      </c>
      <c r="G17" s="197">
        <v>2306</v>
      </c>
      <c r="H17" s="197">
        <v>2709</v>
      </c>
      <c r="I17" s="197">
        <v>3185</v>
      </c>
      <c r="J17" s="197">
        <v>3296</v>
      </c>
      <c r="K17" s="197">
        <v>3210</v>
      </c>
      <c r="L17" s="197">
        <v>3302</v>
      </c>
      <c r="M17" s="197">
        <v>3428</v>
      </c>
      <c r="N17" s="197">
        <v>3461</v>
      </c>
      <c r="O17" s="197"/>
    </row>
    <row r="18" spans="2:15">
      <c r="B18" s="199" t="s">
        <v>276</v>
      </c>
      <c r="C18" s="200">
        <v>551</v>
      </c>
      <c r="D18" s="200">
        <v>676</v>
      </c>
      <c r="E18" s="200">
        <v>839</v>
      </c>
      <c r="F18" s="200">
        <v>922</v>
      </c>
      <c r="G18" s="197">
        <v>1002</v>
      </c>
      <c r="H18" s="197">
        <v>1101</v>
      </c>
      <c r="I18" s="197">
        <v>1265</v>
      </c>
      <c r="J18" s="197">
        <v>1371</v>
      </c>
      <c r="K18" s="197">
        <v>1427</v>
      </c>
      <c r="L18" s="197">
        <v>1482</v>
      </c>
      <c r="M18" s="197">
        <v>1528</v>
      </c>
      <c r="N18" s="197">
        <v>1628</v>
      </c>
      <c r="O18" s="197"/>
    </row>
    <row r="19" spans="2:15">
      <c r="B19" s="199" t="s">
        <v>277</v>
      </c>
      <c r="C19" s="197">
        <v>2659</v>
      </c>
      <c r="D19" s="197">
        <v>3347</v>
      </c>
      <c r="E19" s="197">
        <v>4486</v>
      </c>
      <c r="F19" s="197">
        <v>4945</v>
      </c>
      <c r="G19" s="197">
        <v>4903</v>
      </c>
      <c r="H19" s="197">
        <v>6287</v>
      </c>
      <c r="I19" s="197">
        <v>7423</v>
      </c>
      <c r="J19" s="197">
        <v>8650</v>
      </c>
      <c r="K19" s="197">
        <v>9936</v>
      </c>
      <c r="L19" s="197">
        <v>11898</v>
      </c>
      <c r="M19" s="197">
        <v>12353</v>
      </c>
      <c r="N19" s="197">
        <v>12925</v>
      </c>
      <c r="O19" s="197"/>
    </row>
    <row r="20" spans="2:15">
      <c r="B20" s="199" t="s">
        <v>278</v>
      </c>
      <c r="C20" s="200">
        <v>805</v>
      </c>
      <c r="D20" s="200">
        <v>958</v>
      </c>
      <c r="E20" s="197">
        <v>1444</v>
      </c>
      <c r="F20" s="197">
        <v>1277</v>
      </c>
      <c r="G20" s="197">
        <v>1393</v>
      </c>
      <c r="H20" s="197">
        <v>1620</v>
      </c>
      <c r="I20" s="197">
        <v>2073</v>
      </c>
      <c r="J20" s="197">
        <v>2149</v>
      </c>
      <c r="K20" s="197">
        <v>2279</v>
      </c>
      <c r="L20" s="197">
        <v>2303</v>
      </c>
      <c r="M20" s="197">
        <v>2326</v>
      </c>
      <c r="N20" s="197">
        <v>2340</v>
      </c>
      <c r="O20" s="197"/>
    </row>
    <row r="21" spans="2:15">
      <c r="B21" s="199" t="s">
        <v>279</v>
      </c>
      <c r="C21" s="200">
        <v>35</v>
      </c>
      <c r="D21" s="200">
        <v>34</v>
      </c>
      <c r="E21" s="200">
        <v>29</v>
      </c>
      <c r="F21" s="200">
        <v>31</v>
      </c>
      <c r="G21" s="200">
        <v>31</v>
      </c>
      <c r="H21" s="200">
        <v>38</v>
      </c>
      <c r="I21" s="200">
        <v>69</v>
      </c>
      <c r="J21" s="200">
        <v>74</v>
      </c>
      <c r="K21" s="200">
        <v>71</v>
      </c>
      <c r="L21" s="200">
        <v>60</v>
      </c>
      <c r="M21" s="200">
        <v>62</v>
      </c>
      <c r="N21" s="200">
        <v>72</v>
      </c>
      <c r="O21" s="200"/>
    </row>
    <row r="22" spans="2:15">
      <c r="B22" s="199" t="s">
        <v>280</v>
      </c>
      <c r="C22" s="197">
        <v>2244</v>
      </c>
      <c r="D22" s="197">
        <v>3637</v>
      </c>
      <c r="E22" s="197">
        <v>3858</v>
      </c>
      <c r="F22" s="197">
        <v>3743</v>
      </c>
      <c r="G22" s="197">
        <v>2237</v>
      </c>
      <c r="H22" s="197">
        <v>3640</v>
      </c>
      <c r="I22" s="197">
        <v>5527</v>
      </c>
      <c r="J22" s="197">
        <v>6372</v>
      </c>
      <c r="K22" s="197">
        <v>6495</v>
      </c>
      <c r="L22" s="197">
        <v>7594</v>
      </c>
      <c r="M22" s="197">
        <v>7653</v>
      </c>
      <c r="N22" s="197">
        <v>10626</v>
      </c>
      <c r="O22" s="197"/>
    </row>
    <row r="23" spans="2:15">
      <c r="B23" s="199" t="s">
        <v>281</v>
      </c>
      <c r="C23" s="200">
        <v>126</v>
      </c>
      <c r="D23" s="200">
        <v>71</v>
      </c>
      <c r="E23" s="200">
        <v>931</v>
      </c>
      <c r="F23" s="200">
        <v>899</v>
      </c>
      <c r="G23" s="200">
        <v>545</v>
      </c>
      <c r="H23" s="197">
        <v>1093</v>
      </c>
      <c r="I23" s="197">
        <v>2289</v>
      </c>
      <c r="J23" s="197">
        <v>2730</v>
      </c>
      <c r="K23" s="197">
        <v>2766</v>
      </c>
      <c r="L23" s="197">
        <v>3281</v>
      </c>
      <c r="M23" s="197">
        <v>3294</v>
      </c>
      <c r="N23" s="197">
        <v>5184</v>
      </c>
      <c r="O23" s="197"/>
    </row>
    <row r="24" spans="2:15">
      <c r="B24" s="115" t="s">
        <v>468</v>
      </c>
      <c r="C24" s="116">
        <v>13950</v>
      </c>
      <c r="D24" s="116">
        <v>17816</v>
      </c>
      <c r="E24" s="116">
        <v>21293</v>
      </c>
      <c r="F24" s="116">
        <v>23379</v>
      </c>
      <c r="G24" s="116">
        <v>22980</v>
      </c>
      <c r="H24" s="116">
        <v>28065</v>
      </c>
      <c r="I24" s="116">
        <v>38885</v>
      </c>
      <c r="J24" s="116">
        <v>43006</v>
      </c>
      <c r="K24" s="116">
        <v>45010</v>
      </c>
      <c r="L24" s="116">
        <v>48877</v>
      </c>
      <c r="M24" s="116">
        <v>49196</v>
      </c>
      <c r="N24" s="116">
        <v>54691</v>
      </c>
      <c r="O24" s="116"/>
    </row>
    <row r="25" spans="2:15">
      <c r="B25" s="196" t="s">
        <v>283</v>
      </c>
      <c r="C25" s="197">
        <v>5572</v>
      </c>
      <c r="D25" s="197">
        <v>6470</v>
      </c>
      <c r="E25" s="197">
        <v>7907</v>
      </c>
      <c r="F25" s="197">
        <v>9200</v>
      </c>
      <c r="G25" s="197">
        <v>10406</v>
      </c>
      <c r="H25" s="197">
        <v>12355</v>
      </c>
      <c r="I25" s="197">
        <v>15096</v>
      </c>
      <c r="J25" s="197">
        <v>17501</v>
      </c>
      <c r="K25" s="197">
        <v>19210</v>
      </c>
      <c r="L25" s="197">
        <v>19652</v>
      </c>
      <c r="M25" s="197">
        <v>21574</v>
      </c>
      <c r="N25" s="197">
        <v>23730</v>
      </c>
      <c r="O25" s="197"/>
    </row>
    <row r="26" spans="2:15">
      <c r="B26" s="196" t="s">
        <v>469</v>
      </c>
      <c r="C26" s="200">
        <v>961</v>
      </c>
      <c r="D26" s="200">
        <v>776</v>
      </c>
      <c r="E26" s="200">
        <v>960</v>
      </c>
      <c r="F26" s="197">
        <v>1365</v>
      </c>
      <c r="G26" s="197">
        <v>1606</v>
      </c>
      <c r="H26" s="197">
        <v>1388</v>
      </c>
      <c r="I26" s="200">
        <v>954</v>
      </c>
      <c r="J26" s="200">
        <v>922</v>
      </c>
      <c r="K26" s="200">
        <v>416</v>
      </c>
      <c r="L26" s="200">
        <v>288</v>
      </c>
      <c r="M26" s="200">
        <v>293</v>
      </c>
      <c r="N26" s="200">
        <v>814</v>
      </c>
      <c r="O26" s="200"/>
    </row>
    <row r="27" spans="2:15">
      <c r="B27" s="196" t="s">
        <v>42</v>
      </c>
      <c r="C27" s="197">
        <v>4331</v>
      </c>
      <c r="D27" s="197">
        <v>2270</v>
      </c>
      <c r="E27" s="197">
        <v>1892</v>
      </c>
      <c r="F27" s="197">
        <v>16423</v>
      </c>
      <c r="G27" s="197">
        <v>12163</v>
      </c>
      <c r="H27" s="197">
        <v>11261</v>
      </c>
      <c r="I27" s="197">
        <v>8792</v>
      </c>
      <c r="J27" s="197">
        <v>14205</v>
      </c>
      <c r="K27" s="197">
        <v>20324</v>
      </c>
      <c r="L27" s="197">
        <v>19478</v>
      </c>
      <c r="M27" s="197">
        <v>24623</v>
      </c>
      <c r="N27" s="197">
        <v>23541</v>
      </c>
      <c r="O27" s="197"/>
    </row>
    <row r="28" spans="2:15">
      <c r="B28" s="115" t="s">
        <v>470</v>
      </c>
      <c r="C28" s="116">
        <v>43296</v>
      </c>
      <c r="D28" s="116">
        <v>51897</v>
      </c>
      <c r="E28" s="116">
        <v>58860</v>
      </c>
      <c r="F28" s="116">
        <v>51181</v>
      </c>
      <c r="G28" s="116">
        <v>53006</v>
      </c>
      <c r="H28" s="116">
        <v>55707</v>
      </c>
      <c r="I28" s="116">
        <v>58265</v>
      </c>
      <c r="J28" s="116">
        <v>66879</v>
      </c>
      <c r="K28" s="116">
        <v>70189</v>
      </c>
      <c r="L28" s="116">
        <v>75605</v>
      </c>
      <c r="M28" s="116">
        <v>84822</v>
      </c>
      <c r="N28" s="116">
        <v>92479</v>
      </c>
      <c r="O28" s="116"/>
    </row>
    <row r="29" spans="2:15">
      <c r="B29" s="199" t="s">
        <v>471</v>
      </c>
      <c r="C29" s="197">
        <v>8351</v>
      </c>
      <c r="D29" s="197">
        <v>9713</v>
      </c>
      <c r="E29" s="197">
        <v>11330</v>
      </c>
      <c r="F29" s="197">
        <v>12322</v>
      </c>
      <c r="G29" s="197">
        <v>13142</v>
      </c>
      <c r="H29" s="197">
        <v>14827</v>
      </c>
      <c r="I29" s="197">
        <v>18487</v>
      </c>
      <c r="J29" s="197">
        <v>19294</v>
      </c>
      <c r="K29" s="197">
        <v>22698</v>
      </c>
      <c r="L29" s="197">
        <v>25424</v>
      </c>
      <c r="M29" s="197">
        <v>30193</v>
      </c>
      <c r="N29" s="197">
        <v>31158</v>
      </c>
      <c r="O29" s="197"/>
    </row>
    <row r="30" spans="2:15">
      <c r="B30" s="199" t="s">
        <v>472</v>
      </c>
      <c r="C30" s="197">
        <v>25950</v>
      </c>
      <c r="D30" s="197">
        <v>30367</v>
      </c>
      <c r="E30" s="197">
        <v>32697</v>
      </c>
      <c r="F30" s="197">
        <v>22625</v>
      </c>
      <c r="G30" s="197">
        <v>19818</v>
      </c>
      <c r="H30" s="197">
        <v>19568</v>
      </c>
      <c r="I30" s="197">
        <v>18649</v>
      </c>
      <c r="J30" s="197">
        <v>24714</v>
      </c>
      <c r="K30" s="197">
        <v>17472</v>
      </c>
      <c r="L30" s="197">
        <v>12173</v>
      </c>
      <c r="M30" s="197">
        <v>14786</v>
      </c>
      <c r="N30" s="197">
        <v>24455</v>
      </c>
      <c r="O30" s="197"/>
    </row>
    <row r="31" spans="2:15">
      <c r="B31" s="199" t="s">
        <v>473</v>
      </c>
      <c r="C31" s="197">
        <v>1484</v>
      </c>
      <c r="D31" s="200">
        <v>399</v>
      </c>
      <c r="E31" s="200">
        <v>614</v>
      </c>
      <c r="F31" s="200">
        <v>844</v>
      </c>
      <c r="G31" s="200">
        <v>830</v>
      </c>
      <c r="H31" s="197">
        <v>1524</v>
      </c>
      <c r="I31" s="197">
        <v>1359</v>
      </c>
      <c r="J31" s="197">
        <v>1460</v>
      </c>
      <c r="K31" s="197">
        <v>2491</v>
      </c>
      <c r="L31" s="197">
        <v>3242</v>
      </c>
      <c r="M31" s="197">
        <v>10330</v>
      </c>
      <c r="N31" s="197">
        <v>6717</v>
      </c>
      <c r="O31" s="197"/>
    </row>
    <row r="32" spans="2:15">
      <c r="B32" s="199" t="s">
        <v>474</v>
      </c>
      <c r="C32" s="197">
        <v>7511</v>
      </c>
      <c r="D32" s="197">
        <v>11418</v>
      </c>
      <c r="E32" s="197">
        <v>14219</v>
      </c>
      <c r="F32" s="197">
        <v>15390</v>
      </c>
      <c r="G32" s="197">
        <v>19216</v>
      </c>
      <c r="H32" s="197">
        <v>19788</v>
      </c>
      <c r="I32" s="197">
        <v>19770</v>
      </c>
      <c r="J32" s="197">
        <v>21411</v>
      </c>
      <c r="K32" s="197">
        <v>27528</v>
      </c>
      <c r="L32" s="197">
        <v>34766</v>
      </c>
      <c r="M32" s="197">
        <v>29513</v>
      </c>
      <c r="N32" s="197">
        <v>30149</v>
      </c>
      <c r="O32" s="197"/>
    </row>
    <row r="33" spans="2:15">
      <c r="B33" s="115" t="s">
        <v>49</v>
      </c>
      <c r="C33" s="116">
        <v>56966</v>
      </c>
      <c r="D33" s="116">
        <v>66289</v>
      </c>
      <c r="E33" s="116">
        <v>75098</v>
      </c>
      <c r="F33" s="116">
        <v>83148</v>
      </c>
      <c r="G33" s="116">
        <v>79349</v>
      </c>
      <c r="H33" s="116">
        <v>84066</v>
      </c>
      <c r="I33" s="116">
        <v>91800</v>
      </c>
      <c r="J33" s="116">
        <v>107511</v>
      </c>
      <c r="K33" s="116">
        <v>116729</v>
      </c>
      <c r="L33" s="116">
        <v>124596</v>
      </c>
      <c r="M33" s="116">
        <v>137360</v>
      </c>
      <c r="N33" s="116">
        <v>147795</v>
      </c>
      <c r="O33" s="116"/>
    </row>
    <row r="34" spans="2:15">
      <c r="B34" s="108"/>
      <c r="C34" s="108"/>
      <c r="D34" s="108"/>
      <c r="E34" s="108"/>
      <c r="F34" s="108"/>
      <c r="G34" s="108"/>
      <c r="H34" s="108"/>
      <c r="I34" s="108"/>
      <c r="J34" s="108"/>
      <c r="K34" s="108"/>
      <c r="L34" s="108"/>
      <c r="M34" s="108"/>
      <c r="N34" s="108"/>
      <c r="O34" s="108"/>
    </row>
    <row r="35" spans="2:15">
      <c r="B35" s="108"/>
      <c r="C35" s="108"/>
      <c r="D35" s="108"/>
      <c r="E35" s="108"/>
      <c r="F35" s="108"/>
      <c r="G35" s="108"/>
      <c r="H35" s="108"/>
      <c r="I35" s="108"/>
      <c r="J35" s="108"/>
      <c r="K35" s="108"/>
      <c r="L35" s="108"/>
      <c r="M35" s="108"/>
      <c r="N35" s="108"/>
      <c r="O35" s="108"/>
    </row>
    <row r="36" spans="2:15">
      <c r="B36" s="201">
        <v>41699</v>
      </c>
      <c r="C36" s="201">
        <v>42064</v>
      </c>
      <c r="D36" s="201">
        <v>42430</v>
      </c>
      <c r="E36" s="201">
        <v>42795</v>
      </c>
      <c r="F36" s="201">
        <v>43160</v>
      </c>
      <c r="G36" s="201">
        <v>43525</v>
      </c>
      <c r="H36" s="201">
        <v>43891</v>
      </c>
      <c r="I36" s="201">
        <v>44256</v>
      </c>
      <c r="J36" s="201">
        <v>44621</v>
      </c>
      <c r="K36" s="201">
        <v>44986</v>
      </c>
      <c r="L36" s="201">
        <v>45352</v>
      </c>
      <c r="M36" s="201">
        <v>45717</v>
      </c>
      <c r="N36" s="203"/>
      <c r="O36" s="203"/>
    </row>
    <row r="37" spans="2:15">
      <c r="B37" s="115" t="s">
        <v>475</v>
      </c>
      <c r="C37" s="116">
        <v>9825</v>
      </c>
      <c r="D37" s="116">
        <v>8353</v>
      </c>
      <c r="E37" s="116">
        <v>10028</v>
      </c>
      <c r="F37" s="116">
        <v>11531</v>
      </c>
      <c r="G37" s="116">
        <v>13218</v>
      </c>
      <c r="H37" s="116">
        <v>14841</v>
      </c>
      <c r="I37" s="116">
        <v>17003</v>
      </c>
      <c r="J37" s="116">
        <v>23224</v>
      </c>
      <c r="K37" s="116">
        <v>23885</v>
      </c>
      <c r="L37" s="116">
        <v>22467</v>
      </c>
      <c r="M37" s="116">
        <v>25210</v>
      </c>
      <c r="N37" s="116">
        <v>35694</v>
      </c>
      <c r="O37" s="116"/>
    </row>
    <row r="38" spans="2:15">
      <c r="B38" s="115" t="s">
        <v>53</v>
      </c>
      <c r="C38" s="116">
        <v>14172</v>
      </c>
      <c r="D38" s="116">
        <v>15946</v>
      </c>
      <c r="E38" s="116">
        <v>17839</v>
      </c>
      <c r="F38" s="116">
        <v>19340</v>
      </c>
      <c r="G38" s="116">
        <v>19963</v>
      </c>
      <c r="H38" s="116">
        <v>22126</v>
      </c>
      <c r="I38" s="116">
        <v>23920</v>
      </c>
      <c r="J38" s="116">
        <v>28845</v>
      </c>
      <c r="K38" s="116">
        <v>32921</v>
      </c>
      <c r="L38" s="116">
        <v>37605</v>
      </c>
      <c r="M38" s="116">
        <v>39523</v>
      </c>
      <c r="N38" s="116">
        <v>41591</v>
      </c>
      <c r="O38" s="116"/>
    </row>
    <row r="39" spans="2:15">
      <c r="B39" s="199" t="s">
        <v>45</v>
      </c>
      <c r="C39" s="197">
        <v>-1406</v>
      </c>
      <c r="D39" s="197">
        <v>-1475</v>
      </c>
      <c r="E39" s="197">
        <v>-1654</v>
      </c>
      <c r="F39" s="197">
        <v>-1743</v>
      </c>
      <c r="G39" s="197">
        <v>-1523</v>
      </c>
      <c r="H39" s="197">
        <v>-2881</v>
      </c>
      <c r="I39" s="197">
        <v>-3861</v>
      </c>
      <c r="J39" s="197">
        <v>-1835</v>
      </c>
      <c r="K39" s="197">
        <v>-7937</v>
      </c>
      <c r="L39" s="197">
        <v>-7076</v>
      </c>
      <c r="M39" s="197">
        <v>-2667</v>
      </c>
      <c r="N39" s="197">
        <v>-1769</v>
      </c>
      <c r="O39" s="197"/>
    </row>
    <row r="40" spans="2:15">
      <c r="B40" s="199" t="s">
        <v>54</v>
      </c>
      <c r="C40" s="200">
        <v>0</v>
      </c>
      <c r="D40" s="200">
        <v>0</v>
      </c>
      <c r="E40" s="200">
        <v>242</v>
      </c>
      <c r="F40" s="200">
        <v>-19</v>
      </c>
      <c r="G40" s="200">
        <v>328</v>
      </c>
      <c r="H40" s="200">
        <v>916</v>
      </c>
      <c r="I40" s="200">
        <v>-373</v>
      </c>
      <c r="J40" s="200">
        <v>-245</v>
      </c>
      <c r="K40" s="197">
        <v>1489</v>
      </c>
      <c r="L40" s="200">
        <v>-279</v>
      </c>
      <c r="M40" s="200">
        <v>91</v>
      </c>
      <c r="N40" s="200">
        <v>176</v>
      </c>
      <c r="O40" s="200"/>
    </row>
    <row r="41" spans="2:15">
      <c r="B41" s="199" t="s">
        <v>55</v>
      </c>
      <c r="C41" s="197">
        <v>-1060</v>
      </c>
      <c r="D41" s="200">
        <v>-221</v>
      </c>
      <c r="E41" s="197">
        <v>-1134</v>
      </c>
      <c r="F41" s="200">
        <v>0</v>
      </c>
      <c r="G41" s="200">
        <v>0</v>
      </c>
      <c r="H41" s="200">
        <v>0</v>
      </c>
      <c r="I41" s="200">
        <v>0</v>
      </c>
      <c r="J41" s="200">
        <v>-534</v>
      </c>
      <c r="K41" s="197">
        <v>-1914</v>
      </c>
      <c r="L41" s="197">
        <v>-3108</v>
      </c>
      <c r="M41" s="197">
        <v>-1172</v>
      </c>
      <c r="N41" s="197">
        <v>-1024</v>
      </c>
      <c r="O41" s="197"/>
    </row>
    <row r="42" spans="2:15">
      <c r="B42" s="199" t="s">
        <v>56</v>
      </c>
      <c r="C42" s="197">
        <v>1993</v>
      </c>
      <c r="D42" s="200">
        <v>854</v>
      </c>
      <c r="E42" s="200">
        <v>600</v>
      </c>
      <c r="F42" s="200">
        <v>-394</v>
      </c>
      <c r="G42" s="197">
        <v>1279</v>
      </c>
      <c r="H42" s="197">
        <v>1512</v>
      </c>
      <c r="I42" s="197">
        <v>1867</v>
      </c>
      <c r="J42" s="197">
        <v>3382</v>
      </c>
      <c r="K42" s="197">
        <v>6938</v>
      </c>
      <c r="L42" s="197">
        <v>4119</v>
      </c>
      <c r="M42" s="197">
        <v>-1334</v>
      </c>
      <c r="N42" s="197">
        <v>2322</v>
      </c>
      <c r="O42" s="197"/>
    </row>
    <row r="43" spans="2:15">
      <c r="B43" s="115" t="s">
        <v>57</v>
      </c>
      <c r="C43" s="198">
        <v>-473</v>
      </c>
      <c r="D43" s="198">
        <v>-842</v>
      </c>
      <c r="E43" s="116">
        <v>-1946</v>
      </c>
      <c r="F43" s="116">
        <v>-2156</v>
      </c>
      <c r="G43" s="198">
        <v>84</v>
      </c>
      <c r="H43" s="198">
        <v>-453</v>
      </c>
      <c r="I43" s="116">
        <v>-2367</v>
      </c>
      <c r="J43" s="198">
        <v>768</v>
      </c>
      <c r="K43" s="116">
        <v>-1424</v>
      </c>
      <c r="L43" s="116">
        <v>-6344</v>
      </c>
      <c r="M43" s="116">
        <v>-5082</v>
      </c>
      <c r="N43" s="198">
        <v>-295</v>
      </c>
      <c r="O43" s="198"/>
    </row>
    <row r="44" spans="2:15">
      <c r="B44" s="199" t="s">
        <v>58</v>
      </c>
      <c r="C44" s="197">
        <v>-3874</v>
      </c>
      <c r="D44" s="197">
        <v>-6751</v>
      </c>
      <c r="E44" s="197">
        <v>-5865</v>
      </c>
      <c r="F44" s="197">
        <v>-5653</v>
      </c>
      <c r="G44" s="197">
        <v>-6829</v>
      </c>
      <c r="H44" s="197">
        <v>-6832</v>
      </c>
      <c r="I44" s="197">
        <v>-4550</v>
      </c>
      <c r="J44" s="197">
        <v>-6389</v>
      </c>
      <c r="K44" s="197">
        <v>-7612</v>
      </c>
      <c r="L44" s="197">
        <v>-8794</v>
      </c>
      <c r="M44" s="197">
        <v>-9231</v>
      </c>
      <c r="N44" s="197">
        <v>-5602</v>
      </c>
      <c r="O44" s="197"/>
    </row>
    <row r="45" spans="2:15">
      <c r="B45" s="115" t="s">
        <v>476</v>
      </c>
      <c r="C45" s="116">
        <v>-2563</v>
      </c>
      <c r="D45" s="198">
        <v>999</v>
      </c>
      <c r="E45" s="198">
        <v>-885</v>
      </c>
      <c r="F45" s="116">
        <v>-14664</v>
      </c>
      <c r="G45" s="116">
        <v>4533</v>
      </c>
      <c r="H45" s="198">
        <v>-632</v>
      </c>
      <c r="I45" s="198">
        <v>-331</v>
      </c>
      <c r="J45" s="116">
        <v>-7373</v>
      </c>
      <c r="K45" s="116">
        <v>-6485</v>
      </c>
      <c r="L45" s="116">
        <v>-1071</v>
      </c>
      <c r="M45" s="116">
        <v>-5093</v>
      </c>
      <c r="N45" s="116">
        <v>-1864</v>
      </c>
      <c r="O45" s="116"/>
    </row>
    <row r="46" spans="2:15">
      <c r="B46" s="199" t="s">
        <v>61</v>
      </c>
      <c r="C46" s="197">
        <v>-2748</v>
      </c>
      <c r="D46" s="197">
        <v>-2247</v>
      </c>
      <c r="E46" s="197">
        <v>-2723</v>
      </c>
      <c r="F46" s="197">
        <v>-2760</v>
      </c>
      <c r="G46" s="197">
        <v>-1998</v>
      </c>
      <c r="H46" s="197">
        <v>-2445</v>
      </c>
      <c r="I46" s="197">
        <v>-3307</v>
      </c>
      <c r="J46" s="197">
        <v>-2107</v>
      </c>
      <c r="K46" s="197">
        <v>-2161</v>
      </c>
      <c r="L46" s="197">
        <v>-2579</v>
      </c>
      <c r="M46" s="197">
        <v>-2201</v>
      </c>
      <c r="N46" s="197">
        <v>-2237</v>
      </c>
      <c r="O46" s="197"/>
    </row>
    <row r="47" spans="2:15">
      <c r="B47" s="199" t="s">
        <v>62</v>
      </c>
      <c r="C47" s="200">
        <v>3</v>
      </c>
      <c r="D47" s="200">
        <v>0</v>
      </c>
      <c r="E47" s="200">
        <v>0</v>
      </c>
      <c r="F47" s="200">
        <v>0</v>
      </c>
      <c r="G47" s="200">
        <v>0</v>
      </c>
      <c r="H47" s="200">
        <v>0</v>
      </c>
      <c r="I47" s="200">
        <v>0</v>
      </c>
      <c r="J47" s="200">
        <v>0</v>
      </c>
      <c r="K47" s="200">
        <v>0</v>
      </c>
      <c r="L47" s="200">
        <v>0</v>
      </c>
      <c r="M47" s="200">
        <v>0</v>
      </c>
      <c r="N47" s="200">
        <v>0</v>
      </c>
      <c r="O47" s="200"/>
    </row>
    <row r="48" spans="2:15">
      <c r="B48" s="199" t="s">
        <v>63</v>
      </c>
      <c r="C48" s="197">
        <v>-25046</v>
      </c>
      <c r="D48" s="197">
        <v>-23923</v>
      </c>
      <c r="E48" s="197">
        <v>-24577</v>
      </c>
      <c r="F48" s="197">
        <v>-66410</v>
      </c>
      <c r="G48" s="197">
        <v>-69159</v>
      </c>
      <c r="H48" s="197">
        <v>-79410</v>
      </c>
      <c r="I48" s="197">
        <v>-37482</v>
      </c>
      <c r="J48" s="197">
        <v>-46738</v>
      </c>
      <c r="K48" s="197">
        <v>-59951</v>
      </c>
      <c r="L48" s="197">
        <v>-75800</v>
      </c>
      <c r="M48" s="197">
        <v>-78118</v>
      </c>
      <c r="N48" s="197">
        <v>-82753</v>
      </c>
      <c r="O48" s="197"/>
    </row>
    <row r="49" spans="2:15">
      <c r="B49" s="199" t="s">
        <v>64</v>
      </c>
      <c r="C49" s="197">
        <v>22385</v>
      </c>
      <c r="D49" s="197">
        <v>25253</v>
      </c>
      <c r="E49" s="197">
        <v>24980</v>
      </c>
      <c r="F49" s="197">
        <v>52048</v>
      </c>
      <c r="G49" s="197">
        <v>74003</v>
      </c>
      <c r="H49" s="197">
        <v>78098</v>
      </c>
      <c r="I49" s="197">
        <v>38861</v>
      </c>
      <c r="J49" s="197">
        <v>40381</v>
      </c>
      <c r="K49" s="197">
        <v>57356</v>
      </c>
      <c r="L49" s="197">
        <v>76722</v>
      </c>
      <c r="M49" s="197">
        <v>72956</v>
      </c>
      <c r="N49" s="197">
        <v>84888</v>
      </c>
      <c r="O49" s="197"/>
    </row>
    <row r="50" spans="2:15">
      <c r="B50" s="199" t="s">
        <v>65</v>
      </c>
      <c r="C50" s="197">
        <v>2379</v>
      </c>
      <c r="D50" s="197">
        <v>2551</v>
      </c>
      <c r="E50" s="197">
        <v>2383</v>
      </c>
      <c r="F50" s="200">
        <v>0</v>
      </c>
      <c r="G50" s="200">
        <v>0</v>
      </c>
      <c r="H50" s="200">
        <v>0</v>
      </c>
      <c r="I50" s="200">
        <v>0</v>
      </c>
      <c r="J50" s="200">
        <v>0</v>
      </c>
      <c r="K50" s="200">
        <v>0</v>
      </c>
      <c r="L50" s="200">
        <v>0</v>
      </c>
      <c r="M50" s="200">
        <v>0</v>
      </c>
      <c r="N50" s="200">
        <v>0</v>
      </c>
      <c r="O50" s="200"/>
    </row>
    <row r="51" spans="2:15">
      <c r="B51" s="199" t="s">
        <v>66</v>
      </c>
      <c r="C51" s="200">
        <v>0</v>
      </c>
      <c r="D51" s="200">
        <v>0</v>
      </c>
      <c r="E51" s="200">
        <v>0</v>
      </c>
      <c r="F51" s="197">
        <v>2753</v>
      </c>
      <c r="G51" s="197">
        <v>1768</v>
      </c>
      <c r="H51" s="197">
        <v>1557</v>
      </c>
      <c r="I51" s="197">
        <v>1929</v>
      </c>
      <c r="J51" s="197">
        <v>1418</v>
      </c>
      <c r="K51" s="197">
        <v>1898</v>
      </c>
      <c r="L51" s="197">
        <v>1525</v>
      </c>
      <c r="M51" s="197">
        <v>1768</v>
      </c>
      <c r="N51" s="197">
        <v>2040</v>
      </c>
      <c r="O51" s="197"/>
    </row>
    <row r="52" spans="2:15">
      <c r="B52" s="199" t="s">
        <v>67</v>
      </c>
      <c r="C52" s="200">
        <v>0</v>
      </c>
      <c r="D52" s="197">
        <v>-1376</v>
      </c>
      <c r="E52" s="200">
        <v>-747</v>
      </c>
      <c r="F52" s="200">
        <v>0</v>
      </c>
      <c r="G52" s="200">
        <v>0</v>
      </c>
      <c r="H52" s="200">
        <v>0</v>
      </c>
      <c r="I52" s="200">
        <v>0</v>
      </c>
      <c r="J52" s="200">
        <v>0</v>
      </c>
      <c r="K52" s="200">
        <v>0</v>
      </c>
      <c r="L52" s="200">
        <v>0</v>
      </c>
      <c r="M52" s="200">
        <v>0</v>
      </c>
      <c r="N52" s="200">
        <v>0</v>
      </c>
      <c r="O52" s="200"/>
    </row>
    <row r="53" spans="2:15">
      <c r="B53" s="199" t="s">
        <v>68</v>
      </c>
      <c r="C53" s="200">
        <v>0</v>
      </c>
      <c r="D53" s="200">
        <v>0</v>
      </c>
      <c r="E53" s="200">
        <v>-142</v>
      </c>
      <c r="F53" s="200">
        <v>-164</v>
      </c>
      <c r="G53" s="200">
        <v>-130</v>
      </c>
      <c r="H53" s="200">
        <v>-24</v>
      </c>
      <c r="I53" s="200">
        <v>-108</v>
      </c>
      <c r="J53" s="200">
        <v>0</v>
      </c>
      <c r="K53" s="200">
        <v>0</v>
      </c>
      <c r="L53" s="200">
        <v>0</v>
      </c>
      <c r="M53" s="200">
        <v>0</v>
      </c>
      <c r="N53" s="200">
        <v>0</v>
      </c>
      <c r="O53" s="200"/>
    </row>
    <row r="54" spans="2:15">
      <c r="B54" s="199" t="s">
        <v>69</v>
      </c>
      <c r="C54" s="200">
        <v>464</v>
      </c>
      <c r="D54" s="200">
        <v>741</v>
      </c>
      <c r="E54" s="200">
        <v>-59</v>
      </c>
      <c r="F54" s="200">
        <v>-131</v>
      </c>
      <c r="G54" s="200">
        <v>49</v>
      </c>
      <c r="H54" s="197">
        <v>1592</v>
      </c>
      <c r="I54" s="200">
        <v>-224</v>
      </c>
      <c r="J54" s="200">
        <v>-327</v>
      </c>
      <c r="K54" s="197">
        <v>-3627</v>
      </c>
      <c r="L54" s="200">
        <v>-939</v>
      </c>
      <c r="M54" s="200">
        <v>502</v>
      </c>
      <c r="N54" s="197">
        <v>-3802</v>
      </c>
      <c r="O54" s="197"/>
    </row>
    <row r="55" spans="2:15">
      <c r="B55" s="115" t="s">
        <v>477</v>
      </c>
      <c r="C55" s="116">
        <v>-3144</v>
      </c>
      <c r="D55" s="116">
        <v>-4935</v>
      </c>
      <c r="E55" s="116">
        <v>-6813</v>
      </c>
      <c r="F55" s="116">
        <v>-6939</v>
      </c>
      <c r="G55" s="116">
        <v>-20505</v>
      </c>
      <c r="H55" s="116">
        <v>-14512</v>
      </c>
      <c r="I55" s="116">
        <v>-17591</v>
      </c>
      <c r="J55" s="116">
        <v>-9786</v>
      </c>
      <c r="K55" s="116">
        <v>-24642</v>
      </c>
      <c r="L55" s="116">
        <v>-26695</v>
      </c>
      <c r="M55" s="116">
        <v>-17504</v>
      </c>
      <c r="N55" s="116">
        <v>-24161</v>
      </c>
      <c r="O55" s="116"/>
    </row>
    <row r="56" spans="2:15">
      <c r="B56" s="199" t="s">
        <v>72</v>
      </c>
      <c r="C56" s="200">
        <v>0</v>
      </c>
      <c r="D56" s="200">
        <v>0</v>
      </c>
      <c r="E56" s="200">
        <v>0</v>
      </c>
      <c r="F56" s="200">
        <v>0</v>
      </c>
      <c r="G56" s="200">
        <v>5</v>
      </c>
      <c r="H56" s="200">
        <v>6</v>
      </c>
      <c r="I56" s="200">
        <v>6</v>
      </c>
      <c r="J56" s="200">
        <v>15</v>
      </c>
      <c r="K56" s="200">
        <v>21</v>
      </c>
      <c r="L56" s="200">
        <v>35</v>
      </c>
      <c r="M56" s="200">
        <v>5</v>
      </c>
      <c r="N56" s="200">
        <v>6</v>
      </c>
      <c r="O56" s="200"/>
    </row>
    <row r="57" spans="2:15">
      <c r="B57" s="199" t="s">
        <v>73</v>
      </c>
      <c r="C57" s="200">
        <v>0</v>
      </c>
      <c r="D57" s="200">
        <v>0</v>
      </c>
      <c r="E57" s="200">
        <v>0</v>
      </c>
      <c r="F57" s="200">
        <v>0</v>
      </c>
      <c r="G57" s="200">
        <v>0</v>
      </c>
      <c r="H57" s="200">
        <v>0</v>
      </c>
      <c r="I57" s="200">
        <v>0</v>
      </c>
      <c r="J57" s="200">
        <v>0</v>
      </c>
      <c r="K57" s="200">
        <v>0</v>
      </c>
      <c r="L57" s="200">
        <v>0</v>
      </c>
      <c r="M57" s="200">
        <v>0</v>
      </c>
      <c r="N57" s="200">
        <v>-985</v>
      </c>
      <c r="O57" s="200"/>
    </row>
    <row r="58" spans="2:15">
      <c r="B58" s="199" t="s">
        <v>74</v>
      </c>
      <c r="C58" s="197">
        <v>-3144</v>
      </c>
      <c r="D58" s="197">
        <v>-4935</v>
      </c>
      <c r="E58" s="197">
        <v>-6813</v>
      </c>
      <c r="F58" s="197">
        <v>-6939</v>
      </c>
      <c r="G58" s="197">
        <v>-7464</v>
      </c>
      <c r="H58" s="197">
        <v>-13705</v>
      </c>
      <c r="I58" s="197">
        <v>-9548</v>
      </c>
      <c r="J58" s="197">
        <v>-9137</v>
      </c>
      <c r="K58" s="197">
        <v>-12731</v>
      </c>
      <c r="L58" s="197">
        <v>-13653</v>
      </c>
      <c r="M58" s="197">
        <v>-14731</v>
      </c>
      <c r="N58" s="197">
        <v>-20289</v>
      </c>
      <c r="O58" s="197"/>
    </row>
    <row r="59" spans="2:15">
      <c r="B59" s="199" t="s">
        <v>75</v>
      </c>
      <c r="C59" s="200">
        <v>0</v>
      </c>
      <c r="D59" s="200">
        <v>0</v>
      </c>
      <c r="E59" s="200">
        <v>0</v>
      </c>
      <c r="F59" s="200">
        <v>0</v>
      </c>
      <c r="G59" s="200">
        <v>0</v>
      </c>
      <c r="H59" s="200">
        <v>0</v>
      </c>
      <c r="I59" s="200">
        <v>-571</v>
      </c>
      <c r="J59" s="200">
        <v>-698</v>
      </c>
      <c r="K59" s="200">
        <v>-915</v>
      </c>
      <c r="L59" s="197">
        <v>-1231</v>
      </c>
      <c r="M59" s="197">
        <v>-2024</v>
      </c>
      <c r="N59" s="197">
        <v>-2355</v>
      </c>
      <c r="O59" s="197"/>
    </row>
    <row r="60" spans="2:15">
      <c r="B60" s="199" t="s">
        <v>76</v>
      </c>
      <c r="C60" s="200">
        <v>0</v>
      </c>
      <c r="D60" s="200">
        <v>0</v>
      </c>
      <c r="E60" s="200">
        <v>0</v>
      </c>
      <c r="F60" s="200">
        <v>0</v>
      </c>
      <c r="G60" s="197">
        <v>-13046</v>
      </c>
      <c r="H60" s="200">
        <v>-813</v>
      </c>
      <c r="I60" s="197">
        <v>-7478</v>
      </c>
      <c r="J60" s="200">
        <v>34</v>
      </c>
      <c r="K60" s="197">
        <v>-11017</v>
      </c>
      <c r="L60" s="197">
        <v>-11846</v>
      </c>
      <c r="M60" s="200">
        <v>-754</v>
      </c>
      <c r="N60" s="200">
        <v>-538</v>
      </c>
      <c r="O60" s="200"/>
    </row>
    <row r="61" spans="2:15">
      <c r="B61" s="115" t="s">
        <v>450</v>
      </c>
      <c r="C61" s="116">
        <v>4118</v>
      </c>
      <c r="D61" s="116">
        <v>4417</v>
      </c>
      <c r="E61" s="116">
        <v>2330</v>
      </c>
      <c r="F61" s="116">
        <v>-10072</v>
      </c>
      <c r="G61" s="116">
        <v>-2754</v>
      </c>
      <c r="H61" s="198">
        <v>-303</v>
      </c>
      <c r="I61" s="198">
        <v>-919</v>
      </c>
      <c r="J61" s="116">
        <v>6065</v>
      </c>
      <c r="K61" s="116">
        <v>-7242</v>
      </c>
      <c r="L61" s="116">
        <v>-5299</v>
      </c>
      <c r="M61" s="116">
        <v>2613</v>
      </c>
      <c r="N61" s="116">
        <v>9669</v>
      </c>
      <c r="O61" s="116"/>
    </row>
    <row r="66" spans="2:14">
      <c r="B66" t="s">
        <v>254</v>
      </c>
      <c r="C66" t="s">
        <v>255</v>
      </c>
      <c r="D66" s="41" t="s">
        <v>256</v>
      </c>
      <c r="E66" s="41" t="s">
        <v>478</v>
      </c>
      <c r="F66" s="41" t="s">
        <v>479</v>
      </c>
      <c r="G66" s="41" t="s">
        <v>258</v>
      </c>
      <c r="H66" s="41" t="s">
        <v>480</v>
      </c>
      <c r="I66" s="41" t="s">
        <v>481</v>
      </c>
      <c r="J66" s="41" t="s">
        <v>482</v>
      </c>
      <c r="K66" s="41" t="s">
        <v>117</v>
      </c>
      <c r="L66" s="41" t="s">
        <v>483</v>
      </c>
      <c r="M66" s="41" t="s">
        <v>484</v>
      </c>
      <c r="N66" s="41"/>
    </row>
    <row r="67" spans="2:14">
      <c r="B67" s="52">
        <v>1</v>
      </c>
      <c r="C67" t="s">
        <v>135</v>
      </c>
      <c r="D67" s="51">
        <v>3048.3</v>
      </c>
      <c r="E67" s="51">
        <v>361.81</v>
      </c>
      <c r="F67" s="51">
        <f>E67*D67</f>
        <v>1102905.4230000002</v>
      </c>
      <c r="G67" s="51">
        <v>9392</v>
      </c>
      <c r="H67" s="51">
        <f t="shared" ref="H67:H76" si="0">F67+G67-I67</f>
        <v>1096834.4230000002</v>
      </c>
      <c r="I67" s="51">
        <v>15463</v>
      </c>
      <c r="J67" s="51">
        <f>G67-I67</f>
        <v>-6071</v>
      </c>
      <c r="K67" s="51">
        <v>71323</v>
      </c>
      <c r="L67" s="51">
        <v>256148</v>
      </c>
      <c r="M67" s="51">
        <v>49511</v>
      </c>
      <c r="N67" s="41"/>
    </row>
    <row r="68" spans="2:14">
      <c r="B68" s="52">
        <v>2</v>
      </c>
      <c r="C68" t="s">
        <v>137</v>
      </c>
      <c r="D68" s="51">
        <v>1444.6</v>
      </c>
      <c r="E68" s="51">
        <v>415.44</v>
      </c>
      <c r="F68" s="51">
        <f t="shared" ref="F68:F103" si="1">E68*D68</f>
        <v>600144.62399999995</v>
      </c>
      <c r="G68" s="51">
        <v>8485</v>
      </c>
      <c r="H68" s="51">
        <f t="shared" si="0"/>
        <v>584174.62399999995</v>
      </c>
      <c r="I68" s="51">
        <v>24455</v>
      </c>
      <c r="J68" s="51">
        <f t="shared" ref="J68:J76" si="2">G68-I68</f>
        <v>-15970</v>
      </c>
      <c r="K68" s="51">
        <v>42545</v>
      </c>
      <c r="L68" s="51">
        <v>165954</v>
      </c>
      <c r="M68" s="51">
        <v>27300</v>
      </c>
      <c r="N68" s="41"/>
    </row>
    <row r="69" spans="2:14">
      <c r="B69" s="52">
        <v>3</v>
      </c>
      <c r="C69" t="s">
        <v>138</v>
      </c>
      <c r="D69" s="51">
        <v>1419</v>
      </c>
      <c r="E69" s="51">
        <v>271.37</v>
      </c>
      <c r="F69" s="51">
        <f t="shared" si="1"/>
        <v>385074.03</v>
      </c>
      <c r="G69" s="51">
        <v>6276</v>
      </c>
      <c r="H69" s="51">
        <f t="shared" si="0"/>
        <v>370061.03</v>
      </c>
      <c r="I69" s="51">
        <v>21289</v>
      </c>
      <c r="J69" s="51">
        <f t="shared" si="2"/>
        <v>-15013</v>
      </c>
      <c r="K69" s="51">
        <v>27787</v>
      </c>
      <c r="L69" s="51">
        <v>119347</v>
      </c>
      <c r="M69" s="51">
        <v>16984</v>
      </c>
      <c r="N69" s="41"/>
    </row>
    <row r="70" spans="2:14">
      <c r="B70" s="52">
        <v>4</v>
      </c>
      <c r="C70" t="s">
        <v>139</v>
      </c>
      <c r="D70" s="51">
        <v>243.67</v>
      </c>
      <c r="E70" s="51">
        <v>1048.33</v>
      </c>
      <c r="F70" s="51">
        <f t="shared" si="1"/>
        <v>255446.57109999997</v>
      </c>
      <c r="G70" s="51">
        <v>19203.5</v>
      </c>
      <c r="H70" s="51">
        <f t="shared" si="0"/>
        <v>262452.67109999992</v>
      </c>
      <c r="I70" s="51">
        <v>12197.4</v>
      </c>
      <c r="J70" s="51">
        <f t="shared" si="2"/>
        <v>7006.1</v>
      </c>
      <c r="K70" s="51">
        <v>21870</v>
      </c>
      <c r="L70" s="51">
        <v>89259.199999999997</v>
      </c>
      <c r="M70" s="51">
        <v>13517.9</v>
      </c>
      <c r="N70" s="41"/>
    </row>
    <row r="71" spans="2:14">
      <c r="B71" s="52">
        <v>5</v>
      </c>
      <c r="C71" t="s">
        <v>140</v>
      </c>
      <c r="D71" s="51">
        <v>5195.5</v>
      </c>
      <c r="E71" s="51">
        <v>29.64</v>
      </c>
      <c r="F71" s="51">
        <f t="shared" si="1"/>
        <v>153994.62</v>
      </c>
      <c r="G71" s="51">
        <v>2187.3000000000002</v>
      </c>
      <c r="H71" s="51">
        <f t="shared" si="0"/>
        <v>152593.71999999997</v>
      </c>
      <c r="I71" s="51">
        <v>3588.2</v>
      </c>
      <c r="J71" s="51">
        <f t="shared" si="2"/>
        <v>-1400.8999999999996</v>
      </c>
      <c r="K71" s="51">
        <v>7484.6</v>
      </c>
      <c r="L71" s="51">
        <v>38706.1</v>
      </c>
      <c r="M71" s="51">
        <v>4721.5</v>
      </c>
      <c r="N71" s="41"/>
    </row>
    <row r="72" spans="2:14">
      <c r="B72" s="52">
        <v>6</v>
      </c>
      <c r="C72" t="s">
        <v>141</v>
      </c>
      <c r="D72" s="51">
        <v>1477.9</v>
      </c>
      <c r="E72" s="51">
        <v>97.93</v>
      </c>
      <c r="F72" s="51">
        <f t="shared" si="1"/>
        <v>144730.74700000003</v>
      </c>
      <c r="G72" s="51">
        <v>2025.2</v>
      </c>
      <c r="H72" s="51">
        <f t="shared" si="0"/>
        <v>142213.74700000003</v>
      </c>
      <c r="I72" s="51">
        <v>4542.2</v>
      </c>
      <c r="J72" s="51">
        <f t="shared" si="2"/>
        <v>-2517</v>
      </c>
      <c r="K72" s="51">
        <v>7374.2</v>
      </c>
      <c r="L72" s="51">
        <v>53334</v>
      </c>
      <c r="M72" s="51">
        <v>4517</v>
      </c>
      <c r="N72" s="41"/>
    </row>
    <row r="73" spans="2:14">
      <c r="B73" s="52">
        <v>7</v>
      </c>
      <c r="C73" t="s">
        <v>485</v>
      </c>
      <c r="D73" s="51">
        <v>5132</v>
      </c>
      <c r="E73" s="51">
        <v>15.64</v>
      </c>
      <c r="F73" s="51">
        <f t="shared" si="1"/>
        <v>80264.479999999996</v>
      </c>
      <c r="G73" s="51">
        <v>310.89999999999998</v>
      </c>
      <c r="H73" s="51">
        <f t="shared" si="0"/>
        <v>79549.909999999989</v>
      </c>
      <c r="I73" s="51">
        <v>1025.47</v>
      </c>
      <c r="J73" s="51">
        <f t="shared" si="2"/>
        <v>-714.57</v>
      </c>
      <c r="K73" s="51">
        <v>2139.39</v>
      </c>
      <c r="L73" s="51">
        <v>12535.13</v>
      </c>
      <c r="M73" s="51">
        <v>1518.69</v>
      </c>
      <c r="N73" s="41"/>
    </row>
    <row r="74" spans="2:14">
      <c r="B74" s="52">
        <v>8</v>
      </c>
      <c r="C74" t="s">
        <v>486</v>
      </c>
      <c r="D74" s="51">
        <v>1658.3</v>
      </c>
      <c r="E74" s="51">
        <v>33.450000000000003</v>
      </c>
      <c r="F74" s="51">
        <f t="shared" si="1"/>
        <v>55470.135000000002</v>
      </c>
      <c r="G74" s="51">
        <v>1070.4000000000001</v>
      </c>
      <c r="H74" s="51">
        <f t="shared" si="0"/>
        <v>55657.335000000006</v>
      </c>
      <c r="I74" s="51">
        <v>883.2</v>
      </c>
      <c r="J74" s="51">
        <f t="shared" si="2"/>
        <v>187.20000000000005</v>
      </c>
      <c r="K74" s="51">
        <v>1836.7</v>
      </c>
      <c r="L74" s="51">
        <v>13418.9</v>
      </c>
      <c r="M74" s="51">
        <v>1153.2</v>
      </c>
      <c r="N74" s="41"/>
    </row>
    <row r="75" spans="2:14">
      <c r="B75" s="52">
        <v>9</v>
      </c>
      <c r="C75" t="s">
        <v>487</v>
      </c>
      <c r="D75" s="51">
        <v>2797.4</v>
      </c>
      <c r="E75" s="51">
        <v>19.03</v>
      </c>
      <c r="F75" s="51">
        <f t="shared" si="1"/>
        <v>53234.522000000004</v>
      </c>
      <c r="G75" s="51">
        <v>1115.94</v>
      </c>
      <c r="H75" s="51">
        <f t="shared" si="0"/>
        <v>52737.882000000005</v>
      </c>
      <c r="I75" s="51">
        <v>1612.58</v>
      </c>
      <c r="J75" s="51">
        <f t="shared" si="2"/>
        <v>-496.63999999999987</v>
      </c>
      <c r="K75" s="51">
        <v>2870.53</v>
      </c>
      <c r="L75" s="51">
        <v>14540.02</v>
      </c>
      <c r="M75" s="51">
        <v>1739.33</v>
      </c>
      <c r="N75" s="41"/>
    </row>
    <row r="76" spans="2:14">
      <c r="B76" s="52">
        <v>10</v>
      </c>
      <c r="C76" t="s">
        <v>488</v>
      </c>
      <c r="D76" s="51">
        <v>721.25</v>
      </c>
      <c r="E76" s="51">
        <v>60.88</v>
      </c>
      <c r="F76" s="51">
        <f t="shared" si="1"/>
        <v>43909.700000000004</v>
      </c>
      <c r="G76" s="51">
        <v>581.9</v>
      </c>
      <c r="H76" s="51">
        <f t="shared" si="0"/>
        <v>42504.400000000009</v>
      </c>
      <c r="I76" s="51">
        <v>1987.2</v>
      </c>
      <c r="J76" s="51">
        <f t="shared" si="2"/>
        <v>-1405.3000000000002</v>
      </c>
      <c r="K76" s="51">
        <v>1896.3</v>
      </c>
      <c r="L76" s="51">
        <v>12758.7</v>
      </c>
      <c r="M76" s="51">
        <v>1327.2</v>
      </c>
      <c r="N76" s="41"/>
    </row>
    <row r="77" spans="2:14">
      <c r="D77" s="43"/>
      <c r="E77" s="43"/>
      <c r="F77" s="43"/>
      <c r="G77" s="43"/>
      <c r="H77" s="43"/>
      <c r="I77" s="43"/>
      <c r="J77" s="43"/>
      <c r="K77" s="43"/>
      <c r="L77" s="43"/>
      <c r="M77" s="43"/>
    </row>
    <row r="78" spans="2:14">
      <c r="D78" s="43"/>
      <c r="E78" s="43"/>
      <c r="F78" s="43"/>
      <c r="G78" s="43"/>
      <c r="H78" s="43"/>
      <c r="I78" s="43"/>
      <c r="J78" s="43"/>
      <c r="K78" s="43"/>
      <c r="L78" s="43"/>
      <c r="M78" s="43"/>
    </row>
    <row r="79" spans="2:14">
      <c r="D79" s="43"/>
      <c r="E79" s="43"/>
      <c r="F79" s="43"/>
      <c r="G79" s="43"/>
      <c r="H79" s="43"/>
      <c r="I79" s="43"/>
      <c r="J79" s="43"/>
      <c r="K79" s="43"/>
      <c r="L79" s="43"/>
      <c r="M79" s="43"/>
    </row>
    <row r="80" spans="2:14">
      <c r="D80" s="43"/>
      <c r="E80" s="43"/>
      <c r="F80" s="43"/>
      <c r="G80" s="43"/>
      <c r="H80" s="43"/>
      <c r="I80" s="43"/>
      <c r="J80" s="43"/>
      <c r="K80" s="43"/>
      <c r="L80" s="43"/>
      <c r="M80" s="43"/>
    </row>
    <row r="81" spans="2:13">
      <c r="D81" s="43"/>
      <c r="E81" s="43"/>
      <c r="F81" s="43"/>
      <c r="G81" s="43"/>
      <c r="H81" s="43"/>
      <c r="I81" s="43"/>
      <c r="J81" s="43"/>
      <c r="K81" s="43"/>
      <c r="L81" s="43"/>
      <c r="M81" s="43"/>
    </row>
    <row r="82" spans="2:13">
      <c r="D82" s="43"/>
      <c r="E82" s="43"/>
      <c r="F82" s="43"/>
      <c r="G82" s="43"/>
      <c r="H82" s="43"/>
      <c r="I82" s="43"/>
      <c r="J82" s="43"/>
      <c r="K82" s="43"/>
      <c r="L82" s="43"/>
      <c r="M82" s="43"/>
    </row>
    <row r="83" spans="2:13">
      <c r="D83" s="43"/>
      <c r="E83" s="43"/>
      <c r="F83" s="43"/>
      <c r="G83" s="43"/>
      <c r="H83" s="43"/>
      <c r="I83" s="43"/>
      <c r="J83" s="43"/>
      <c r="K83" s="43"/>
      <c r="L83" s="43"/>
      <c r="M83" s="43"/>
    </row>
    <row r="84" spans="2:13">
      <c r="B84">
        <v>11</v>
      </c>
      <c r="C84" t="s">
        <v>489</v>
      </c>
      <c r="D84" s="43">
        <v>5451</v>
      </c>
      <c r="E84" s="43">
        <v>6.23</v>
      </c>
      <c r="F84" s="43">
        <f t="shared" si="1"/>
        <v>33959.730000000003</v>
      </c>
      <c r="G84" s="43">
        <v>196.34</v>
      </c>
      <c r="H84" s="43">
        <f t="shared" ref="H84:H103" si="3">F84+G84-I84</f>
        <v>32549.68</v>
      </c>
      <c r="I84" s="43">
        <v>1606.39</v>
      </c>
      <c r="J84" s="43"/>
      <c r="K84" s="43">
        <v>1154.07</v>
      </c>
      <c r="L84" s="43">
        <v>3694.7</v>
      </c>
      <c r="M84" s="43">
        <v>745.23</v>
      </c>
    </row>
    <row r="85" spans="2:13">
      <c r="B85">
        <v>12</v>
      </c>
      <c r="C85" t="s">
        <v>490</v>
      </c>
      <c r="D85" s="43">
        <v>1233</v>
      </c>
      <c r="E85" s="43">
        <v>27.41</v>
      </c>
      <c r="F85" s="43">
        <f t="shared" si="1"/>
        <v>33796.53</v>
      </c>
      <c r="G85" s="43">
        <v>344.87</v>
      </c>
      <c r="H85" s="43">
        <f t="shared" si="3"/>
        <v>32873.32</v>
      </c>
      <c r="I85" s="43">
        <v>1268.08</v>
      </c>
      <c r="J85" s="43"/>
      <c r="K85" s="43">
        <v>1399.9</v>
      </c>
      <c r="L85" s="43">
        <v>6016.47</v>
      </c>
      <c r="M85" s="43">
        <v>807.35</v>
      </c>
    </row>
    <row r="86" spans="2:13">
      <c r="B86">
        <v>13</v>
      </c>
      <c r="C86" t="s">
        <v>491</v>
      </c>
      <c r="D86" s="43">
        <v>776.35</v>
      </c>
      <c r="E86" s="43">
        <v>22.72</v>
      </c>
      <c r="F86" s="43">
        <f t="shared" si="1"/>
        <v>17638.671999999999</v>
      </c>
      <c r="G86" s="43">
        <v>125.2</v>
      </c>
      <c r="H86" s="43">
        <f t="shared" si="3"/>
        <v>17020.272000000001</v>
      </c>
      <c r="I86" s="43">
        <v>743.6</v>
      </c>
      <c r="J86" s="43"/>
      <c r="K86" s="43">
        <v>946.9</v>
      </c>
      <c r="L86" s="43">
        <v>5377.5</v>
      </c>
      <c r="M86" s="43">
        <v>673.9</v>
      </c>
    </row>
    <row r="87" spans="2:13">
      <c r="B87">
        <v>14</v>
      </c>
      <c r="C87" t="s">
        <v>492</v>
      </c>
      <c r="D87" s="43">
        <v>906.55</v>
      </c>
      <c r="E87" s="43">
        <v>13.9</v>
      </c>
      <c r="F87" s="43">
        <f t="shared" si="1"/>
        <v>12601.045</v>
      </c>
      <c r="G87" s="43">
        <v>71.78</v>
      </c>
      <c r="H87" s="43">
        <f t="shared" si="3"/>
        <v>12345.305</v>
      </c>
      <c r="I87" s="43">
        <v>327.52</v>
      </c>
      <c r="J87" s="43"/>
      <c r="K87" s="43">
        <v>607.66</v>
      </c>
      <c r="L87" s="43">
        <v>2595.36</v>
      </c>
      <c r="M87" s="43">
        <v>353.38</v>
      </c>
    </row>
    <row r="88" spans="2:13">
      <c r="B88">
        <v>15</v>
      </c>
      <c r="C88" t="s">
        <v>493</v>
      </c>
      <c r="D88" s="43">
        <v>886.75</v>
      </c>
      <c r="E88" s="43">
        <v>14.17</v>
      </c>
      <c r="F88" s="43">
        <f t="shared" si="1"/>
        <v>12565.247499999999</v>
      </c>
      <c r="G88" s="43">
        <v>53.48</v>
      </c>
      <c r="H88" s="43">
        <f t="shared" si="3"/>
        <v>12203.227499999999</v>
      </c>
      <c r="I88" s="43">
        <v>415.5</v>
      </c>
      <c r="J88" s="43"/>
      <c r="K88" s="43">
        <v>430.51</v>
      </c>
      <c r="L88" s="43">
        <v>1492.82</v>
      </c>
      <c r="M88" s="43">
        <v>317.39</v>
      </c>
    </row>
    <row r="89" spans="2:13">
      <c r="B89">
        <v>16</v>
      </c>
      <c r="C89" t="s">
        <v>494</v>
      </c>
      <c r="D89" s="43">
        <v>375.6</v>
      </c>
      <c r="E89" s="43">
        <v>27.8</v>
      </c>
      <c r="F89" s="43">
        <f t="shared" si="1"/>
        <v>10441.68</v>
      </c>
      <c r="G89" s="43">
        <v>151</v>
      </c>
      <c r="H89" s="43">
        <f t="shared" si="3"/>
        <v>10147.800000000001</v>
      </c>
      <c r="I89" s="43">
        <v>444.88</v>
      </c>
      <c r="J89" s="43"/>
      <c r="K89" s="43">
        <v>794.65</v>
      </c>
      <c r="L89" s="43">
        <v>5332.71</v>
      </c>
      <c r="M89" s="43">
        <v>472.99</v>
      </c>
    </row>
    <row r="90" spans="2:13">
      <c r="B90">
        <v>17</v>
      </c>
      <c r="C90" t="s">
        <v>495</v>
      </c>
      <c r="D90" s="43">
        <v>359</v>
      </c>
      <c r="E90" s="43">
        <v>28.04</v>
      </c>
      <c r="F90" s="43">
        <f t="shared" si="1"/>
        <v>10066.36</v>
      </c>
      <c r="G90" s="43">
        <v>516.02</v>
      </c>
      <c r="H90" s="43">
        <f t="shared" si="3"/>
        <v>10132.950000000001</v>
      </c>
      <c r="I90" s="43">
        <v>449.43</v>
      </c>
      <c r="J90" s="43"/>
      <c r="K90" s="43">
        <v>760.79</v>
      </c>
      <c r="L90" s="43">
        <v>10595</v>
      </c>
      <c r="M90" s="43">
        <v>428.37</v>
      </c>
    </row>
    <row r="91" spans="2:13">
      <c r="B91">
        <v>18</v>
      </c>
      <c r="C91" t="s">
        <v>496</v>
      </c>
      <c r="D91" s="43">
        <v>429.05</v>
      </c>
      <c r="E91" s="43">
        <v>20.66</v>
      </c>
      <c r="F91" s="43">
        <f t="shared" si="1"/>
        <v>8864.1730000000007</v>
      </c>
      <c r="G91" s="43">
        <v>28.77</v>
      </c>
      <c r="H91" s="43">
        <f t="shared" si="3"/>
        <v>8795.3430000000008</v>
      </c>
      <c r="I91" s="43">
        <v>97.6</v>
      </c>
      <c r="J91" s="43"/>
      <c r="K91" s="43">
        <v>254.84</v>
      </c>
      <c r="L91" s="43">
        <v>904.99</v>
      </c>
      <c r="M91" s="43">
        <v>185.16</v>
      </c>
    </row>
    <row r="92" spans="2:13">
      <c r="B92">
        <v>19</v>
      </c>
      <c r="C92" t="s">
        <v>497</v>
      </c>
      <c r="D92" s="43">
        <v>568.4</v>
      </c>
      <c r="E92" s="43">
        <v>15.23</v>
      </c>
      <c r="F92" s="43">
        <f t="shared" si="1"/>
        <v>8656.732</v>
      </c>
      <c r="G92" s="43">
        <v>1243.5899999999999</v>
      </c>
      <c r="H92" s="43">
        <f t="shared" si="3"/>
        <v>8842.0920000000006</v>
      </c>
      <c r="I92" s="43">
        <v>1058.23</v>
      </c>
      <c r="J92" s="43"/>
      <c r="K92" s="43">
        <v>455.61</v>
      </c>
      <c r="L92" s="43">
        <v>2146.92</v>
      </c>
      <c r="M92" s="43">
        <v>190.75</v>
      </c>
    </row>
    <row r="93" spans="2:13">
      <c r="B93">
        <v>20</v>
      </c>
      <c r="C93" t="s">
        <v>498</v>
      </c>
      <c r="D93" s="43">
        <v>2436.3000000000002</v>
      </c>
      <c r="E93" s="43">
        <v>3.1</v>
      </c>
      <c r="F93" s="43">
        <f t="shared" si="1"/>
        <v>7552.5300000000007</v>
      </c>
      <c r="G93" s="43">
        <v>583.13</v>
      </c>
      <c r="H93" s="43">
        <f t="shared" si="3"/>
        <v>7674.1900000000005</v>
      </c>
      <c r="I93" s="43">
        <v>461.47</v>
      </c>
      <c r="J93" s="43"/>
      <c r="K93" s="43">
        <v>563.52</v>
      </c>
      <c r="L93" s="43">
        <v>3557.04</v>
      </c>
      <c r="M93" s="43">
        <v>396.48</v>
      </c>
    </row>
    <row r="94" spans="2:13">
      <c r="B94">
        <v>21</v>
      </c>
      <c r="C94" t="s">
        <v>499</v>
      </c>
      <c r="D94" s="43">
        <v>616.95000000000005</v>
      </c>
      <c r="E94" s="43">
        <v>11.81</v>
      </c>
      <c r="F94" s="43">
        <f t="shared" si="1"/>
        <v>7286.1795000000011</v>
      </c>
      <c r="G94" s="43">
        <v>16.05</v>
      </c>
      <c r="H94" s="43">
        <f t="shared" si="3"/>
        <v>6952.5995000000012</v>
      </c>
      <c r="I94" s="43">
        <v>349.63</v>
      </c>
      <c r="J94" s="43"/>
      <c r="K94" s="43">
        <v>308.43</v>
      </c>
      <c r="L94" s="43">
        <v>1089.58</v>
      </c>
      <c r="M94" s="43">
        <v>210.49</v>
      </c>
    </row>
    <row r="95" spans="2:13">
      <c r="B95">
        <v>22</v>
      </c>
      <c r="C95" t="s">
        <v>500</v>
      </c>
      <c r="D95" s="43">
        <v>1290</v>
      </c>
      <c r="E95" s="43">
        <v>5.52</v>
      </c>
      <c r="F95" s="43">
        <f t="shared" si="1"/>
        <v>7120.7999999999993</v>
      </c>
      <c r="G95" s="43">
        <v>30.5</v>
      </c>
      <c r="H95" s="43">
        <f t="shared" si="3"/>
        <v>6789.5899999999992</v>
      </c>
      <c r="I95" s="43">
        <v>361.71</v>
      </c>
      <c r="J95" s="43"/>
      <c r="K95" s="43">
        <v>261.89999999999998</v>
      </c>
      <c r="L95" s="43">
        <v>1248.1600000000001</v>
      </c>
      <c r="M95" s="43">
        <v>194.46</v>
      </c>
    </row>
    <row r="96" spans="2:13">
      <c r="B96">
        <v>23</v>
      </c>
      <c r="C96" t="s">
        <v>501</v>
      </c>
      <c r="D96" s="43">
        <v>79.87</v>
      </c>
      <c r="E96" s="43">
        <v>58.44</v>
      </c>
      <c r="F96" s="43">
        <f t="shared" si="1"/>
        <v>4667.6027999999997</v>
      </c>
      <c r="G96" s="43">
        <v>256.64999999999998</v>
      </c>
      <c r="H96" s="43">
        <f t="shared" si="3"/>
        <v>4870.9127999999992</v>
      </c>
      <c r="I96" s="43">
        <v>53.34</v>
      </c>
      <c r="J96" s="43"/>
      <c r="K96" s="43">
        <v>209.74</v>
      </c>
      <c r="L96" s="43">
        <v>629.03</v>
      </c>
      <c r="M96" s="43">
        <v>103.99</v>
      </c>
    </row>
    <row r="97" spans="2:13">
      <c r="B97">
        <v>24</v>
      </c>
      <c r="C97" t="s">
        <v>502</v>
      </c>
      <c r="D97" s="43">
        <v>3553.3</v>
      </c>
      <c r="E97" s="43">
        <v>1.3</v>
      </c>
      <c r="F97" s="43">
        <f t="shared" si="1"/>
        <v>4619.29</v>
      </c>
      <c r="G97" s="43">
        <v>86.26</v>
      </c>
      <c r="H97" s="43">
        <f t="shared" si="3"/>
        <v>4692.3900000000003</v>
      </c>
      <c r="I97" s="43">
        <v>13.16</v>
      </c>
      <c r="J97" s="43"/>
      <c r="K97" s="43">
        <v>56</v>
      </c>
      <c r="L97" s="43">
        <v>359.11</v>
      </c>
      <c r="M97" s="43">
        <v>38.549999999999997</v>
      </c>
    </row>
    <row r="98" spans="2:13">
      <c r="B98">
        <v>25</v>
      </c>
      <c r="C98" t="s">
        <v>503</v>
      </c>
      <c r="D98" s="43">
        <v>923.4</v>
      </c>
      <c r="E98" s="43">
        <v>4.6100000000000003</v>
      </c>
      <c r="F98" s="43">
        <f t="shared" si="1"/>
        <v>4256.8739999999998</v>
      </c>
      <c r="G98" s="43">
        <v>2.85</v>
      </c>
      <c r="H98" s="43">
        <f t="shared" si="3"/>
        <v>2334.4740000000002</v>
      </c>
      <c r="I98" s="43">
        <v>1925.25</v>
      </c>
      <c r="J98" s="43"/>
      <c r="K98" s="43">
        <v>-73.06</v>
      </c>
      <c r="L98" s="43">
        <v>65.650000000000006</v>
      </c>
      <c r="M98" s="43">
        <v>-38.729999999999997</v>
      </c>
    </row>
    <row r="99" spans="2:13">
      <c r="B99">
        <v>26</v>
      </c>
      <c r="C99" t="s">
        <v>504</v>
      </c>
      <c r="D99" s="43">
        <v>1748.95</v>
      </c>
      <c r="E99" s="43">
        <v>1.78</v>
      </c>
      <c r="F99" s="43">
        <f t="shared" si="1"/>
        <v>3113.1310000000003</v>
      </c>
      <c r="G99" s="43">
        <v>49.15</v>
      </c>
      <c r="H99" s="43">
        <f t="shared" si="3"/>
        <v>2999.9310000000005</v>
      </c>
      <c r="I99" s="43">
        <v>162.35</v>
      </c>
      <c r="J99" s="43"/>
      <c r="K99" s="43">
        <v>100.28</v>
      </c>
      <c r="L99" s="43">
        <v>500.82</v>
      </c>
      <c r="M99" s="43">
        <v>82.97</v>
      </c>
    </row>
    <row r="100" spans="2:13">
      <c r="B100">
        <v>27</v>
      </c>
      <c r="C100" t="s">
        <v>505</v>
      </c>
      <c r="D100" s="43">
        <v>210.75</v>
      </c>
      <c r="E100" s="43">
        <v>13.26</v>
      </c>
      <c r="F100" s="43">
        <f t="shared" si="1"/>
        <v>2794.5450000000001</v>
      </c>
      <c r="G100" s="43">
        <v>75.45</v>
      </c>
      <c r="H100" s="43">
        <f t="shared" si="3"/>
        <v>2672.6849999999999</v>
      </c>
      <c r="I100" s="43">
        <v>197.31</v>
      </c>
      <c r="J100" s="43"/>
      <c r="K100" s="43">
        <v>160.05000000000001</v>
      </c>
      <c r="L100" s="43">
        <v>931.07</v>
      </c>
      <c r="M100" s="43">
        <v>115.56</v>
      </c>
    </row>
    <row r="101" spans="2:13">
      <c r="B101">
        <v>28</v>
      </c>
      <c r="C101" t="s">
        <v>506</v>
      </c>
      <c r="D101" s="43">
        <v>1400.9</v>
      </c>
      <c r="E101" s="43">
        <v>1.49</v>
      </c>
      <c r="F101" s="43">
        <f t="shared" si="1"/>
        <v>2087.3410000000003</v>
      </c>
      <c r="G101" s="43">
        <v>62.02</v>
      </c>
      <c r="H101" s="43">
        <f t="shared" si="3"/>
        <v>2070.3310000000001</v>
      </c>
      <c r="I101" s="43">
        <v>79.03</v>
      </c>
      <c r="J101" s="43"/>
      <c r="K101" s="43">
        <v>206.05</v>
      </c>
      <c r="L101" s="43">
        <v>528.72</v>
      </c>
      <c r="M101" s="43">
        <v>129.02000000000001</v>
      </c>
    </row>
    <row r="102" spans="2:13">
      <c r="B102">
        <v>29</v>
      </c>
      <c r="C102" t="s">
        <v>507</v>
      </c>
      <c r="D102" s="43">
        <v>558</v>
      </c>
      <c r="E102" s="43">
        <v>2.4500000000000002</v>
      </c>
      <c r="F102" s="43">
        <f t="shared" si="1"/>
        <v>1367.1000000000001</v>
      </c>
      <c r="G102" s="43">
        <v>19.7</v>
      </c>
      <c r="H102" s="43">
        <f t="shared" si="3"/>
        <v>1339.7200000000003</v>
      </c>
      <c r="I102" s="43">
        <v>47.08</v>
      </c>
      <c r="J102" s="43"/>
      <c r="K102" s="43">
        <v>83.06</v>
      </c>
      <c r="L102" s="43">
        <v>409.67</v>
      </c>
      <c r="M102" s="43">
        <v>53.54</v>
      </c>
    </row>
    <row r="103" spans="2:13">
      <c r="B103">
        <v>30</v>
      </c>
      <c r="C103" t="s">
        <v>508</v>
      </c>
      <c r="D103" s="43">
        <v>1091.45</v>
      </c>
      <c r="E103" s="43">
        <v>1.05</v>
      </c>
      <c r="F103" s="43">
        <f t="shared" si="1"/>
        <v>1146.0225</v>
      </c>
      <c r="G103" s="43">
        <v>1.52</v>
      </c>
      <c r="H103" s="43">
        <f t="shared" si="3"/>
        <v>1118.4124999999999</v>
      </c>
      <c r="I103" s="43">
        <v>29.13</v>
      </c>
      <c r="J103" s="43"/>
      <c r="K103" s="43">
        <v>14.19</v>
      </c>
      <c r="L103" s="43">
        <v>23.49</v>
      </c>
      <c r="M103" s="43">
        <v>13.09</v>
      </c>
    </row>
    <row r="106" spans="2:13">
      <c r="I10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2</vt:i4>
      </vt:variant>
    </vt:vector>
  </HeadingPairs>
  <TitlesOfParts>
    <vt:vector size="20" baseType="lpstr">
      <vt:lpstr>Financials&gt;</vt:lpstr>
      <vt:lpstr>Profile</vt:lpstr>
      <vt:lpstr>Historical FS</vt:lpstr>
      <vt:lpstr>Commom Size Statement</vt:lpstr>
      <vt:lpstr>Ratio Analysis</vt:lpstr>
      <vt:lpstr>Forecasting</vt:lpstr>
      <vt:lpstr> DCF&gt;</vt:lpstr>
      <vt:lpstr>WACC</vt:lpstr>
      <vt:lpstr>Beta</vt:lpstr>
      <vt:lpstr>Beta comps</vt:lpstr>
      <vt:lpstr>RM</vt:lpstr>
      <vt:lpstr>Intrinsic Growth</vt:lpstr>
      <vt:lpstr>DCF</vt:lpstr>
      <vt:lpstr>Relative P</vt:lpstr>
      <vt:lpstr>Data&gt;</vt:lpstr>
      <vt:lpstr>Data Sheet</vt:lpstr>
      <vt:lpstr>Cash Flow data</vt:lpstr>
      <vt:lpstr>Data Room</vt:lpstr>
      <vt:lpstr>Profile!Print_Area</vt:lpstr>
      <vt:lpstr>UPDATE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Pratyush</dc:creator>
  <cp:keywords/>
  <dc:description/>
  <cp:lastModifiedBy>Vishal Choudhary</cp:lastModifiedBy>
  <cp:revision/>
  <dcterms:created xsi:type="dcterms:W3CDTF">2012-08-17T09:55:37Z</dcterms:created>
  <dcterms:modified xsi:type="dcterms:W3CDTF">2025-10-17T06:38:36Z</dcterms:modified>
  <cp:category/>
  <cp:contentStatus/>
</cp:coreProperties>
</file>