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2.xml" ContentType="application/vnd.openxmlformats-officedocument.spreadsheetml.pivot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vishalhawa\Dropbox\Projects\FirmFinancials\Finance\"/>
    </mc:Choice>
  </mc:AlternateContent>
  <bookViews>
    <workbookView xWindow="4335" yWindow="0" windowWidth="7665" windowHeight="1170" tabRatio="957"/>
  </bookViews>
  <sheets>
    <sheet name="IND Portfolio" sheetId="15" r:id="rId1"/>
    <sheet name="USPortfolio" sheetId="20" r:id="rId2"/>
    <sheet name="In Executed" sheetId="23" r:id="rId3"/>
    <sheet name="US Market" sheetId="9" r:id="rId4"/>
    <sheet name="US Executed Pivot" sheetId="26" r:id="rId5"/>
    <sheet name="Yr2015" sheetId="25" r:id="rId6"/>
    <sheet name="Yr2014" sheetId="24" r:id="rId7"/>
    <sheet name="Yr2013" sheetId="22" r:id="rId8"/>
    <sheet name="Yr2012" sheetId="19" r:id="rId9"/>
    <sheet name="Yr2011" sheetId="16" r:id="rId10"/>
    <sheet name="Yr2010" sheetId="17" r:id="rId11"/>
    <sheet name="Options - STGY" sheetId="6" r:id="rId12"/>
    <sheet name="US Executed May14" sheetId="12" r:id="rId13"/>
  </sheets>
  <definedNames>
    <definedName name="Query_from_portfolio" localSheetId="3">'US Market'!#REF!</definedName>
    <definedName name="Query_from_portfolio_1" localSheetId="3">'US Market'!#REF!</definedName>
    <definedName name="USStocks.accdb" localSheetId="2" hidden="1">'In Executed'!$A$1:$F$55</definedName>
    <definedName name="USStocks.accdb" localSheetId="0" hidden="1">'IND Portfolio'!$A$1:$I$11</definedName>
    <definedName name="USStocks.accdb" localSheetId="1" hidden="1">USPortfolio!$A$1:$N$21</definedName>
    <definedName name="USStocks.accdb" localSheetId="8" hidden="1">'Yr2012'!$A$1:$L$226</definedName>
    <definedName name="USStocks.accdb" localSheetId="7" hidden="1">'Yr2013'!$A$2:$L$41</definedName>
    <definedName name="USStocks.accdb" localSheetId="6" hidden="1">'Yr2014'!$A$1:$L$34</definedName>
    <definedName name="USStocks.accdb" localSheetId="5" hidden="1">'Yr2015'!$A$1:$L$14</definedName>
    <definedName name="USStocks.accdb_1" localSheetId="0" hidden="1">'IND Portfolio'!$A$16:$I$23</definedName>
    <definedName name="USStocks.accdb_1" localSheetId="3" hidden="1">'US Market'!$A$14:$V$506</definedName>
    <definedName name="USStocks.accdb_1" localSheetId="1" hidden="1">USPortfolio!$A$54:$R$55</definedName>
    <definedName name="USStocks.accdb_2" localSheetId="1" hidden="1">USPortfolio!$A$67:$J$72</definedName>
  </definedNames>
  <calcPr calcId="152511"/>
  <pivotCaches>
    <pivotCache cacheId="0" r:id="rId14"/>
    <pivotCache cacheId="1" r:id="rId15"/>
  </pivotCaches>
</workbook>
</file>

<file path=xl/calcChain.xml><?xml version="1.0" encoding="utf-8"?>
<calcChain xmlns="http://schemas.openxmlformats.org/spreadsheetml/2006/main">
  <c r="F227" i="19" l="1"/>
  <c r="F42" i="22"/>
  <c r="F35" i="24"/>
  <c r="F15" i="25"/>
  <c r="G15" i="23"/>
  <c r="G16" i="23"/>
  <c r="G17" i="23"/>
  <c r="G18" i="23"/>
  <c r="G14" i="23"/>
  <c r="G11" i="23"/>
  <c r="G12" i="23"/>
  <c r="G13" i="23"/>
  <c r="G9" i="23"/>
  <c r="G10" i="23"/>
  <c r="G53" i="23"/>
  <c r="G4" i="23"/>
  <c r="G2" i="23"/>
  <c r="G54" i="23"/>
  <c r="G55" i="23"/>
  <c r="G3" i="23"/>
  <c r="G6" i="23"/>
  <c r="G5" i="23"/>
  <c r="G7" i="23"/>
  <c r="G8" i="23"/>
  <c r="G19" i="23"/>
  <c r="G20" i="23"/>
  <c r="G22" i="23"/>
  <c r="G23" i="23"/>
  <c r="G24" i="23"/>
  <c r="G25" i="23"/>
  <c r="G26" i="23"/>
  <c r="G27" i="23"/>
  <c r="G28" i="23"/>
  <c r="G29" i="23"/>
  <c r="G30" i="23"/>
  <c r="G31" i="23"/>
  <c r="G32" i="23"/>
  <c r="G33" i="23"/>
  <c r="G34" i="23"/>
  <c r="G35" i="23"/>
  <c r="G36" i="23"/>
  <c r="G37" i="23"/>
  <c r="G38" i="23"/>
  <c r="G39" i="23"/>
  <c r="G40" i="23"/>
  <c r="G21" i="23"/>
  <c r="G41" i="23"/>
  <c r="G42" i="23"/>
  <c r="G43" i="23"/>
  <c r="G44" i="23"/>
  <c r="G45" i="23"/>
  <c r="G46" i="23"/>
  <c r="G47" i="23"/>
  <c r="G49" i="23"/>
  <c r="G50" i="23"/>
  <c r="G48" i="23"/>
  <c r="G51" i="23"/>
  <c r="G52" i="23"/>
  <c r="N55" i="20"/>
  <c r="I12" i="15"/>
  <c r="J3" i="15"/>
  <c r="J2" i="15"/>
  <c r="J4" i="15"/>
  <c r="J5" i="15"/>
  <c r="J10" i="15"/>
  <c r="J9" i="15"/>
  <c r="J7" i="15"/>
  <c r="J6" i="15"/>
  <c r="J11" i="15"/>
  <c r="J8" i="15"/>
  <c r="I24" i="15"/>
  <c r="J17" i="15"/>
  <c r="J21" i="15"/>
  <c r="J18" i="15"/>
  <c r="J23" i="15"/>
  <c r="J22" i="15"/>
  <c r="J20" i="15"/>
  <c r="J19" i="15"/>
  <c r="I48" i="20" l="1"/>
  <c r="F3" i="26" l="1"/>
  <c r="F17" i="25" l="1"/>
  <c r="Y6" i="9" l="1"/>
  <c r="Z5" i="9" l="1"/>
  <c r="X5" i="9"/>
  <c r="W5" i="9"/>
  <c r="C5" i="9"/>
  <c r="I39" i="23" l="1"/>
  <c r="J12" i="15"/>
  <c r="G29" i="15"/>
  <c r="G28" i="15"/>
  <c r="B28" i="15" s="1"/>
  <c r="J24" i="15"/>
  <c r="F36" i="24"/>
  <c r="F43" i="22"/>
  <c r="Y2" i="9"/>
  <c r="Y7" i="9" s="1"/>
  <c r="AC2" i="9"/>
  <c r="Z2" i="9"/>
  <c r="AE2" i="9"/>
  <c r="AD2" i="9" s="1"/>
  <c r="B3" i="9"/>
  <c r="X3" i="9"/>
  <c r="W3" i="9"/>
  <c r="E229" i="19"/>
  <c r="E27" i="17"/>
  <c r="F152" i="16"/>
  <c r="H149" i="16"/>
  <c r="F27" i="15"/>
  <c r="N6" i="12"/>
  <c r="K56" i="12"/>
  <c r="D56" i="12" s="1"/>
  <c r="H42" i="12"/>
  <c r="I42" i="12"/>
  <c r="J42" i="12"/>
  <c r="N42" i="12"/>
  <c r="K47" i="12"/>
  <c r="D47" i="12" s="1"/>
  <c r="H41" i="12"/>
  <c r="I41" i="12"/>
  <c r="J41" i="12"/>
  <c r="N41" i="12"/>
  <c r="K57" i="12"/>
  <c r="D57" i="12" s="1"/>
  <c r="K55" i="12"/>
  <c r="D55" i="12" s="1"/>
  <c r="G72" i="12"/>
  <c r="G75" i="12" s="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3" i="12"/>
  <c r="K45" i="12"/>
  <c r="D45" i="12" s="1"/>
  <c r="K46" i="12"/>
  <c r="D46" i="12" s="1"/>
  <c r="H46" i="12" s="1"/>
  <c r="K48" i="12"/>
  <c r="D48" i="12" s="1"/>
  <c r="K49" i="12"/>
  <c r="D49" i="12" s="1"/>
  <c r="H49" i="12" s="1"/>
  <c r="K50" i="12"/>
  <c r="D50" i="12" s="1"/>
  <c r="K51" i="12"/>
  <c r="D51" i="12" s="1"/>
  <c r="K52" i="12"/>
  <c r="D52" i="12" s="1"/>
  <c r="K53" i="12"/>
  <c r="D53" i="12" s="1"/>
  <c r="K54" i="12"/>
  <c r="D54" i="12" s="1"/>
  <c r="H54" i="12" s="1"/>
  <c r="F58" i="12"/>
  <c r="F59" i="12" s="1"/>
  <c r="K58" i="12"/>
  <c r="D58" i="12" s="1"/>
  <c r="G61" i="12"/>
  <c r="N3" i="12"/>
  <c r="N4" i="12"/>
  <c r="N5"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3" i="12"/>
  <c r="N51" i="12"/>
  <c r="N52" i="12"/>
  <c r="N53" i="12"/>
  <c r="I43" i="12"/>
  <c r="H43" i="12"/>
  <c r="I40" i="12"/>
  <c r="H40" i="12"/>
  <c r="I39" i="12"/>
  <c r="H39" i="12"/>
  <c r="I38" i="12"/>
  <c r="H38" i="12"/>
  <c r="I37" i="12"/>
  <c r="H37" i="12"/>
  <c r="I36" i="12"/>
  <c r="H36" i="12"/>
  <c r="I35" i="12"/>
  <c r="H35" i="12"/>
  <c r="I34" i="12"/>
  <c r="H34" i="12"/>
  <c r="I33" i="12"/>
  <c r="H33" i="12"/>
  <c r="I32" i="12"/>
  <c r="H32" i="12"/>
  <c r="I31" i="12"/>
  <c r="H31" i="12"/>
  <c r="I30" i="12"/>
  <c r="H30" i="12"/>
  <c r="I29" i="12"/>
  <c r="H29" i="12"/>
  <c r="I28" i="12"/>
  <c r="H28" i="12"/>
  <c r="I27" i="12"/>
  <c r="H27" i="12"/>
  <c r="I26" i="12"/>
  <c r="H26" i="12"/>
  <c r="I25" i="12"/>
  <c r="H25" i="12"/>
  <c r="I24" i="12"/>
  <c r="H24" i="12"/>
  <c r="I23" i="12"/>
  <c r="H23" i="12"/>
  <c r="I22" i="12"/>
  <c r="H22" i="12"/>
  <c r="I21" i="12"/>
  <c r="H21" i="12"/>
  <c r="I20" i="12"/>
  <c r="H20" i="12"/>
  <c r="I19" i="12"/>
  <c r="H19" i="12"/>
  <c r="I18" i="12"/>
  <c r="H18" i="12"/>
  <c r="I17" i="12"/>
  <c r="H17" i="12"/>
  <c r="I16" i="12"/>
  <c r="H16" i="12"/>
  <c r="I15" i="12"/>
  <c r="H15" i="12"/>
  <c r="I14" i="12"/>
  <c r="H14" i="12"/>
  <c r="I13" i="12"/>
  <c r="H13" i="12"/>
  <c r="I12" i="12"/>
  <c r="H12" i="12"/>
  <c r="I11" i="12"/>
  <c r="H11" i="12"/>
  <c r="I10" i="12"/>
  <c r="H10" i="12"/>
  <c r="I9" i="12"/>
  <c r="H9" i="12"/>
  <c r="I8" i="12"/>
  <c r="H8" i="12"/>
  <c r="I7" i="12"/>
  <c r="H7" i="12"/>
  <c r="I6" i="12"/>
  <c r="H6" i="12"/>
  <c r="I5" i="12"/>
  <c r="H5" i="12"/>
  <c r="I4" i="12"/>
  <c r="H4" i="12"/>
  <c r="I3" i="12"/>
  <c r="H3" i="12"/>
  <c r="D80" i="26"/>
  <c r="D121" i="26"/>
  <c r="D49" i="26"/>
  <c r="D116" i="26"/>
  <c r="D67" i="26"/>
  <c r="D55" i="26"/>
  <c r="D18" i="26"/>
  <c r="D82" i="26"/>
  <c r="D13" i="26"/>
  <c r="D100" i="26"/>
  <c r="D42" i="26"/>
  <c r="D97" i="26"/>
  <c r="D2" i="26"/>
  <c r="D81" i="26"/>
  <c r="D23" i="26"/>
  <c r="D50" i="26"/>
  <c r="D75" i="26"/>
  <c r="D64" i="26"/>
  <c r="D60" i="26"/>
  <c r="D20" i="26"/>
  <c r="D35" i="26"/>
  <c r="D40" i="26"/>
  <c r="D102" i="26"/>
  <c r="D137" i="26"/>
  <c r="D90" i="26"/>
  <c r="D103" i="26"/>
  <c r="D92" i="26"/>
  <c r="D74" i="26"/>
  <c r="D109" i="26"/>
  <c r="D130" i="26"/>
  <c r="D30" i="26"/>
  <c r="D89" i="26"/>
  <c r="D77" i="26"/>
  <c r="D78" i="26"/>
  <c r="D120" i="26"/>
  <c r="D139" i="26"/>
  <c r="D95" i="26"/>
  <c r="D135" i="26"/>
  <c r="D132" i="26"/>
  <c r="D140" i="26"/>
  <c r="D117" i="26"/>
  <c r="D48" i="26"/>
  <c r="D133" i="26"/>
  <c r="D46" i="26"/>
  <c r="D134" i="26"/>
  <c r="D128" i="26"/>
  <c r="D99" i="26"/>
  <c r="D44" i="26"/>
  <c r="D12" i="26"/>
  <c r="D10" i="26"/>
  <c r="D28" i="26"/>
  <c r="D52" i="26"/>
  <c r="D66" i="26"/>
  <c r="D32" i="26"/>
  <c r="D114" i="26"/>
  <c r="D11" i="26"/>
  <c r="D37" i="26"/>
  <c r="D9" i="26"/>
  <c r="D91" i="26"/>
  <c r="D125" i="26"/>
  <c r="D8" i="26"/>
  <c r="D6" i="26"/>
  <c r="D96" i="26"/>
  <c r="D106" i="26"/>
  <c r="D126" i="26"/>
  <c r="D65" i="26"/>
  <c r="D39" i="26"/>
  <c r="D105" i="26"/>
  <c r="D70" i="26"/>
  <c r="D25" i="26"/>
  <c r="D68" i="26"/>
  <c r="D19" i="26"/>
  <c r="D59" i="26"/>
  <c r="D115" i="26"/>
  <c r="D110" i="26"/>
  <c r="D34" i="26"/>
  <c r="D136" i="26"/>
  <c r="D83" i="26"/>
  <c r="D84" i="26"/>
  <c r="D129" i="26"/>
  <c r="D4" i="26"/>
  <c r="D85" i="26"/>
  <c r="D107" i="26"/>
  <c r="D33" i="26"/>
  <c r="D26" i="26"/>
  <c r="D7" i="26"/>
  <c r="D62" i="26"/>
  <c r="D17" i="26"/>
  <c r="D69" i="26"/>
  <c r="D22" i="26"/>
  <c r="D63" i="26"/>
  <c r="D31" i="26"/>
  <c r="D123" i="26"/>
  <c r="D3" i="26"/>
  <c r="D73" i="26"/>
  <c r="D131" i="26"/>
  <c r="D36" i="26"/>
  <c r="D119" i="26"/>
  <c r="D45" i="26"/>
  <c r="D93" i="26"/>
  <c r="D61" i="26"/>
  <c r="D88" i="26"/>
  <c r="D29" i="26"/>
  <c r="D113" i="26"/>
  <c r="D71" i="26"/>
  <c r="D76" i="26"/>
  <c r="D56" i="26"/>
  <c r="D15" i="26"/>
  <c r="D127" i="26"/>
  <c r="D79" i="26"/>
  <c r="D112" i="26"/>
  <c r="D27" i="26"/>
  <c r="D124" i="26"/>
  <c r="D16" i="26"/>
  <c r="D86" i="26"/>
  <c r="D57" i="26"/>
  <c r="D43" i="26"/>
  <c r="D98" i="26"/>
  <c r="D14" i="26"/>
  <c r="D122" i="26"/>
  <c r="D5" i="26"/>
  <c r="D104" i="26"/>
  <c r="D138" i="26"/>
  <c r="D51" i="26"/>
  <c r="D94" i="26"/>
  <c r="D87" i="26"/>
  <c r="D21" i="26"/>
  <c r="D54" i="26"/>
  <c r="D72" i="26"/>
  <c r="D38" i="26"/>
  <c r="D41" i="26"/>
  <c r="D47" i="26"/>
  <c r="D58" i="26"/>
  <c r="D101" i="26"/>
  <c r="D24" i="26"/>
  <c r="D108" i="26"/>
  <c r="D53" i="26"/>
  <c r="D111" i="26"/>
  <c r="D118" i="26"/>
  <c r="K5" i="15" l="1"/>
  <c r="K6" i="15"/>
  <c r="K2" i="15"/>
  <c r="K9" i="15"/>
  <c r="K8" i="15"/>
  <c r="K7" i="15"/>
  <c r="K3" i="15"/>
  <c r="K10" i="15"/>
  <c r="K11" i="15"/>
  <c r="K4" i="15"/>
  <c r="K21" i="15"/>
  <c r="K20" i="15"/>
  <c r="K18" i="15"/>
  <c r="K19" i="15"/>
  <c r="K23" i="15"/>
  <c r="K17" i="15"/>
  <c r="K22" i="15"/>
  <c r="Y5" i="9"/>
  <c r="I56" i="12"/>
  <c r="H56" i="12"/>
  <c r="J56" i="12"/>
  <c r="H57" i="12"/>
  <c r="I57" i="12"/>
  <c r="AA2" i="9"/>
  <c r="AB2" i="9" s="1"/>
  <c r="C2" i="9" s="1"/>
  <c r="I45" i="12"/>
  <c r="H45" i="12"/>
  <c r="J45" i="12"/>
  <c r="I47" i="12"/>
  <c r="J47" i="12"/>
  <c r="H47" i="12"/>
  <c r="J48" i="12"/>
  <c r="H48" i="12"/>
  <c r="J53" i="12"/>
  <c r="I53" i="12"/>
  <c r="I49" i="12"/>
  <c r="H58" i="12"/>
  <c r="I46" i="12"/>
  <c r="I54" i="12"/>
  <c r="E28" i="15"/>
  <c r="I52" i="12"/>
  <c r="J52" i="12"/>
  <c r="H52" i="12"/>
  <c r="H55" i="12"/>
  <c r="J55" i="12"/>
  <c r="I55" i="12"/>
  <c r="I51" i="12"/>
  <c r="H51" i="12"/>
  <c r="J51" i="12"/>
  <c r="H50" i="12"/>
  <c r="J50" i="12"/>
  <c r="I50" i="12"/>
  <c r="D59" i="12"/>
  <c r="H28" i="15"/>
  <c r="I58" i="12"/>
  <c r="N58" i="12"/>
  <c r="N59" i="12" s="1"/>
  <c r="J54" i="12"/>
  <c r="J46" i="12"/>
  <c r="I48" i="12"/>
  <c r="J49" i="12"/>
  <c r="J57" i="12"/>
  <c r="J58" i="12"/>
  <c r="H53" i="12"/>
  <c r="J59" i="12" l="1"/>
  <c r="D62" i="12" s="1"/>
  <c r="I72" i="12" l="1"/>
  <c r="J62" i="12"/>
  <c r="F62" i="12" s="1"/>
</calcChain>
</file>

<file path=xl/comments1.xml><?xml version="1.0" encoding="utf-8"?>
<comments xmlns="http://schemas.openxmlformats.org/spreadsheetml/2006/main">
  <authors>
    <author>Vish</author>
  </authors>
  <commentList>
    <comment ref="I229" authorId="0" shapeId="0">
      <text>
        <r>
          <rPr>
            <b/>
            <sz val="9"/>
            <color indexed="81"/>
            <rFont val="Tahoma"/>
            <family val="2"/>
          </rPr>
          <t>Vish:</t>
        </r>
        <r>
          <rPr>
            <sz val="9"/>
            <color indexed="81"/>
            <rFont val="Tahoma"/>
            <family val="2"/>
          </rPr>
          <t xml:space="preserve">
(funds commission not added)</t>
        </r>
      </text>
    </comment>
  </commentList>
</comments>
</file>

<file path=xl/connections.xml><?xml version="1.0" encoding="utf-8"?>
<connections xmlns="http://schemas.openxmlformats.org/spreadsheetml/2006/main">
  <connection id="1" sourceFile="C:\Users\Vishal\Dropbox\Projects\FirmFinancials\USStocks.accdb" keepAlive="1" name="USStocks"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Executed" commandType="3"/>
  </connection>
  <connection id="2" sourceFile="C:\Users\Vishal\Dropbox\Projects\FirmFinancials\USStocks.accdb" keepAlive="1" name="USStocks1"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 Portfolio Stocks" commandType="3"/>
  </connection>
  <connection id="3" sourceFile="C:\Users\Vishal\Dropbox\Projects\FirmFinancials\USStocks.accdb" keepAlive="1" name="USStocks10"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Portfolio Options" commandType="3"/>
  </connection>
  <connection id="4" sourceFile="C:\Users\Vishal\Dropbox\Projects\FirmFinancials\USStocks.accdb" keepAlive="1" name="USStocks11"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Portfolio Funds" commandType="3"/>
  </connection>
  <connection id="5" sourceFile="C:\Users\vishalhawa\Dropbox\Projects\FirmFinancials\USStocks.accdb" keepAlive="1" name="USStocks2" description="Yr 2015 Records"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Executed Yr 2015" commandType="3"/>
  </connection>
  <connection id="6" sourceFile="C:\Users\Vishal\Dropbox\Projects\FirmFinancials\USStocks.accdb" keepAlive="1" name="USStocks3"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 Portfolio Funds" commandType="3"/>
  </connection>
  <connection id="7" sourceFile="C:\Users\vhawa\Dropbox\Projects\FirmFinancials\USStocks.accdb" keepAlive="1" name="USStocks4"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Executed Yr 2013" commandType="3"/>
  </connection>
  <connection id="8" sourceFile="C:\Users\Amloo\Dropbox\Projects\FirmFinancials\USStocks.accdb" keepAlive="1" name="USStocks5"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 Executed" commandType="3"/>
  </connection>
  <connection id="9" sourceFile="C:\Users\Amloo\Dropbox\Projects\FirmFinancials\USStocks.accdb" keepAlive="1" name="USStocks6"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Executed Yr 2014" commandType="3"/>
  </connection>
  <connection id="10" sourceFile="C:\Users\vishalhawa\Dropbox\Projects\FirmFinancials\USStocks.accdb" keepAlive="1" name="USStocks7" description="US Executed Pivot" type="5" refreshedVersion="5"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Executed" commandType="3"/>
  </connection>
  <connection id="11" sourceFile="C:\Users\Vishal\Dropbox\Projects\FirmFinancials\USStocks.accdb" keepAlive="1" name="USStocks8"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Portfolio Stocks" commandType="3"/>
  </connection>
  <connection id="12" sourceFile="C:\Users\Vishal\Dropbox\Projects\FirmFinancials\USStocks.accdb" keepAlive="1" name="USStocks9" type="5" refreshedVersion="5" background="1" refreshOnLoad="1" saveData="1">
    <dbPr connection="Provider=Microsoft.ACE.OLEDB.12.0;User ID=Admin;Data Source=C:\Users\vishalhawa\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Executed Yr 2012" commandType="3"/>
  </connection>
</connections>
</file>

<file path=xl/sharedStrings.xml><?xml version="1.0" encoding="utf-8"?>
<sst xmlns="http://schemas.openxmlformats.org/spreadsheetml/2006/main" count="3770" uniqueCount="1048">
  <si>
    <t>SO</t>
  </si>
  <si>
    <t>Calls or Puts</t>
  </si>
  <si>
    <t>Calls &amp; Puts</t>
  </si>
  <si>
    <t>Strategy = Buy a call option</t>
  </si>
  <si>
    <t>Market Opportunity = Look for a bullish market where a rise above the breakeven is anticipated</t>
  </si>
  <si>
    <t>8. Calculate the maximum potential risk by multiplying the value per point by the difference in strike prices and subtracting the net credit received.</t>
  </si>
  <si>
    <t>NKE</t>
  </si>
  <si>
    <t>Long Condor which uses short, ATM options to serve as the body and long ITM and OTM options to serve as the wings.</t>
  </si>
  <si>
    <t>WMT</t>
  </si>
  <si>
    <t>WAG</t>
  </si>
  <si>
    <t>WIN</t>
  </si>
  <si>
    <t>Option Types</t>
  </si>
  <si>
    <t>To increase protection, covered calls can be combined with buying long-term puts (over 6 months).</t>
  </si>
  <si>
    <t>Steps to Using a Bull Call Spread</t>
  </si>
  <si>
    <t>APWR110319C00008000</t>
  </si>
  <si>
    <t>SC</t>
  </si>
  <si>
    <t>VNDA110319C00011000</t>
  </si>
  <si>
    <t>YONG110716P00012000</t>
  </si>
  <si>
    <t>AVNR110319C00005000</t>
  </si>
  <si>
    <t>JPM</t>
  </si>
  <si>
    <t>SLV</t>
  </si>
  <si>
    <t>AVNR</t>
  </si>
  <si>
    <t>NVAX</t>
  </si>
  <si>
    <t>SIFY</t>
  </si>
  <si>
    <t>TTM</t>
  </si>
  <si>
    <t>Market Opportunity = Look for a bullish to neutral market where a slow rise in the price of the underlying is anticipated with little risk of decline</t>
  </si>
  <si>
    <t>SAYCY.PK</t>
  </si>
  <si>
    <t>6. Choose a higher strike call to buy and a lower strike call to sell with the same expiration date.</t>
  </si>
  <si>
    <t>YONG110122C00009000</t>
  </si>
  <si>
    <t>MedTarget</t>
  </si>
  <si>
    <t>CNIT</t>
  </si>
  <si>
    <t>Market Scenario</t>
  </si>
  <si>
    <t>Breakeven= Call strike price + net debit</t>
  </si>
  <si>
    <t>Margin= Required. The amount is subject to your broker's discretion.</t>
  </si>
  <si>
    <t>Sideways</t>
  </si>
  <si>
    <t>BUTTERFLY STRATEGY REVIEW</t>
  </si>
  <si>
    <t>8. Black Scholes model :  refers to the riskfree interest rate even for risky investments - assumes using the risk-neutral probability measure of replicating portfolios</t>
  </si>
  <si>
    <t>Strategy = Buy 1 ITM option, sell 2 ATM options and buy 1 OTM option</t>
  </si>
  <si>
    <t>13. Watch the market closely as it fluctuates. The profit on this strategy is limited-a loss occurs if the underlying stock rises to or above breakeven point.</t>
  </si>
  <si>
    <t>14. To exit the trade, you need to sell the lower strike put and buy the higher strike put or simply let the options expire.</t>
  </si>
  <si>
    <t>LONG PUT STRATEGY REVIEW</t>
  </si>
  <si>
    <t>CELL</t>
  </si>
  <si>
    <t>Maximum Risk = Limited to the difference between the strikes minus the net credit</t>
  </si>
  <si>
    <t>YONG110716P00010000</t>
  </si>
  <si>
    <t>MED</t>
  </si>
  <si>
    <t>AI</t>
  </si>
  <si>
    <t>14. To exit the trade, you need to sell the higher strike put and buy the lower strike put or simply let the options expire. The maximum profit occurs when the price of the underlying stock falls below the short put strike price. If and when the short put is exercised by the assigned option holder, you can exercise the long put to sell the shares purchased from the option holder at the higher long put price, pocketing the difference plus the premium of the short put.</t>
  </si>
  <si>
    <t>Upside Breakeven = Lower strike price call (short call) plus the net credit</t>
  </si>
  <si>
    <t>GEOY</t>
  </si>
  <si>
    <t>GSIC110521C00030000</t>
  </si>
  <si>
    <t>Market Opportunity = Look for a range-bound market that is expected to stay between the calculated breakeven points</t>
  </si>
  <si>
    <t>Stock price trades within a narrow range (but slightly less so than long butterfly) through expiration.</t>
  </si>
  <si>
    <t>Strategy</t>
  </si>
  <si>
    <t>Calendar spread with short nearer term option used to off-set cost of longer-term, long option.</t>
  </si>
  <si>
    <t>LXK</t>
  </si>
  <si>
    <t>Maximum Profit = Limited to the credit received from the short call option + (short call strike price - price of long underlying asset) times value per point</t>
  </si>
  <si>
    <t>Long Butterfly which uses short, ATM options to serve as the body and long ITM and OTM options to serve as the wings.</t>
  </si>
  <si>
    <t>APWR</t>
  </si>
  <si>
    <t>BOLT</t>
  </si>
  <si>
    <t>CMFO</t>
  </si>
  <si>
    <t>SBLK</t>
  </si>
  <si>
    <t>VIT</t>
  </si>
  <si>
    <t>GOOG</t>
  </si>
  <si>
    <t>USO</t>
  </si>
  <si>
    <t>COP</t>
  </si>
  <si>
    <t>CTL</t>
  </si>
  <si>
    <t>WLT</t>
  </si>
  <si>
    <t>Market Opportunity = Look for a bearish or stable market where a decline in the price of the underlying is anticipated with little risk of the market rising</t>
  </si>
  <si>
    <t>Maximum Risk = Unlimited to the upside</t>
  </si>
  <si>
    <t>Maximum Profit = Limited to the credit received on the short put option plus (price of the short underlying asset - put option strike price) times the value per point</t>
  </si>
  <si>
    <t>7. Standard Error = daily volatility /square root of (2*n) , n is number of observations in sample</t>
  </si>
  <si>
    <t>NAV</t>
  </si>
  <si>
    <t>Stock price trades within a narrow range through expiration.</t>
  </si>
  <si>
    <t>PEG5</t>
  </si>
  <si>
    <t>3. Review call options premiums by expiration dates and strike prices.</t>
  </si>
  <si>
    <t>Breakeven = Price of the underlying asset at initiation - short call premium received</t>
  </si>
  <si>
    <t>Margin = Required. The amount is subject to your broker's discretion</t>
  </si>
  <si>
    <t>Assumotions and Obssevations</t>
  </si>
  <si>
    <t>5. Explore past price trends and liquidity by reviewing price and volume charts over the last year.</t>
  </si>
  <si>
    <t>Strategy = Buy a long-term call option and sell a shorter-term call option with the same strike price</t>
  </si>
  <si>
    <t>Annualized</t>
  </si>
  <si>
    <t>CYTK</t>
  </si>
  <si>
    <t>EJ</t>
  </si>
  <si>
    <t>Maximum Profit = Limited to the net credit</t>
  </si>
  <si>
    <t>GTLS</t>
  </si>
  <si>
    <t>HGRD</t>
  </si>
  <si>
    <t>HMIN</t>
  </si>
  <si>
    <t>KERX</t>
  </si>
  <si>
    <t>LMLP</t>
  </si>
  <si>
    <t>13. Watch the market closely as it fluctuates. The profit on this strategy is limited-a loss occurs if the underlying stock closes at or below the breakeven point.</t>
  </si>
  <si>
    <t>IBM</t>
  </si>
  <si>
    <t>5. Volatile SMILE is assumed not present</t>
  </si>
  <si>
    <t>MF-OAKIX</t>
  </si>
  <si>
    <t>MF-TBTBX</t>
  </si>
  <si>
    <t>IWF</t>
  </si>
  <si>
    <t>BuyPrice</t>
  </si>
  <si>
    <t>7. Calculate the maximum potential profit by multiplying the value per point by the difference in strike prices and subtracting the net debit paid.</t>
  </si>
  <si>
    <t>BEAR</t>
  </si>
  <si>
    <t>COVERED PUT STRATEGY REVIEW</t>
  </si>
  <si>
    <t>9. Calculate the breakeven by subtracting the net debit from the higher strike price.</t>
  </si>
  <si>
    <t>CC</t>
  </si>
  <si>
    <t>DERIVATIVES</t>
  </si>
  <si>
    <t>Commission</t>
  </si>
  <si>
    <t>w Commission</t>
  </si>
  <si>
    <t>Breakeven = Price of the underlying asset + short put premium received</t>
  </si>
  <si>
    <t>EBAY</t>
  </si>
  <si>
    <t>DTG</t>
  </si>
  <si>
    <t>LIWA</t>
  </si>
  <si>
    <t>OGXI</t>
  </si>
  <si>
    <t>VNDA</t>
  </si>
  <si>
    <t>AAPL</t>
  </si>
  <si>
    <t>Maximum Profit = Limited to the downside as the underlying stock falls to zero</t>
  </si>
  <si>
    <t>Breakeven = Put strike price - put premium</t>
  </si>
  <si>
    <t>Margin = None</t>
  </si>
  <si>
    <t>ClosePrice</t>
  </si>
  <si>
    <t>LastUpdated</t>
  </si>
  <si>
    <t>ID</t>
  </si>
  <si>
    <t>symbol</t>
  </si>
  <si>
    <t>Number</t>
  </si>
  <si>
    <t>BuyDate</t>
  </si>
  <si>
    <t>AnnualizedGrowth</t>
  </si>
  <si>
    <t>AbsoluteGrowth</t>
  </si>
  <si>
    <t>Profit</t>
  </si>
  <si>
    <t>13. Watch the market closely as it fluctuates. The profit on this strategy is limited-a loss occurs if the underlying stock falls to or below the breakeven point.</t>
  </si>
  <si>
    <t>ADP -401</t>
  </si>
  <si>
    <t>ENTR</t>
  </si>
  <si>
    <t>ARUN</t>
  </si>
  <si>
    <t>ARCC</t>
  </si>
  <si>
    <t>11. Write down the trade in your trader's journal before placing the trade with your broker to minimize mistakes made in placing the order and to keep a record of the trade.</t>
  </si>
  <si>
    <t>12. Contact your broker to buy and sell the chosen call options.</t>
  </si>
  <si>
    <t>STLD</t>
  </si>
  <si>
    <t>9. Calculate the breakeven by adding the net credit to the lower strike price.</t>
  </si>
  <si>
    <t>IWM</t>
  </si>
  <si>
    <t>Upside Breakeven = Higher strike price put (short put) minus the net debit</t>
  </si>
  <si>
    <t>Strategies for Sideways Markets</t>
  </si>
  <si>
    <t>Maximum Risk = Limited to the net debit paid</t>
  </si>
  <si>
    <t>Maximum Risk = Very high, but limited to the downside below the breakeven all the way to zero</t>
  </si>
  <si>
    <t>TYPE</t>
  </si>
  <si>
    <t>WATG</t>
  </si>
  <si>
    <t>WMS</t>
  </si>
  <si>
    <t>YONG</t>
  </si>
  <si>
    <t>LCC</t>
  </si>
  <si>
    <t>ITC</t>
  </si>
  <si>
    <t>14. To exit the trade, you need to sell the lower strike call and buy the higher strike call or simply let the options expire. The maximum profit occurs when the underlying stock rises above the short call strike price. If and when the short call is assigned, you can exercise the long call and deliver those shares at the lower long call price, pocketing the difference plus the premium from the short call.</t>
  </si>
  <si>
    <t>Remarks</t>
  </si>
  <si>
    <t>S</t>
  </si>
  <si>
    <t>Maximum Profit= Limited to the upside beyond the breakeven (best determined with software analysis tool). If the short call expires worthless, the new risk graph will resemble a long call risk graph.</t>
  </si>
  <si>
    <t>8. Calculate the maximum potential risk by figuring out the net debit of the two option premiums.</t>
  </si>
  <si>
    <t>9. Calculate the breakeven by adding the lower strike price to the net debit.</t>
  </si>
  <si>
    <t>Stock price decreases: Call expires worthless and the trader still owns the stock shares.</t>
  </si>
  <si>
    <t>Strategy = Buy the underlying security and sell an OTM call option</t>
  </si>
  <si>
    <t>Stock price initially range-bound to moderately bullish or bearish. Longer-term outlook bullish or bearish.</t>
  </si>
  <si>
    <t>MF-AOGIX</t>
  </si>
  <si>
    <t>Strategy = Buy a put option</t>
  </si>
  <si>
    <t>Price</t>
  </si>
  <si>
    <t>Beta</t>
  </si>
  <si>
    <t>1. Look for a moderately bearish market where you anticipate a modest decrease in the price of the underlying stock-not a large move.</t>
  </si>
  <si>
    <t>MF-DPCCX</t>
  </si>
  <si>
    <t>MF-REMGX</t>
  </si>
  <si>
    <t>9. Calculate the breakeven by subtracting the net credit from the higher strike price.</t>
  </si>
  <si>
    <t>12. Contact your broker to buy and sell the chosen put options.</t>
  </si>
  <si>
    <t>DE</t>
  </si>
  <si>
    <t>NFLX</t>
  </si>
  <si>
    <t>Steps to Using a Bull Put Spread</t>
  </si>
  <si>
    <t>3. Review put options premiums by expiration dates and strike prices.</t>
  </si>
  <si>
    <t>6. Choose a lower strike put to buy and a higher strike put to sell with the same expiration date.</t>
  </si>
  <si>
    <t>7. Calculate the maximum potential profit by computing the net credit of the two option premiums.</t>
  </si>
  <si>
    <t>Long Iron Butterfly which uses short, ATM options to serve as the body and long ITM and OTM options to serve as the wings.</t>
  </si>
  <si>
    <t>3 Depth of Past Data taken to arrive for Expected return and Volatilty should be same as length to future to be predicted</t>
  </si>
  <si>
    <t>EPS</t>
  </si>
  <si>
    <t>2. 1.96 Standard Deviations of Normal Curve will give 95% confidence level - good enough for assumptions</t>
  </si>
  <si>
    <t>ExcercisePositionValue</t>
  </si>
  <si>
    <t>CSIQ</t>
  </si>
  <si>
    <t>6. Expected Return, Volatilty and Risk free rate all assumed constant</t>
  </si>
  <si>
    <t>PEP</t>
  </si>
  <si>
    <t>LXK120121P00030000</t>
  </si>
  <si>
    <t>LIWA110521C00010000</t>
  </si>
  <si>
    <t>NVDA</t>
  </si>
  <si>
    <t>YHOO</t>
  </si>
  <si>
    <t>Date</t>
  </si>
  <si>
    <t>Action</t>
  </si>
  <si>
    <t>MUR</t>
  </si>
  <si>
    <t>Strategy = Buy 1 ITM option, sell 2 near the money options (different strikes) and buy 1 OTM option</t>
  </si>
  <si>
    <t>LONG IRON BUTTERFLY STRATEGY REVIEW</t>
  </si>
  <si>
    <t>HDB</t>
  </si>
  <si>
    <t>Delta</t>
  </si>
  <si>
    <t>13. Watch the market closely as it fluctuates. The profit on this strategy is limited - a loss occurs if the underlying stock rises to or above the breakeven point.</t>
  </si>
  <si>
    <t>FSLR</t>
  </si>
  <si>
    <t>Market Opportunity = Look for a market that is short-term range-bound (through expiration of the short option) with a moderately bullish bias in the long-term</t>
  </si>
  <si>
    <t>Maximum Risk= Limited to the amount paid for the combined calls</t>
  </si>
  <si>
    <t>IGTE</t>
  </si>
  <si>
    <t>LIWA110521C00005000</t>
  </si>
  <si>
    <t>ORCL</t>
  </si>
  <si>
    <t>CE</t>
  </si>
  <si>
    <t>Executed</t>
  </si>
  <si>
    <t>Strategy = Combine a bear call spread and a bull put spread with the same expiration month</t>
  </si>
  <si>
    <t>Net Cash ??</t>
  </si>
  <si>
    <t>JPM110716P00047000</t>
  </si>
  <si>
    <t>LONG CALL STRATEGY REVIEW</t>
  </si>
  <si>
    <t>CALL CALENDAR STRATEGY REVIEW</t>
  </si>
  <si>
    <t>Upside Breakeven = Higher strike price minus the net debit</t>
  </si>
  <si>
    <t>Upside Breakeven = Lower strike price plus the net debit</t>
  </si>
  <si>
    <t>CONDOR STRATEGY REVIEW</t>
  </si>
  <si>
    <t>MF-DSCVX</t>
  </si>
  <si>
    <t>10. Create a risk profile for the trade to graphically determine the trade's attractiveness.</t>
  </si>
  <si>
    <t>Sell Date</t>
  </si>
  <si>
    <t>Sell Price</t>
  </si>
  <si>
    <t>1. Ratio of successive Stock Prices are Lognormal with  definitive variance, hence returns calculated as successive price ratios</t>
  </si>
  <si>
    <t>Description</t>
  </si>
  <si>
    <t>Symbol</t>
  </si>
  <si>
    <t>Quantity</t>
  </si>
  <si>
    <t>Amount</t>
  </si>
  <si>
    <t>ACH</t>
  </si>
  <si>
    <t>ACH DEPOSIT - ONE-TIME</t>
  </si>
  <si>
    <t>Sharebuilder</t>
  </si>
  <si>
    <t>eTrade</t>
  </si>
  <si>
    <t>SIMPLE</t>
  </si>
  <si>
    <t>IRA/2009</t>
  </si>
  <si>
    <t>Networth</t>
  </si>
  <si>
    <t>etrade - Simple</t>
  </si>
  <si>
    <t>etrade - IRA</t>
  </si>
  <si>
    <t>NBG</t>
  </si>
  <si>
    <t>14. To exit the trade, you need to sell the higher strike call and buy the lower strike call or simply let the options expire.</t>
  </si>
  <si>
    <t>Steps to Using a Bear Put Spread</t>
  </si>
  <si>
    <t>6. Choose a higher strike put to buy and a lower strike put to sell with the same expiration date.</t>
  </si>
  <si>
    <t>XOM111022C00085000</t>
  </si>
  <si>
    <t>MF-UMPIX</t>
  </si>
  <si>
    <t>$$</t>
  </si>
  <si>
    <t>Strategy = Sell the underlying security and sell an OTM put option</t>
  </si>
  <si>
    <t>BLTI</t>
  </si>
  <si>
    <t>8. Calculate the maximum potential risk by computing the net debit of the two option premiums.</t>
  </si>
  <si>
    <t>1. Look for a moderately bullish market where you anticipate a modest increase in the price of the underlying stock-not a large move.</t>
  </si>
  <si>
    <t>2. Check to see if this stock has options.</t>
  </si>
  <si>
    <t>BPZ</t>
  </si>
  <si>
    <t>ROC</t>
  </si>
  <si>
    <t>SVU</t>
  </si>
  <si>
    <t>6. Choose a lower strike call to buy and a higher strike call to sell with the same expiration date.</t>
  </si>
  <si>
    <t>EPR</t>
  </si>
  <si>
    <t>AVNR101218C00006000</t>
  </si>
  <si>
    <t>EJ110219C00016000</t>
  </si>
  <si>
    <t>RINO.PK</t>
  </si>
  <si>
    <t>GSIC</t>
  </si>
  <si>
    <t>ONTY</t>
  </si>
  <si>
    <t>PWRD</t>
  </si>
  <si>
    <t>Maximum Profit = Limited to the difference between the strikes minus the net debit</t>
  </si>
  <si>
    <t>XIDE</t>
  </si>
  <si>
    <t>XOM111022P00090000</t>
  </si>
  <si>
    <t>CHGS</t>
  </si>
  <si>
    <t>Market Opportunity = Look for a bearish market where you anticipate a fall in the price of the underlying stock below the breakeven</t>
  </si>
  <si>
    <t>EJ110416C00012000</t>
  </si>
  <si>
    <t>KLIC</t>
  </si>
  <si>
    <t>JNJ</t>
  </si>
  <si>
    <t>APA</t>
  </si>
  <si>
    <t>Margin = Required. The amount is subject to your broker's discretion.</t>
  </si>
  <si>
    <t>Steps to Using a Bear Call Spread</t>
  </si>
  <si>
    <t>BAC</t>
  </si>
  <si>
    <t>WFC</t>
  </si>
  <si>
    <t>XOM</t>
  </si>
  <si>
    <t>BP</t>
  </si>
  <si>
    <t>GS</t>
  </si>
  <si>
    <t>MSFT</t>
  </si>
  <si>
    <t>IBN</t>
  </si>
  <si>
    <t>4. Volatility at time T. OR Standard Deviation is considered as daily volatility times squareroot of time</t>
  </si>
  <si>
    <t>RIMM</t>
  </si>
  <si>
    <t>SAY</t>
  </si>
  <si>
    <t>SLT</t>
  </si>
  <si>
    <t>Maximum Risk = Limited to the price of the put option premium</t>
  </si>
  <si>
    <t>Maximum Profit= Unlimited to the upside beyond the breakeven</t>
  </si>
  <si>
    <t>Breakeven= Call strike price + call premium</t>
  </si>
  <si>
    <t>Margin= None</t>
  </si>
  <si>
    <t>4. Investigate implied volatility values to see if the options are overpriced or undervalued.</t>
  </si>
  <si>
    <t>MCD</t>
  </si>
  <si>
    <t>TQNT</t>
  </si>
  <si>
    <t>Maximum Risk= Limited to the amount paid for the call</t>
  </si>
  <si>
    <t>AVNR110618C00001000</t>
  </si>
  <si>
    <t>EEM</t>
  </si>
  <si>
    <t>SPY</t>
  </si>
  <si>
    <t>SVU120121P00015000</t>
  </si>
  <si>
    <t>BC</t>
  </si>
  <si>
    <t>SPY110917P00128000</t>
  </si>
  <si>
    <t>SellPrice</t>
  </si>
  <si>
    <t>SellDate</t>
  </si>
  <si>
    <t>CostBasis</t>
  </si>
  <si>
    <t>SATC</t>
  </si>
  <si>
    <t>YONG110618C00005000</t>
  </si>
  <si>
    <t>APWR110618C00006000</t>
  </si>
  <si>
    <t>VNDA110618C00008000</t>
  </si>
  <si>
    <t>BPZ110618C00006000</t>
  </si>
  <si>
    <t>XIDE110618C00010000</t>
  </si>
  <si>
    <t>LIWA110618C00007500</t>
  </si>
  <si>
    <t>MF-CAMAX</t>
  </si>
  <si>
    <t>RIMM110618C00075000</t>
  </si>
  <si>
    <t>Costbasis</t>
  </si>
  <si>
    <t>LIWA110820C00005000</t>
  </si>
  <si>
    <t>GOOG120121C00560000</t>
  </si>
  <si>
    <t>icicicode</t>
  </si>
  <si>
    <t>CORBAN</t>
  </si>
  <si>
    <t>GRASIM</t>
  </si>
  <si>
    <t>INOX</t>
  </si>
  <si>
    <t>IPCLAB</t>
  </si>
  <si>
    <t>MANCEM</t>
  </si>
  <si>
    <t>ONGC</t>
  </si>
  <si>
    <t>RELIND</t>
  </si>
  <si>
    <t>SHRTRA</t>
  </si>
  <si>
    <t>TCS</t>
  </si>
  <si>
    <t>TISCO</t>
  </si>
  <si>
    <t>WIPRO</t>
  </si>
  <si>
    <t>CalculatedPrice</t>
  </si>
  <si>
    <t>EJ110716C00007000</t>
  </si>
  <si>
    <t>OGXI110716C00015000</t>
  </si>
  <si>
    <t>NVAX110716C00002000</t>
  </si>
  <si>
    <t>WATG110716C00007500</t>
  </si>
  <si>
    <t>Options</t>
  </si>
  <si>
    <t>Shares</t>
  </si>
  <si>
    <t>number</t>
  </si>
  <si>
    <t>buyprice</t>
  </si>
  <si>
    <t>buydate</t>
  </si>
  <si>
    <t>closeprice</t>
  </si>
  <si>
    <t>lastupdated</t>
  </si>
  <si>
    <t>Yearly Terms</t>
  </si>
  <si>
    <t>MF</t>
  </si>
  <si>
    <t>ERX</t>
  </si>
  <si>
    <t>Pru FMCG Fund - (G)</t>
  </si>
  <si>
    <t>Magnum SFU - Emerging Businesses Fund (G)</t>
  </si>
  <si>
    <t>Robeco Equity - Tax Saver (G)</t>
  </si>
  <si>
    <t>Pru Discovery Fund (G)</t>
  </si>
  <si>
    <t>Growing Economies Infrastructure - Plan A (G)</t>
  </si>
  <si>
    <t>RIMM110820C00025000</t>
  </si>
  <si>
    <t>SLV120121C00065000</t>
  </si>
  <si>
    <t>IWM111119C00083000</t>
  </si>
  <si>
    <t>BPZ110820C00003000</t>
  </si>
  <si>
    <t>GOOG120317C00505000</t>
  </si>
  <si>
    <t>Policy N0  14511900</t>
  </si>
  <si>
    <t>PLAN   HDFC    SL  CREST  </t>
  </si>
  <si>
    <t>NO OF UNITS   9658.6357</t>
  </si>
  <si>
    <t>UNIT PRICE       9.83820</t>
  </si>
  <si>
    <t>FUND VALUE     95023.58  DATE  27  7   11</t>
  </si>
  <si>
    <t>Client  No is 51610716</t>
  </si>
  <si>
    <t>Free toll  1800 228 228 or 1800209 7777</t>
  </si>
  <si>
    <t>sms  service to 5676727</t>
  </si>
  <si>
    <t>e mail  service@hdfclife.com</t>
  </si>
  <si>
    <t>SLV120121C00034000</t>
  </si>
  <si>
    <t>EBAY120121C00036000</t>
  </si>
  <si>
    <t>% Price Change – Last 12 Weeks &gt;= 20%</t>
  </si>
  <si>
    <t>Current Price / 52-week high &gt;= .80</t>
  </si>
  <si>
    <t>(Stocks trading within 20% of their 52-week high.)</t>
  </si>
  <si>
    <t>Projected One Year Growth Rate &gt; Industry Median</t>
  </si>
  <si>
    <t>(Greater than 10 days to cover.)</t>
  </si>
  <si>
    <t>Current Short Ratio &gt; Short Ratio 1 Month Ago</t>
  </si>
  <si>
    <t>(In other words, the short ratio has increased.)</t>
  </si>
  <si>
    <t>Current Price &gt;= $5</t>
  </si>
  <si>
    <t>Avg. Daily Volume &gt;= 100,000</t>
  </si>
  <si>
    <t>SHORT (COVERED) CALL STRATEGY REVIEW</t>
  </si>
  <si>
    <t>Look for high revenue + High Dividend stocks</t>
  </si>
  <si>
    <t>SCREEN for BUY PUT (aslo Short Ratio)</t>
  </si>
  <si>
    <t>Short Ratio &gt; 10 (at least be greater than 5)</t>
  </si>
  <si>
    <t>TQNT111119C00007000</t>
  </si>
  <si>
    <t>WLT120317C00085000</t>
  </si>
  <si>
    <t>STLD111022C00012000</t>
  </si>
  <si>
    <t>BBBB120121C00045000</t>
  </si>
  <si>
    <t>VNDA111217C00006000</t>
  </si>
  <si>
    <t>JNJ111022C00067500</t>
  </si>
  <si>
    <t>XOM120121C00092500</t>
  </si>
  <si>
    <t>SIFY111022C00005000</t>
  </si>
  <si>
    <t>SATC111217C00002500</t>
  </si>
  <si>
    <t>YONG111022C00005000</t>
  </si>
  <si>
    <t>CELL111022C00007500</t>
  </si>
  <si>
    <t>NVAX111022C00001000</t>
  </si>
  <si>
    <t>BPZ110917C00003000</t>
  </si>
  <si>
    <t>GEOY110917C00030000</t>
  </si>
  <si>
    <t>VIT110917C00010000</t>
  </si>
  <si>
    <t>XIDE110917C00007500</t>
  </si>
  <si>
    <t>TWM</t>
  </si>
  <si>
    <t>WIN111119C00013000</t>
  </si>
  <si>
    <t>GOOG111217C00650000</t>
  </si>
  <si>
    <t>ARUN120121C00022500</t>
  </si>
  <si>
    <t>BEP</t>
  </si>
  <si>
    <t>UGL</t>
  </si>
  <si>
    <t>GLL</t>
  </si>
  <si>
    <t>JJG</t>
  </si>
  <si>
    <t>AGQ</t>
  </si>
  <si>
    <t>AAPL120421P00390000</t>
  </si>
  <si>
    <t>APWR.PK</t>
  </si>
  <si>
    <t>WATG.PK</t>
  </si>
  <si>
    <t>ORCL111022C00030000</t>
  </si>
  <si>
    <t>oddsBEP</t>
  </si>
  <si>
    <t>NKE111022C00040000</t>
  </si>
  <si>
    <t>NVAX120121C00002000</t>
  </si>
  <si>
    <t>YONG111119C00005000</t>
  </si>
  <si>
    <t>WLT111022C00065000</t>
  </si>
  <si>
    <t>GLL111022C00018000</t>
  </si>
  <si>
    <t>SLV120421C00037000</t>
  </si>
  <si>
    <t>SLV120421C00031000</t>
  </si>
  <si>
    <t>CELL111119C00010000</t>
  </si>
  <si>
    <t>CHGS111022C00002500</t>
  </si>
  <si>
    <t>CNIT111022C00002500</t>
  </si>
  <si>
    <t>RIMM111022C00025000</t>
  </si>
  <si>
    <t>BAC111022C00007000</t>
  </si>
  <si>
    <t>CTL111022C00023000</t>
  </si>
  <si>
    <t>EPR111119C00025000</t>
  </si>
  <si>
    <t>BBBB</t>
  </si>
  <si>
    <t>RIMM111217C00026000</t>
  </si>
  <si>
    <t>BLTI111119C00002500</t>
  </si>
  <si>
    <t>SCZ</t>
  </si>
  <si>
    <t>SCX</t>
  </si>
  <si>
    <t>BCZ</t>
  </si>
  <si>
    <t>JJG111119C00048000</t>
  </si>
  <si>
    <t>XIDE111119C00005000</t>
  </si>
  <si>
    <t>ARCC111119C00014000</t>
  </si>
  <si>
    <t>NFLX111119C00090000</t>
  </si>
  <si>
    <t>YHOO130119C00017500</t>
  </si>
  <si>
    <t>AGQ111217C00075000</t>
  </si>
  <si>
    <t>BAC120218C00007000</t>
  </si>
  <si>
    <t>ENTR111119C00007500</t>
  </si>
  <si>
    <t>SKF</t>
  </si>
  <si>
    <t>TargetNAV</t>
  </si>
  <si>
    <t>VIT111119C00012500</t>
  </si>
  <si>
    <t>PTRY</t>
  </si>
  <si>
    <t>SIFY111217C00005000</t>
  </si>
  <si>
    <t>TVIX</t>
  </si>
  <si>
    <t>UWM</t>
  </si>
  <si>
    <t>GASL</t>
  </si>
  <si>
    <t>MATL</t>
  </si>
  <si>
    <t>GASX</t>
  </si>
  <si>
    <t>EDZ</t>
  </si>
  <si>
    <t>FAZ</t>
  </si>
  <si>
    <t>TZA</t>
  </si>
  <si>
    <t>SRTY</t>
  </si>
  <si>
    <t>ZSL</t>
  </si>
  <si>
    <t>SDOW</t>
  </si>
  <si>
    <t>GRPN</t>
  </si>
  <si>
    <t>SIFY111119C00005000</t>
  </si>
  <si>
    <t>STLD111119C00013000</t>
  </si>
  <si>
    <t>LGEM</t>
  </si>
  <si>
    <t>USLV</t>
  </si>
  <si>
    <t>SFK</t>
  </si>
  <si>
    <t>Decay</t>
  </si>
  <si>
    <t>NVDA120317C00010000</t>
  </si>
  <si>
    <t>IVR</t>
  </si>
  <si>
    <t>TLT</t>
  </si>
  <si>
    <t>IVR111217C00015000</t>
  </si>
  <si>
    <t>SCO</t>
  </si>
  <si>
    <t>EJ111217C00007000</t>
  </si>
  <si>
    <t>MF-MRBJX</t>
  </si>
  <si>
    <t>GOOG120317C00590000</t>
  </si>
  <si>
    <t>ORCL120317C00030000</t>
  </si>
  <si>
    <t>EEM120317C00037000</t>
  </si>
  <si>
    <t>IWM120519C00070000</t>
  </si>
  <si>
    <t>ARCC120317C00015000</t>
  </si>
  <si>
    <t>DE111217C00075000</t>
  </si>
  <si>
    <t>CELL120721C00010000</t>
  </si>
  <si>
    <t>STLD120218C00012000</t>
  </si>
  <si>
    <t>VNDA111217C00005000</t>
  </si>
  <si>
    <t>WLT111217C00075000</t>
  </si>
  <si>
    <t>BAC111217C00004000</t>
  </si>
  <si>
    <t>TQNT111217C00004000</t>
  </si>
  <si>
    <t>AGQ120121C00064000</t>
  </si>
  <si>
    <t>RIMM120121C00009000</t>
  </si>
  <si>
    <t>ARCC120317C00010000</t>
  </si>
  <si>
    <t>ENTR120519C00003000</t>
  </si>
  <si>
    <t>XIDE120317C00002500</t>
  </si>
  <si>
    <t>Highest NAV Guarantee Fund - Life Super II&amp;nbsp;</t>
  </si>
  <si>
    <t>NFLX120317C00075000</t>
  </si>
  <si>
    <t>YONG120121C00004000</t>
  </si>
  <si>
    <t>WIN120121C00011000</t>
  </si>
  <si>
    <t>DE120121C00072500</t>
  </si>
  <si>
    <t>WLT120121C00045000</t>
  </si>
  <si>
    <t>YHOO120121C00016000</t>
  </si>
  <si>
    <t>JJG120121C00030000</t>
  </si>
  <si>
    <t>TQNT120121C00004000</t>
  </si>
  <si>
    <t>BAC120218C00004000</t>
  </si>
  <si>
    <t>NVDA120121C00012500</t>
  </si>
  <si>
    <t>AAPL120421P00400000</t>
  </si>
  <si>
    <t>WFC120421P00030000</t>
  </si>
  <si>
    <t>XLU</t>
  </si>
  <si>
    <t>PTRY120317C00010000</t>
  </si>
  <si>
    <t>PSMT</t>
  </si>
  <si>
    <t>TLT120317P00115000</t>
  </si>
  <si>
    <t>ERX120121C00040800</t>
  </si>
  <si>
    <t>AGQ120317C00050000</t>
  </si>
  <si>
    <t>VNDA120616C00003000</t>
  </si>
  <si>
    <t>NVAX120421C00001000</t>
  </si>
  <si>
    <t>BAC120421C00006000</t>
  </si>
  <si>
    <t>IVR120218C00012000</t>
  </si>
  <si>
    <t>EJ120818C00004000</t>
  </si>
  <si>
    <t>IWF120218C00049000</t>
  </si>
  <si>
    <t>YONG120218C00004000</t>
  </si>
  <si>
    <t>ARUN120421C00012000</t>
  </si>
  <si>
    <t>PSMT120421C00050000</t>
  </si>
  <si>
    <t>SIFY120218C00005000</t>
  </si>
  <si>
    <t>WLT120218C00050000</t>
  </si>
  <si>
    <t xml:space="preserve">SMDD </t>
  </si>
  <si>
    <t>NVDA120616C00015000</t>
  </si>
  <si>
    <t>SPY120616P00153000</t>
  </si>
  <si>
    <t>ERX120218C00051000</t>
  </si>
  <si>
    <t>WIN120519C00011000</t>
  </si>
  <si>
    <t>RIMM120421C00017000</t>
  </si>
  <si>
    <t>Period</t>
  </si>
  <si>
    <t>5 yrs</t>
  </si>
  <si>
    <t>HCLTEC</t>
  </si>
  <si>
    <t>AGQ120317C00064000</t>
  </si>
  <si>
    <t>ERX120317C00050000</t>
  </si>
  <si>
    <t>COP120519P00075000</t>
  </si>
  <si>
    <t>MUR120421P00065000</t>
  </si>
  <si>
    <t>APA120421P00110000</t>
  </si>
  <si>
    <t>WLT120317C00062500</t>
  </si>
  <si>
    <t>TQNT120818C00007000</t>
  </si>
  <si>
    <t>ERX120317C00051000</t>
  </si>
  <si>
    <t>BCX</t>
  </si>
  <si>
    <t>PTRY120616C00010000</t>
  </si>
  <si>
    <t>TQNT120317C00006000</t>
  </si>
  <si>
    <t>CELL120421C00007500</t>
  </si>
  <si>
    <t>RIMM120519C00014000</t>
  </si>
  <si>
    <t>WLT120421C00055000</t>
  </si>
  <si>
    <t>YHOO120421C00015000</t>
  </si>
  <si>
    <t>ERX120421C00050000</t>
  </si>
  <si>
    <t>XIDE120616C00002500</t>
  </si>
  <si>
    <t>SaleProceeds</t>
  </si>
  <si>
    <t>DateAcquired</t>
  </si>
  <si>
    <t>type</t>
  </si>
  <si>
    <t>options</t>
  </si>
  <si>
    <t>900 Share APWR</t>
  </si>
  <si>
    <t/>
  </si>
  <si>
    <t>300 Share VIT</t>
  </si>
  <si>
    <t>900 Share HGRD</t>
  </si>
  <si>
    <t>150 Share HMIN</t>
  </si>
  <si>
    <t>100 Share WMT</t>
  </si>
  <si>
    <t>285 Share IBN</t>
  </si>
  <si>
    <t>200 Share DTG</t>
  </si>
  <si>
    <t>300 Share GTLS</t>
  </si>
  <si>
    <t>900 Share IGTE</t>
  </si>
  <si>
    <t>25 Share AAPL</t>
  </si>
  <si>
    <t>150 Share BAC</t>
  </si>
  <si>
    <t>150 Share WMS</t>
  </si>
  <si>
    <t>10 Share IGTE</t>
  </si>
  <si>
    <t>100 Share FSLR</t>
  </si>
  <si>
    <t>500 Share CSIQ</t>
  </si>
  <si>
    <t>20 Share GOOG</t>
  </si>
  <si>
    <t>300 Share PWRD</t>
  </si>
  <si>
    <t>50 Share WMS</t>
  </si>
  <si>
    <t>25 Share LMLP</t>
  </si>
  <si>
    <t>205 Share WMT</t>
  </si>
  <si>
    <t>900 Share AVNR</t>
  </si>
  <si>
    <t>1000 Share SAYCY.PK</t>
  </si>
  <si>
    <t>300 Share RINO.PK</t>
  </si>
  <si>
    <t>Included in 2010 Sch D</t>
  </si>
  <si>
    <t>100 Share AAPL</t>
  </si>
  <si>
    <t>10 Share AAPL</t>
  </si>
  <si>
    <t>15 Share AAPL</t>
  </si>
  <si>
    <t>100 Share AGQ</t>
  </si>
  <si>
    <t>300 Share APWR</t>
  </si>
  <si>
    <t>350 Share APWR.PK</t>
  </si>
  <si>
    <t>200 Share ARCC</t>
  </si>
  <si>
    <t>1000 Share ARCC</t>
  </si>
  <si>
    <t>200 Share ARUN</t>
  </si>
  <si>
    <t>200 Share AVNR</t>
  </si>
  <si>
    <t>700 Share AVNR</t>
  </si>
  <si>
    <t>700 Share BAC</t>
  </si>
  <si>
    <t>5000 Share BBBB</t>
  </si>
  <si>
    <t>500 Share BLTI</t>
  </si>
  <si>
    <t>800 Share BOLT</t>
  </si>
  <si>
    <t>900 Share BPZ</t>
  </si>
  <si>
    <t>500 Share CELL</t>
  </si>
  <si>
    <t>400 Share CHGS</t>
  </si>
  <si>
    <t>800 Share CNIT</t>
  </si>
  <si>
    <t>100 Share CTL</t>
  </si>
  <si>
    <t>100 Share DE</t>
  </si>
  <si>
    <t>1000 Share EBAY</t>
  </si>
  <si>
    <t>500 Share EEM</t>
  </si>
  <si>
    <t>500 Share EJ</t>
  </si>
  <si>
    <t>100 Share EJ</t>
  </si>
  <si>
    <t>1000 Share ENTR</t>
  </si>
  <si>
    <t>100 Share EPR</t>
  </si>
  <si>
    <t>102 Share EPR</t>
  </si>
  <si>
    <t>2 Share EPR</t>
  </si>
  <si>
    <t>100 Share GEOY</t>
  </si>
  <si>
    <t>200 Share GLL</t>
  </si>
  <si>
    <t>100 Share GOOG</t>
  </si>
  <si>
    <t>7 Share GOOG</t>
  </si>
  <si>
    <t>200 Share GOOG</t>
  </si>
  <si>
    <t>23 Share GOOG</t>
  </si>
  <si>
    <t>1000 Share GSIC</t>
  </si>
  <si>
    <t>200 Share IVR</t>
  </si>
  <si>
    <t>300 Share IWM</t>
  </si>
  <si>
    <t>2000 Share IWM</t>
  </si>
  <si>
    <t>100 Share JJG</t>
  </si>
  <si>
    <t>1000 Share JNJ</t>
  </si>
  <si>
    <t>1000 Share JPM</t>
  </si>
  <si>
    <t>500 Share KERX</t>
  </si>
  <si>
    <t>900 Share LIWA</t>
  </si>
  <si>
    <t>500 Share LXK</t>
  </si>
  <si>
    <t>100 Share MATL</t>
  </si>
  <si>
    <t>673 Share MF-DSCVX</t>
  </si>
  <si>
    <t>520 Share MF-OAKIX</t>
  </si>
  <si>
    <t>264 Share MF-REMGX</t>
  </si>
  <si>
    <t>100 Share NFLX</t>
  </si>
  <si>
    <t>100 Share NKE</t>
  </si>
  <si>
    <t>300 Share NVAX</t>
  </si>
  <si>
    <t>2000 Share NVAX</t>
  </si>
  <si>
    <t>1700 Share NVAX</t>
  </si>
  <si>
    <t>200 Share NVDA</t>
  </si>
  <si>
    <t>500 Share OGXI</t>
  </si>
  <si>
    <t>50 Share ONTY</t>
  </si>
  <si>
    <t>400 Share ORCL</t>
  </si>
  <si>
    <t>100 Share ORCL</t>
  </si>
  <si>
    <t>100 Share RIMM</t>
  </si>
  <si>
    <t>2000 Share SATC</t>
  </si>
  <si>
    <t>500 Share SIFY</t>
  </si>
  <si>
    <t>1000 Share SIFY</t>
  </si>
  <si>
    <t>100 Share SKF</t>
  </si>
  <si>
    <t>1000 Share SLV</t>
  </si>
  <si>
    <t>5000 Share SLV</t>
  </si>
  <si>
    <t>1000 Share SPY</t>
  </si>
  <si>
    <t>200 Share SRTY</t>
  </si>
  <si>
    <t>100 Share STLD</t>
  </si>
  <si>
    <t>400 Share STLD</t>
  </si>
  <si>
    <t>404 Share STLD</t>
  </si>
  <si>
    <t>500 Share SVU</t>
  </si>
  <si>
    <t>500 Share TQNT</t>
  </si>
  <si>
    <t>100 Share TWM</t>
  </si>
  <si>
    <t>100 Share UWM</t>
  </si>
  <si>
    <t>500 Share VIT</t>
  </si>
  <si>
    <t>100 Share VIT</t>
  </si>
  <si>
    <t>400 Share VNDA</t>
  </si>
  <si>
    <t>100 Share WATG</t>
  </si>
  <si>
    <t>120 Share WATG.PK</t>
  </si>
  <si>
    <t>500 Share WIN</t>
  </si>
  <si>
    <t>300 Share WIN</t>
  </si>
  <si>
    <t>100 Share WLT</t>
  </si>
  <si>
    <t>1000 Share XIDE</t>
  </si>
  <si>
    <t>1000 Share XOM</t>
  </si>
  <si>
    <t>500 Share XOM</t>
  </si>
  <si>
    <t>500 Share YONG</t>
  </si>
  <si>
    <t>400 Share YONG</t>
  </si>
  <si>
    <t>900 Share YONG</t>
  </si>
  <si>
    <t>Broken into long and short terms</t>
  </si>
  <si>
    <t>Wash Sale ?</t>
  </si>
  <si>
    <t>Cost basis not correct with ING</t>
  </si>
  <si>
    <t>Does not macth on 1099</t>
  </si>
  <si>
    <t>1099 says profit 338</t>
  </si>
  <si>
    <t>1099 has ($651)</t>
  </si>
  <si>
    <t>1099 has ($1354)</t>
  </si>
  <si>
    <t>1099 has ($2334)</t>
  </si>
  <si>
    <t>1099 has ($277)</t>
  </si>
  <si>
    <t>1099 has (789)</t>
  </si>
  <si>
    <t>1099 has (497)</t>
  </si>
  <si>
    <t>1099 has $275</t>
  </si>
  <si>
    <t>1099 has $205</t>
  </si>
  <si>
    <t>1099 has 877</t>
  </si>
  <si>
    <t>1099 has 355</t>
  </si>
  <si>
    <t>1099 has 292</t>
  </si>
  <si>
    <t>1099 has 450</t>
  </si>
  <si>
    <t>NOT to be reported to IRS</t>
  </si>
  <si>
    <t>Recheck</t>
  </si>
  <si>
    <t>ERX120421C00049000</t>
  </si>
  <si>
    <t>GASX120421C00019000</t>
  </si>
  <si>
    <t>1099 has (227)</t>
  </si>
  <si>
    <t>1099 has (523)</t>
  </si>
  <si>
    <t>1099 has 2353</t>
  </si>
  <si>
    <t>Final</t>
  </si>
  <si>
    <t>Not reported</t>
  </si>
  <si>
    <t>ok</t>
  </si>
  <si>
    <t>Self</t>
  </si>
  <si>
    <t>Self $109</t>
  </si>
  <si>
    <t>Self $104</t>
  </si>
  <si>
    <t>1099 $203</t>
  </si>
  <si>
    <t>1099 $293</t>
  </si>
  <si>
    <t>1099 $2356</t>
  </si>
  <si>
    <t>go with 1099</t>
  </si>
  <si>
    <t>as is</t>
  </si>
  <si>
    <t>Self as is</t>
  </si>
  <si>
    <t>self</t>
  </si>
  <si>
    <t>se</t>
  </si>
  <si>
    <t>1099 has $555</t>
  </si>
  <si>
    <t>Npt reported</t>
  </si>
  <si>
    <t>go 1099</t>
  </si>
  <si>
    <t>$603 as 1099</t>
  </si>
  <si>
    <t>$285 as 1099</t>
  </si>
  <si>
    <t>$334 as 1099</t>
  </si>
  <si>
    <t>$-1301 as 1099</t>
  </si>
  <si>
    <t>go witj 1099</t>
  </si>
  <si>
    <t>with 1099</t>
  </si>
  <si>
    <t>AGQ120519C00050000</t>
  </si>
  <si>
    <t>MED120922P00021000</t>
  </si>
  <si>
    <t>ERX120519C00044000</t>
  </si>
  <si>
    <t>MF-BPRAX</t>
  </si>
  <si>
    <t>SIFY121020C00002500</t>
  </si>
  <si>
    <t>ARUN120519C00018000</t>
  </si>
  <si>
    <t>WLT120616C00067500</t>
  </si>
  <si>
    <t>UGL120519C00081000</t>
  </si>
  <si>
    <t>LCC120922P00013000</t>
  </si>
  <si>
    <t>NVAX120721C00001000</t>
  </si>
  <si>
    <t>MCD120519C00095000</t>
  </si>
  <si>
    <t>UNG</t>
  </si>
  <si>
    <t>UNG121020C00018000</t>
  </si>
  <si>
    <t>104 Share AI</t>
  </si>
  <si>
    <t>100 Share APA</t>
  </si>
  <si>
    <t>100 Share BAC</t>
  </si>
  <si>
    <t>100 Share COP</t>
  </si>
  <si>
    <t>115 Share CYTK</t>
  </si>
  <si>
    <t>1 Share EJ</t>
  </si>
  <si>
    <t>100 Share ERX</t>
  </si>
  <si>
    <t>100 Share GASX</t>
  </si>
  <si>
    <t>50 Share IBN</t>
  </si>
  <si>
    <t>8 Share IVR</t>
  </si>
  <si>
    <t>100 Share IWF</t>
  </si>
  <si>
    <t>102 Share LGEM</t>
  </si>
  <si>
    <t>100 Share MED</t>
  </si>
  <si>
    <t>760 Share MF-AOGIX</t>
  </si>
  <si>
    <t>63 Share MF-UMPIX</t>
  </si>
  <si>
    <t>116 Share MF-UMPIX</t>
  </si>
  <si>
    <t>100 Share MUR</t>
  </si>
  <si>
    <t>50 Share NFLX</t>
  </si>
  <si>
    <t>100 Share PSMT</t>
  </si>
  <si>
    <t>100 Share PTRY</t>
  </si>
  <si>
    <t>1500 Share SIFY</t>
  </si>
  <si>
    <t>200 Share SLV</t>
  </si>
  <si>
    <t>300 Share SLV</t>
  </si>
  <si>
    <t>3 Share STLD</t>
  </si>
  <si>
    <t>97 Share STLD</t>
  </si>
  <si>
    <t>500 Share TLT</t>
  </si>
  <si>
    <t>50 Share USLV</t>
  </si>
  <si>
    <t>500 Share WFC</t>
  </si>
  <si>
    <t>200 Share WIN</t>
  </si>
  <si>
    <t>2000 Share XOM</t>
  </si>
  <si>
    <t>100 Share YHOO</t>
  </si>
  <si>
    <t>100 Share MCD</t>
  </si>
  <si>
    <t>100 Share UGL</t>
  </si>
  <si>
    <t>1 Share PSMT</t>
  </si>
  <si>
    <t>YONG120721C00002500</t>
  </si>
  <si>
    <t>TWM120616C00035000</t>
  </si>
  <si>
    <t>RIMM120616C00010000</t>
  </si>
  <si>
    <t>FB</t>
  </si>
  <si>
    <t>100 Share WIN</t>
  </si>
  <si>
    <t>ERX120616C00036000</t>
  </si>
  <si>
    <t>BAC120818C00006000</t>
  </si>
  <si>
    <t>NVDA120721C00012000</t>
  </si>
  <si>
    <t>GASL120616C00021000</t>
  </si>
  <si>
    <t>BIOL</t>
  </si>
  <si>
    <t>BIOL120721C00002500</t>
  </si>
  <si>
    <t>DBA</t>
  </si>
  <si>
    <t>UGL120721C00081000</t>
  </si>
  <si>
    <t>100 Share SPY</t>
  </si>
  <si>
    <t>MCD120721C00085000</t>
  </si>
  <si>
    <t>FB120721C00027000</t>
  </si>
  <si>
    <t>ENTR120818C00003000</t>
  </si>
  <si>
    <t>DBA120721C00025000</t>
  </si>
  <si>
    <t>ARUN120721C00012000</t>
  </si>
  <si>
    <t>AGQ120721C00040000</t>
  </si>
  <si>
    <t>CELL120721C00005000</t>
  </si>
  <si>
    <t>FRBE</t>
  </si>
  <si>
    <t>CRTP</t>
  </si>
  <si>
    <t>XLU120721P00038000</t>
  </si>
  <si>
    <t>WIN Ratio</t>
  </si>
  <si>
    <t>200 Share GASL</t>
  </si>
  <si>
    <t>1 Share STLD</t>
  </si>
  <si>
    <t>WIN120721C00009000</t>
  </si>
  <si>
    <t>RIMM120818C00009000</t>
  </si>
  <si>
    <t>YHOO121020C00014000</t>
  </si>
  <si>
    <t>XIDE120922C00002500</t>
  </si>
  <si>
    <t>VNDA120922C00004000</t>
  </si>
  <si>
    <t>500 Share BIOL</t>
  </si>
  <si>
    <t>TWM120818C00033000</t>
  </si>
  <si>
    <t>WLT120818C00040000</t>
  </si>
  <si>
    <t>96 Share WIN</t>
  </si>
  <si>
    <t>11 Share WIN</t>
  </si>
  <si>
    <t>94 Share WIN</t>
  </si>
  <si>
    <t>FB120818C00027000</t>
  </si>
  <si>
    <t>AGQ120818C00034000</t>
  </si>
  <si>
    <t>200 Share FB</t>
  </si>
  <si>
    <t>YHOO120818C00015000</t>
  </si>
  <si>
    <t>UGL120818C00076000</t>
  </si>
  <si>
    <t>1110 Share MF-TBTBX</t>
  </si>
  <si>
    <t>700 Share NVAX</t>
  </si>
  <si>
    <t>200 Share UNG</t>
  </si>
  <si>
    <t>TZA120818C00017000</t>
  </si>
  <si>
    <t>200 Share DBA</t>
  </si>
  <si>
    <t>1300 Share NVAX</t>
  </si>
  <si>
    <t>MCD120922C00087500</t>
  </si>
  <si>
    <t>200 Share TZA</t>
  </si>
  <si>
    <t>STLD120818C00012000</t>
  </si>
  <si>
    <t>ARUN121020C00014000</t>
  </si>
  <si>
    <t>USO120922P00036000</t>
  </si>
  <si>
    <t>WLT120922C00040000</t>
  </si>
  <si>
    <t>200 Share BAC</t>
  </si>
  <si>
    <t>100 Share XLU</t>
  </si>
  <si>
    <t>SRTY120818C00045000</t>
  </si>
  <si>
    <t>ERX120721C00036000</t>
  </si>
  <si>
    <t>TZA120818C00019000</t>
  </si>
  <si>
    <t>SLV120818C00025500</t>
  </si>
  <si>
    <t>YONG121020C00003000</t>
  </si>
  <si>
    <t>100 Share USO</t>
  </si>
  <si>
    <t>EBAY120922P00046000</t>
  </si>
  <si>
    <t>SPY120922P00136000</t>
  </si>
  <si>
    <t>ERX120922C00038000</t>
  </si>
  <si>
    <t>YHOO121020C00015000</t>
  </si>
  <si>
    <t>100 Share SRTY</t>
  </si>
  <si>
    <t>NVDA120922C00013000</t>
  </si>
  <si>
    <t>TZA120922C00017000</t>
  </si>
  <si>
    <t>WAG130119P00037000</t>
  </si>
  <si>
    <t>100 Share EBAY</t>
  </si>
  <si>
    <t>BAC121020C00007000</t>
  </si>
  <si>
    <t>AGQ120922C00036000</t>
  </si>
  <si>
    <t>RIMM121020C00006000</t>
  </si>
  <si>
    <t>Sector</t>
  </si>
  <si>
    <t>PS</t>
  </si>
  <si>
    <t>PBV</t>
  </si>
  <si>
    <t>RSI</t>
  </si>
  <si>
    <t>FB121020C00019000</t>
  </si>
  <si>
    <t>SLV121020C00026000</t>
  </si>
  <si>
    <t>200 Share STLD</t>
  </si>
  <si>
    <t>UGL120922C00080000</t>
  </si>
  <si>
    <t>WIN121020C00009000</t>
  </si>
  <si>
    <t>EDZ121020C00012000</t>
  </si>
  <si>
    <t>MCD121020C00090000</t>
  </si>
  <si>
    <t>NVDA121020C00013000</t>
  </si>
  <si>
    <t>SIFY130119C00002500</t>
  </si>
  <si>
    <t>XIDE121222C00002500</t>
  </si>
  <si>
    <t>FB121117C00019000</t>
  </si>
  <si>
    <t>200 Share EDZ</t>
  </si>
  <si>
    <t>WLT121020C00035000</t>
  </si>
  <si>
    <t>RIMM121020C00007000</t>
  </si>
  <si>
    <t>VNDA121222C00004000</t>
  </si>
  <si>
    <t>200 Share LCC</t>
  </si>
  <si>
    <t>SCO121020C00038000</t>
  </si>
  <si>
    <t>ERX121117C00047000</t>
  </si>
  <si>
    <t>100 Share SCO</t>
  </si>
  <si>
    <t>UGL121020C00098000</t>
  </si>
  <si>
    <t>WLT121117C00032500</t>
  </si>
  <si>
    <t>ZSL121117C00043000</t>
  </si>
  <si>
    <t>ARUN121117C00018000</t>
  </si>
  <si>
    <t>UGL121117C00094000</t>
  </si>
  <si>
    <t>SDOW121117C00063000</t>
  </si>
  <si>
    <t>SCO121117C00037000</t>
  </si>
  <si>
    <t>100 Share SDOW</t>
  </si>
  <si>
    <t>UGL121117C00090000</t>
  </si>
  <si>
    <t>BAC121222C00009000</t>
  </si>
  <si>
    <t>ERX121117C00050000</t>
  </si>
  <si>
    <t>Grand Total</t>
  </si>
  <si>
    <t>Sum of Profit</t>
  </si>
  <si>
    <t>Sum of CostBasis</t>
  </si>
  <si>
    <t>ROR</t>
  </si>
  <si>
    <t>ARUN121117C00019000</t>
  </si>
  <si>
    <t>SLV121222C00030000</t>
  </si>
  <si>
    <t>243 Share MF-CAMAX</t>
  </si>
  <si>
    <t>GASX121117C00015000</t>
  </si>
  <si>
    <t>100 Share WAG</t>
  </si>
  <si>
    <t>75 Share SDOW</t>
  </si>
  <si>
    <t>25 Share SDOW</t>
  </si>
  <si>
    <t>FB121222C00021000</t>
  </si>
  <si>
    <t>200 Share GASX</t>
  </si>
  <si>
    <t>100 Share ZSL</t>
  </si>
  <si>
    <t>AGQ121222C00048000</t>
  </si>
  <si>
    <t>500 Share YHOO</t>
  </si>
  <si>
    <t>ERX121222C00044000</t>
  </si>
  <si>
    <t>YHOO121222C00018000</t>
  </si>
  <si>
    <t>2 Share BAC</t>
  </si>
  <si>
    <t>PACT</t>
  </si>
  <si>
    <t>MNC Fund - B (G)</t>
  </si>
  <si>
    <t>Div Yield</t>
  </si>
  <si>
    <t>Adj EPS</t>
  </si>
  <si>
    <t>Close Price</t>
  </si>
  <si>
    <t>COE</t>
  </si>
  <si>
    <t>T30</t>
  </si>
  <si>
    <t>MKT Return</t>
  </si>
  <si>
    <t>GR-3 Yrs</t>
  </si>
  <si>
    <t>DCF Price</t>
  </si>
  <si>
    <t>GDP GR</t>
  </si>
  <si>
    <t>STK</t>
  </si>
  <si>
    <t>INFL</t>
  </si>
  <si>
    <t>GR Value</t>
  </si>
  <si>
    <t>UGL121222C00087000</t>
  </si>
  <si>
    <t>RIMM130119C00012000</t>
  </si>
  <si>
    <t>CE130316P00040000</t>
  </si>
  <si>
    <t>WLT121222C00032500</t>
  </si>
  <si>
    <t>ARUN130119C00019000</t>
  </si>
  <si>
    <t>MCD130119C00085000</t>
  </si>
  <si>
    <t>SO130518C00041000</t>
  </si>
  <si>
    <t>XIDE130316C00002500</t>
  </si>
  <si>
    <t>600 Share YHOO</t>
  </si>
  <si>
    <t>PACT110917C00010000</t>
  </si>
  <si>
    <t>PACT111119C00012500</t>
  </si>
  <si>
    <t>PACT120121C00010000</t>
  </si>
  <si>
    <t>PACT120519C00007500</t>
  </si>
  <si>
    <t>PACT120818C00010000</t>
  </si>
  <si>
    <t>100 Share PACT</t>
  </si>
  <si>
    <t>10 Share TVIX</t>
  </si>
  <si>
    <t>BAC130216C00010000</t>
  </si>
  <si>
    <t>900 Share CHGS</t>
  </si>
  <si>
    <t>2000 Share CRTP</t>
  </si>
  <si>
    <t>79 Share SBLK</t>
  </si>
  <si>
    <t>GOOG130622P00725000</t>
  </si>
  <si>
    <t>PEP130216C00067500</t>
  </si>
  <si>
    <t>MCD130119C00087500</t>
  </si>
  <si>
    <t>BBRY</t>
  </si>
  <si>
    <t>MCD130316C00092500</t>
  </si>
  <si>
    <t>BBRY130316C00013000</t>
  </si>
  <si>
    <t>XIDEQ</t>
  </si>
  <si>
    <t>NVDA131019C00014000</t>
  </si>
  <si>
    <t>MKT Value</t>
  </si>
  <si>
    <t>Weight</t>
  </si>
  <si>
    <t>GRPN131116C00013000</t>
  </si>
  <si>
    <t>AGQ131019C00019000</t>
  </si>
  <si>
    <t>CTL131116C00032000</t>
  </si>
  <si>
    <t>IBM131019C00185000</t>
  </si>
  <si>
    <t>Price Ratio</t>
  </si>
  <si>
    <t>25 Share BAC</t>
  </si>
  <si>
    <t>75 Share BAC</t>
  </si>
  <si>
    <t>100 Share BBRY</t>
  </si>
  <si>
    <t>50 Share BBRY</t>
  </si>
  <si>
    <t>517 Share BIOL</t>
  </si>
  <si>
    <t>100 Share CE</t>
  </si>
  <si>
    <t>100 Share PEP</t>
  </si>
  <si>
    <t>100 Share SO</t>
  </si>
  <si>
    <t>100 Share IBM</t>
  </si>
  <si>
    <t>98 Share MCD</t>
  </si>
  <si>
    <t>2 Share MCD</t>
  </si>
  <si>
    <t>200 Share GRPN</t>
  </si>
  <si>
    <t>200 Share AGQ</t>
  </si>
  <si>
    <t>AAPL140118C00540000</t>
  </si>
  <si>
    <t>204 Share NVDA</t>
  </si>
  <si>
    <t>AGQ131116C00019000</t>
  </si>
  <si>
    <t>SESGOA</t>
  </si>
  <si>
    <t>WIN131116C00008000</t>
  </si>
  <si>
    <t>GRPN131221C00009000</t>
  </si>
  <si>
    <t>IBM131129C00180000</t>
  </si>
  <si>
    <t>200 Share CTL</t>
  </si>
  <si>
    <t>WLT131116C00018000</t>
  </si>
  <si>
    <t>IBSECU</t>
  </si>
  <si>
    <t>MF-MGFIX</t>
  </si>
  <si>
    <t>GAMIND</t>
  </si>
  <si>
    <t>PUNLLO</t>
  </si>
  <si>
    <t>AKRNIR</t>
  </si>
  <si>
    <t>SUZENE</t>
  </si>
  <si>
    <t>DRREDD</t>
  </si>
  <si>
    <t>GUJNRE</t>
  </si>
  <si>
    <t>MADCEM</t>
  </si>
  <si>
    <t>POWGRI</t>
  </si>
  <si>
    <t>RELNAT</t>
  </si>
  <si>
    <t>RELCOM</t>
  </si>
  <si>
    <t>Reliance Petro</t>
  </si>
  <si>
    <t>Polaris</t>
  </si>
  <si>
    <t>Bicon</t>
  </si>
  <si>
    <t>Bank of Baroda</t>
  </si>
  <si>
    <t>RANBAXY LABS LTD</t>
  </si>
  <si>
    <t>BSELTDEQ</t>
  </si>
  <si>
    <t>RELCAPEQ</t>
  </si>
  <si>
    <t>Sundaram SMILE - Growth</t>
  </si>
  <si>
    <t>MF-Reliance</t>
  </si>
  <si>
    <t>BARLTD</t>
  </si>
  <si>
    <t>IBPOWE</t>
  </si>
  <si>
    <t>PRIINF</t>
  </si>
  <si>
    <t>RELPOW</t>
  </si>
  <si>
    <t>ROLIND</t>
  </si>
  <si>
    <t>ICIBAN</t>
  </si>
  <si>
    <t>INFTEC</t>
  </si>
  <si>
    <t>BOI-Tax Advantage</t>
  </si>
  <si>
    <t>BHASHI</t>
  </si>
  <si>
    <t>Gold Savings Fund (G)</t>
  </si>
  <si>
    <t>Multi Strategy Fund (G)</t>
  </si>
  <si>
    <t>BR Equity Fund (G)</t>
  </si>
  <si>
    <t>Premier Multi-Cap Fund (G)</t>
  </si>
  <si>
    <t>Magnum Midcap Fund (G)</t>
  </si>
  <si>
    <t>ULTCEM</t>
  </si>
  <si>
    <t>JKCEME</t>
  </si>
  <si>
    <t>JINVIJ</t>
  </si>
  <si>
    <t>SANMOV</t>
  </si>
  <si>
    <t>Gross Profit</t>
  </si>
  <si>
    <t>Reliance natural resources fund growth plan- Account num 41681209964 - Redeemed</t>
  </si>
  <si>
    <t>UTI Equity tax savings plan dividend reinvestment - Folio 510229959806 - Redeemed</t>
  </si>
  <si>
    <t>UTI Equity tax savings plan dividend reinvestment - Folio 510229959811 - Redeemed</t>
  </si>
  <si>
    <t>Equity Tax Savings Plan (D)</t>
  </si>
  <si>
    <t>TQNT131221C00007000</t>
  </si>
  <si>
    <t>T</t>
  </si>
  <si>
    <t>TWTR140621P00040000</t>
  </si>
  <si>
    <t>TWTR</t>
  </si>
  <si>
    <t>VLO</t>
  </si>
  <si>
    <t>VZ</t>
  </si>
  <si>
    <t>KLIC131221C00012000</t>
  </si>
  <si>
    <t>100 Share KLIC</t>
  </si>
  <si>
    <t>200 Share TQNT</t>
  </si>
  <si>
    <t>KLIC140419C00012000</t>
  </si>
  <si>
    <t>TQNT140517C00007000</t>
  </si>
  <si>
    <t>WLT140118C00016000</t>
  </si>
  <si>
    <t>GRPN140222C00010000</t>
  </si>
  <si>
    <t>IBM140118C00175000</t>
  </si>
  <si>
    <t>WR</t>
  </si>
  <si>
    <t>WR140322C00030000</t>
  </si>
  <si>
    <t>40 Share AAPL</t>
  </si>
  <si>
    <t>60 Share AAPL</t>
  </si>
  <si>
    <t>UGL140419C00040000</t>
  </si>
  <si>
    <t>TATATEA</t>
  </si>
  <si>
    <t>MF-OGGAX</t>
  </si>
  <si>
    <t>TTM140322C00028000</t>
  </si>
  <si>
    <t>KLIC140322C00011000</t>
  </si>
  <si>
    <t>145 Share MF-DPCCX</t>
  </si>
  <si>
    <t>9 Share NFLX</t>
  </si>
  <si>
    <t>TQNT140322C00008000</t>
  </si>
  <si>
    <t>Row Labels</t>
  </si>
  <si>
    <t>AAPL7140214C00510000</t>
  </si>
  <si>
    <t>100 Share WR</t>
  </si>
  <si>
    <t>IVR140419C00016000</t>
  </si>
  <si>
    <t>100 Share TTM</t>
  </si>
  <si>
    <t>50 Share UGL</t>
  </si>
  <si>
    <t>20 Share AAPL</t>
  </si>
  <si>
    <t>CTL140621C00034000</t>
  </si>
  <si>
    <t>Maximiser Fund</t>
  </si>
  <si>
    <t>ESV</t>
  </si>
  <si>
    <t>200 Share TWTR</t>
  </si>
  <si>
    <t>AAPL150117C00092860</t>
  </si>
  <si>
    <t>25 Share TWM</t>
  </si>
  <si>
    <t>101 Share WMT</t>
  </si>
  <si>
    <t>MF-PLSAX</t>
  </si>
  <si>
    <t>Relative</t>
  </si>
  <si>
    <t>P/E</t>
  </si>
  <si>
    <t>Benchmarks</t>
  </si>
  <si>
    <t>MSFT150515C00040000</t>
  </si>
  <si>
    <t>Protector Fund</t>
  </si>
  <si>
    <t>TWTR150501C00050000</t>
  </si>
  <si>
    <t>Long Term Equity Fund (D)</t>
  </si>
  <si>
    <t>ge</t>
  </si>
  <si>
    <t>500 Share MSFT</t>
  </si>
  <si>
    <t>50 Share SFK</t>
  </si>
  <si>
    <t>Win %</t>
  </si>
  <si>
    <t>BABA150717C00080000</t>
  </si>
  <si>
    <t>TxID</t>
  </si>
  <si>
    <t>Type</t>
  </si>
  <si>
    <t>BlockedValue</t>
  </si>
  <si>
    <t>HighDate</t>
  </si>
  <si>
    <t>LowDate</t>
  </si>
  <si>
    <t>Asset</t>
  </si>
  <si>
    <t>AssetType</t>
  </si>
  <si>
    <t>Win%</t>
  </si>
  <si>
    <t>100 Share TWTR</t>
  </si>
  <si>
    <t>Growth Fund - (G)</t>
  </si>
  <si>
    <t>PFE150717C00035000</t>
  </si>
  <si>
    <t>BGCP</t>
  </si>
  <si>
    <t>40 Share EDZ</t>
  </si>
  <si>
    <t>1000 Share XIDEQ</t>
  </si>
  <si>
    <t xml:space="preserve">25 Share SMDD </t>
  </si>
  <si>
    <t>25 Share TZA</t>
  </si>
  <si>
    <t>VLO150731C00063000</t>
  </si>
  <si>
    <t>BABA</t>
  </si>
  <si>
    <t>Equity Opportunities Fund Direct - (G)</t>
  </si>
  <si>
    <t>PFE</t>
  </si>
  <si>
    <t>100 Share BABA</t>
  </si>
  <si>
    <t>10 Share GOOG</t>
  </si>
  <si>
    <t>600 Share PFE</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</si>
</sst>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409]d\-mmm\-yy;@"/>
    <numFmt numFmtId="165" formatCode="_(&quot;$&quot;* #,##0_);_(&quot;$&quot;* \(#,##0\);_(&quot;$&quot;* &quot;-&quot;??_);_(@_)"/>
    <numFmt numFmtId="166" formatCode="m/d/yy;@"/>
    <numFmt numFmtId="167" formatCode="0_);[Red]\(0\)"/>
    <numFmt numFmtId="168" formatCode="&quot;$&quot;#,##0.00"/>
    <numFmt numFmtId="169" formatCode="&quot;$&quot;#,##0"/>
    <numFmt numFmtId="170" formatCode="dd\-mmm\-yy"/>
    <numFmt numFmtId="171" formatCode="&quot;$&quot;#,##0.00;\(&quot;$&quot;#,##0.00\)"/>
    <numFmt numFmtId="172" formatCode="0.0%"/>
    <numFmt numFmtId="173" formatCode="_([$$-409]* #,##0_);_([$$-409]* \(#,##0\);_([$$-409]* &quot;-&quot;??_);_(@_)"/>
    <numFmt numFmtId="174" formatCode="0.00_);\(0.00\)"/>
    <numFmt numFmtId="175" formatCode="0.00_);[Red]\(0.00\)"/>
    <numFmt numFmtId="176" formatCode="0.0"/>
    <numFmt numFmtId="177" formatCode="[$₹-4009]\ #,##0;[Red][$₹-4009]\ \-#,##0"/>
    <numFmt numFmtId="178" formatCode="[$₹-4009]\ #,##0"/>
    <numFmt numFmtId="179" formatCode="_ [$₹-4009]\ * #,##0_ ;_ [$₹-4009]\ * \-#,##0_ ;_ [$₹-4009]\ * &quot;-&quot;_ ;_ @_ "/>
  </numFmts>
  <fonts count="108">
    <font>
      <sz val="10"/>
      <name val="Arial"/>
    </font>
    <font>
      <sz val="10"/>
      <name val="Arial"/>
      <family val="2"/>
    </font>
    <font>
      <sz val="8"/>
      <name val="Arial"/>
      <family val="2"/>
    </font>
    <font>
      <b/>
      <sz val="10"/>
      <name val="Arial"/>
      <family val="2"/>
    </font>
    <font>
      <sz val="10"/>
      <color indexed="10"/>
      <name val="Arial"/>
      <family val="2"/>
    </font>
    <font>
      <b/>
      <sz val="10"/>
      <color indexed="10"/>
      <name val="Arial"/>
      <family val="2"/>
    </font>
    <font>
      <sz val="10"/>
      <color indexed="12"/>
      <name val="Arial"/>
      <family val="2"/>
    </font>
    <font>
      <b/>
      <sz val="9"/>
      <color indexed="9"/>
      <name val="Arial"/>
      <family val="2"/>
    </font>
    <font>
      <sz val="9"/>
      <name val="Arial"/>
      <family val="2"/>
    </font>
    <font>
      <sz val="8"/>
      <color indexed="8"/>
      <name val="Arial"/>
      <family val="2"/>
    </font>
    <font>
      <b/>
      <sz val="10"/>
      <color indexed="12"/>
      <name val="Arial"/>
      <family val="2"/>
    </font>
    <font>
      <b/>
      <sz val="9"/>
      <name val="Arial"/>
      <family val="2"/>
    </font>
    <font>
      <b/>
      <sz val="10"/>
      <color indexed="18"/>
      <name val="Arial"/>
      <family val="2"/>
    </font>
    <font>
      <sz val="10"/>
      <color indexed="10"/>
      <name val="Arial"/>
      <family val="2"/>
    </font>
    <font>
      <sz val="10"/>
      <color indexed="62"/>
      <name val="Arial"/>
      <family val="2"/>
    </font>
    <font>
      <b/>
      <sz val="10"/>
      <color indexed="62"/>
      <name val="Arial"/>
      <family val="2"/>
    </font>
    <font>
      <sz val="10"/>
      <name val="Arial"/>
      <family val="2"/>
    </font>
    <font>
      <b/>
      <u/>
      <sz val="16"/>
      <color indexed="12"/>
      <name val="Arial"/>
      <family val="2"/>
    </font>
    <font>
      <i/>
      <sz val="10"/>
      <color indexed="10"/>
      <name val="Arial"/>
      <family val="2"/>
    </font>
    <font>
      <b/>
      <i/>
      <sz val="10"/>
      <color indexed="10"/>
      <name val="Arial"/>
      <family val="2"/>
    </font>
    <font>
      <b/>
      <u/>
      <sz val="10"/>
      <name val="Arial"/>
      <family val="2"/>
    </font>
    <font>
      <sz val="10"/>
      <color indexed="8"/>
      <name val="Arial"/>
      <family val="2"/>
    </font>
    <font>
      <sz val="10"/>
      <color indexed="17"/>
      <name val="Arial"/>
      <family val="2"/>
    </font>
    <font>
      <b/>
      <i/>
      <sz val="12"/>
      <name val="Arial"/>
      <family val="2"/>
    </font>
    <font>
      <sz val="8"/>
      <color indexed="17"/>
      <name val="Arial"/>
      <family val="2"/>
    </font>
    <font>
      <b/>
      <u/>
      <sz val="10"/>
      <color indexed="10"/>
      <name val="Arial"/>
      <family val="2"/>
    </font>
    <font>
      <sz val="10"/>
      <color indexed="9"/>
      <name val="Arial"/>
      <family val="2"/>
    </font>
    <font>
      <b/>
      <u/>
      <sz val="10"/>
      <color indexed="12"/>
      <name val="Arial"/>
      <family val="2"/>
    </font>
    <font>
      <b/>
      <sz val="10"/>
      <color indexed="62"/>
      <name val="Arial"/>
      <family val="2"/>
    </font>
    <font>
      <sz val="10"/>
      <color indexed="12"/>
      <name val="Arial"/>
      <family val="2"/>
    </font>
    <font>
      <b/>
      <i/>
      <sz val="10"/>
      <name val="Arial"/>
      <family val="2"/>
    </font>
    <font>
      <b/>
      <sz val="12"/>
      <name val="Arial"/>
      <family val="2"/>
    </font>
    <font>
      <sz val="11"/>
      <color indexed="63"/>
      <name val="Arial"/>
      <family val="2"/>
    </font>
    <font>
      <sz val="10"/>
      <color theme="1"/>
      <name val="Arial"/>
      <family val="2"/>
    </font>
    <font>
      <b/>
      <sz val="10"/>
      <color theme="8" tint="-0.249977111117893"/>
      <name val="Arial"/>
      <family val="2"/>
    </font>
    <font>
      <b/>
      <i/>
      <sz val="10"/>
      <color rgb="FFFF0000"/>
      <name val="Arial"/>
      <family val="2"/>
    </font>
    <font>
      <i/>
      <sz val="10"/>
      <name val="Arial"/>
      <family val="2"/>
    </font>
    <font>
      <sz val="10"/>
      <color theme="1"/>
      <name val="Arial"/>
      <family val="2"/>
    </font>
    <font>
      <sz val="8"/>
      <color rgb="FF000000"/>
      <name val="Verdana"/>
      <family val="2"/>
    </font>
    <font>
      <sz val="10"/>
      <color indexed="60"/>
      <name val="Arial"/>
      <family val="2"/>
    </font>
    <font>
      <sz val="10"/>
      <color rgb="FF454545"/>
      <name val="Verdana"/>
      <family val="2"/>
    </font>
    <font>
      <u/>
      <sz val="10"/>
      <color theme="10"/>
      <name val="Arial"/>
      <family val="2"/>
    </font>
    <font>
      <b/>
      <sz val="10"/>
      <color rgb="FFFF0000"/>
      <name val="Arial"/>
      <family val="2"/>
    </font>
    <font>
      <b/>
      <sz val="10"/>
      <name val="Arial"/>
      <family val="2"/>
    </font>
    <font>
      <sz val="10"/>
      <color rgb="FF2E07BD"/>
      <name val="Arial"/>
      <family val="2"/>
    </font>
    <font>
      <b/>
      <sz val="10"/>
      <name val="Arial"/>
      <family val="2"/>
    </font>
    <font>
      <b/>
      <sz val="10"/>
      <name val="Arial"/>
      <family val="2"/>
    </font>
    <font>
      <b/>
      <sz val="10"/>
      <name val="Arial"/>
      <family val="2"/>
    </font>
    <font>
      <b/>
      <sz val="10"/>
      <color theme="8" tint="-0.249977111117893"/>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sz val="8"/>
      <color rgb="FF000000"/>
      <name val="Arial"/>
      <family val="2"/>
    </font>
    <font>
      <sz val="9"/>
      <color indexed="81"/>
      <name val="Tahoma"/>
      <family val="2"/>
    </font>
    <font>
      <b/>
      <sz val="9"/>
      <color indexed="81"/>
      <name val="Tahoma"/>
      <family val="2"/>
    </font>
    <font>
      <b/>
      <i/>
      <u/>
      <sz val="10"/>
      <name val="Arial"/>
      <family val="2"/>
    </font>
    <font>
      <b/>
      <sz val="10"/>
      <name val="Arial"/>
      <family val="2"/>
    </font>
    <font>
      <b/>
      <sz val="10"/>
      <name val="Arial"/>
      <family val="2"/>
    </font>
    <font>
      <sz val="11"/>
      <color indexed="8"/>
      <name val="Calibri"/>
      <family val="2"/>
    </font>
    <font>
      <sz val="10"/>
      <color indexed="8"/>
      <name val="Arial"/>
      <family val="2"/>
    </font>
    <font>
      <b/>
      <sz val="11"/>
      <color indexed="8"/>
      <name val="Calibri"/>
      <family val="2"/>
    </font>
    <font>
      <b/>
      <sz val="10"/>
      <color theme="3"/>
      <name val="Arial"/>
      <family val="2"/>
    </font>
    <font>
      <sz val="10"/>
      <color theme="3"/>
      <name val="Arial"/>
      <family val="2"/>
    </font>
    <font>
      <sz val="8"/>
      <color theme="3"/>
      <name val="Arial"/>
      <family val="2"/>
    </font>
    <font>
      <b/>
      <sz val="8"/>
      <color rgb="FF000000"/>
      <name val="Arial"/>
      <family val="2"/>
    </font>
    <font>
      <sz val="10"/>
      <color theme="3"/>
      <name val="Arial"/>
      <family val="2"/>
    </font>
    <font>
      <b/>
      <sz val="9"/>
      <color rgb="FFFFFFFF"/>
      <name val="Arial"/>
      <family val="2"/>
    </font>
    <font>
      <b/>
      <sz val="8"/>
      <color rgb="FF000000"/>
      <name val="Verdana"/>
      <family val="2"/>
    </font>
    <font>
      <sz val="10"/>
      <color rgb="FF2E07BD"/>
      <name val="Arial"/>
      <family val="2"/>
    </font>
    <font>
      <sz val="10"/>
      <color rgb="FF2E07BD"/>
      <name val="Arial"/>
      <family val="2"/>
    </font>
    <font>
      <sz val="10"/>
      <color theme="3"/>
      <name val="Arial"/>
      <family val="2"/>
    </font>
    <font>
      <sz val="10"/>
      <color theme="3"/>
      <name val="Arial"/>
      <family val="2"/>
    </font>
    <font>
      <sz val="10"/>
      <color theme="3"/>
      <name val="Arial"/>
      <family val="2"/>
    </font>
    <font>
      <sz val="10"/>
      <color theme="3"/>
      <name val="Arial"/>
      <family val="2"/>
    </font>
    <font>
      <sz val="10"/>
      <color theme="3"/>
      <name val="Arial"/>
      <family val="2"/>
    </font>
    <font>
      <sz val="10"/>
      <color theme="3"/>
      <name val="Arial"/>
      <family val="2"/>
    </font>
    <font>
      <sz val="10"/>
      <color theme="3"/>
      <name val="Arial"/>
      <family val="2"/>
    </font>
    <font>
      <sz val="10"/>
      <color theme="3"/>
      <name val="Arial"/>
      <family val="2"/>
    </font>
    <font>
      <sz val="10"/>
      <color theme="3"/>
      <name val="Arial"/>
      <family val="2"/>
    </font>
    <font>
      <sz val="10"/>
      <color rgb="FF2E07BD"/>
      <name val="Arial"/>
      <family val="2"/>
    </font>
    <font>
      <b/>
      <sz val="11"/>
      <name val="Arial"/>
      <family val="2"/>
    </font>
    <font>
      <sz val="11"/>
      <name val="Arial"/>
      <family val="2"/>
    </font>
    <font>
      <b/>
      <sz val="11"/>
      <color theme="8" tint="-0.249977111117893"/>
      <name val="Arial"/>
      <family val="2"/>
    </font>
    <font>
      <sz val="11"/>
      <color indexed="62"/>
      <name val="Arial"/>
      <family val="2"/>
    </font>
    <font>
      <b/>
      <sz val="11"/>
      <color rgb="FF7030A0"/>
      <name val="Arial"/>
      <family val="2"/>
    </font>
    <font>
      <b/>
      <sz val="11"/>
      <color rgb="FF00B0F0"/>
      <name val="Arial"/>
      <family val="2"/>
    </font>
    <font>
      <sz val="10"/>
      <color theme="3"/>
      <name val="Arial"/>
      <family val="2"/>
    </font>
    <font>
      <sz val="10"/>
      <color rgb="FF2E07BD"/>
      <name val="Arial"/>
      <family val="2"/>
    </font>
    <font>
      <sz val="10"/>
      <color rgb="FF2E07BD"/>
      <name val="Arial"/>
      <family val="2"/>
    </font>
    <font>
      <sz val="10"/>
      <color theme="3"/>
      <name val="Arial"/>
      <family val="2"/>
    </font>
    <font>
      <sz val="10"/>
      <color theme="3"/>
      <name val="Arial"/>
      <family val="2"/>
    </font>
    <font>
      <sz val="16"/>
      <color rgb="FF2E2D29"/>
      <name val="MathJax_Main"/>
    </font>
    <font>
      <sz val="10"/>
      <color theme="3"/>
      <name val="Arial"/>
      <family val="2"/>
    </font>
    <font>
      <sz val="10"/>
      <color theme="3"/>
      <name val="Arial"/>
      <family val="2"/>
    </font>
    <font>
      <sz val="11"/>
      <color rgb="FF9C6500"/>
      <name val="Calibri"/>
      <family val="2"/>
      <scheme val="minor"/>
    </font>
    <font>
      <b/>
      <sz val="11"/>
      <color rgb="FF9C6500"/>
      <name val="Calibri"/>
      <family val="2"/>
      <scheme val="minor"/>
    </font>
    <font>
      <sz val="10"/>
      <color rgb="FF2E07BD"/>
      <name val="Arial"/>
      <family val="2"/>
    </font>
    <font>
      <sz val="10"/>
      <color theme="3"/>
      <name val="Arial"/>
    </font>
    <font>
      <b/>
      <sz val="10"/>
      <name val="Arial"/>
    </font>
    <font>
      <sz val="10"/>
      <color rgb="FF2E07BD"/>
      <name val="Arial"/>
    </font>
    <font>
      <b/>
      <sz val="10"/>
      <color rgb="FF2E07BD"/>
      <name val="Arial"/>
      <family val="2"/>
    </font>
    <font>
      <b/>
      <sz val="10"/>
      <color theme="1"/>
      <name val="Arial"/>
    </font>
    <font>
      <b/>
      <sz val="10"/>
      <color rgb="FF2E07BD"/>
      <name val="Arial"/>
    </font>
  </fonts>
  <fills count="23">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43"/>
        <bgColor indexed="64"/>
      </patternFill>
    </fill>
    <fill>
      <patternFill patternType="solid">
        <fgColor indexed="47"/>
        <bgColor indexed="64"/>
      </patternFill>
    </fill>
    <fill>
      <patternFill patternType="solid">
        <fgColor indexed="22"/>
        <bgColor indexed="0"/>
      </patternFill>
    </fill>
    <fill>
      <patternFill patternType="solid">
        <fgColor indexed="42"/>
        <bgColor indexed="64"/>
      </patternFill>
    </fill>
    <fill>
      <patternFill patternType="solid">
        <fgColor indexed="49"/>
        <bgColor indexed="64"/>
      </patternFill>
    </fill>
    <fill>
      <patternFill patternType="solid">
        <fgColor rgb="FFFFFF00"/>
        <bgColor indexed="64"/>
      </patternFill>
    </fill>
    <fill>
      <patternFill patternType="solid">
        <fgColor rgb="FFFFFFFF"/>
        <bgColor indexed="64"/>
      </patternFill>
    </fill>
    <fill>
      <patternFill patternType="solid">
        <fgColor theme="1" tint="0.49998474074526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E4E2E2"/>
        <bgColor indexed="64"/>
      </patternFill>
    </fill>
    <fill>
      <patternFill patternType="solid">
        <fgColor theme="0"/>
        <bgColor indexed="64"/>
      </patternFill>
    </fill>
    <fill>
      <patternFill patternType="solid">
        <fgColor theme="2"/>
        <bgColor indexed="64"/>
      </patternFill>
    </fill>
    <fill>
      <patternFill patternType="solid">
        <fgColor theme="6" tint="0.79998168889431442"/>
        <bgColor theme="6" tint="0.79998168889431442"/>
      </patternFill>
    </fill>
    <fill>
      <patternFill patternType="solid">
        <fgColor rgb="FFFFEB9C"/>
      </patternFill>
    </fill>
    <fill>
      <patternFill patternType="solid">
        <fgColor theme="4" tint="0.79998168889431442"/>
        <bgColor theme="4" tint="0.79998168889431442"/>
      </patternFill>
    </fill>
  </fills>
  <borders count="5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medium">
        <color indexed="64"/>
      </top>
      <bottom style="medium">
        <color indexed="64"/>
      </bottom>
      <diagonal/>
    </border>
    <border>
      <left style="thin">
        <color indexed="8"/>
      </left>
      <right style="thin">
        <color indexed="8"/>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6" tint="0.39997558519241921"/>
      </top>
      <bottom style="thin">
        <color theme="6" tint="0.39997558519241921"/>
      </bottom>
      <diagonal/>
    </border>
    <border>
      <left style="thin">
        <color rgb="FF000000"/>
      </left>
      <right style="thin">
        <color rgb="FF000000"/>
      </right>
      <top style="thin">
        <color rgb="FF000000"/>
      </top>
      <bottom style="thin">
        <color rgb="FF000000"/>
      </bottom>
      <diagonal/>
    </border>
    <border>
      <left/>
      <right/>
      <top/>
      <bottom style="thin">
        <color theme="4" tint="0.39997558519241921"/>
      </bottom>
      <diagonal/>
    </border>
  </borders>
  <cellStyleXfs count="7">
    <xf numFmtId="0" fontId="0" fillId="0" borderId="0"/>
    <xf numFmtId="44" fontId="1" fillId="0" borderId="0" applyFont="0" applyFill="0" applyBorder="0" applyAlignment="0" applyProtection="0"/>
    <xf numFmtId="0" fontId="21" fillId="0" borderId="0"/>
    <xf numFmtId="9" fontId="1" fillId="0" borderId="0" applyFont="0" applyFill="0" applyBorder="0" applyAlignment="0" applyProtection="0"/>
    <xf numFmtId="0" fontId="41" fillId="0" borderId="0" applyNumberFormat="0" applyFill="0" applyBorder="0" applyAlignment="0" applyProtection="0">
      <alignment vertical="top"/>
      <protection locked="0"/>
    </xf>
    <xf numFmtId="0" fontId="64" fillId="0" borderId="0"/>
    <xf numFmtId="0" fontId="99" fillId="21" borderId="0" applyNumberFormat="0" applyBorder="0" applyAlignment="0" applyProtection="0"/>
  </cellStyleXfs>
  <cellXfs count="614">
    <xf numFmtId="0" fontId="0" fillId="0" borderId="0" xfId="0"/>
    <xf numFmtId="0" fontId="0" fillId="0" borderId="2" xfId="0" applyBorder="1"/>
    <xf numFmtId="0" fontId="3" fillId="2" borderId="2" xfId="0" applyFont="1" applyFill="1" applyBorder="1" applyAlignment="1">
      <alignment horizontal="center"/>
    </xf>
    <xf numFmtId="0" fontId="3" fillId="2" borderId="2" xfId="0" applyFont="1" applyFill="1" applyBorder="1" applyAlignment="1">
      <alignment horizontal="center" wrapText="1"/>
    </xf>
    <xf numFmtId="0" fontId="4" fillId="0" borderId="0" xfId="0" applyFont="1"/>
    <xf numFmtId="0" fontId="5" fillId="0" borderId="0" xfId="0" applyFont="1"/>
    <xf numFmtId="10" fontId="3" fillId="0" borderId="0" xfId="0" applyNumberFormat="1" applyFont="1"/>
    <xf numFmtId="0" fontId="6" fillId="0" borderId="0" xfId="0" applyFont="1"/>
    <xf numFmtId="0" fontId="0" fillId="0" borderId="2" xfId="0" applyBorder="1" applyAlignment="1">
      <alignment wrapText="1"/>
    </xf>
    <xf numFmtId="0" fontId="0" fillId="0" borderId="0" xfId="0" applyAlignment="1">
      <alignment horizontal="right"/>
    </xf>
    <xf numFmtId="0" fontId="3" fillId="2" borderId="2" xfId="0" applyFont="1" applyFill="1" applyBorder="1" applyAlignment="1">
      <alignment horizontal="right"/>
    </xf>
    <xf numFmtId="0" fontId="0" fillId="0" borderId="2" xfId="0" applyBorder="1" applyAlignment="1">
      <alignment horizontal="right"/>
    </xf>
    <xf numFmtId="0" fontId="0" fillId="0" borderId="4" xfId="0" applyBorder="1"/>
    <xf numFmtId="0" fontId="0" fillId="0" borderId="0" xfId="0" applyAlignment="1">
      <alignment horizontal="center"/>
    </xf>
    <xf numFmtId="0" fontId="0" fillId="0" borderId="2" xfId="0" applyBorder="1" applyAlignment="1">
      <alignment horizontal="center"/>
    </xf>
    <xf numFmtId="0" fontId="0" fillId="0" borderId="6" xfId="0" applyBorder="1"/>
    <xf numFmtId="38" fontId="8" fillId="4" borderId="12" xfId="0" applyNumberFormat="1" applyFont="1" applyFill="1" applyBorder="1"/>
    <xf numFmtId="10" fontId="0" fillId="5" borderId="2" xfId="0" applyNumberFormat="1" applyFill="1" applyBorder="1"/>
    <xf numFmtId="0" fontId="10" fillId="5" borderId="2" xfId="0" applyFont="1" applyFill="1" applyBorder="1" applyAlignment="1">
      <alignment horizontal="center" wrapText="1"/>
    </xf>
    <xf numFmtId="0" fontId="3" fillId="5" borderId="2" xfId="0" applyFont="1" applyFill="1" applyBorder="1" applyAlignment="1">
      <alignment horizontal="center" wrapText="1"/>
    </xf>
    <xf numFmtId="2" fontId="0" fillId="5" borderId="2" xfId="0" applyNumberFormat="1" applyFill="1" applyBorder="1"/>
    <xf numFmtId="0" fontId="0" fillId="0" borderId="0" xfId="0" applyBorder="1"/>
    <xf numFmtId="9" fontId="3" fillId="4" borderId="2" xfId="0" applyNumberFormat="1" applyFont="1" applyFill="1" applyBorder="1"/>
    <xf numFmtId="0" fontId="5" fillId="0" borderId="0" xfId="0" applyFont="1" applyAlignment="1">
      <alignment wrapText="1"/>
    </xf>
    <xf numFmtId="0" fontId="4" fillId="0" borderId="0" xfId="0" applyFont="1" applyAlignment="1">
      <alignment wrapText="1"/>
    </xf>
    <xf numFmtId="9" fontId="3" fillId="0" borderId="0" xfId="0" applyNumberFormat="1" applyFont="1" applyAlignment="1">
      <alignment wrapText="1"/>
    </xf>
    <xf numFmtId="0" fontId="0" fillId="0" borderId="0" xfId="0" applyAlignment="1">
      <alignment wrapText="1"/>
    </xf>
    <xf numFmtId="0" fontId="14" fillId="0" borderId="0" xfId="0" applyFont="1"/>
    <xf numFmtId="0" fontId="15" fillId="0" borderId="0" xfId="0" applyFont="1"/>
    <xf numFmtId="0" fontId="15" fillId="2" borderId="2" xfId="0" applyFont="1" applyFill="1" applyBorder="1" applyAlignment="1">
      <alignment horizontal="center" wrapText="1"/>
    </xf>
    <xf numFmtId="1" fontId="14" fillId="0" borderId="2" xfId="0" applyNumberFormat="1" applyFont="1" applyBorder="1"/>
    <xf numFmtId="0" fontId="1" fillId="0" borderId="2" xfId="0" applyFont="1" applyBorder="1" applyAlignment="1">
      <alignment horizontal="right"/>
    </xf>
    <xf numFmtId="0" fontId="16" fillId="0" borderId="2" xfId="0" applyFont="1" applyBorder="1"/>
    <xf numFmtId="9" fontId="16" fillId="4" borderId="2" xfId="0" applyNumberFormat="1" applyFont="1" applyFill="1" applyBorder="1"/>
    <xf numFmtId="0" fontId="0" fillId="0" borderId="10" xfId="0" applyBorder="1"/>
    <xf numFmtId="0" fontId="0" fillId="0" borderId="10" xfId="0" applyBorder="1" applyAlignment="1">
      <alignment wrapText="1"/>
    </xf>
    <xf numFmtId="0" fontId="16" fillId="0" borderId="10" xfId="0" applyFont="1" applyBorder="1"/>
    <xf numFmtId="0" fontId="1" fillId="0" borderId="10" xfId="0" applyFont="1" applyBorder="1" applyAlignment="1">
      <alignment horizontal="right"/>
    </xf>
    <xf numFmtId="1" fontId="14" fillId="0" borderId="10" xfId="0" applyNumberFormat="1" applyFont="1" applyBorder="1"/>
    <xf numFmtId="9" fontId="3" fillId="4" borderId="10" xfId="0" applyNumberFormat="1" applyFont="1" applyFill="1" applyBorder="1"/>
    <xf numFmtId="0" fontId="3" fillId="2" borderId="12" xfId="0" applyFont="1" applyFill="1" applyBorder="1" applyAlignment="1">
      <alignment horizontal="center" wrapText="1"/>
    </xf>
    <xf numFmtId="0" fontId="3" fillId="0" borderId="12" xfId="0" applyFont="1" applyBorder="1" applyAlignment="1">
      <alignment horizontal="center"/>
    </xf>
    <xf numFmtId="0" fontId="0" fillId="0" borderId="12" xfId="0" applyBorder="1" applyAlignment="1">
      <alignment horizontal="center"/>
    </xf>
    <xf numFmtId="0" fontId="13" fillId="0" borderId="12" xfId="0" applyFont="1" applyBorder="1" applyAlignment="1">
      <alignment horizontal="center"/>
    </xf>
    <xf numFmtId="0" fontId="8" fillId="0" borderId="12" xfId="0" applyFont="1" applyBorder="1" applyAlignment="1">
      <alignment horizontal="center"/>
    </xf>
    <xf numFmtId="0" fontId="11" fillId="0" borderId="12" xfId="0" applyFont="1" applyBorder="1" applyAlignment="1">
      <alignment horizontal="center"/>
    </xf>
    <xf numFmtId="10" fontId="4" fillId="0" borderId="2" xfId="0" applyNumberFormat="1" applyFont="1" applyBorder="1"/>
    <xf numFmtId="10" fontId="0" fillId="0" borderId="2" xfId="0" applyNumberFormat="1" applyBorder="1"/>
    <xf numFmtId="10" fontId="0" fillId="5" borderId="10" xfId="0" applyNumberFormat="1" applyFill="1" applyBorder="1"/>
    <xf numFmtId="2" fontId="0" fillId="5" borderId="10" xfId="0" applyNumberFormat="1" applyFill="1" applyBorder="1"/>
    <xf numFmtId="0" fontId="8" fillId="0" borderId="11" xfId="0" applyFont="1" applyBorder="1" applyAlignment="1">
      <alignment horizontal="center"/>
    </xf>
    <xf numFmtId="10" fontId="0" fillId="0" borderId="10" xfId="0" applyNumberFormat="1" applyBorder="1"/>
    <xf numFmtId="0" fontId="0" fillId="0" borderId="7" xfId="0" applyBorder="1"/>
    <xf numFmtId="0" fontId="17" fillId="0" borderId="0" xfId="0" applyFont="1"/>
    <xf numFmtId="0" fontId="18" fillId="0" borderId="0" xfId="0" applyFont="1"/>
    <xf numFmtId="9" fontId="5" fillId="0" borderId="0" xfId="0" applyNumberFormat="1" applyFont="1"/>
    <xf numFmtId="0" fontId="19" fillId="0" borderId="0" xfId="0" applyFont="1"/>
    <xf numFmtId="14" fontId="0" fillId="0" borderId="0" xfId="0" applyNumberFormat="1"/>
    <xf numFmtId="0" fontId="0" fillId="0" borderId="0" xfId="0" applyFill="1" applyBorder="1"/>
    <xf numFmtId="0" fontId="0" fillId="0" borderId="14" xfId="0" applyBorder="1"/>
    <xf numFmtId="0" fontId="20" fillId="0" borderId="0" xfId="0" applyFont="1"/>
    <xf numFmtId="0" fontId="21" fillId="6" borderId="17" xfId="2" applyFont="1" applyFill="1" applyBorder="1" applyAlignment="1">
      <alignment horizontal="center"/>
    </xf>
    <xf numFmtId="0" fontId="21" fillId="0" borderId="1" xfId="2" applyFont="1" applyFill="1" applyBorder="1" applyAlignment="1">
      <alignment horizontal="right" wrapText="1"/>
    </xf>
    <xf numFmtId="0" fontId="21" fillId="0" borderId="0" xfId="2"/>
    <xf numFmtId="10" fontId="0" fillId="4" borderId="2" xfId="3" applyNumberFormat="1" applyFont="1" applyFill="1" applyBorder="1"/>
    <xf numFmtId="9" fontId="14" fillId="0" borderId="0" xfId="3" applyFont="1"/>
    <xf numFmtId="2" fontId="0" fillId="0" borderId="0" xfId="0" applyNumberFormat="1" applyAlignment="1">
      <alignment wrapText="1"/>
    </xf>
    <xf numFmtId="0" fontId="21" fillId="0" borderId="1" xfId="2" applyFont="1" applyFill="1" applyBorder="1" applyAlignment="1">
      <alignment wrapText="1"/>
    </xf>
    <xf numFmtId="1" fontId="0" fillId="0" borderId="2" xfId="0" applyNumberFormat="1" applyBorder="1" applyAlignment="1">
      <alignment horizontal="center"/>
    </xf>
    <xf numFmtId="0" fontId="12" fillId="0" borderId="14" xfId="0" applyFont="1" applyBorder="1"/>
    <xf numFmtId="0" fontId="12" fillId="0" borderId="2" xfId="0" applyFont="1" applyBorder="1" applyAlignment="1">
      <alignment horizontal="center"/>
    </xf>
    <xf numFmtId="0" fontId="12" fillId="0" borderId="2" xfId="0" applyFont="1" applyBorder="1"/>
    <xf numFmtId="0" fontId="4" fillId="0" borderId="2" xfId="0" applyFont="1" applyBorder="1"/>
    <xf numFmtId="0" fontId="4" fillId="0" borderId="2" xfId="0" applyFont="1" applyBorder="1" applyAlignment="1">
      <alignment horizontal="center"/>
    </xf>
    <xf numFmtId="0" fontId="22" fillId="0" borderId="2" xfId="0" applyFont="1" applyBorder="1"/>
    <xf numFmtId="0" fontId="22" fillId="0" borderId="2" xfId="0" applyFont="1" applyBorder="1" applyAlignment="1">
      <alignment horizontal="center"/>
    </xf>
    <xf numFmtId="9" fontId="0" fillId="0" borderId="0" xfId="3" applyFont="1"/>
    <xf numFmtId="0" fontId="16" fillId="0" borderId="0" xfId="0" applyFont="1"/>
    <xf numFmtId="9" fontId="3" fillId="4" borderId="2" xfId="0" applyNumberFormat="1" applyFont="1" applyFill="1" applyBorder="1" applyAlignment="1">
      <alignment horizontal="center"/>
    </xf>
    <xf numFmtId="0" fontId="0" fillId="0" borderId="7" xfId="0" applyBorder="1" applyAlignment="1">
      <alignment horizontal="center"/>
    </xf>
    <xf numFmtId="0" fontId="0" fillId="0" borderId="8" xfId="0" applyBorder="1"/>
    <xf numFmtId="10" fontId="3" fillId="0" borderId="0" xfId="0" applyNumberFormat="1" applyFont="1" applyAlignment="1">
      <alignment wrapText="1"/>
    </xf>
    <xf numFmtId="0" fontId="23" fillId="0" borderId="0" xfId="0" applyFont="1"/>
    <xf numFmtId="0" fontId="6" fillId="0" borderId="0" xfId="0" applyNumberFormat="1" applyFont="1"/>
    <xf numFmtId="0" fontId="14" fillId="0" borderId="0" xfId="0" applyFont="1" applyAlignment="1">
      <alignment horizontal="center"/>
    </xf>
    <xf numFmtId="0" fontId="3" fillId="0" borderId="14" xfId="0" applyFont="1" applyBorder="1"/>
    <xf numFmtId="2" fontId="3" fillId="0" borderId="2" xfId="0" applyNumberFormat="1" applyFont="1" applyBorder="1" applyAlignment="1">
      <alignment horizontal="center"/>
    </xf>
    <xf numFmtId="0" fontId="0" fillId="0" borderId="0" xfId="0" applyFill="1" applyAlignment="1">
      <alignment horizontal="center"/>
    </xf>
    <xf numFmtId="0" fontId="0" fillId="0" borderId="0" xfId="0" applyFill="1"/>
    <xf numFmtId="0" fontId="0" fillId="0" borderId="0" xfId="0" applyFill="1" applyBorder="1" applyAlignment="1">
      <alignment horizontal="center"/>
    </xf>
    <xf numFmtId="0" fontId="24" fillId="0" borderId="0" xfId="0" applyFont="1" applyFill="1" applyBorder="1" applyAlignment="1">
      <alignment horizontal="right"/>
    </xf>
    <xf numFmtId="0" fontId="9" fillId="0" borderId="0" xfId="0" applyFont="1" applyFill="1" applyBorder="1" applyAlignment="1">
      <alignment wrapText="1"/>
    </xf>
    <xf numFmtId="0" fontId="25" fillId="0" borderId="18" xfId="0" applyFont="1" applyBorder="1"/>
    <xf numFmtId="0" fontId="0" fillId="0" borderId="20" xfId="0" applyBorder="1"/>
    <xf numFmtId="0" fontId="0" fillId="0" borderId="21" xfId="0" applyBorder="1"/>
    <xf numFmtId="0" fontId="0" fillId="0" borderId="22"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3" xfId="0" applyBorder="1" applyAlignment="1">
      <alignment wrapText="1"/>
    </xf>
    <xf numFmtId="0" fontId="0" fillId="0" borderId="21" xfId="0" applyBorder="1" applyAlignment="1">
      <alignment wrapText="1"/>
    </xf>
    <xf numFmtId="0" fontId="0" fillId="0" borderId="0" xfId="0" applyAlignment="1">
      <alignment horizontal="left" indent="1"/>
    </xf>
    <xf numFmtId="0" fontId="16" fillId="0" borderId="0" xfId="0" applyFont="1" applyAlignment="1">
      <alignment horizontal="left" indent="1"/>
    </xf>
    <xf numFmtId="0" fontId="10" fillId="0" borderId="0" xfId="0" applyFont="1"/>
    <xf numFmtId="0" fontId="27" fillId="0" borderId="0" xfId="0" applyFont="1"/>
    <xf numFmtId="0" fontId="3" fillId="3" borderId="19" xfId="0" applyFont="1" applyFill="1" applyBorder="1" applyAlignment="1">
      <alignment vertical="top" wrapText="1"/>
    </xf>
    <xf numFmtId="0" fontId="3" fillId="3" borderId="0" xfId="0" applyFont="1" applyFill="1" applyBorder="1" applyAlignment="1">
      <alignment vertical="top" wrapText="1"/>
    </xf>
    <xf numFmtId="0" fontId="3" fillId="3" borderId="0" xfId="0" applyFont="1" applyFill="1" applyBorder="1" applyAlignment="1">
      <alignment horizontal="center" vertical="top" wrapText="1"/>
    </xf>
    <xf numFmtId="0" fontId="0" fillId="3" borderId="19" xfId="0" applyFill="1" applyBorder="1" applyAlignment="1">
      <alignment vertical="top" wrapText="1"/>
    </xf>
    <xf numFmtId="0" fontId="0" fillId="3" borderId="0" xfId="0" applyFill="1" applyBorder="1" applyAlignment="1">
      <alignment vertical="top" wrapText="1"/>
    </xf>
    <xf numFmtId="0" fontId="0" fillId="3" borderId="0" xfId="0" applyFill="1" applyBorder="1" applyAlignment="1">
      <alignment horizontal="center" vertical="top" wrapText="1"/>
    </xf>
    <xf numFmtId="0" fontId="16" fillId="3" borderId="19" xfId="0" applyFont="1" applyFill="1" applyBorder="1" applyAlignment="1">
      <alignment vertical="top" wrapText="1"/>
    </xf>
    <xf numFmtId="0" fontId="16" fillId="3" borderId="0" xfId="0" applyFont="1" applyFill="1" applyBorder="1" applyAlignment="1">
      <alignment vertical="top" wrapText="1"/>
    </xf>
    <xf numFmtId="0" fontId="16" fillId="3" borderId="0" xfId="0" applyFont="1" applyFill="1" applyBorder="1" applyAlignment="1">
      <alignment horizontal="center" vertical="top" wrapText="1"/>
    </xf>
    <xf numFmtId="0" fontId="16" fillId="3" borderId="23" xfId="0" applyFont="1" applyFill="1" applyBorder="1" applyAlignment="1">
      <alignment vertical="top" wrapText="1"/>
    </xf>
    <xf numFmtId="0" fontId="16" fillId="3" borderId="24" xfId="0" applyFont="1" applyFill="1" applyBorder="1" applyAlignment="1">
      <alignment vertical="top" wrapText="1"/>
    </xf>
    <xf numFmtId="0" fontId="0" fillId="0" borderId="24" xfId="0" applyBorder="1"/>
    <xf numFmtId="0" fontId="3" fillId="2" borderId="18" xfId="0" applyFont="1" applyFill="1" applyBorder="1"/>
    <xf numFmtId="10" fontId="3" fillId="2" borderId="25" xfId="0" applyNumberFormat="1" applyFont="1" applyFill="1" applyBorder="1"/>
    <xf numFmtId="0" fontId="0" fillId="2" borderId="25" xfId="0" applyFill="1" applyBorder="1"/>
    <xf numFmtId="10" fontId="3" fillId="2" borderId="22" xfId="0" applyNumberFormat="1" applyFont="1" applyFill="1" applyBorder="1"/>
    <xf numFmtId="14" fontId="0" fillId="2" borderId="19" xfId="0" applyNumberFormat="1" applyFill="1" applyBorder="1"/>
    <xf numFmtId="0" fontId="0" fillId="2" borderId="0" xfId="0" applyFill="1" applyBorder="1"/>
    <xf numFmtId="14" fontId="0" fillId="2" borderId="0" xfId="0" applyNumberFormat="1" applyFill="1" applyBorder="1"/>
    <xf numFmtId="0" fontId="0" fillId="2" borderId="20" xfId="0" applyFill="1" applyBorder="1"/>
    <xf numFmtId="14" fontId="0" fillId="2" borderId="23" xfId="0" applyNumberFormat="1" applyFill="1" applyBorder="1"/>
    <xf numFmtId="1" fontId="0" fillId="2" borderId="24" xfId="0" applyNumberFormat="1" applyFill="1" applyBorder="1"/>
    <xf numFmtId="14" fontId="0" fillId="2" borderId="24" xfId="0" applyNumberFormat="1" applyFill="1" applyBorder="1"/>
    <xf numFmtId="1" fontId="0" fillId="2" borderId="21" xfId="0" applyNumberFormat="1" applyFill="1" applyBorder="1"/>
    <xf numFmtId="0" fontId="0" fillId="0" borderId="7" xfId="0" applyBorder="1" applyAlignment="1">
      <alignment horizontal="right"/>
    </xf>
    <xf numFmtId="164" fontId="0" fillId="0" borderId="2" xfId="0" applyNumberFormat="1" applyBorder="1"/>
    <xf numFmtId="0" fontId="0" fillId="0" borderId="12" xfId="0" applyBorder="1"/>
    <xf numFmtId="0" fontId="3" fillId="7" borderId="9" xfId="0" applyFont="1" applyFill="1" applyBorder="1"/>
    <xf numFmtId="0" fontId="3" fillId="7" borderId="3" xfId="0" applyFont="1" applyFill="1" applyBorder="1"/>
    <xf numFmtId="0" fontId="3" fillId="7" borderId="3" xfId="0" applyFont="1" applyFill="1" applyBorder="1" applyAlignment="1">
      <alignment horizontal="right"/>
    </xf>
    <xf numFmtId="0" fontId="3" fillId="7" borderId="16" xfId="0" applyFont="1" applyFill="1" applyBorder="1"/>
    <xf numFmtId="0" fontId="0" fillId="0" borderId="26" xfId="0" applyBorder="1"/>
    <xf numFmtId="0" fontId="3" fillId="7" borderId="28" xfId="0" applyFont="1" applyFill="1" applyBorder="1"/>
    <xf numFmtId="0" fontId="3" fillId="7" borderId="29" xfId="0" applyFont="1" applyFill="1" applyBorder="1"/>
    <xf numFmtId="0" fontId="3" fillId="7" borderId="29" xfId="0" applyFont="1" applyFill="1" applyBorder="1" applyAlignment="1">
      <alignment horizontal="right"/>
    </xf>
    <xf numFmtId="8" fontId="28" fillId="7" borderId="29" xfId="0" applyNumberFormat="1" applyFont="1" applyFill="1" applyBorder="1" applyAlignment="1">
      <alignment horizontal="right"/>
    </xf>
    <xf numFmtId="0" fontId="0" fillId="0" borderId="30" xfId="0" applyBorder="1"/>
    <xf numFmtId="164" fontId="0" fillId="0" borderId="10" xfId="0" applyNumberFormat="1" applyBorder="1"/>
    <xf numFmtId="165" fontId="3" fillId="7" borderId="29" xfId="1" applyNumberFormat="1" applyFont="1" applyFill="1" applyBorder="1"/>
    <xf numFmtId="10" fontId="3" fillId="7" borderId="29" xfId="3" applyNumberFormat="1" applyFont="1" applyFill="1" applyBorder="1"/>
    <xf numFmtId="164" fontId="0" fillId="0" borderId="32" xfId="0" applyNumberFormat="1" applyBorder="1"/>
    <xf numFmtId="9" fontId="29" fillId="5" borderId="2" xfId="3" applyFont="1" applyFill="1" applyBorder="1" applyAlignment="1">
      <alignment horizontal="center" wrapText="1"/>
    </xf>
    <xf numFmtId="0" fontId="0" fillId="0" borderId="13" xfId="0" applyBorder="1"/>
    <xf numFmtId="164" fontId="0" fillId="0" borderId="7" xfId="0" applyNumberFormat="1" applyBorder="1"/>
    <xf numFmtId="0" fontId="21" fillId="0" borderId="35" xfId="2" applyFont="1" applyFill="1" applyBorder="1" applyAlignment="1">
      <alignment wrapText="1"/>
    </xf>
    <xf numFmtId="0" fontId="21" fillId="0" borderId="35" xfId="2" applyFont="1" applyFill="1" applyBorder="1" applyAlignment="1">
      <alignment horizontal="right" wrapText="1"/>
    </xf>
    <xf numFmtId="0" fontId="21" fillId="0" borderId="36" xfId="2" applyFont="1" applyFill="1" applyBorder="1" applyAlignment="1">
      <alignment wrapText="1"/>
    </xf>
    <xf numFmtId="0" fontId="21" fillId="0" borderId="36" xfId="2" applyFont="1" applyFill="1" applyBorder="1" applyAlignment="1">
      <alignment horizontal="right" wrapText="1"/>
    </xf>
    <xf numFmtId="0" fontId="0" fillId="0" borderId="7" xfId="0" applyBorder="1" applyAlignment="1">
      <alignment wrapText="1"/>
    </xf>
    <xf numFmtId="10" fontId="0" fillId="5" borderId="7" xfId="0" applyNumberFormat="1" applyFill="1" applyBorder="1"/>
    <xf numFmtId="2" fontId="0" fillId="5" borderId="7" xfId="0" applyNumberFormat="1" applyFill="1" applyBorder="1"/>
    <xf numFmtId="1" fontId="14" fillId="0" borderId="7" xfId="0" applyNumberFormat="1" applyFont="1" applyBorder="1"/>
    <xf numFmtId="9" fontId="3" fillId="4" borderId="7" xfId="0" applyNumberFormat="1" applyFont="1" applyFill="1" applyBorder="1"/>
    <xf numFmtId="0" fontId="0" fillId="0" borderId="13" xfId="0" applyBorder="1" applyAlignment="1">
      <alignment horizontal="center"/>
    </xf>
    <xf numFmtId="10" fontId="10" fillId="0" borderId="7" xfId="0" applyNumberFormat="1" applyFont="1" applyBorder="1"/>
    <xf numFmtId="0" fontId="0" fillId="0" borderId="8" xfId="0" applyBorder="1" applyAlignment="1">
      <alignment wrapText="1"/>
    </xf>
    <xf numFmtId="10" fontId="0" fillId="5" borderId="8" xfId="0" applyNumberFormat="1" applyFill="1" applyBorder="1"/>
    <xf numFmtId="0" fontId="16" fillId="0" borderId="8" xfId="0" applyFont="1" applyBorder="1"/>
    <xf numFmtId="0" fontId="1" fillId="0" borderId="8" xfId="0" applyFont="1" applyBorder="1" applyAlignment="1">
      <alignment horizontal="right"/>
    </xf>
    <xf numFmtId="2" fontId="0" fillId="5" borderId="8" xfId="0" applyNumberFormat="1" applyFill="1" applyBorder="1"/>
    <xf numFmtId="1" fontId="14" fillId="0" borderId="8" xfId="0" applyNumberFormat="1" applyFont="1" applyBorder="1"/>
    <xf numFmtId="9" fontId="3" fillId="4" borderId="8" xfId="0" applyNumberFormat="1" applyFont="1" applyFill="1" applyBorder="1"/>
    <xf numFmtId="0" fontId="8" fillId="0" borderId="37" xfId="0" applyFont="1" applyBorder="1" applyAlignment="1">
      <alignment horizontal="center"/>
    </xf>
    <xf numFmtId="10" fontId="0" fillId="0" borderId="8" xfId="0" applyNumberFormat="1" applyBorder="1"/>
    <xf numFmtId="0" fontId="25" fillId="3" borderId="18" xfId="0" applyFont="1" applyFill="1" applyBorder="1"/>
    <xf numFmtId="0" fontId="0" fillId="3" borderId="22" xfId="0" applyFill="1" applyBorder="1"/>
    <xf numFmtId="0" fontId="0" fillId="3" borderId="0" xfId="0" applyFill="1"/>
    <xf numFmtId="0" fontId="0" fillId="3" borderId="19" xfId="0" applyFill="1" applyBorder="1"/>
    <xf numFmtId="0" fontId="0" fillId="3" borderId="20" xfId="0" applyFill="1" applyBorder="1"/>
    <xf numFmtId="0" fontId="10" fillId="3" borderId="2" xfId="0" applyFont="1" applyFill="1" applyBorder="1" applyAlignment="1">
      <alignment horizontal="center" wrapText="1"/>
    </xf>
    <xf numFmtId="0" fontId="3" fillId="3" borderId="2" xfId="0" applyFont="1" applyFill="1" applyBorder="1" applyAlignment="1">
      <alignment horizontal="center" wrapText="1"/>
    </xf>
    <xf numFmtId="0" fontId="3" fillId="3" borderId="2" xfId="0" applyFont="1" applyFill="1" applyBorder="1" applyAlignment="1">
      <alignment horizontal="center"/>
    </xf>
    <xf numFmtId="0" fontId="3" fillId="3" borderId="2" xfId="0" applyFont="1" applyFill="1" applyBorder="1" applyAlignment="1">
      <alignment horizontal="right"/>
    </xf>
    <xf numFmtId="10" fontId="0" fillId="3" borderId="2" xfId="0" applyNumberFormat="1" applyFill="1" applyBorder="1"/>
    <xf numFmtId="0" fontId="0" fillId="3" borderId="2" xfId="0" applyFill="1" applyBorder="1"/>
    <xf numFmtId="0" fontId="0" fillId="3" borderId="2" xfId="0" applyFill="1" applyBorder="1" applyAlignment="1">
      <alignment horizontal="right"/>
    </xf>
    <xf numFmtId="2" fontId="0" fillId="3" borderId="2" xfId="0" applyNumberFormat="1" applyFill="1" applyBorder="1"/>
    <xf numFmtId="0" fontId="0" fillId="3" borderId="23" xfId="0" applyFill="1" applyBorder="1"/>
    <xf numFmtId="0" fontId="0" fillId="3" borderId="21" xfId="0" applyFill="1" applyBorder="1"/>
    <xf numFmtId="0" fontId="0" fillId="3" borderId="3" xfId="0" applyFill="1" applyBorder="1" applyAlignment="1">
      <alignment wrapText="1"/>
    </xf>
    <xf numFmtId="10" fontId="0" fillId="3" borderId="3" xfId="0" applyNumberFormat="1" applyFill="1" applyBorder="1"/>
    <xf numFmtId="0" fontId="0" fillId="3" borderId="3" xfId="0" applyFill="1" applyBorder="1"/>
    <xf numFmtId="0" fontId="0" fillId="3" borderId="3" xfId="0" applyFill="1" applyBorder="1" applyAlignment="1">
      <alignment horizontal="right"/>
    </xf>
    <xf numFmtId="2" fontId="0" fillId="3" borderId="3" xfId="0" applyNumberFormat="1" applyFill="1" applyBorder="1"/>
    <xf numFmtId="1" fontId="14" fillId="3" borderId="3" xfId="0" applyNumberFormat="1" applyFont="1" applyFill="1" applyBorder="1"/>
    <xf numFmtId="9" fontId="3" fillId="3" borderId="3" xfId="0" applyNumberFormat="1" applyFont="1" applyFill="1" applyBorder="1"/>
    <xf numFmtId="0" fontId="0" fillId="3" borderId="5" xfId="0" applyFill="1" applyBorder="1" applyAlignment="1">
      <alignment horizontal="center"/>
    </xf>
    <xf numFmtId="10" fontId="0" fillId="3" borderId="16" xfId="0" applyNumberFormat="1" applyFill="1" applyBorder="1"/>
    <xf numFmtId="0" fontId="0" fillId="3" borderId="19" xfId="0" applyFill="1" applyBorder="1" applyAlignment="1">
      <alignment horizontal="left" indent="1"/>
    </xf>
    <xf numFmtId="0" fontId="0" fillId="3" borderId="2" xfId="0" applyFill="1" applyBorder="1" applyAlignment="1">
      <alignment wrapText="1"/>
    </xf>
    <xf numFmtId="1" fontId="14" fillId="3" borderId="2" xfId="0" applyNumberFormat="1" applyFont="1" applyFill="1" applyBorder="1"/>
    <xf numFmtId="9" fontId="3" fillId="3" borderId="2" xfId="0" applyNumberFormat="1" applyFont="1" applyFill="1" applyBorder="1"/>
    <xf numFmtId="0" fontId="0" fillId="3" borderId="12" xfId="0" applyFill="1" applyBorder="1" applyAlignment="1">
      <alignment horizontal="center"/>
    </xf>
    <xf numFmtId="10" fontId="0" fillId="3" borderId="26" xfId="0" applyNumberFormat="1" applyFill="1" applyBorder="1"/>
    <xf numFmtId="0" fontId="16" fillId="3" borderId="19" xfId="0" applyFont="1" applyFill="1" applyBorder="1" applyAlignment="1">
      <alignment horizontal="left" indent="1"/>
    </xf>
    <xf numFmtId="0" fontId="16" fillId="3" borderId="2" xfId="0" applyFont="1" applyFill="1" applyBorder="1" applyAlignment="1">
      <alignment wrapText="1"/>
    </xf>
    <xf numFmtId="10" fontId="16" fillId="3" borderId="2" xfId="0" applyNumberFormat="1" applyFont="1" applyFill="1" applyBorder="1"/>
    <xf numFmtId="9" fontId="16" fillId="3" borderId="2" xfId="0" applyNumberFormat="1" applyFont="1" applyFill="1" applyBorder="1"/>
    <xf numFmtId="0" fontId="5" fillId="3" borderId="12" xfId="0" applyFont="1" applyFill="1" applyBorder="1" applyAlignment="1">
      <alignment horizontal="center"/>
    </xf>
    <xf numFmtId="0" fontId="1" fillId="3" borderId="2" xfId="0" applyFont="1" applyFill="1" applyBorder="1" applyAlignment="1">
      <alignment horizontal="right"/>
    </xf>
    <xf numFmtId="0" fontId="13" fillId="3" borderId="12" xfId="0" applyFont="1" applyFill="1" applyBorder="1" applyAlignment="1">
      <alignment horizontal="center"/>
    </xf>
    <xf numFmtId="0" fontId="16" fillId="3" borderId="2" xfId="0" applyFont="1" applyFill="1" applyBorder="1" applyAlignment="1">
      <alignment horizontal="center"/>
    </xf>
    <xf numFmtId="0" fontId="16" fillId="3" borderId="0" xfId="0" applyFont="1" applyFill="1" applyBorder="1" applyAlignment="1">
      <alignment horizontal="center"/>
    </xf>
    <xf numFmtId="0" fontId="16" fillId="3" borderId="2" xfId="0" applyFont="1" applyFill="1" applyBorder="1"/>
    <xf numFmtId="0" fontId="7" fillId="3" borderId="12" xfId="0" applyFont="1" applyFill="1" applyBorder="1" applyAlignment="1">
      <alignment horizontal="center"/>
    </xf>
    <xf numFmtId="0" fontId="8" fillId="3" borderId="12" xfId="0" applyFont="1" applyFill="1" applyBorder="1" applyAlignment="1">
      <alignment horizontal="center"/>
    </xf>
    <xf numFmtId="0" fontId="16" fillId="3" borderId="23" xfId="0" applyFont="1" applyFill="1" applyBorder="1" applyAlignment="1">
      <alignment horizontal="left" indent="1"/>
    </xf>
    <xf numFmtId="0" fontId="16" fillId="3" borderId="10" xfId="0" applyFont="1" applyFill="1" applyBorder="1" applyAlignment="1">
      <alignment wrapText="1"/>
    </xf>
    <xf numFmtId="10" fontId="16" fillId="3" borderId="10" xfId="0" applyNumberFormat="1" applyFont="1" applyFill="1" applyBorder="1"/>
    <xf numFmtId="0" fontId="16" fillId="3" borderId="10" xfId="0" applyFont="1" applyFill="1" applyBorder="1"/>
    <xf numFmtId="0" fontId="4" fillId="3" borderId="10" xfId="0" applyFont="1" applyFill="1" applyBorder="1" applyAlignment="1">
      <alignment horizontal="right"/>
    </xf>
    <xf numFmtId="2" fontId="0" fillId="3" borderId="10" xfId="0" applyNumberFormat="1" applyFill="1" applyBorder="1"/>
    <xf numFmtId="1" fontId="14" fillId="3" borderId="10" xfId="0" applyNumberFormat="1" applyFont="1" applyFill="1" applyBorder="1"/>
    <xf numFmtId="9" fontId="3" fillId="3" borderId="10" xfId="0" applyNumberFormat="1" applyFont="1" applyFill="1" applyBorder="1"/>
    <xf numFmtId="0" fontId="3" fillId="3" borderId="11" xfId="0" applyFont="1" applyFill="1" applyBorder="1" applyAlignment="1">
      <alignment horizontal="center"/>
    </xf>
    <xf numFmtId="10" fontId="0" fillId="3" borderId="33" xfId="0" applyNumberFormat="1" applyFill="1" applyBorder="1"/>
    <xf numFmtId="0" fontId="3" fillId="3" borderId="19" xfId="0" applyFont="1" applyFill="1" applyBorder="1" applyAlignment="1">
      <alignment horizontal="left" indent="1"/>
    </xf>
    <xf numFmtId="0" fontId="3" fillId="7" borderId="5" xfId="0" applyFont="1" applyFill="1" applyBorder="1" applyAlignment="1">
      <alignment horizontal="right"/>
    </xf>
    <xf numFmtId="8" fontId="28" fillId="7" borderId="34" xfId="0" applyNumberFormat="1" applyFont="1" applyFill="1" applyBorder="1" applyAlignment="1">
      <alignment horizontal="right"/>
    </xf>
    <xf numFmtId="2" fontId="31" fillId="5" borderId="2" xfId="0" applyNumberFormat="1" applyFont="1" applyFill="1" applyBorder="1"/>
    <xf numFmtId="0" fontId="0" fillId="0" borderId="18" xfId="0" applyBorder="1"/>
    <xf numFmtId="0" fontId="0" fillId="0" borderId="25" xfId="0" applyBorder="1"/>
    <xf numFmtId="166" fontId="0" fillId="0" borderId="25" xfId="0" applyNumberFormat="1" applyBorder="1"/>
    <xf numFmtId="0" fontId="0" fillId="0" borderId="22" xfId="0" applyBorder="1"/>
    <xf numFmtId="0" fontId="30" fillId="2" borderId="38" xfId="0" applyFont="1" applyFill="1" applyBorder="1"/>
    <xf numFmtId="0" fontId="30" fillId="2" borderId="24" xfId="0" applyFont="1" applyFill="1" applyBorder="1"/>
    <xf numFmtId="165" fontId="3" fillId="7" borderId="39" xfId="1" applyNumberFormat="1" applyFont="1" applyFill="1" applyBorder="1"/>
    <xf numFmtId="8" fontId="0" fillId="0" borderId="0" xfId="0" applyNumberFormat="1" applyAlignment="1">
      <alignment horizontal="right"/>
    </xf>
    <xf numFmtId="0" fontId="0" fillId="0" borderId="31" xfId="0" applyBorder="1"/>
    <xf numFmtId="0" fontId="0" fillId="0" borderId="32" xfId="0" applyBorder="1"/>
    <xf numFmtId="165" fontId="3" fillId="7" borderId="0" xfId="1" applyNumberFormat="1" applyFont="1" applyFill="1" applyBorder="1"/>
    <xf numFmtId="16" fontId="0" fillId="0" borderId="2" xfId="0" applyNumberFormat="1" applyBorder="1"/>
    <xf numFmtId="6" fontId="0" fillId="0" borderId="0" xfId="0" applyNumberFormat="1"/>
    <xf numFmtId="6" fontId="3" fillId="0" borderId="0" xfId="0" applyNumberFormat="1" applyFont="1"/>
    <xf numFmtId="8" fontId="9" fillId="0" borderId="0" xfId="0" applyNumberFormat="1" applyFont="1"/>
    <xf numFmtId="16" fontId="0" fillId="0" borderId="7" xfId="0" applyNumberFormat="1" applyBorder="1"/>
    <xf numFmtId="0" fontId="6" fillId="0" borderId="2" xfId="0" applyFont="1" applyBorder="1"/>
    <xf numFmtId="0" fontId="6" fillId="0" borderId="7" xfId="0" applyFont="1" applyBorder="1"/>
    <xf numFmtId="0" fontId="6" fillId="0" borderId="10" xfId="0" applyFont="1" applyBorder="1"/>
    <xf numFmtId="0" fontId="32" fillId="0" borderId="0" xfId="0" applyFont="1"/>
    <xf numFmtId="0" fontId="0" fillId="2" borderId="0" xfId="0" applyFill="1"/>
    <xf numFmtId="8" fontId="0" fillId="2" borderId="0" xfId="0" applyNumberFormat="1" applyFill="1"/>
    <xf numFmtId="22" fontId="0" fillId="0" borderId="2" xfId="0" applyNumberFormat="1" applyBorder="1"/>
    <xf numFmtId="40" fontId="0" fillId="0" borderId="2" xfId="0" applyNumberFormat="1" applyBorder="1"/>
    <xf numFmtId="1" fontId="0" fillId="0" borderId="2" xfId="3" applyNumberFormat="1" applyFont="1" applyBorder="1" applyAlignment="1">
      <alignment horizontal="center"/>
    </xf>
    <xf numFmtId="0" fontId="3" fillId="7" borderId="5" xfId="0" applyFont="1" applyFill="1" applyBorder="1" applyAlignment="1">
      <alignment horizontal="left"/>
    </xf>
    <xf numFmtId="16" fontId="0" fillId="0" borderId="10" xfId="0" applyNumberFormat="1" applyBorder="1"/>
    <xf numFmtId="40" fontId="8" fillId="5" borderId="12" xfId="0" applyNumberFormat="1" applyFont="1" applyFill="1" applyBorder="1"/>
    <xf numFmtId="0" fontId="5" fillId="7" borderId="15" xfId="0" applyFont="1" applyFill="1" applyBorder="1"/>
    <xf numFmtId="0" fontId="0" fillId="7" borderId="32" xfId="0" applyFill="1" applyBorder="1"/>
    <xf numFmtId="0" fontId="3" fillId="7" borderId="2" xfId="0" applyFont="1" applyFill="1" applyBorder="1"/>
    <xf numFmtId="164" fontId="0" fillId="7" borderId="2" xfId="0" applyNumberFormat="1" applyFill="1" applyBorder="1"/>
    <xf numFmtId="164" fontId="0" fillId="7" borderId="32" xfId="0" applyNumberFormat="1" applyFill="1" applyBorder="1"/>
    <xf numFmtId="10" fontId="0" fillId="7" borderId="2" xfId="3" applyNumberFormat="1" applyFont="1" applyFill="1" applyBorder="1"/>
    <xf numFmtId="38" fontId="8" fillId="7" borderId="12" xfId="0" applyNumberFormat="1" applyFont="1" applyFill="1" applyBorder="1"/>
    <xf numFmtId="0" fontId="0" fillId="7" borderId="26" xfId="0" applyFill="1" applyBorder="1"/>
    <xf numFmtId="49" fontId="0" fillId="0" borderId="0" xfId="0" applyNumberFormat="1"/>
    <xf numFmtId="2" fontId="3" fillId="0" borderId="32" xfId="0" applyNumberFormat="1" applyFont="1" applyFill="1" applyBorder="1" applyAlignment="1">
      <alignment horizontal="center"/>
    </xf>
    <xf numFmtId="14" fontId="0" fillId="0" borderId="0" xfId="0" applyNumberFormat="1" applyBorder="1"/>
    <xf numFmtId="0" fontId="3" fillId="0" borderId="0" xfId="0" applyFont="1"/>
    <xf numFmtId="0" fontId="33" fillId="0" borderId="40" xfId="0" applyFont="1" applyBorder="1"/>
    <xf numFmtId="0" fontId="33" fillId="0" borderId="41" xfId="0" applyFont="1" applyBorder="1"/>
    <xf numFmtId="14" fontId="33" fillId="0" borderId="41" xfId="0" applyNumberFormat="1" applyFont="1" applyBorder="1"/>
    <xf numFmtId="167" fontId="0" fillId="0" borderId="0" xfId="0" applyNumberFormat="1"/>
    <xf numFmtId="0" fontId="34" fillId="0" borderId="0" xfId="0" applyFont="1"/>
    <xf numFmtId="168" fontId="0" fillId="0" borderId="0" xfId="0" applyNumberFormat="1" applyBorder="1"/>
    <xf numFmtId="167" fontId="0" fillId="0" borderId="0" xfId="0" applyNumberFormat="1" applyBorder="1"/>
    <xf numFmtId="168" fontId="0" fillId="0" borderId="0" xfId="0" applyNumberFormat="1"/>
    <xf numFmtId="0" fontId="1" fillId="0" borderId="0" xfId="0" applyFont="1"/>
    <xf numFmtId="0" fontId="35" fillId="0" borderId="0" xfId="0" applyFont="1"/>
    <xf numFmtId="6" fontId="35" fillId="0" borderId="0" xfId="0" applyNumberFormat="1" applyFont="1"/>
    <xf numFmtId="0" fontId="36" fillId="0" borderId="0" xfId="0" applyFont="1" applyBorder="1"/>
    <xf numFmtId="0" fontId="0" fillId="9" borderId="0" xfId="0" applyFill="1"/>
    <xf numFmtId="44" fontId="0" fillId="0" borderId="0" xfId="1" applyFont="1"/>
    <xf numFmtId="22" fontId="0" fillId="0" borderId="0" xfId="0" applyNumberFormat="1" applyBorder="1"/>
    <xf numFmtId="0" fontId="3" fillId="2" borderId="27" xfId="0" applyFont="1" applyFill="1" applyBorder="1"/>
    <xf numFmtId="9" fontId="3" fillId="2" borderId="42" xfId="3" applyFont="1" applyFill="1" applyBorder="1"/>
    <xf numFmtId="0" fontId="0" fillId="0" borderId="42" xfId="0" applyBorder="1" applyAlignment="1">
      <alignment horizontal="center"/>
    </xf>
    <xf numFmtId="0" fontId="3" fillId="0" borderId="42" xfId="0" applyFont="1" applyBorder="1"/>
    <xf numFmtId="10" fontId="3" fillId="7" borderId="39" xfId="3" applyNumberFormat="1" applyFont="1" applyFill="1" applyBorder="1"/>
    <xf numFmtId="3" fontId="10" fillId="2" borderId="2" xfId="0" applyNumberFormat="1" applyFont="1" applyFill="1" applyBorder="1"/>
    <xf numFmtId="14" fontId="37" fillId="0" borderId="41" xfId="0" applyNumberFormat="1" applyFont="1" applyBorder="1"/>
    <xf numFmtId="44" fontId="38" fillId="0" borderId="0" xfId="0" applyNumberFormat="1" applyFont="1"/>
    <xf numFmtId="6" fontId="0" fillId="0" borderId="0" xfId="0" applyNumberFormat="1" applyAlignment="1">
      <alignment horizontal="right"/>
    </xf>
    <xf numFmtId="0" fontId="39" fillId="9" borderId="0" xfId="0" applyFont="1" applyFill="1"/>
    <xf numFmtId="169" fontId="0" fillId="0" borderId="0" xfId="0" applyNumberFormat="1"/>
    <xf numFmtId="9" fontId="0" fillId="0" borderId="0" xfId="0" applyNumberFormat="1"/>
    <xf numFmtId="9" fontId="3" fillId="0" borderId="0" xfId="0" applyNumberFormat="1" applyFont="1"/>
    <xf numFmtId="0" fontId="0" fillId="0" borderId="19" xfId="0" applyBorder="1"/>
    <xf numFmtId="0" fontId="0" fillId="0" borderId="23" xfId="0" applyBorder="1"/>
    <xf numFmtId="0" fontId="42" fillId="0" borderId="18" xfId="0" applyFont="1" applyFill="1" applyBorder="1" applyAlignment="1">
      <alignment wrapText="1"/>
    </xf>
    <xf numFmtId="0" fontId="3" fillId="0" borderId="20" xfId="0" applyFont="1" applyBorder="1" applyAlignment="1">
      <alignment wrapText="1"/>
    </xf>
    <xf numFmtId="0" fontId="1" fillId="0" borderId="19" xfId="0" applyFont="1" applyBorder="1"/>
    <xf numFmtId="0" fontId="36" fillId="0" borderId="19" xfId="0" applyFont="1" applyBorder="1"/>
    <xf numFmtId="0" fontId="36" fillId="0" borderId="0" xfId="0" applyFont="1"/>
    <xf numFmtId="0" fontId="1" fillId="9" borderId="0" xfId="0" applyFont="1" applyFill="1"/>
    <xf numFmtId="6" fontId="3" fillId="0" borderId="0" xfId="1" applyNumberFormat="1" applyFont="1"/>
    <xf numFmtId="6" fontId="43" fillId="0" borderId="0" xfId="0" applyNumberFormat="1" applyFont="1"/>
    <xf numFmtId="6" fontId="0" fillId="0" borderId="0" xfId="1" applyNumberFormat="1" applyFont="1"/>
    <xf numFmtId="6" fontId="45" fillId="0" borderId="0" xfId="0" applyNumberFormat="1" applyFont="1"/>
    <xf numFmtId="0" fontId="1" fillId="0" borderId="0" xfId="0" applyFont="1" applyBorder="1" applyAlignment="1">
      <alignment wrapText="1"/>
    </xf>
    <xf numFmtId="0" fontId="47" fillId="0" borderId="0" xfId="0" applyFont="1"/>
    <xf numFmtId="0" fontId="48" fillId="0" borderId="0" xfId="0" applyFont="1"/>
    <xf numFmtId="0" fontId="49" fillId="0" borderId="0" xfId="0" applyFont="1"/>
    <xf numFmtId="6" fontId="50" fillId="0" borderId="0" xfId="0" applyNumberFormat="1" applyFont="1"/>
    <xf numFmtId="6" fontId="51" fillId="0" borderId="0" xfId="0" applyNumberFormat="1" applyFont="1"/>
    <xf numFmtId="6" fontId="54" fillId="0" borderId="0" xfId="0" applyNumberFormat="1" applyFont="1"/>
    <xf numFmtId="6" fontId="55" fillId="0" borderId="0" xfId="0" applyNumberFormat="1" applyFont="1"/>
    <xf numFmtId="6" fontId="56" fillId="0" borderId="0" xfId="0" applyNumberFormat="1" applyFont="1"/>
    <xf numFmtId="0" fontId="57" fillId="10" borderId="0" xfId="0" applyFont="1" applyFill="1" applyAlignment="1">
      <alignment horizontal="right"/>
    </xf>
    <xf numFmtId="0" fontId="3" fillId="11" borderId="0" xfId="0" applyFont="1" applyFill="1"/>
    <xf numFmtId="6" fontId="3" fillId="11" borderId="0" xfId="0" applyNumberFormat="1" applyFont="1" applyFill="1"/>
    <xf numFmtId="0" fontId="36" fillId="11" borderId="0" xfId="0" applyFont="1" applyFill="1"/>
    <xf numFmtId="0" fontId="0" fillId="11" borderId="0" xfId="0" applyFill="1"/>
    <xf numFmtId="0" fontId="1" fillId="0" borderId="0" xfId="0" applyFont="1" applyAlignment="1">
      <alignment horizontal="right"/>
    </xf>
    <xf numFmtId="8" fontId="0" fillId="0" borderId="0" xfId="0" applyNumberFormat="1"/>
    <xf numFmtId="0" fontId="60" fillId="0" borderId="0" xfId="0" applyFont="1" applyAlignment="1">
      <alignment horizontal="right"/>
    </xf>
    <xf numFmtId="6" fontId="3" fillId="0" borderId="0" xfId="0" applyNumberFormat="1" applyFont="1" applyAlignment="1">
      <alignment horizontal="right"/>
    </xf>
    <xf numFmtId="0" fontId="36" fillId="0" borderId="21" xfId="0" applyFont="1" applyBorder="1"/>
    <xf numFmtId="6" fontId="61" fillId="0" borderId="0" xfId="0" applyNumberFormat="1" applyFont="1"/>
    <xf numFmtId="0" fontId="40" fillId="9" borderId="18" xfId="0" applyFont="1" applyFill="1" applyBorder="1"/>
    <xf numFmtId="0" fontId="0" fillId="9" borderId="25" xfId="0" applyFill="1" applyBorder="1"/>
    <xf numFmtId="0" fontId="0" fillId="9" borderId="22" xfId="0" applyFill="1" applyBorder="1"/>
    <xf numFmtId="0" fontId="0" fillId="9" borderId="19" xfId="0" applyFill="1" applyBorder="1"/>
    <xf numFmtId="0" fontId="0" fillId="9" borderId="0" xfId="0" applyFill="1" applyBorder="1"/>
    <xf numFmtId="0" fontId="40" fillId="9" borderId="0" xfId="0" applyFont="1" applyFill="1" applyBorder="1"/>
    <xf numFmtId="0" fontId="0" fillId="9" borderId="20" xfId="0" applyFill="1" applyBorder="1"/>
    <xf numFmtId="0" fontId="41" fillId="9" borderId="0" xfId="4" applyFill="1" applyBorder="1" applyAlignment="1" applyProtection="1"/>
    <xf numFmtId="0" fontId="0" fillId="9" borderId="23" xfId="0" applyFill="1" applyBorder="1"/>
    <xf numFmtId="0" fontId="0" fillId="9" borderId="24" xfId="0" applyFill="1" applyBorder="1"/>
    <xf numFmtId="0" fontId="0" fillId="9" borderId="21" xfId="0" applyFill="1" applyBorder="1"/>
    <xf numFmtId="6" fontId="62" fillId="0" borderId="0" xfId="0" applyNumberFormat="1" applyFont="1"/>
    <xf numFmtId="0" fontId="63" fillId="6" borderId="17" xfId="5" applyFont="1" applyFill="1" applyBorder="1" applyAlignment="1">
      <alignment horizontal="center"/>
    </xf>
    <xf numFmtId="0" fontId="63" fillId="0" borderId="1" xfId="5" applyFont="1" applyFill="1" applyBorder="1" applyAlignment="1">
      <alignment wrapText="1"/>
    </xf>
    <xf numFmtId="170" fontId="63" fillId="0" borderId="1" xfId="5" applyNumberFormat="1" applyFont="1" applyFill="1" applyBorder="1" applyAlignment="1">
      <alignment horizontal="right" wrapText="1"/>
    </xf>
    <xf numFmtId="171" fontId="63" fillId="0" borderId="1" xfId="5" applyNumberFormat="1" applyFont="1" applyFill="1" applyBorder="1" applyAlignment="1">
      <alignment horizontal="right" wrapText="1"/>
    </xf>
    <xf numFmtId="0" fontId="63" fillId="0" borderId="1" xfId="5" applyFont="1" applyFill="1" applyBorder="1" applyAlignment="1">
      <alignment horizontal="right" wrapText="1"/>
    </xf>
    <xf numFmtId="0" fontId="65" fillId="6" borderId="43" xfId="5" applyFont="1" applyFill="1" applyBorder="1" applyAlignment="1">
      <alignment horizontal="center"/>
    </xf>
    <xf numFmtId="14" fontId="3" fillId="0" borderId="0" xfId="0" applyNumberFormat="1" applyFont="1"/>
    <xf numFmtId="0" fontId="0" fillId="12" borderId="0" xfId="0" applyFill="1"/>
    <xf numFmtId="14" fontId="0" fillId="12" borderId="0" xfId="0" applyNumberFormat="1" applyFill="1"/>
    <xf numFmtId="8" fontId="0" fillId="12" borderId="0" xfId="0" applyNumberFormat="1" applyFill="1"/>
    <xf numFmtId="167" fontId="0" fillId="12" borderId="0" xfId="0" applyNumberFormat="1" applyFill="1"/>
    <xf numFmtId="6" fontId="3" fillId="12" borderId="0" xfId="0" applyNumberFormat="1" applyFont="1" applyFill="1"/>
    <xf numFmtId="169" fontId="0" fillId="12" borderId="0" xfId="0" applyNumberFormat="1" applyFill="1"/>
    <xf numFmtId="0" fontId="0" fillId="13" borderId="0" xfId="0" applyFill="1"/>
    <xf numFmtId="14" fontId="0" fillId="13" borderId="0" xfId="0" applyNumberFormat="1" applyFill="1"/>
    <xf numFmtId="8" fontId="0" fillId="13" borderId="0" xfId="0" applyNumberFormat="1" applyFill="1"/>
    <xf numFmtId="167" fontId="0" fillId="13" borderId="0" xfId="0" applyNumberFormat="1" applyFill="1"/>
    <xf numFmtId="6" fontId="3" fillId="13" borderId="0" xfId="0" applyNumberFormat="1" applyFont="1" applyFill="1"/>
    <xf numFmtId="169" fontId="0" fillId="13" borderId="0" xfId="0" applyNumberFormat="1" applyFill="1"/>
    <xf numFmtId="6" fontId="45" fillId="13" borderId="0" xfId="0" applyNumberFormat="1" applyFont="1" applyFill="1"/>
    <xf numFmtId="167" fontId="66" fillId="0" borderId="0" xfId="0" applyNumberFormat="1" applyFont="1"/>
    <xf numFmtId="167" fontId="67" fillId="0" borderId="0" xfId="0" applyNumberFormat="1" applyFont="1"/>
    <xf numFmtId="167" fontId="67" fillId="13" borderId="0" xfId="0" applyNumberFormat="1" applyFont="1" applyFill="1"/>
    <xf numFmtId="0" fontId="67" fillId="0" borderId="0" xfId="0" applyFont="1" applyBorder="1"/>
    <xf numFmtId="14" fontId="67" fillId="0" borderId="0" xfId="0" applyNumberFormat="1" applyFont="1" applyBorder="1"/>
    <xf numFmtId="0" fontId="67" fillId="0" borderId="0" xfId="0" applyFont="1"/>
    <xf numFmtId="6" fontId="67" fillId="0" borderId="0" xfId="0" applyNumberFormat="1" applyFont="1"/>
    <xf numFmtId="8" fontId="68" fillId="0" borderId="0" xfId="0" applyNumberFormat="1" applyFont="1"/>
    <xf numFmtId="8" fontId="67" fillId="2" borderId="0" xfId="0" applyNumberFormat="1" applyFont="1" applyFill="1"/>
    <xf numFmtId="6" fontId="66" fillId="0" borderId="0" xfId="0" applyNumberFormat="1" applyFont="1"/>
    <xf numFmtId="6" fontId="56" fillId="13" borderId="0" xfId="0" applyNumberFormat="1" applyFont="1" applyFill="1"/>
    <xf numFmtId="6" fontId="54" fillId="13" borderId="0" xfId="0" applyNumberFormat="1" applyFont="1" applyFill="1"/>
    <xf numFmtId="0" fontId="0" fillId="14" borderId="0" xfId="0" applyFill="1"/>
    <xf numFmtId="14" fontId="0" fillId="14" borderId="0" xfId="0" applyNumberFormat="1" applyFill="1"/>
    <xf numFmtId="8" fontId="0" fillId="14" borderId="0" xfId="0" applyNumberFormat="1" applyFill="1"/>
    <xf numFmtId="167" fontId="0" fillId="14" borderId="0" xfId="0" applyNumberFormat="1" applyFill="1"/>
    <xf numFmtId="167" fontId="67" fillId="14" borderId="0" xfId="0" applyNumberFormat="1" applyFont="1" applyFill="1"/>
    <xf numFmtId="0" fontId="0" fillId="15" borderId="0" xfId="0" applyFill="1"/>
    <xf numFmtId="14" fontId="0" fillId="15" borderId="0" xfId="0" applyNumberFormat="1" applyFill="1"/>
    <xf numFmtId="8" fontId="0" fillId="15" borderId="0" xfId="0" applyNumberFormat="1" applyFill="1"/>
    <xf numFmtId="167" fontId="0" fillId="15" borderId="0" xfId="0" applyNumberFormat="1" applyFill="1"/>
    <xf numFmtId="167" fontId="67" fillId="15" borderId="0" xfId="0" applyNumberFormat="1" applyFont="1" applyFill="1"/>
    <xf numFmtId="6" fontId="61" fillId="15" borderId="0" xfId="0" applyNumberFormat="1" applyFont="1" applyFill="1"/>
    <xf numFmtId="169" fontId="0" fillId="15" borderId="0" xfId="0" applyNumberFormat="1" applyFill="1"/>
    <xf numFmtId="167" fontId="67" fillId="12" borderId="0" xfId="0" applyNumberFormat="1" applyFont="1" applyFill="1"/>
    <xf numFmtId="6" fontId="61" fillId="14" borderId="0" xfId="0" applyNumberFormat="1" applyFont="1" applyFill="1"/>
    <xf numFmtId="169" fontId="0" fillId="14" borderId="0" xfId="0" applyNumberFormat="1" applyFill="1"/>
    <xf numFmtId="14" fontId="0" fillId="9" borderId="0" xfId="0" applyNumberFormat="1" applyFill="1"/>
    <xf numFmtId="8" fontId="0" fillId="9" borderId="0" xfId="0" applyNumberFormat="1" applyFill="1"/>
    <xf numFmtId="167" fontId="0" fillId="9" borderId="0" xfId="0" applyNumberFormat="1" applyFill="1"/>
    <xf numFmtId="167" fontId="67" fillId="9" borderId="0" xfId="0" applyNumberFormat="1" applyFont="1" applyFill="1"/>
    <xf numFmtId="6" fontId="3" fillId="9" borderId="0" xfId="0" applyNumberFormat="1" applyFont="1" applyFill="1"/>
    <xf numFmtId="169" fontId="0" fillId="9" borderId="0" xfId="0" applyNumberFormat="1" applyFill="1"/>
    <xf numFmtId="6" fontId="50" fillId="13" borderId="0" xfId="0" applyNumberFormat="1" applyFont="1" applyFill="1"/>
    <xf numFmtId="6" fontId="62" fillId="13" borderId="0" xfId="0" applyNumberFormat="1" applyFont="1" applyFill="1"/>
    <xf numFmtId="0" fontId="0" fillId="16" borderId="0" xfId="0" applyFill="1"/>
    <xf numFmtId="14" fontId="0" fillId="16" borderId="0" xfId="0" applyNumberFormat="1" applyFill="1"/>
    <xf numFmtId="8" fontId="0" fillId="16" borderId="0" xfId="0" applyNumberFormat="1" applyFill="1"/>
    <xf numFmtId="167" fontId="0" fillId="16" borderId="0" xfId="0" applyNumberFormat="1" applyFill="1"/>
    <xf numFmtId="167" fontId="67" fillId="16" borderId="0" xfId="0" applyNumberFormat="1" applyFont="1" applyFill="1"/>
    <xf numFmtId="6" fontId="3" fillId="16" borderId="0" xfId="0" applyNumberFormat="1" applyFont="1" applyFill="1"/>
    <xf numFmtId="169" fontId="0" fillId="16" borderId="0" xfId="0" applyNumberFormat="1" applyFill="1"/>
    <xf numFmtId="6" fontId="49" fillId="16" borderId="0" xfId="0" applyNumberFormat="1" applyFont="1" applyFill="1"/>
    <xf numFmtId="6" fontId="54" fillId="16" borderId="0" xfId="0" applyNumberFormat="1" applyFont="1" applyFill="1"/>
    <xf numFmtId="6" fontId="61" fillId="16" borderId="0" xfId="0" applyNumberFormat="1" applyFont="1" applyFill="1"/>
    <xf numFmtId="6" fontId="61" fillId="13" borderId="0" xfId="0" applyNumberFormat="1" applyFont="1" applyFill="1"/>
    <xf numFmtId="6" fontId="46" fillId="16" borderId="0" xfId="0" applyNumberFormat="1" applyFont="1" applyFill="1"/>
    <xf numFmtId="6" fontId="50" fillId="16" borderId="0" xfId="0" applyNumberFormat="1" applyFont="1" applyFill="1"/>
    <xf numFmtId="6" fontId="53" fillId="13" borderId="0" xfId="0" applyNumberFormat="1" applyFont="1" applyFill="1"/>
    <xf numFmtId="6" fontId="45" fillId="16" borderId="0" xfId="0" applyNumberFormat="1" applyFont="1" applyFill="1"/>
    <xf numFmtId="6" fontId="52" fillId="13" borderId="0" xfId="0" applyNumberFormat="1" applyFont="1" applyFill="1"/>
    <xf numFmtId="6" fontId="51" fillId="13" borderId="0" xfId="0" applyNumberFormat="1" applyFont="1" applyFill="1"/>
    <xf numFmtId="6" fontId="45" fillId="15" borderId="0" xfId="0" applyNumberFormat="1" applyFont="1" applyFill="1"/>
    <xf numFmtId="6" fontId="46" fillId="13" borderId="0" xfId="0" applyNumberFormat="1" applyFont="1" applyFill="1"/>
    <xf numFmtId="6" fontId="61" fillId="9" borderId="0" xfId="0" applyNumberFormat="1" applyFont="1" applyFill="1"/>
    <xf numFmtId="6" fontId="43" fillId="13" borderId="0" xfId="0" applyNumberFormat="1" applyFont="1" applyFill="1"/>
    <xf numFmtId="0" fontId="3" fillId="9" borderId="0" xfId="0" applyFont="1" applyFill="1"/>
    <xf numFmtId="14" fontId="3" fillId="9" borderId="0" xfId="0" applyNumberFormat="1" applyFont="1" applyFill="1"/>
    <xf numFmtId="167" fontId="3" fillId="9" borderId="0" xfId="0" applyNumberFormat="1" applyFont="1" applyFill="1"/>
    <xf numFmtId="167" fontId="66" fillId="9" borderId="0" xfId="0" applyNumberFormat="1" applyFont="1" applyFill="1"/>
    <xf numFmtId="169" fontId="3" fillId="9" borderId="0" xfId="0" applyNumberFormat="1" applyFont="1" applyFill="1"/>
    <xf numFmtId="6" fontId="47" fillId="13" borderId="0" xfId="0" applyNumberFormat="1" applyFont="1" applyFill="1"/>
    <xf numFmtId="6" fontId="50" fillId="14" borderId="0" xfId="0" applyNumberFormat="1" applyFont="1" applyFill="1"/>
    <xf numFmtId="0" fontId="3" fillId="9" borderId="0" xfId="0" applyFont="1" applyFill="1" applyAlignment="1">
      <alignment wrapText="1"/>
    </xf>
    <xf numFmtId="0" fontId="0" fillId="13" borderId="0" xfId="0" applyFill="1" applyAlignment="1">
      <alignment wrapText="1"/>
    </xf>
    <xf numFmtId="0" fontId="1" fillId="16" borderId="0" xfId="0" applyFont="1" applyFill="1" applyAlignment="1">
      <alignment wrapText="1"/>
    </xf>
    <xf numFmtId="0" fontId="1" fillId="9" borderId="0" xfId="0" applyFont="1" applyFill="1" applyAlignment="1">
      <alignment wrapText="1"/>
    </xf>
    <xf numFmtId="0" fontId="0" fillId="9" borderId="0" xfId="0" applyFill="1" applyAlignment="1">
      <alignment wrapText="1"/>
    </xf>
    <xf numFmtId="0" fontId="1" fillId="13" borderId="0" xfId="0" applyFont="1" applyFill="1" applyAlignment="1">
      <alignment wrapText="1"/>
    </xf>
    <xf numFmtId="0" fontId="1" fillId="14" borderId="0" xfId="0" applyFont="1" applyFill="1" applyAlignment="1">
      <alignment wrapText="1"/>
    </xf>
    <xf numFmtId="0" fontId="0" fillId="14" borderId="0" xfId="0" applyFill="1" applyAlignment="1">
      <alignment wrapText="1"/>
    </xf>
    <xf numFmtId="0" fontId="0" fillId="12" borderId="0" xfId="0" applyFill="1" applyAlignment="1">
      <alignment wrapText="1"/>
    </xf>
    <xf numFmtId="0" fontId="1" fillId="15" borderId="0" xfId="0" applyFont="1" applyFill="1" applyAlignment="1">
      <alignment wrapText="1"/>
    </xf>
    <xf numFmtId="0" fontId="0" fillId="0" borderId="0" xfId="0" applyBorder="1" applyAlignment="1">
      <alignment wrapText="1"/>
    </xf>
    <xf numFmtId="0" fontId="0" fillId="11" borderId="0" xfId="0" applyFill="1" applyAlignment="1">
      <alignment wrapText="1"/>
    </xf>
    <xf numFmtId="0" fontId="57" fillId="10" borderId="0" xfId="0" applyFont="1" applyFill="1" applyAlignment="1">
      <alignment horizontal="right" wrapText="1"/>
    </xf>
    <xf numFmtId="40" fontId="3" fillId="9" borderId="0" xfId="0" applyNumberFormat="1" applyFont="1" applyFill="1"/>
    <xf numFmtId="40" fontId="3" fillId="0" borderId="0" xfId="0" applyNumberFormat="1" applyFont="1"/>
    <xf numFmtId="40" fontId="3" fillId="0" borderId="0" xfId="0" applyNumberFormat="1" applyFont="1" applyBorder="1"/>
    <xf numFmtId="40" fontId="3" fillId="11" borderId="0" xfId="0" applyNumberFormat="1" applyFont="1" applyFill="1"/>
    <xf numFmtId="40" fontId="69" fillId="10" borderId="0" xfId="0" applyNumberFormat="1" applyFont="1" applyFill="1" applyAlignment="1">
      <alignment horizontal="right"/>
    </xf>
    <xf numFmtId="0" fontId="3" fillId="0" borderId="27" xfId="0" applyFont="1" applyBorder="1"/>
    <xf numFmtId="9" fontId="3" fillId="0" borderId="44" xfId="3" applyFont="1" applyBorder="1"/>
    <xf numFmtId="167" fontId="70" fillId="13" borderId="0" xfId="0" applyNumberFormat="1" applyFont="1" applyFill="1"/>
    <xf numFmtId="172" fontId="3" fillId="0" borderId="44" xfId="3" applyNumberFormat="1" applyFont="1" applyBorder="1"/>
    <xf numFmtId="0" fontId="38" fillId="10" borderId="0" xfId="0" applyFont="1" applyFill="1" applyAlignment="1">
      <alignment horizontal="left" vertical="center" wrapText="1"/>
    </xf>
    <xf numFmtId="0" fontId="38" fillId="10" borderId="0" xfId="0" applyFont="1" applyFill="1" applyAlignment="1">
      <alignment horizontal="right" vertical="center" wrapText="1"/>
    </xf>
    <xf numFmtId="4" fontId="38" fillId="10" borderId="0" xfId="0" applyNumberFormat="1" applyFont="1" applyFill="1" applyAlignment="1">
      <alignment horizontal="right" vertical="center" wrapText="1"/>
    </xf>
    <xf numFmtId="0" fontId="71" fillId="17" borderId="0" xfId="0" applyFont="1" applyFill="1" applyAlignment="1">
      <alignment horizontal="right" vertical="center" wrapText="1"/>
    </xf>
    <xf numFmtId="0" fontId="72" fillId="10" borderId="0" xfId="0" applyFont="1" applyFill="1" applyAlignment="1">
      <alignment horizontal="right" vertical="center" wrapText="1"/>
    </xf>
    <xf numFmtId="44" fontId="0" fillId="0" borderId="0" xfId="0" applyNumberFormat="1" applyFont="1" applyBorder="1"/>
    <xf numFmtId="167" fontId="3" fillId="0" borderId="0" xfId="0" applyNumberFormat="1" applyFont="1" applyBorder="1"/>
    <xf numFmtId="44" fontId="73" fillId="0" borderId="0" xfId="1" applyFont="1" applyBorder="1"/>
    <xf numFmtId="9" fontId="0" fillId="0" borderId="0" xfId="3" applyFont="1" applyBorder="1"/>
    <xf numFmtId="0" fontId="10" fillId="5" borderId="14" xfId="0" applyFont="1" applyFill="1" applyBorder="1" applyAlignment="1">
      <alignment horizontal="center" wrapText="1"/>
    </xf>
    <xf numFmtId="10" fontId="0" fillId="5" borderId="14" xfId="0" applyNumberFormat="1" applyFill="1" applyBorder="1"/>
    <xf numFmtId="44" fontId="44" fillId="0" borderId="0" xfId="1" applyFont="1" applyBorder="1"/>
    <xf numFmtId="44" fontId="44" fillId="18" borderId="0" xfId="1" applyFont="1" applyFill="1" applyBorder="1"/>
    <xf numFmtId="9" fontId="0" fillId="18" borderId="0" xfId="3" applyFont="1" applyFill="1" applyBorder="1"/>
    <xf numFmtId="0" fontId="0" fillId="18" borderId="18" xfId="0" applyFill="1" applyBorder="1"/>
    <xf numFmtId="0" fontId="0" fillId="18" borderId="25" xfId="0" applyFill="1" applyBorder="1"/>
    <xf numFmtId="14" fontId="0" fillId="18" borderId="25" xfId="0" applyNumberFormat="1" applyFill="1" applyBorder="1"/>
    <xf numFmtId="44" fontId="44" fillId="18" borderId="25" xfId="1" applyFont="1" applyFill="1" applyBorder="1"/>
    <xf numFmtId="167" fontId="0" fillId="18" borderId="25" xfId="0" applyNumberFormat="1" applyFill="1" applyBorder="1"/>
    <xf numFmtId="9" fontId="0" fillId="18" borderId="25" xfId="3" applyFont="1" applyFill="1" applyBorder="1"/>
    <xf numFmtId="0" fontId="0" fillId="18" borderId="22" xfId="0" applyFill="1" applyBorder="1"/>
    <xf numFmtId="0" fontId="0" fillId="18" borderId="19" xfId="0" applyFill="1" applyBorder="1"/>
    <xf numFmtId="0" fontId="0" fillId="18" borderId="0" xfId="0" applyFill="1" applyBorder="1"/>
    <xf numFmtId="14" fontId="0" fillId="18" borderId="0" xfId="0" applyNumberFormat="1" applyFill="1" applyBorder="1"/>
    <xf numFmtId="167" fontId="0" fillId="18" borderId="0" xfId="0" applyNumberFormat="1" applyFill="1" applyBorder="1"/>
    <xf numFmtId="0" fontId="0" fillId="18" borderId="20" xfId="0" applyFill="1" applyBorder="1"/>
    <xf numFmtId="0" fontId="0" fillId="18" borderId="23" xfId="0" applyFill="1" applyBorder="1"/>
    <xf numFmtId="0" fontId="0" fillId="18" borderId="24" xfId="0" applyFill="1" applyBorder="1"/>
    <xf numFmtId="14" fontId="0" fillId="18" borderId="24" xfId="0" applyNumberFormat="1" applyFill="1" applyBorder="1"/>
    <xf numFmtId="44" fontId="44" fillId="18" borderId="24" xfId="1" applyFont="1" applyFill="1" applyBorder="1"/>
    <xf numFmtId="167" fontId="0" fillId="18" borderId="24" xfId="0" applyNumberFormat="1" applyFill="1" applyBorder="1"/>
    <xf numFmtId="9" fontId="0" fillId="18" borderId="24" xfId="3" applyFont="1" applyFill="1" applyBorder="1"/>
    <xf numFmtId="0" fontId="0" fillId="18" borderId="21" xfId="0" applyFill="1" applyBorder="1"/>
    <xf numFmtId="167" fontId="75" fillId="13" borderId="0" xfId="0" applyNumberFormat="1" applyFont="1" applyFill="1"/>
    <xf numFmtId="44" fontId="74" fillId="18" borderId="0" xfId="1" applyFont="1" applyFill="1" applyBorder="1"/>
    <xf numFmtId="44" fontId="74" fillId="18" borderId="25" xfId="1" applyFont="1" applyFill="1" applyBorder="1"/>
    <xf numFmtId="173" fontId="0" fillId="18" borderId="25" xfId="0" applyNumberFormat="1" applyFill="1" applyBorder="1" applyAlignment="1">
      <alignment horizontal="left" indent="1"/>
    </xf>
    <xf numFmtId="173" fontId="0" fillId="18" borderId="0" xfId="0" applyNumberFormat="1" applyFill="1" applyBorder="1" applyAlignment="1">
      <alignment horizontal="left" indent="1"/>
    </xf>
    <xf numFmtId="173" fontId="0" fillId="18" borderId="24" xfId="0" applyNumberFormat="1" applyFill="1" applyBorder="1" applyAlignment="1">
      <alignment horizontal="left" indent="1"/>
    </xf>
    <xf numFmtId="174" fontId="3" fillId="0" borderId="0" xfId="0" applyNumberFormat="1" applyFont="1"/>
    <xf numFmtId="167" fontId="3" fillId="0" borderId="0" xfId="0" applyNumberFormat="1" applyFont="1"/>
    <xf numFmtId="167" fontId="76" fillId="13" borderId="0" xfId="0" applyNumberFormat="1" applyFont="1" applyFill="1"/>
    <xf numFmtId="167" fontId="77" fillId="13" borderId="0" xfId="0" applyNumberFormat="1" applyFont="1" applyFill="1"/>
    <xf numFmtId="44" fontId="1" fillId="0" borderId="0" xfId="1" applyFont="1"/>
    <xf numFmtId="9" fontId="1" fillId="0" borderId="0" xfId="3" applyFont="1"/>
    <xf numFmtId="44" fontId="44" fillId="18" borderId="0" xfId="1" applyFont="1" applyFill="1"/>
    <xf numFmtId="44" fontId="44" fillId="0" borderId="0" xfId="1" applyFont="1"/>
    <xf numFmtId="9" fontId="1" fillId="18" borderId="0" xfId="3" applyFont="1" applyFill="1" applyBorder="1"/>
    <xf numFmtId="167" fontId="78" fillId="13" borderId="0" xfId="0" applyNumberFormat="1" applyFont="1" applyFill="1"/>
    <xf numFmtId="167" fontId="79" fillId="13" borderId="0" xfId="0" applyNumberFormat="1" applyFont="1" applyFill="1"/>
    <xf numFmtId="0" fontId="0" fillId="0" borderId="0" xfId="0" pivotButton="1"/>
    <xf numFmtId="0" fontId="0" fillId="0" borderId="0" xfId="0" applyAlignment="1">
      <alignment horizontal="left"/>
    </xf>
    <xf numFmtId="10" fontId="0" fillId="0" borderId="0" xfId="0" applyNumberFormat="1"/>
    <xf numFmtId="167" fontId="80" fillId="13" borderId="0" xfId="0" applyNumberFormat="1" applyFont="1" applyFill="1"/>
    <xf numFmtId="0" fontId="0" fillId="0" borderId="0" xfId="0" applyNumberFormat="1"/>
    <xf numFmtId="2" fontId="0" fillId="0" borderId="0" xfId="0" applyNumberFormat="1"/>
    <xf numFmtId="1" fontId="0" fillId="0" borderId="0" xfId="0" applyNumberFormat="1"/>
    <xf numFmtId="167" fontId="81" fillId="13" borderId="0" xfId="0" applyNumberFormat="1" applyFont="1" applyFill="1"/>
    <xf numFmtId="167" fontId="82" fillId="13" borderId="0" xfId="0" applyNumberFormat="1" applyFont="1" applyFill="1"/>
    <xf numFmtId="0" fontId="0" fillId="0" borderId="0" xfId="1" applyNumberFormat="1" applyFont="1"/>
    <xf numFmtId="14" fontId="0" fillId="0" borderId="0" xfId="1" applyNumberFormat="1" applyFont="1"/>
    <xf numFmtId="10" fontId="0" fillId="0" borderId="0" xfId="1" applyNumberFormat="1" applyFont="1"/>
    <xf numFmtId="167" fontId="83" fillId="13" borderId="0" xfId="0" applyNumberFormat="1" applyFont="1" applyFill="1"/>
    <xf numFmtId="167" fontId="0" fillId="0" borderId="0" xfId="0" applyNumberFormat="1" applyFont="1" applyBorder="1"/>
    <xf numFmtId="0" fontId="0" fillId="18" borderId="0" xfId="0" applyFill="1"/>
    <xf numFmtId="14" fontId="0" fillId="18" borderId="0" xfId="0" applyNumberFormat="1" applyFill="1"/>
    <xf numFmtId="44" fontId="84" fillId="18" borderId="0" xfId="1" applyFont="1" applyFill="1"/>
    <xf numFmtId="167" fontId="0" fillId="18" borderId="0" xfId="0" applyNumberFormat="1" applyFill="1"/>
    <xf numFmtId="9" fontId="0" fillId="18" borderId="0" xfId="3" applyFont="1" applyFill="1"/>
    <xf numFmtId="173" fontId="0" fillId="18" borderId="0" xfId="0" applyNumberFormat="1" applyFill="1" applyAlignment="1">
      <alignment horizontal="left" indent="1"/>
    </xf>
    <xf numFmtId="42" fontId="0" fillId="0" borderId="0" xfId="1" applyNumberFormat="1" applyFont="1"/>
    <xf numFmtId="0" fontId="85" fillId="0" borderId="0" xfId="0" applyFont="1"/>
    <xf numFmtId="0" fontId="86" fillId="0" borderId="0" xfId="0" applyFont="1"/>
    <xf numFmtId="0" fontId="85" fillId="0" borderId="18" xfId="0" applyFont="1" applyBorder="1"/>
    <xf numFmtId="42" fontId="85" fillId="0" borderId="25" xfId="1" applyNumberFormat="1" applyFont="1" applyBorder="1"/>
    <xf numFmtId="0" fontId="85" fillId="0" borderId="25" xfId="0" applyFont="1" applyBorder="1"/>
    <xf numFmtId="0" fontId="85" fillId="19" borderId="25" xfId="0" applyFont="1" applyFill="1" applyBorder="1"/>
    <xf numFmtId="0" fontId="86" fillId="19" borderId="25" xfId="0" applyFont="1" applyFill="1" applyBorder="1"/>
    <xf numFmtId="0" fontId="87" fillId="19" borderId="25" xfId="0" applyFont="1" applyFill="1" applyBorder="1"/>
    <xf numFmtId="0" fontId="85" fillId="0" borderId="22" xfId="0" applyFont="1" applyBorder="1"/>
    <xf numFmtId="0" fontId="86" fillId="0" borderId="0" xfId="0" applyNumberFormat="1" applyFont="1"/>
    <xf numFmtId="14" fontId="86" fillId="0" borderId="0" xfId="0" applyNumberFormat="1" applyFont="1"/>
    <xf numFmtId="10" fontId="86" fillId="0" borderId="0" xfId="0" applyNumberFormat="1" applyFont="1"/>
    <xf numFmtId="0" fontId="86" fillId="0" borderId="0" xfId="0" applyFont="1" applyAlignment="1">
      <alignment horizontal="right"/>
    </xf>
    <xf numFmtId="0" fontId="88" fillId="0" borderId="0" xfId="0" applyFont="1"/>
    <xf numFmtId="0" fontId="88" fillId="0" borderId="0" xfId="0" applyFont="1" applyAlignment="1">
      <alignment horizontal="center"/>
    </xf>
    <xf numFmtId="0" fontId="86" fillId="0" borderId="0" xfId="0" applyFont="1" applyAlignment="1">
      <alignment horizontal="center"/>
    </xf>
    <xf numFmtId="0" fontId="86" fillId="0" borderId="0" xfId="0" applyFont="1" applyBorder="1"/>
    <xf numFmtId="0" fontId="86" fillId="19" borderId="0" xfId="0" applyFont="1" applyFill="1" applyBorder="1"/>
    <xf numFmtId="0" fontId="87" fillId="19" borderId="0" xfId="0" applyFont="1" applyFill="1" applyBorder="1"/>
    <xf numFmtId="0" fontId="85" fillId="19" borderId="0" xfId="0" applyFont="1" applyFill="1" applyBorder="1"/>
    <xf numFmtId="0" fontId="86" fillId="0" borderId="20" xfId="0" applyFont="1" applyBorder="1"/>
    <xf numFmtId="0" fontId="86" fillId="0" borderId="23" xfId="0" applyFont="1" applyBorder="1"/>
    <xf numFmtId="0" fontId="86" fillId="0" borderId="24" xfId="0" applyFont="1" applyBorder="1"/>
    <xf numFmtId="0" fontId="87" fillId="0" borderId="24" xfId="0" applyFont="1" applyBorder="1"/>
    <xf numFmtId="0" fontId="86" fillId="0" borderId="21" xfId="0" applyFont="1" applyBorder="1"/>
    <xf numFmtId="0" fontId="85" fillId="9" borderId="18" xfId="0" applyFont="1" applyFill="1" applyBorder="1"/>
    <xf numFmtId="42" fontId="85" fillId="9" borderId="19" xfId="0" applyNumberFormat="1" applyFont="1" applyFill="1" applyBorder="1"/>
    <xf numFmtId="0" fontId="85" fillId="0" borderId="45" xfId="0" applyFont="1" applyBorder="1"/>
    <xf numFmtId="0" fontId="86" fillId="0" borderId="47" xfId="0" applyFont="1" applyBorder="1"/>
    <xf numFmtId="0" fontId="86" fillId="0" borderId="22" xfId="0" applyFont="1" applyBorder="1"/>
    <xf numFmtId="0" fontId="86" fillId="0" borderId="19" xfId="0" applyFont="1" applyBorder="1"/>
    <xf numFmtId="44" fontId="86" fillId="0" borderId="24" xfId="1" applyNumberFormat="1" applyFont="1" applyBorder="1"/>
    <xf numFmtId="44" fontId="0" fillId="0" borderId="0" xfId="1" applyNumberFormat="1" applyFont="1"/>
    <xf numFmtId="9" fontId="86" fillId="0" borderId="24" xfId="3" applyFont="1" applyBorder="1"/>
    <xf numFmtId="44" fontId="90" fillId="19" borderId="25" xfId="1" applyNumberFormat="1" applyFont="1" applyFill="1" applyBorder="1"/>
    <xf numFmtId="44" fontId="90" fillId="19" borderId="0" xfId="1" applyNumberFormat="1" applyFont="1" applyFill="1" applyBorder="1"/>
    <xf numFmtId="175" fontId="86" fillId="19" borderId="0" xfId="0" applyNumberFormat="1" applyFont="1" applyFill="1" applyBorder="1"/>
    <xf numFmtId="1" fontId="0" fillId="18" borderId="0" xfId="0" applyNumberFormat="1" applyFill="1" applyBorder="1" applyAlignment="1">
      <alignment horizontal="left" indent="1"/>
    </xf>
    <xf numFmtId="1" fontId="0" fillId="0" borderId="0" xfId="0" applyNumberFormat="1" applyBorder="1"/>
    <xf numFmtId="1" fontId="3" fillId="0" borderId="7" xfId="0" applyNumberFormat="1" applyFont="1" applyBorder="1"/>
    <xf numFmtId="167" fontId="91" fillId="13" borderId="0" xfId="0" applyNumberFormat="1" applyFont="1" applyFill="1"/>
    <xf numFmtId="44" fontId="92" fillId="18" borderId="0" xfId="1" applyFont="1" applyFill="1"/>
    <xf numFmtId="44" fontId="92" fillId="18" borderId="0" xfId="1" applyFont="1" applyFill="1" applyBorder="1"/>
    <xf numFmtId="0" fontId="89" fillId="9" borderId="46" xfId="0" applyFont="1" applyFill="1" applyBorder="1"/>
    <xf numFmtId="9" fontId="86" fillId="9" borderId="24" xfId="3" applyFont="1" applyFill="1" applyBorder="1"/>
    <xf numFmtId="0" fontId="86" fillId="9" borderId="0" xfId="0" applyFont="1" applyFill="1" applyBorder="1"/>
    <xf numFmtId="1" fontId="0" fillId="18" borderId="0" xfId="0" applyNumberFormat="1" applyFill="1" applyAlignment="1">
      <alignment horizontal="left" indent="1"/>
    </xf>
    <xf numFmtId="169" fontId="0" fillId="0" borderId="0" xfId="3" applyNumberFormat="1" applyFont="1"/>
    <xf numFmtId="14" fontId="1" fillId="0" borderId="0" xfId="0" applyNumberFormat="1" applyFont="1"/>
    <xf numFmtId="44" fontId="0" fillId="0" borderId="0" xfId="0" applyNumberFormat="1"/>
    <xf numFmtId="44" fontId="93" fillId="18" borderId="0" xfId="1" applyFont="1" applyFill="1"/>
    <xf numFmtId="167" fontId="94" fillId="13" borderId="0" xfId="0" applyNumberFormat="1" applyFont="1" applyFill="1"/>
    <xf numFmtId="176" fontId="0" fillId="0" borderId="0" xfId="3" applyNumberFormat="1" applyFont="1"/>
    <xf numFmtId="176" fontId="1" fillId="0" borderId="0" xfId="3" applyNumberFormat="1" applyFont="1"/>
    <xf numFmtId="167" fontId="95" fillId="13" borderId="0" xfId="0" applyNumberFormat="1" applyFont="1" applyFill="1"/>
    <xf numFmtId="0" fontId="33" fillId="20" borderId="48" xfId="0" applyFont="1" applyFill="1" applyBorder="1"/>
    <xf numFmtId="3" fontId="0" fillId="0" borderId="0" xfId="0" applyNumberFormat="1"/>
    <xf numFmtId="177" fontId="0" fillId="0" borderId="0" xfId="1" applyNumberFormat="1" applyFont="1"/>
    <xf numFmtId="178" fontId="0" fillId="0" borderId="0" xfId="0" applyNumberFormat="1"/>
    <xf numFmtId="178" fontId="0" fillId="0" borderId="0" xfId="3" applyNumberFormat="1" applyFont="1"/>
    <xf numFmtId="0" fontId="3" fillId="0" borderId="18" xfId="0" applyFont="1" applyBorder="1"/>
    <xf numFmtId="167" fontId="67" fillId="13" borderId="22" xfId="3" applyNumberFormat="1" applyFont="1" applyFill="1" applyBorder="1"/>
    <xf numFmtId="0" fontId="96" fillId="0" borderId="0" xfId="0" applyFont="1"/>
    <xf numFmtId="177" fontId="3" fillId="0" borderId="0" xfId="0" applyNumberFormat="1" applyFont="1"/>
    <xf numFmtId="0" fontId="1" fillId="18" borderId="0" xfId="0" applyFont="1" applyFill="1" applyBorder="1"/>
    <xf numFmtId="179" fontId="0" fillId="0" borderId="0" xfId="1" applyNumberFormat="1" applyFont="1"/>
    <xf numFmtId="167" fontId="97" fillId="13" borderId="0" xfId="0" applyNumberFormat="1" applyFont="1" applyFill="1"/>
    <xf numFmtId="0" fontId="57" fillId="0" borderId="0" xfId="0" applyFont="1"/>
    <xf numFmtId="167" fontId="98" fillId="13" borderId="0" xfId="0" applyNumberFormat="1" applyFont="1" applyFill="1"/>
    <xf numFmtId="9" fontId="86" fillId="0" borderId="0" xfId="3" applyFont="1" applyBorder="1"/>
    <xf numFmtId="0" fontId="87" fillId="0" borderId="0" xfId="0" applyFont="1" applyBorder="1"/>
    <xf numFmtId="44" fontId="86" fillId="0" borderId="0" xfId="1" applyNumberFormat="1" applyFont="1" applyBorder="1"/>
    <xf numFmtId="0" fontId="100" fillId="21" borderId="25" xfId="6" applyFont="1" applyBorder="1"/>
    <xf numFmtId="9" fontId="100" fillId="21" borderId="25" xfId="6" applyNumberFormat="1" applyFont="1" applyBorder="1"/>
    <xf numFmtId="0" fontId="86" fillId="0" borderId="25" xfId="0" applyFont="1" applyBorder="1"/>
    <xf numFmtId="0" fontId="87" fillId="0" borderId="25" xfId="0" applyFont="1" applyBorder="1"/>
    <xf numFmtId="44" fontId="86" fillId="0" borderId="25" xfId="1" applyNumberFormat="1" applyFont="1" applyBorder="1"/>
    <xf numFmtId="0" fontId="99" fillId="21" borderId="0" xfId="6" applyBorder="1"/>
    <xf numFmtId="44" fontId="99" fillId="21" borderId="0" xfId="6" applyNumberFormat="1" applyBorder="1"/>
    <xf numFmtId="0" fontId="99" fillId="21" borderId="0" xfId="6" applyNumberFormat="1" applyBorder="1"/>
    <xf numFmtId="0" fontId="85" fillId="0" borderId="19" xfId="0" applyFont="1" applyBorder="1"/>
    <xf numFmtId="2" fontId="86" fillId="0" borderId="0" xfId="3" applyNumberFormat="1" applyFont="1" applyBorder="1"/>
    <xf numFmtId="44" fontId="86" fillId="0" borderId="24" xfId="0" applyNumberFormat="1" applyFont="1" applyBorder="1"/>
    <xf numFmtId="44" fontId="101" fillId="18" borderId="0" xfId="1" applyFont="1" applyFill="1"/>
    <xf numFmtId="177" fontId="0" fillId="0" borderId="0" xfId="0" applyNumberFormat="1" applyFont="1"/>
    <xf numFmtId="44" fontId="0" fillId="0" borderId="0" xfId="0" applyNumberFormat="1" applyFont="1"/>
    <xf numFmtId="167" fontId="102" fillId="13" borderId="0" xfId="0" applyNumberFormat="1" applyFont="1" applyFill="1"/>
    <xf numFmtId="0" fontId="103" fillId="0" borderId="0" xfId="0" applyFont="1"/>
    <xf numFmtId="44" fontId="104" fillId="0" borderId="0" xfId="1" applyFont="1"/>
    <xf numFmtId="167" fontId="103" fillId="0" borderId="0" xfId="0" applyNumberFormat="1" applyFont="1"/>
    <xf numFmtId="174" fontId="103" fillId="0" borderId="0" xfId="0" applyNumberFormat="1" applyFont="1"/>
    <xf numFmtId="44" fontId="105" fillId="18" borderId="0" xfId="1" applyFont="1" applyFill="1" applyBorder="1"/>
    <xf numFmtId="0" fontId="38" fillId="10" borderId="49" xfId="0" applyFont="1" applyFill="1" applyBorder="1" applyAlignment="1">
      <alignment horizontal="right" vertical="center" wrapText="1"/>
    </xf>
    <xf numFmtId="44" fontId="107" fillId="18" borderId="0" xfId="1" applyFont="1" applyFill="1"/>
    <xf numFmtId="0" fontId="85" fillId="9" borderId="25" xfId="0" applyFont="1" applyFill="1" applyBorder="1"/>
    <xf numFmtId="42" fontId="85" fillId="9" borderId="0" xfId="0" applyNumberFormat="1" applyFont="1" applyFill="1" applyBorder="1"/>
    <xf numFmtId="0" fontId="106" fillId="22" borderId="50" xfId="0" applyFont="1" applyFill="1" applyBorder="1"/>
    <xf numFmtId="9" fontId="3" fillId="9" borderId="0" xfId="3" applyFont="1" applyFill="1"/>
    <xf numFmtId="44" fontId="104" fillId="18" borderId="0" xfId="1" applyFont="1" applyFill="1"/>
    <xf numFmtId="0" fontId="26" fillId="8" borderId="18" xfId="0" applyFont="1" applyFill="1" applyBorder="1" applyAlignment="1">
      <alignment vertical="top" wrapText="1"/>
    </xf>
    <xf numFmtId="0" fontId="26" fillId="8" borderId="25" xfId="0" applyFont="1" applyFill="1" applyBorder="1" applyAlignment="1">
      <alignment vertical="top" wrapText="1"/>
    </xf>
    <xf numFmtId="0" fontId="26" fillId="8" borderId="22" xfId="0" applyFont="1" applyFill="1" applyBorder="1" applyAlignment="1">
      <alignment vertical="top" wrapText="1"/>
    </xf>
  </cellXfs>
  <cellStyles count="7">
    <cellStyle name="Currency" xfId="1" builtinId="4"/>
    <cellStyle name="Hyperlink" xfId="4" builtinId="8"/>
    <cellStyle name="Neutral" xfId="6" builtinId="28"/>
    <cellStyle name="Normal" xfId="0" builtinId="0"/>
    <cellStyle name="Normal_Stock price" xfId="2"/>
    <cellStyle name="Normal_Yr2010" xfId="5"/>
    <cellStyle name="Percent" xfId="3" builtinId="5"/>
  </cellStyles>
  <dxfs count="170">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0" formatCode="&quot;$&quot;#,##0_);[Red]\(&quot;$&quot;#,##0\)"/>
    </dxf>
    <dxf>
      <font>
        <b/>
        <i val="0"/>
        <strike val="0"/>
        <condense val="0"/>
        <extend val="0"/>
        <outline val="0"/>
        <shadow val="0"/>
        <u val="none"/>
        <vertAlign val="baseline"/>
        <sz val="10"/>
        <color auto="1"/>
        <name val="Arial"/>
        <scheme val="none"/>
      </font>
    </dxf>
    <dxf>
      <numFmt numFmtId="0" formatCode="General"/>
    </dxf>
    <dxf>
      <numFmt numFmtId="19" formatCode="m/d/yyyy"/>
    </dxf>
    <dxf>
      <numFmt numFmtId="19" formatCode="m/d/yyyy"/>
    </dxf>
    <dxf>
      <numFmt numFmtId="1" formatCode="0"/>
      <fill>
        <patternFill patternType="solid">
          <fgColor indexed="64"/>
          <bgColor theme="0"/>
        </patternFill>
      </fill>
      <alignment horizontal="left" vertical="bottom" textRotation="0" wrapText="0" indent="1" justifyLastLine="0" shrinkToFit="0" readingOrder="0"/>
    </dxf>
    <dxf>
      <fill>
        <patternFill patternType="solid">
          <fgColor indexed="64"/>
          <bgColor theme="0"/>
        </patternFill>
      </fill>
    </dxf>
    <dxf>
      <numFmt numFmtId="173" formatCode="_([$$-409]* #,##0_);_([$$-409]* \(#,##0\);_([$$-409]* &quot;-&quot;??_);_(@_)"/>
      <fill>
        <patternFill patternType="solid">
          <fgColor indexed="64"/>
          <bgColor theme="0"/>
        </patternFill>
      </fill>
      <alignment horizontal="left" vertical="bottom" textRotation="0" wrapText="0" indent="1" justifyLastLine="0" shrinkToFit="0" readingOrder="0"/>
    </dxf>
    <dxf>
      <fill>
        <patternFill patternType="solid">
          <fgColor indexed="64"/>
          <bgColor theme="0"/>
        </patternFill>
      </fill>
    </dxf>
    <dxf>
      <fill>
        <patternFill patternType="solid">
          <fgColor indexed="64"/>
          <bgColor theme="0"/>
        </patternFill>
      </fill>
    </dxf>
    <dxf>
      <numFmt numFmtId="167" formatCode="0_);[Red]\(0\)"/>
      <fill>
        <patternFill patternType="solid">
          <fgColor indexed="64"/>
          <bgColor theme="0"/>
        </patternFill>
      </fill>
    </dxf>
    <dxf>
      <numFmt numFmtId="167" formatCode="0_);[Red]\(0\)"/>
      <fill>
        <patternFill patternType="solid">
          <fgColor indexed="64"/>
          <bgColor theme="0"/>
        </patternFill>
      </fill>
    </dxf>
    <dxf>
      <numFmt numFmtId="167" formatCode="0_);[Red]\(0\)"/>
      <fill>
        <patternFill patternType="solid">
          <fgColor indexed="64"/>
          <bgColor theme="0"/>
        </patternFill>
      </fill>
    </dxf>
    <dxf>
      <font>
        <b val="0"/>
        <i val="0"/>
        <strike val="0"/>
        <condense val="0"/>
        <extend val="0"/>
        <outline val="0"/>
        <shadow val="0"/>
        <u val="none"/>
        <vertAlign val="baseline"/>
        <sz val="10"/>
        <color rgb="FF2E07BD"/>
        <name val="Arial"/>
        <scheme val="none"/>
      </font>
      <fill>
        <patternFill patternType="solid">
          <fgColor indexed="64"/>
          <bgColor theme="0"/>
        </patternFill>
      </fill>
    </dxf>
    <dxf>
      <numFmt numFmtId="19" formatCode="m/d/yyyy"/>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border diagonalUp="0" diagonalDown="0">
        <left style="medium">
          <color indexed="64"/>
        </left>
        <right/>
        <top/>
        <bottom/>
        <vertical/>
        <horizontal/>
      </border>
    </dxf>
    <dxf>
      <font>
        <b/>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176" formatCode="0.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168" formatCode="&quot;$&quot;#,##0.00"/>
    </dxf>
    <dxf>
      <font>
        <b/>
        <i val="0"/>
        <strike val="0"/>
        <condense val="0"/>
        <extend val="0"/>
        <outline val="0"/>
        <shadow val="0"/>
        <u val="none"/>
        <vertAlign val="baseline"/>
        <sz val="10"/>
        <color auto="1"/>
        <name val="Arial"/>
        <scheme val="none"/>
      </font>
      <numFmt numFmtId="174" formatCode="0.00_);\(0.00\)"/>
    </dxf>
    <dxf>
      <numFmt numFmtId="167" formatCode="0_);[Red]\(0\)"/>
    </dxf>
    <dxf>
      <font>
        <b/>
        <i val="0"/>
        <strike val="0"/>
        <condense val="0"/>
        <extend val="0"/>
        <outline val="0"/>
        <shadow val="0"/>
        <u val="none"/>
        <vertAlign val="baseline"/>
        <sz val="10"/>
        <color auto="1"/>
        <name val="Arial"/>
        <scheme val="none"/>
      </font>
      <numFmt numFmtId="167" formatCode="0_);[Red]\(0\)"/>
    </dxf>
    <dxf>
      <numFmt numFmtId="167" formatCode="0_);[Red]\(0\)"/>
    </dxf>
    <dxf>
      <font>
        <b val="0"/>
        <i val="0"/>
        <strike val="0"/>
        <condense val="0"/>
        <extend val="0"/>
        <outline val="0"/>
        <shadow val="0"/>
        <u val="none"/>
        <vertAlign val="baseline"/>
        <sz val="10"/>
        <color rgb="FF2E07BD"/>
        <name val="Arial"/>
        <scheme val="none"/>
      </font>
    </dxf>
    <dxf>
      <font>
        <b/>
        <i val="0"/>
        <strike val="0"/>
        <condense val="0"/>
        <extend val="0"/>
        <outline val="0"/>
        <shadow val="0"/>
        <u val="none"/>
        <vertAlign val="baseline"/>
        <sz val="10"/>
        <color rgb="FF2E07BD"/>
        <name val="Arial"/>
        <scheme val="none"/>
      </font>
      <fill>
        <patternFill patternType="solid">
          <fgColor indexed="64"/>
          <bgColor theme="0"/>
        </patternFill>
      </fill>
    </dxf>
    <dxf>
      <numFmt numFmtId="19" formatCode="m/d/yyyy"/>
    </dxf>
    <dxf>
      <font>
        <b val="0"/>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auto="1"/>
        <name val="Arial"/>
        <scheme val="none"/>
      </font>
    </dxf>
    <dxf>
      <numFmt numFmtId="167" formatCode="0_);[Red]\(0\)"/>
    </dxf>
    <dxf>
      <numFmt numFmtId="167" formatCode="0_);[Red]\(0\)"/>
    </dxf>
    <dxf>
      <numFmt numFmtId="167" formatCode="0_);[Red]\(0\)"/>
    </dxf>
    <dxf>
      <numFmt numFmtId="19" formatCode="m/d/yyyy"/>
    </dxf>
    <dxf>
      <numFmt numFmtId="19" formatCode="m/d/yyyy"/>
    </dxf>
    <dxf>
      <font>
        <condense val="0"/>
        <extend val="0"/>
        <color indexed="10"/>
      </font>
    </dxf>
    <dxf>
      <font>
        <condense val="0"/>
        <extend val="0"/>
        <color indexed="53"/>
      </font>
    </dxf>
    <dxf>
      <font>
        <b/>
        <i val="0"/>
        <condense val="0"/>
        <extend val="0"/>
        <color indexed="57"/>
      </font>
    </dxf>
    <dxf>
      <font>
        <b/>
        <i val="0"/>
        <condense val="0"/>
        <extend val="0"/>
        <color indexed="53"/>
      </font>
    </dxf>
    <dxf>
      <font>
        <condense val="0"/>
        <extend val="0"/>
        <color rgb="FF9C0006"/>
      </font>
    </dxf>
    <dxf>
      <font>
        <color rgb="FFFF0000"/>
      </font>
    </dxf>
    <dxf>
      <font>
        <condense val="0"/>
        <extend val="0"/>
        <color indexed="10"/>
      </font>
    </dxf>
    <dxf>
      <font>
        <condense val="0"/>
        <extend val="0"/>
        <color rgb="FF9C0006"/>
      </font>
      <fill>
        <patternFill>
          <bgColor rgb="FFFFC7CE"/>
        </patternFill>
      </fill>
    </dxf>
    <dxf>
      <font>
        <condense val="0"/>
        <extend val="0"/>
        <color rgb="FF9C0006"/>
      </font>
      <fill>
        <patternFill>
          <bgColor rgb="FFFFC7CE"/>
        </patternFill>
      </fill>
    </dxf>
    <dxf>
      <font>
        <b/>
        <i val="0"/>
        <condense val="0"/>
        <extend val="0"/>
      </font>
    </dxf>
    <dxf>
      <font>
        <b/>
        <i val="0"/>
        <condense val="0"/>
        <extend val="0"/>
        <color indexed="57"/>
      </font>
    </dxf>
    <dxf>
      <font>
        <b/>
        <i val="0"/>
        <condense val="0"/>
        <extend val="0"/>
        <color indexed="53"/>
      </font>
    </dxf>
    <dxf>
      <font>
        <b/>
        <i val="0"/>
        <condense val="0"/>
        <extend val="0"/>
        <color indexed="57"/>
      </font>
    </dxf>
    <dxf>
      <font>
        <b/>
        <i val="0"/>
        <condense val="0"/>
        <extend val="0"/>
        <color indexed="53"/>
      </font>
    </dxf>
    <dxf>
      <font>
        <condense val="0"/>
        <extend val="0"/>
        <color rgb="FF9C0006"/>
      </font>
      <fill>
        <patternFill>
          <bgColor rgb="FFFFC7CE"/>
        </patternFill>
      </fill>
    </dxf>
    <dxf>
      <font>
        <b/>
        <i val="0"/>
        <color rgb="FF7030A0"/>
      </font>
      <fill>
        <patternFill patternType="solid">
          <bgColor rgb="FF92D050"/>
        </patternFill>
      </fill>
    </dxf>
    <dxf>
      <font>
        <b/>
        <i val="0"/>
        <color auto="1"/>
      </font>
      <fill>
        <patternFill>
          <bgColor theme="9" tint="0.39994506668294322"/>
        </patternFill>
      </fill>
    </dxf>
    <dxf>
      <font>
        <b/>
        <i val="0"/>
      </font>
    </dxf>
    <dxf>
      <font>
        <b/>
        <i val="0"/>
        <color rgb="FF7030A0"/>
      </font>
      <fill>
        <patternFill patternType="solid">
          <bgColor rgb="FFFFFF00"/>
        </patternFill>
      </fill>
    </dxf>
    <dxf>
      <font>
        <b/>
        <i val="0"/>
        <color rgb="FF7030A0"/>
      </font>
      <fill>
        <patternFill>
          <bgColor rgb="FFFFFF00"/>
        </patternFill>
      </fill>
    </dxf>
    <dxf>
      <fill>
        <patternFill>
          <bgColor theme="9" tint="0.59996337778862885"/>
        </patternFill>
      </fill>
    </dxf>
    <dxf>
      <fill>
        <patternFill>
          <bgColor theme="9" tint="0.59996337778862885"/>
        </patternFill>
      </fill>
    </dxf>
    <dxf>
      <font>
        <b/>
        <i val="0"/>
        <color theme="5" tint="-0.24994659260841701"/>
      </font>
      <fill>
        <patternFill>
          <bgColor theme="9" tint="0.59996337778862885"/>
        </patternFill>
      </fill>
    </dxf>
    <dxf>
      <font>
        <color theme="3"/>
      </font>
    </dxf>
    <dxf>
      <font>
        <condense val="0"/>
        <extend val="0"/>
        <color indexed="10"/>
      </font>
    </dxf>
    <dxf>
      <font>
        <condense val="0"/>
        <extend val="0"/>
        <color rgb="FF9C0006"/>
      </font>
      <fill>
        <patternFill>
          <bgColor rgb="FFFFC7CE"/>
        </patternFill>
      </fill>
    </dxf>
    <dxf>
      <font>
        <color theme="3"/>
      </font>
    </dxf>
    <dxf>
      <font>
        <condense val="0"/>
        <extend val="0"/>
        <color indexed="10"/>
      </font>
    </dxf>
    <dxf>
      <numFmt numFmtId="13" formatCode="0%"/>
    </dxf>
    <dxf>
      <font>
        <b val="0"/>
        <i val="0"/>
        <strike val="0"/>
        <condense val="0"/>
        <extend val="0"/>
        <outline val="0"/>
        <shadow val="0"/>
        <u val="none"/>
        <vertAlign val="baseline"/>
        <sz val="10"/>
        <color auto="1"/>
        <name val="Arial"/>
        <scheme val="none"/>
      </font>
      <numFmt numFmtId="178" formatCode="[$₹-4009]\ #,##0"/>
    </dxf>
    <dxf>
      <font>
        <b val="0"/>
        <i val="0"/>
        <strike val="0"/>
        <condense val="0"/>
        <extend val="0"/>
        <outline val="0"/>
        <shadow val="0"/>
        <u val="none"/>
        <vertAlign val="baseline"/>
        <sz val="10"/>
        <color auto="1"/>
        <name val="Arial"/>
        <scheme val="none"/>
      </font>
      <numFmt numFmtId="179" formatCode="_ [$₹-4009]\ * #,##0_ ;_ [$₹-4009]\ * \-#,##0_ ;_ [$₹-4009]\ * &quot;-&quot;_ ;_ @_ "/>
    </dxf>
    <dxf>
      <numFmt numFmtId="167" formatCode="0_);[Red]\(0\)"/>
    </dxf>
    <dxf>
      <numFmt numFmtId="167" formatCode="0_);[Red]\(0\)"/>
    </dxf>
    <dxf>
      <numFmt numFmtId="19" formatCode="m/d/yyyy"/>
    </dxf>
    <dxf>
      <font>
        <b val="0"/>
        <i val="0"/>
        <strike val="0"/>
        <condense val="0"/>
        <extend val="0"/>
        <outline val="0"/>
        <shadow val="0"/>
        <u val="none"/>
        <vertAlign val="baseline"/>
        <sz val="10"/>
        <color auto="1"/>
        <name val="Arial"/>
        <scheme val="none"/>
      </font>
    </dxf>
    <dxf>
      <numFmt numFmtId="19" formatCode="m/d/yyyy"/>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34" formatCode="_(&quot;$&quot;* #,##0.00_);_(&quot;$&quot;* \(#,##0.00\);_(&quot;$&quot;* &quot;-&quot;??_);_(@_)"/>
    </dxf>
    <dxf>
      <numFmt numFmtId="19" formatCode="m/d/yyyy"/>
    </dxf>
    <dxf>
      <font>
        <b val="0"/>
        <i val="0"/>
        <strike val="0"/>
        <condense val="0"/>
        <extend val="0"/>
        <outline val="0"/>
        <shadow val="0"/>
        <u val="none"/>
        <vertAlign val="baseline"/>
        <sz val="10"/>
        <color auto="1"/>
        <name val="Arial"/>
        <scheme val="none"/>
      </font>
      <numFmt numFmtId="34" formatCode="_(&quot;$&quot;* #,##0.00_);_(&quot;$&quot;* \(#,##0.00\);_(&quot;$&quot;* &quot;-&quot;??_);_(@_)"/>
    </dxf>
    <dxf>
      <numFmt numFmtId="19" formatCode="m/d/yyyy"/>
    </dxf>
    <dxf>
      <numFmt numFmtId="167" formatCode="0_);[Red]\(0\)"/>
    </dxf>
    <dxf>
      <numFmt numFmtId="167" formatCode="0_);[Red]\(0\)"/>
    </dxf>
    <dxf>
      <font>
        <b val="0"/>
        <i val="0"/>
        <strike val="0"/>
        <condense val="0"/>
        <extend val="0"/>
        <outline val="0"/>
        <shadow val="0"/>
        <u val="none"/>
        <vertAlign val="baseline"/>
        <sz val="10"/>
        <color auto="1"/>
        <name val="Arial"/>
        <scheme val="none"/>
      </font>
      <numFmt numFmtId="177" formatCode="[$₹-4009]\ #,##0;[Red][$₹-4009]\ \-#,##0"/>
    </dxf>
    <dxf>
      <numFmt numFmtId="178" formatCode="[$₹-4009]\ #,##0"/>
    </dxf>
    <dxf>
      <numFmt numFmtId="13" formatCode="0%"/>
    </dxf>
    <dxf>
      <font>
        <b val="0"/>
        <i val="0"/>
        <strike val="0"/>
        <condense val="0"/>
        <extend val="0"/>
        <outline val="0"/>
        <shadow val="0"/>
        <u val="none"/>
        <vertAlign val="baseline"/>
        <sz val="10"/>
        <color auto="1"/>
        <name val="Arial"/>
        <scheme val="none"/>
      </font>
      <numFmt numFmtId="169" formatCode="&quot;$&quot;#,##0"/>
    </dxf>
    <dxf>
      <font>
        <b val="0"/>
        <i val="0"/>
        <strike val="0"/>
        <condense val="0"/>
        <extend val="0"/>
        <outline val="0"/>
        <shadow val="0"/>
        <u val="none"/>
        <vertAlign val="baseline"/>
        <sz val="10"/>
        <color auto="1"/>
        <name val="Arial"/>
        <scheme val="none"/>
      </font>
      <numFmt numFmtId="179" formatCode="_ [$₹-4009]\ * #,##0_ ;_ [$₹-4009]\ * \-#,##0_ ;_ [$₹-4009]\ * &quot;-&quot;_ ;_ @_ "/>
    </dxf>
    <dxf>
      <numFmt numFmtId="167" formatCode="0_);[Red]\(0\)"/>
    </dxf>
    <dxf>
      <numFmt numFmtId="167" formatCode="0_);[Red]\(0\)"/>
    </dxf>
    <dxf>
      <numFmt numFmtId="19" formatCode="m/d/yyyy"/>
    </dxf>
    <dxf>
      <font>
        <b val="0"/>
        <i val="0"/>
        <strike val="0"/>
        <condense val="0"/>
        <extend val="0"/>
        <outline val="0"/>
        <shadow val="0"/>
        <u val="none"/>
        <vertAlign val="baseline"/>
        <sz val="10"/>
        <color auto="1"/>
        <name val="Arial"/>
        <scheme val="none"/>
      </font>
    </dxf>
    <dxf>
      <numFmt numFmtId="19" formatCode="m/d/yyyy"/>
    </dxf>
    <dxf>
      <font>
        <b val="0"/>
        <i val="0"/>
        <strike val="0"/>
        <condense val="0"/>
        <extend val="0"/>
        <outline val="0"/>
        <shadow val="0"/>
        <u val="none"/>
        <vertAlign val="baseline"/>
        <sz val="10"/>
        <color auto="1"/>
        <name val="Arial"/>
        <scheme val="none"/>
      </font>
    </dxf>
    <dxf>
      <numFmt numFmtId="19" formatCode="m/d/yyyy"/>
    </dxf>
    <dxf>
      <numFmt numFmtId="19" formatCode="m/d/yyyy"/>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0"/>
        <color auto="1"/>
        <name val="Arial"/>
        <scheme val="none"/>
      </font>
      <numFmt numFmtId="34" formatCode="_(&quot;$&quot;* #,##0.00_);_(&quot;$&quot;* \(#,##0.00\);_(&quot;$&quot;* &quot;-&quot;??_);_(@_)"/>
      <border diagonalUp="0" diagonalDown="0" outline="0">
        <left/>
        <right/>
        <top/>
        <bottom/>
      </border>
    </dxf>
    <dxf>
      <numFmt numFmtId="19" formatCode="m/d/yyyy"/>
      <border diagonalUp="0" diagonalDown="0" outline="0">
        <left/>
        <right/>
        <top/>
        <bottom/>
      </border>
    </dxf>
    <dxf>
      <font>
        <b val="0"/>
        <i val="0"/>
        <strike val="0"/>
        <condense val="0"/>
        <extend val="0"/>
        <outline val="0"/>
        <shadow val="0"/>
        <u val="none"/>
        <vertAlign val="baseline"/>
        <sz val="10"/>
        <color auto="1"/>
        <name val="Arial"/>
        <scheme val="none"/>
      </font>
      <numFmt numFmtId="34" formatCode="_(&quot;$&quot;* #,##0.00_);_(&quot;$&quot;* \(#,##0.00\);_(&quot;$&quot;* &quot;-&quot;??_);_(@_)"/>
      <border diagonalUp="0" diagonalDown="0" outline="0">
        <left/>
        <right/>
        <top/>
        <bottom/>
      </border>
    </dxf>
    <dxf>
      <numFmt numFmtId="19" formatCode="m/d/yyyy"/>
      <border diagonalUp="0" diagonalDown="0" outline="0">
        <left/>
        <right/>
        <top/>
        <bottom/>
      </border>
    </dxf>
    <dxf>
      <numFmt numFmtId="167" formatCode="0_);[Red]\(0\)"/>
      <border diagonalUp="0" diagonalDown="0" outline="0">
        <left/>
        <right/>
        <top/>
        <bottom/>
      </border>
    </dxf>
    <dxf>
      <numFmt numFmtId="167" formatCode="0_);[Red]\(0\)"/>
      <border diagonalUp="0" diagonalDown="0" outline="0">
        <left/>
        <right/>
        <top/>
        <bottom/>
      </border>
    </dxf>
    <dxf>
      <font>
        <b val="0"/>
        <i val="0"/>
        <strike val="0"/>
        <condense val="0"/>
        <extend val="0"/>
        <outline val="0"/>
        <shadow val="0"/>
        <u val="none"/>
        <vertAlign val="baseline"/>
        <sz val="10"/>
        <color auto="1"/>
        <name val="Arial"/>
        <scheme val="none"/>
      </font>
      <numFmt numFmtId="177" formatCode="[$₹-4009]\ #,##0;[Red][$₹-4009]\ \-#,##0"/>
    </dxf>
    <dxf>
      <numFmt numFmtId="178" formatCode="[$₹-4009]\ #,##0"/>
    </dxf>
    <dxf>
      <numFmt numFmtId="10" formatCode="&quot;$&quot;#,##0_);[Red]\(&quot;$&quot;#,##0\)"/>
    </dxf>
    <dxf>
      <numFmt numFmtId="12" formatCode="&quot;$&quot;#,##0.00_);[Red]\(&quot;$&quot;#,##0.00\)"/>
    </dxf>
    <dxf>
      <numFmt numFmtId="12" formatCode="&quot;$&quot;#,##0.00_);[Red]\(&quot;$&quot;#,##0.00\)"/>
    </dxf>
    <dxf>
      <numFmt numFmtId="12" formatCode="&quot;$&quot;#,##0.00_);[Red]\(&quot;$&quot;#,##0.00\)"/>
    </dxf>
    <dxf>
      <numFmt numFmtId="12" formatCode="&quot;$&quot;#,##0.00_);[Red]\(&quot;$&quot;#,##0.00\)"/>
    </dxf>
    <dxf>
      <border outline="0">
        <right style="thin">
          <color indexed="64"/>
        </right>
      </border>
    </dxf>
    <dxf>
      <border diagonalUp="0" diagonalDown="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0"/>
        <color auto="1"/>
        <name val="Arial"/>
        <scheme val="none"/>
      </font>
      <numFmt numFmtId="167" formatCode="0_);[Red]\(0\)"/>
      <border diagonalUp="0" diagonalDown="0" outline="0">
        <left/>
        <right/>
        <top/>
        <bottom/>
      </border>
    </dxf>
    <dxf>
      <numFmt numFmtId="167" formatCode="0_);[Red]\(0\)"/>
      <border diagonalUp="0" diagonalDown="0" outline="0">
        <left/>
        <right/>
        <top/>
        <bottom/>
      </border>
    </dxf>
    <dxf>
      <numFmt numFmtId="167" formatCode="0_);[Red]\(0\)"/>
      <border diagonalUp="0" diagonalDown="0" outline="0">
        <left/>
        <right/>
        <top/>
        <bottom/>
      </border>
    </dxf>
    <dxf>
      <font>
        <b val="0"/>
        <i val="0"/>
        <strike val="0"/>
        <condense val="0"/>
        <extend val="0"/>
        <outline val="0"/>
        <shadow val="0"/>
        <u val="none"/>
        <vertAlign val="baseline"/>
        <sz val="10"/>
        <color rgb="FF2E07BD"/>
        <name val="Arial"/>
        <scheme val="none"/>
      </font>
      <numFmt numFmtId="34" formatCode="_(&quot;$&quot;* #,##0.00_);_(&quot;$&quot;* \(#,##0.00\);_(&quot;$&quot;* &quot;-&quot;??_);_(@_)"/>
      <border diagonalUp="0" diagonalDown="0" outline="0">
        <left style="medium">
          <color indexed="64"/>
        </left>
        <right/>
        <top/>
        <bottom/>
      </border>
    </dxf>
    <dxf>
      <numFmt numFmtId="19" formatCode="m/d/yyyy"/>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theme="0"/>
        </patternFill>
      </fill>
    </dxf>
    <dxf>
      <font>
        <b/>
      </font>
    </dxf>
    <dxf>
      <numFmt numFmtId="19" formatCode="m/d/yyyy"/>
    </dxf>
  </dxfs>
  <tableStyles count="0" defaultTableStyle="TableStyleMedium2" defaultPivotStyle="PivotStyleLight16"/>
  <colors>
    <mruColors>
      <color rgb="FFFCC2B2"/>
      <color rgb="FF2E07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8" Type="http://schemas.openxmlformats.org/officeDocument/2006/relationships/hyperlink" Target="https://us.etrade.com/e/t/pfm/portfolioView?eid=58545615354&amp;expand=1&amp;currentpage=" TargetMode="External"/><Relationship Id="rId3" Type="http://schemas.openxmlformats.org/officeDocument/2006/relationships/hyperlink" Target="https://us.etrade.com/e/t/pfm/portfolioView?eid=54160248354&amp;expand=1&amp;currentpage=" TargetMode="External"/><Relationship Id="rId7" Type="http://schemas.openxmlformats.org/officeDocument/2006/relationships/hyperlink" Target="https://us.etrade.com/e/t/pfm/portfolioView?eid=29627083354&amp;expand=1&amp;currentpage=" TargetMode="External"/><Relationship Id="rId12" Type="http://schemas.openxmlformats.org/officeDocument/2006/relationships/hyperlink" Target="https://us.etrade.com/e/t/pfm/portfolioView?eid=55316654354&amp;expand=1&amp;currentpage=" TargetMode="External"/><Relationship Id="rId2" Type="http://schemas.openxmlformats.org/officeDocument/2006/relationships/image" Target="../media/image1.gif"/><Relationship Id="rId1" Type="http://schemas.openxmlformats.org/officeDocument/2006/relationships/hyperlink" Target="https://us.etrade.com/e/t/pfm/portfolioView?eid=26911661354&amp;expand=1&amp;currentpage=" TargetMode="External"/><Relationship Id="rId6" Type="http://schemas.openxmlformats.org/officeDocument/2006/relationships/hyperlink" Target="https://us.etrade.com/e/t/pfm/portfolioView?eid=67701367354&amp;expand=1&amp;currentpage=" TargetMode="External"/><Relationship Id="rId11" Type="http://schemas.openxmlformats.org/officeDocument/2006/relationships/hyperlink" Target="https://us.etrade.com/e/t/pfm/portfolioView?eid=55301497354&amp;expand=1&amp;currentpage=" TargetMode="External"/><Relationship Id="rId5" Type="http://schemas.openxmlformats.org/officeDocument/2006/relationships/hyperlink" Target="https://us.etrade.com/e/t/pfm/portfolioView?eid=30106459354&amp;expand=1&amp;currentpage=" TargetMode="External"/><Relationship Id="rId10" Type="http://schemas.openxmlformats.org/officeDocument/2006/relationships/hyperlink" Target="https://us.etrade.com/e/t/pfm/portfolioView?eid=54160246354&amp;expand=1&amp;currentpage=" TargetMode="External"/><Relationship Id="rId4" Type="http://schemas.openxmlformats.org/officeDocument/2006/relationships/hyperlink" Target="https://us.etrade.com/e/t/pfm/portfolioView?eid=61017337354&amp;expand=1&amp;currentpage=" TargetMode="External"/><Relationship Id="rId9" Type="http://schemas.openxmlformats.org/officeDocument/2006/relationships/hyperlink" Target="https://us.etrade.com/e/t/pfm/portfolioView?eid=54160247354&amp;expand=1&amp;currentpage="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53</xdr:row>
      <xdr:rowOff>0</xdr:rowOff>
    </xdr:from>
    <xdr:to>
      <xdr:col>11</xdr:col>
      <xdr:colOff>123825</xdr:colOff>
      <xdr:row>53</xdr:row>
      <xdr:rowOff>123825</xdr:rowOff>
    </xdr:to>
    <xdr:pic>
      <xdr:nvPicPr>
        <xdr:cNvPr id="2" name="Picture 1" descr="https://cdn.etrade.net/1/20111215.0/images/i_expand_eng.gif">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30118050"/>
          <a:ext cx="123825" cy="123825"/>
        </a:xfrm>
        <a:prstGeom prst="rect">
          <a:avLst/>
        </a:prstGeom>
        <a:noFill/>
      </xdr:spPr>
    </xdr:pic>
    <xdr:clientData/>
  </xdr:twoCellAnchor>
  <xdr:twoCellAnchor editAs="oneCell">
    <xdr:from>
      <xdr:col>11</xdr:col>
      <xdr:colOff>0</xdr:colOff>
      <xdr:row>173</xdr:row>
      <xdr:rowOff>0</xdr:rowOff>
    </xdr:from>
    <xdr:to>
      <xdr:col>11</xdr:col>
      <xdr:colOff>123825</xdr:colOff>
      <xdr:row>173</xdr:row>
      <xdr:rowOff>123825</xdr:rowOff>
    </xdr:to>
    <xdr:pic>
      <xdr:nvPicPr>
        <xdr:cNvPr id="3" name="Picture 2" descr="https://cdn.etrade.net/1/20111215.0/images/i_expand_eng.gif">
          <a:hlinkClick xmlns:r="http://schemas.openxmlformats.org/officeDocument/2006/relationships" r:id="rId3"/>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10687050"/>
          <a:ext cx="123825" cy="123825"/>
        </a:xfrm>
        <a:prstGeom prst="rect">
          <a:avLst/>
        </a:prstGeom>
        <a:noFill/>
      </xdr:spPr>
    </xdr:pic>
    <xdr:clientData/>
  </xdr:twoCellAnchor>
  <xdr:twoCellAnchor editAs="oneCell">
    <xdr:from>
      <xdr:col>11</xdr:col>
      <xdr:colOff>0</xdr:colOff>
      <xdr:row>97</xdr:row>
      <xdr:rowOff>0</xdr:rowOff>
    </xdr:from>
    <xdr:to>
      <xdr:col>11</xdr:col>
      <xdr:colOff>123825</xdr:colOff>
      <xdr:row>97</xdr:row>
      <xdr:rowOff>123825</xdr:rowOff>
    </xdr:to>
    <xdr:pic>
      <xdr:nvPicPr>
        <xdr:cNvPr id="4" name="Picture 3" descr="https://cdn.etrade.net/1/20111215.0/images/i_expand_eng.gif">
          <a:hlinkClick xmlns:r="http://schemas.openxmlformats.org/officeDocument/2006/relationships" r:id="rId4"/>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22993350"/>
          <a:ext cx="123825" cy="123825"/>
        </a:xfrm>
        <a:prstGeom prst="rect">
          <a:avLst/>
        </a:prstGeom>
        <a:noFill/>
      </xdr:spPr>
    </xdr:pic>
    <xdr:clientData/>
  </xdr:twoCellAnchor>
  <xdr:twoCellAnchor editAs="oneCell">
    <xdr:from>
      <xdr:col>11</xdr:col>
      <xdr:colOff>0</xdr:colOff>
      <xdr:row>80</xdr:row>
      <xdr:rowOff>0</xdr:rowOff>
    </xdr:from>
    <xdr:to>
      <xdr:col>11</xdr:col>
      <xdr:colOff>123825</xdr:colOff>
      <xdr:row>80</xdr:row>
      <xdr:rowOff>123825</xdr:rowOff>
    </xdr:to>
    <xdr:pic>
      <xdr:nvPicPr>
        <xdr:cNvPr id="5" name="Picture 4" descr="https://cdn.etrade.net/1/20111215.0/images/i_expand_eng.gif">
          <a:hlinkClick xmlns:r="http://schemas.openxmlformats.org/officeDocument/2006/relationships" r:id="rId5"/>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25746075"/>
          <a:ext cx="123825" cy="123825"/>
        </a:xfrm>
        <a:prstGeom prst="rect">
          <a:avLst/>
        </a:prstGeom>
        <a:noFill/>
      </xdr:spPr>
    </xdr:pic>
    <xdr:clientData/>
  </xdr:twoCellAnchor>
  <xdr:twoCellAnchor editAs="oneCell">
    <xdr:from>
      <xdr:col>11</xdr:col>
      <xdr:colOff>0</xdr:colOff>
      <xdr:row>92</xdr:row>
      <xdr:rowOff>0</xdr:rowOff>
    </xdr:from>
    <xdr:to>
      <xdr:col>11</xdr:col>
      <xdr:colOff>123825</xdr:colOff>
      <xdr:row>92</xdr:row>
      <xdr:rowOff>123825</xdr:rowOff>
    </xdr:to>
    <xdr:pic>
      <xdr:nvPicPr>
        <xdr:cNvPr id="6" name="Picture 5" descr="https://cdn.etrade.net/1/20111215.0/images/i_expand_eng.gif">
          <a:hlinkClick xmlns:r="http://schemas.openxmlformats.org/officeDocument/2006/relationships" r:id="rId6"/>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238029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7" name="Picture 6" descr="https://cdn.etrade.net/1/20111215.0/images/i_expand_eng.gif">
          <a:hlinkClick xmlns:r="http://schemas.openxmlformats.org/officeDocument/2006/relationships" r:id="rId7"/>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8" name="Picture 7" descr="https://cdn.etrade.net/1/20111215.0/images/i_expand_eng.gif">
          <a:hlinkClick xmlns:r="http://schemas.openxmlformats.org/officeDocument/2006/relationships" r:id="rId8"/>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9" name="Picture 8" descr="https://cdn.etrade.net/1/20111215.0/images/i_expand_eng.gif">
          <a:hlinkClick xmlns:r="http://schemas.openxmlformats.org/officeDocument/2006/relationships" r:id="rId9"/>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10" name="Picture 9" descr="https://cdn.etrade.net/1/20111215.0/images/i_expand_eng.gif">
          <a:hlinkClick xmlns:r="http://schemas.openxmlformats.org/officeDocument/2006/relationships" r:id="rId10"/>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11" name="Picture 10" descr="https://cdn.etrade.net/1/20111215.0/images/i_expand_eng.gif">
          <a:hlinkClick xmlns:r="http://schemas.openxmlformats.org/officeDocument/2006/relationships" r:id="rId1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12" name="Picture 11" descr="https://cdn.etrade.net/1/20111215.0/images/i_expand_eng.gif">
          <a:hlinkClick xmlns:r="http://schemas.openxmlformats.org/officeDocument/2006/relationships" r:id="rId12"/>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ishal Hawa" refreshedDate="42121.941506134259" createdVersion="5" refreshedVersion="5" minRefreshableVersion="3" recordCount="33">
  <cacheSource type="worksheet">
    <worksheetSource name="Table_USStocks.accdb8"/>
  </cacheSource>
  <cacheFields count="12">
    <cacheField name="Description" numFmtId="0">
      <sharedItems/>
    </cacheField>
    <cacheField name="SellDate" numFmtId="14">
      <sharedItems containsSemiMixedTypes="0" containsNonDate="0" containsDate="1" containsString="0" minDate="2014-01-09T00:00:00" maxDate="2014-12-20T00:00:00"/>
    </cacheField>
    <cacheField name="SaleProceeds" numFmtId="0">
      <sharedItems containsSemiMixedTypes="0" containsString="0" containsNumber="1" minValue="0.6" maxValue="36000"/>
    </cacheField>
    <cacheField name="DateAcquired" numFmtId="14">
      <sharedItems containsSemiMixedTypes="0" containsNonDate="0" containsDate="1" containsString="0" minDate="2009-10-16T00:00:00" maxDate="2014-10-22T00:00:00"/>
    </cacheField>
    <cacheField name="CostBasis" numFmtId="0">
      <sharedItems containsSemiMixedTypes="0" containsString="0" containsNumber="1" minValue="17.399999999999999" maxValue="32407.95"/>
    </cacheField>
    <cacheField name="Profit" numFmtId="167">
      <sharedItems containsSemiMixedTypes="0" containsString="0" containsNumber="1" minValue="-3007.95" maxValue="3592.05"/>
    </cacheField>
    <cacheField name="Commission" numFmtId="0">
      <sharedItems containsSemiMixedTypes="0" containsString="0" containsNumber="1" minValue="0" maxValue="29.45"/>
    </cacheField>
    <cacheField name="Shares" numFmtId="0">
      <sharedItems containsSemiMixedTypes="0" containsString="0" containsNumber="1" containsInteger="1" minValue="9" maxValue="200"/>
    </cacheField>
    <cacheField name="BuyPrice" numFmtId="0">
      <sharedItems containsSemiMixedTypes="0" containsString="0" containsNumber="1" minValue="0" maxValue="540"/>
    </cacheField>
    <cacheField name="SellPrice" numFmtId="0">
      <sharedItems containsSemiMixedTypes="0" containsString="0" containsNumber="1" minValue="0.01" maxValue="600"/>
    </cacheField>
    <cacheField name="type" numFmtId="0">
      <sharedItems/>
    </cacheField>
    <cacheField name="options" numFmtId="0">
      <sharedItems count="29">
        <s v="AAPL"/>
        <s v="AAPL140118C00540000"/>
        <s v="AAPL150117C00092860"/>
        <s v="AAPL7140214C00510000"/>
        <s v="CTL140621C00034000"/>
        <s v="CTL"/>
        <s v="GASX"/>
        <s v="GRPN140222C00010000"/>
        <s v="IBM140118C00175000"/>
        <s v="IBM"/>
        <s v="IVR140419C00016000"/>
        <s v="IVR"/>
        <s v="KLIC140419C00012000"/>
        <s v="KLIC140322C00011000"/>
        <s v="MF-DPCCX"/>
        <s v="NFLX"/>
        <s v="TQNT140322C00008000"/>
        <s v="TQNT"/>
        <s v="TQNT140517C00007000"/>
        <s v="TTM140322C00028000"/>
        <s v="TTM"/>
        <s v="TWM"/>
        <s v="TWTR140621P00040000"/>
        <s v="UGL"/>
        <s v="UGL140419C00040000"/>
        <s v="WLT140118C00016000"/>
        <s v="WMT"/>
        <s v="WR"/>
        <s v="WR140322C0003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ishal Hawa" refreshedDate="42121.953658449071" createdVersion="5" refreshedVersion="5" minRefreshableVersion="3" recordCount="483">
  <cacheSource type="external" connectionId="10"/>
  <cacheFields count="22">
    <cacheField name="TxID" numFmtId="0">
      <sharedItems containsSemiMixedTypes="0" containsString="0" containsNumber="1" containsInteger="1" minValue="1" maxValue="514"/>
    </cacheField>
    <cacheField name="Symbol" numFmtId="0">
      <sharedItems count="138">
        <s v="ITC"/>
        <s v="HDB"/>
        <s v="GS"/>
        <s v="RIMM"/>
        <s v="SAY"/>
        <s v="IBN"/>
        <s v="WMT"/>
        <s v="CMFO"/>
        <s v="PACT"/>
        <s v="APWR"/>
        <s v="SLT"/>
        <s v="GTLS"/>
        <s v="IGTE"/>
        <s v="AAPL"/>
        <s v="DTG"/>
        <s v="WMS"/>
        <s v="FSLR"/>
        <s v="CSIQ"/>
        <s v="GOOG"/>
        <s v="PWRD"/>
        <s v="LMLP"/>
        <s v="HMIN"/>
        <s v="SAYCY.PK"/>
        <s v="RINO.PK"/>
        <s v="BAC"/>
        <s v="ONTY"/>
        <s v="BOLT"/>
        <s v="EJ"/>
        <s v="HGRD"/>
        <s v="LIWA"/>
        <s v="YONG"/>
        <s v="AVNR"/>
        <s v="VNDA"/>
        <s v="XOM"/>
        <s v="LXK"/>
        <s v="JPM"/>
        <s v="SPY"/>
        <s v="SVU"/>
        <s v="GSIC"/>
        <s v="KERX"/>
        <s v="BPZ"/>
        <s v="XIDE"/>
        <s v="OGXI"/>
        <s v="NVAX"/>
        <s v="WATG"/>
        <s v="MF-OAKIX"/>
        <s v="IWM"/>
        <s v="SLV"/>
        <s v="EBAY"/>
        <s v="GEOY"/>
        <s v="TWM"/>
        <s v="JNJ"/>
        <s v="WLT"/>
        <s v="CELL"/>
        <s v="ORCL"/>
        <s v="GLL"/>
        <s v="CTL"/>
        <s v="NKE"/>
        <s v="STLD"/>
        <s v="CHGS"/>
        <s v="CNIT"/>
        <s v="SIFY"/>
        <s v="EPR"/>
        <s v="MF-DSCVX"/>
        <s v="BBBB"/>
        <s v="SKF"/>
        <s v="UWM"/>
        <s v="BLTI"/>
        <s v="ARCC"/>
        <s v="SRTY"/>
        <s v="TQNT"/>
        <s v="WIN"/>
        <s v="ENTR"/>
        <s v="NFLX"/>
        <s v="JJG"/>
        <s v="AGQ"/>
        <s v="NVDA"/>
        <s v="EEM"/>
        <s v="MATL"/>
        <s v="ARUN"/>
        <s v="SATC"/>
        <s v="IVR"/>
        <s v="DE"/>
        <s v="MF-REMGX"/>
        <s v="APWR.PK"/>
        <s v="WATG.PK"/>
        <s v="TLT"/>
        <s v="USLV"/>
        <s v="LGEM"/>
        <s v="ERX"/>
        <s v="YHOO"/>
        <s v="MF-AOGIX"/>
        <s v="CYTK"/>
        <s v="AI"/>
        <s v="MF-UMPIX"/>
        <s v="IWF"/>
        <s v="APA"/>
        <s v="PTRY"/>
        <s v="MUR"/>
        <s v="GASX"/>
        <s v="PSMT"/>
        <s v="COP"/>
        <s v="WFC"/>
        <s v="MED"/>
        <s v="MCD"/>
        <s v="UGL"/>
        <s v="GASL"/>
        <s v="BIOL"/>
        <s v="FB"/>
        <s v="MF-TBTBX"/>
        <s v="UNG"/>
        <s v="DBA"/>
        <s v="TZA"/>
        <s v="XLU"/>
        <s v="USO"/>
        <s v="EDZ"/>
        <s v="LCC"/>
        <s v="SCO"/>
        <s v="SDOW"/>
        <s v="MF-CAMAX"/>
        <s v="WAG"/>
        <s v="ZSL"/>
        <s v="TVIX"/>
        <s v="CRTP"/>
        <s v="SBLK"/>
        <s v="SO"/>
        <s v="PEP"/>
        <s v="BBRY"/>
        <s v="CE"/>
        <s v="IBM"/>
        <s v="GRPN"/>
        <s v="KLIC"/>
        <s v="MF-DPCCX"/>
        <s v="WR"/>
        <s v="TTM"/>
        <s v="TWTR"/>
        <s v="SFK"/>
        <s v="MSFT"/>
      </sharedItems>
    </cacheField>
    <cacheField name="Options" numFmtId="0">
      <sharedItems containsBlank="1" count="372">
        <m/>
        <s v="LIWA110521C00005000"/>
        <s v="EJ110219C00016000"/>
        <s v="EJ110416C00012000"/>
        <s v="YONG110716P00010000"/>
        <s v="YONG110716P00012000"/>
        <s v="YONG110122C00009000"/>
        <s v="AVNR110319C00005000"/>
        <s v="VNDA110319C00011000"/>
        <s v="APWR110319C00008000"/>
        <s v="XOM111022C00085000"/>
        <s v="XOM111022P00090000"/>
        <s v="LXK120121P00030000"/>
        <s v="JPM110716P00047000"/>
        <s v="AVNR101218C00006000"/>
        <s v="AVNR110618C00001000"/>
        <s v="SPY110917P00128000"/>
        <s v="SVU120121P00015000"/>
        <s v="LIWA110521C00010000"/>
        <s v="GSIC110521C00030000"/>
        <s v="RIMM110618C00075000"/>
        <s v="VNDA110618C00008000"/>
        <s v="APWR110618C00006000"/>
        <s v="BPZ110618C00006000"/>
        <s v="YONG110618C00005000"/>
        <s v="XIDE110618C00010000"/>
        <s v="LIWA110618C00007500"/>
        <s v="GOOG120121C00560000"/>
        <s v="EJ110716C00007000"/>
        <s v="OGXI110716C00015000"/>
        <s v="NVAX110716C00002000"/>
        <s v="WATG110716C00007500"/>
        <s v="LIWA110820C00005000"/>
        <s v="IWM111119C00083000"/>
        <s v="SLV120121C00065000"/>
        <s v="RIMM110820C00025000"/>
        <s v="RIMM"/>
        <s v="BPZ110820C00003000"/>
        <s v="GOOG120317C00505000"/>
        <s v="SLV120121C00034000"/>
        <s v="EBAY120121C00036000"/>
        <s v="BPZ110917C00003000"/>
        <s v="GEOY110917C00030000"/>
        <s v="PACT110917C00010000"/>
        <s v="XIDE110917C00007500"/>
        <s v="NVAX111022C00001000"/>
        <s v="TWM"/>
        <s v="YONG111022C00005000"/>
        <s v="JNJ111022C00067500"/>
        <s v="AAPL120421P00390000"/>
        <s v="WLT111022C00065000"/>
        <s v="CELL111022C00007500"/>
        <s v="ORCL"/>
        <s v="GLL"/>
        <s v="CTL"/>
        <s v="NKE"/>
        <s v="STLD"/>
        <s v="CHGS111022C00002500"/>
        <s v="CNIT111022C00002500"/>
        <s v="STLD111022C00012000"/>
        <s v="SIFY111022C00005000"/>
        <s v="RIMM111022C00025000"/>
        <s v="GLL111022C00018000"/>
        <s v="ORCL111022C00030000"/>
        <s v="BAC111022C00007000"/>
        <s v="NKE111022C00040000"/>
        <s v="CTL111022C00023000"/>
        <s v="EPR111119C00025000"/>
        <s v="EPR"/>
        <s v="MF-DSCVX"/>
        <s v="BBBB120121C00045000"/>
        <s v="GOOG111217C00650000"/>
        <s v="SKF"/>
        <s v="UWM"/>
        <s v="BLTI111119C00002500"/>
        <s v="ARCC111119C00014000"/>
        <s v="YONG111119C00005000"/>
        <s v="SRTY"/>
        <s v="XIDE111119C00005000"/>
        <s v="TQNT111119C00007000"/>
        <s v="WIN111119C00013000"/>
        <s v="ENTR111119C00007500"/>
        <s v="CELL111119C00010000"/>
        <s v="NFLX111119C00090000"/>
        <s v="PACT111119C00012500"/>
        <s v="STLD111119C00013000"/>
        <s v="SIFY111119C00005000"/>
        <s v="JJG111119C00048000"/>
        <s v="AGQ111217C00075000"/>
        <s v="RIMM111217C00026000"/>
        <s v="VNDA111217C00006000"/>
        <s v="BAC120218C00007000"/>
        <s v="NVDA120317C00010000"/>
        <s v="EEM120317C00037000"/>
        <s v="WLT120317C00085000"/>
        <s v="GOOG120317C00590000"/>
        <s v="ORCL120317C00030000"/>
        <s v="MATL"/>
        <s v="ARCC120317C00015000"/>
        <s v="IWM120519C00070000"/>
        <s v="NVAX120121C00002000"/>
        <s v="SIFY111217C00005000"/>
        <s v="ARCC"/>
        <s v="ARCC120317C00010000"/>
        <s v="BAC111217C00004000"/>
        <s v="ARUN120121C00022500"/>
        <s v="AGQ120121C00064000"/>
        <s v="SATC111217C00002500"/>
        <s v="TQNT111217C00004000"/>
        <s v="IVR111217C00015000"/>
        <s v="EJ111217C00007000"/>
        <s v="VNDA111217C00005000"/>
        <s v="WLT111217C00075000"/>
        <s v="DE111217C00075000"/>
        <s v="JJG"/>
        <s v="JJG120121C00030000"/>
        <s v="MF-REMGX"/>
        <s v="WIN"/>
        <s v="WIN120121C00011000"/>
        <s v="CNIT"/>
        <s v="YONG120121C00004000"/>
        <s v="APWR.PK"/>
        <s v="WATG.PK"/>
        <s v="TLT120317P00115000"/>
        <s v="USLV"/>
        <s v="LGEM"/>
        <s v="WLT120121C00045000"/>
        <s v="RIMM120121C00009000"/>
        <s v="PACT120121C00010000"/>
        <s v="NVDA120121C00012500"/>
        <s v="TQNT120121C00004000"/>
        <s v="ERX120121C00040800"/>
        <s v="DE"/>
        <s v="DE120121C00072500"/>
        <s v="XOM120121C00092500"/>
        <s v="YHOO120121C00016000"/>
        <s v="MF-AOGIX"/>
        <s v="CYTK"/>
        <s v="AI"/>
        <s v="WLT120218C00050000"/>
        <s v="AGQ120317C00050000"/>
        <s v="MF-UMPIX"/>
        <s v="ERX120218C00051000"/>
        <s v="YONG120218C00004000"/>
        <s v="BAC"/>
        <s v="IWF"/>
        <s v="IVR"/>
        <s v="IVR120218C00012000"/>
        <s v="STLD120218C00012000"/>
        <s v="BAC120218C00004000"/>
        <s v="IWF120218C00049000"/>
        <s v="SIFY120218C00005000"/>
        <s v="SLV120421C00037000"/>
        <s v="EJ"/>
        <s v="EJ120818C00004000"/>
        <s v="RIMM120421C00017000"/>
        <s v="AGQ120317C00064000"/>
        <s v="APA120421P00110000"/>
        <s v="ERX120317C00050000"/>
        <s v="TQNT120818C00007000"/>
        <s v="WLT120317C00062500"/>
        <s v="PTRY120317C00010000"/>
        <s v="CELL120721C00010000"/>
        <s v="XIDE120317C00002500"/>
        <s v="MUR120421P00065000"/>
        <s v="SLV120421C00031000"/>
        <s v="ERX120317C00051000"/>
        <s v="IBN"/>
        <s v="NFLX"/>
        <s v="TQNT"/>
        <s v="TQNT120317C00006000"/>
        <s v="NFLX120317C00075000"/>
        <s v="ERX120421C00050000"/>
        <s v="CELL120421C00007500"/>
        <s v="GASX"/>
        <s v="GASX120421C00019000"/>
        <s v="AAPL120421P00400000"/>
        <s v="ERX120421C00049000"/>
        <s v="BAC120421C00006000"/>
        <s v="NVAX120421C00001000"/>
        <s v="WLT120421C00055000"/>
        <s v="ARUN120421C00012000"/>
        <s v="YHOO120421C00015000"/>
        <s v="PSMT"/>
        <s v="PSMT120421C00050000"/>
        <s v="COP120519P00075000"/>
        <s v="ENTR120519C00003000"/>
        <s v="WFC120421P00030000"/>
        <s v="AGQ120519C00050000"/>
        <s v="MED120922P00021000"/>
        <s v="ERX120519C00044000"/>
        <s v="MCD120519C00095000"/>
        <s v="RIMM120519C00014000"/>
        <s v="ARUN120519C00018000"/>
        <s v="UGL120519C00081000"/>
        <s v="SIFY121020C00002500"/>
        <s v="PACT120519C00007500"/>
        <s v="VNDA120616C00003000"/>
        <s v="NVDA120616C00015000"/>
        <s v="WIN120519C00011000"/>
        <s v="SPY120616P00153000"/>
        <s v="ERX120616C00036000"/>
        <s v="RIMM120616C00010000"/>
        <s v="XIDE120616C00002500"/>
        <s v="WLT120616C00067500"/>
        <s v="PTRY"/>
        <s v="GASL"/>
        <s v="PTRY120616C00010000"/>
        <s v="TWM120616C00035000"/>
        <s v="GASL120616C00021000"/>
        <s v="BIOL120721C00002500"/>
        <s v="YHOO121020C00014000"/>
        <s v="WIN120721C00009000"/>
        <s v="AGQ120721C00040000"/>
        <s v="UGL120721C00081000"/>
        <s v="FB120721C00027000"/>
        <s v="ENTR"/>
        <s v="ENTR120818C00003000"/>
        <s v="RIMM120818C00009000"/>
        <s v="TWM120818C00033000"/>
        <s v="MF-TBTBX"/>
        <s v="NVAX"/>
        <s v="NVAX120721C00001000"/>
        <s v="UNG121020C00018000"/>
        <s v="ARUN120721C00012000"/>
        <s v="YONG120721C00002500"/>
        <s v="DBA"/>
        <s v="DBA120721C00025000"/>
        <s v="WLT120818C00040000"/>
        <s v="NVDA120721C00012000"/>
        <s v="MCD120721C00085000"/>
        <s v="TZA120818C00017000"/>
        <s v="BAC120818C00006000"/>
        <s v="XLU120721P00038000"/>
        <s v="CELL"/>
        <s v="CELL120721C00005000"/>
        <s v="ERX120721C00036000"/>
        <s v="MCD120922C00087500"/>
        <s v="YHOO120818C00015000"/>
        <s v="FB120818C00027000"/>
        <s v="AGQ120818C00034000"/>
        <s v="USO120922P00036000"/>
        <s v="SRTY120818C00045000"/>
        <s v="TZA120818C00019000"/>
        <s v="EBAY120922P00046000"/>
        <s v="XIDE120922C00002500"/>
        <s v="TZA120922C00017000"/>
        <s v="PACT120818C00010000"/>
        <s v="UGL120818C00076000"/>
        <s v="SLV120818C00025500"/>
        <s v="WLT120922C00040000"/>
        <s v="STLD120818C00012000"/>
        <s v="NVDA120922C00013000"/>
        <s v="FB121020C00019000"/>
        <s v="RIMM121020C00006000"/>
        <s v="EDZ121020C00012000"/>
        <s v="VNDA120922C00004000"/>
        <s v="UGL120922C00080000"/>
        <s v="ERX120922C00038000"/>
        <s v="LCC120922P00013000"/>
        <s v="SPY120922P00136000"/>
        <s v="AGQ120922C00036000"/>
        <s v="WLT121020C00035000"/>
        <s v="WIN121020C00009000"/>
        <s v="SCO121020C00038000"/>
        <s v="NVDA121020C00013000"/>
        <s v="UGL121020C00098000"/>
        <s v="RIMM121020C00007000"/>
        <s v="ARUN121020C00014000"/>
        <s v="SLV121020C00026000"/>
        <s v="YHOO121020C00015000"/>
        <s v="SDOW121117C00063000"/>
        <s v="YONG"/>
        <s v="YONG121020C00003000"/>
        <s v="UGL121117C00094000"/>
        <s v="MCD121020C00090000"/>
        <s v="ARUN121117C00018000"/>
        <s v="BAC121020C00007000"/>
        <s v="ERX121117C00047000"/>
        <s v="MF-CAMAX"/>
        <s v="WLT121117C00032500"/>
        <s v="WAG130119P00037000"/>
        <s v="FB121117C00019000"/>
        <s v="ERX121117C00050000"/>
        <s v="XIDE121222C00002500"/>
        <s v="SDOW"/>
        <s v="UGL121117C00090000"/>
        <s v="ARUN121117C00019000"/>
        <s v="SCO"/>
        <s v="ZSL"/>
        <s v="GASX121117C00015000"/>
        <s v="SCO121117C00037000"/>
        <s v="ZSL121117C00043000"/>
        <s v="YHOO130119C00017500"/>
        <s v="SIFY130119C00002500"/>
        <s v="UGL121222C00087000"/>
        <s v="AGQ121222C00048000"/>
        <s v="SLV121222C00030000"/>
        <s v="WLT121222C00032500"/>
        <s v="ERX121222C00044000"/>
        <s v="FB121222C00021000"/>
        <s v="BAC121222C00009000"/>
        <s v="YHOO121222C00018000"/>
        <s v="VNDA121222C00004000"/>
        <s v="YHOO"/>
        <s v="PACT"/>
        <s v="TVIX"/>
        <s v="ERX"/>
        <s v="MCD130119C00085000"/>
        <s v="VNDA"/>
        <s v="WLT"/>
        <s v="CRTP"/>
        <s v="AGQ"/>
        <s v="CHGS"/>
        <s v="SBLK"/>
        <s v="FB"/>
        <s v="SIFY"/>
        <s v="RIMM130119C00012000"/>
        <s v="BIOL"/>
        <s v="MCD130119C00087500"/>
        <s v="ARUN"/>
        <s v="XIDE130316C00002500"/>
        <s v="SO130518C00041000"/>
        <s v="ARUN130119C00019000"/>
        <s v="PEP"/>
        <s v="PEP130216C00067500"/>
        <s v="BAC130216C00010000"/>
        <s v="MCD"/>
        <s v="MCD130316C00092500"/>
        <s v="BBRY"/>
        <s v="BBRY130316C00013000"/>
        <s v="CE130316P00040000"/>
        <s v="GOOG130622P00725000"/>
        <s v="AAPL"/>
        <s v="IBM131019C00185000"/>
        <s v="GRPN131116C00013000"/>
        <s v="AGQ131019C00019000"/>
        <s v="NVDA"/>
        <s v="NVDA131019C00014000"/>
        <s v="AGQ131116C00019000"/>
        <s v="CTL131116C00032000"/>
        <s v="WLT131116C00018000"/>
        <s v="WIN131116C00008000"/>
        <s v="IBM131129C00180000"/>
        <s v="KLIC131221C00012000"/>
        <s v="TQNT131221C00007000"/>
        <s v="GRPN131221C00009000"/>
        <s v="AAPL140118C00540000"/>
        <s v="KLIC140419C00012000"/>
        <s v="IBM"/>
        <s v="IBM140118C00175000"/>
        <s v="WLT140118C00016000"/>
        <s v="TQNT140517C00007000"/>
        <s v="MF-DPCCX"/>
        <s v="GRPN140222C00010000"/>
        <s v="AAPL7140214C00510000"/>
        <s v="WR"/>
        <s v="WR140322C00030000"/>
        <s v="KLIC140322C00011000"/>
        <s v="TTM"/>
        <s v="TQNT140322C00008000"/>
        <s v="TTM140322C00028000"/>
        <s v="IVR140419C00016000"/>
        <s v="UGL"/>
        <s v="UGL140419C00040000"/>
        <s v="CTL140621C00034000"/>
        <s v="TWTR140621P00040000"/>
        <s v="AAPL150117C00092860"/>
        <s v="WMT"/>
        <s v="KLIC"/>
        <s v="SFK"/>
        <s v="MSFT150515C00040000"/>
      </sharedItems>
    </cacheField>
    <cacheField name="Shares" numFmtId="0">
      <sharedItems containsSemiMixedTypes="0" containsString="0" containsNumber="1" containsInteger="1" minValue="1" maxValue="5000"/>
    </cacheField>
    <cacheField name="BuyPrice" numFmtId="0">
      <sharedItems containsSemiMixedTypes="0" containsString="0" containsNumber="1" minValue="0" maxValue="540"/>
    </cacheField>
    <cacheField name="BuyDate" numFmtId="0">
      <sharedItems containsSemiMixedTypes="0" containsNonDate="0" containsDate="1" containsString="0" minDate="2009-06-09T00:00:00" maxDate="2015-03-20T00:00:00"/>
    </cacheField>
    <cacheField name="SellPrice" numFmtId="0">
      <sharedItems containsSemiMixedTypes="0" containsString="0" containsNumber="1" minValue="1E-3" maxValue="640"/>
    </cacheField>
    <cacheField name="SellDate" numFmtId="0">
      <sharedItems containsSemiMixedTypes="0" containsNonDate="0" containsDate="1" containsString="0" minDate="2009-08-04T00:00:00" maxDate="2015-04-25T00:00:00"/>
    </cacheField>
    <cacheField name="AnnualizedGrowth" numFmtId="0">
      <sharedItems containsSemiMixedTypes="0" containsString="0" containsNumber="1" minValue="-12411.361551678374" maxValue="147884.62071071035"/>
    </cacheField>
    <cacheField name="AbsoluteGrowth" numFmtId="0">
      <sharedItems containsSemiMixedTypes="0" containsString="0" containsNumber="1" minValue="-99.997962800741561" maxValue="22073.913043478267"/>
    </cacheField>
    <cacheField name="Profit" numFmtId="0">
      <sharedItems containsSemiMixedTypes="0" containsString="0" containsNumber="1" minValue="-4908.6000000000004" maxValue="8533.0499999999993"/>
    </cacheField>
    <cacheField name="Commission" numFmtId="0">
      <sharedItems containsSemiMixedTypes="0" containsString="0" containsNumber="1" minValue="0" maxValue="90.9"/>
    </cacheField>
    <cacheField name="Type" numFmtId="0">
      <sharedItems count="10">
        <s v="S"/>
        <s v="BC"/>
        <s v="SCZ"/>
        <s v="BP"/>
        <s v="SC"/>
        <s v="SCX"/>
        <s v="MF"/>
        <s v="BCZ"/>
        <s v="BCX"/>
        <s v="BPZ"/>
      </sharedItems>
    </cacheField>
    <cacheField name="CostBasis" numFmtId="0">
      <sharedItems containsSemiMixedTypes="0" containsString="0" containsNumber="1" minValue="8.6999999999999993" maxValue="32407.95"/>
    </cacheField>
    <cacheField name="ExcercisePositionValue" numFmtId="0">
      <sharedItems containsString="0" containsBlank="1" count="1">
        <m/>
      </sharedItems>
    </cacheField>
    <cacheField name="BlockedValue" numFmtId="0">
      <sharedItems containsString="0" containsBlank="1" count="1">
        <m/>
      </sharedItems>
    </cacheField>
    <cacheField name="HighDate" numFmtId="0">
      <sharedItems containsNonDate="0" containsString="0" containsBlank="1" count="1">
        <m/>
      </sharedItems>
    </cacheField>
    <cacheField name="LowDate" numFmtId="0">
      <sharedItems containsNonDate="0" containsString="0" containsBlank="1" count="1">
        <m/>
      </sharedItems>
    </cacheField>
    <cacheField name="Remarks" numFmtId="0">
      <sharedItems containsString="0" containsBlank="1" count="1">
        <m/>
      </sharedItems>
    </cacheField>
    <cacheField name="LastUpdated" numFmtId="0">
      <sharedItems containsNonDate="0" containsString="0" containsBlank="1" count="1">
        <m/>
      </sharedItems>
    </cacheField>
    <cacheField name="Asset" numFmtId="0">
      <sharedItems containsString="0" containsBlank="1" count="1">
        <m/>
      </sharedItems>
    </cacheField>
    <cacheField name="AssetType" numFmtId="0">
      <sharedItems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s v="20 Share AAPL"/>
    <d v="2014-04-25T00:00:00"/>
    <n v="11400"/>
    <d v="2013-08-07T00:00:00"/>
    <n v="9255.2279999999992"/>
    <n v="2144.7719999999999"/>
    <n v="7.95"/>
    <n v="20"/>
    <n v="462.3639"/>
    <n v="570"/>
    <s v="S"/>
    <x v="0"/>
  </r>
  <r>
    <s v="60 Share AAPL"/>
    <d v="2014-01-09T00:00:00"/>
    <n v="0.6"/>
    <d v="2014-10-21T00:00:00"/>
    <n v="1197.5999999999999"/>
    <n v="-1197"/>
    <n v="16.8"/>
    <n v="60"/>
    <n v="19.68"/>
    <n v="0.01"/>
    <s v="BC"/>
    <x v="1"/>
  </r>
  <r>
    <s v="40 Share AAPL"/>
    <d v="2014-01-17T00:00:00"/>
    <n v="126"/>
    <d v="2013-10-21T00:00:00"/>
    <n v="803.7"/>
    <n v="-677.7"/>
    <n v="16.5"/>
    <n v="40"/>
    <n v="19.68"/>
    <n v="3.15"/>
    <s v="BC"/>
    <x v="1"/>
  </r>
  <r>
    <s v="100 Share AAPL"/>
    <d v="2014-09-03T00:00:00"/>
    <n v="975"/>
    <d v="2014-07-07T00:00:00"/>
    <n v="817.4"/>
    <n v="157.6"/>
    <n v="17.399999999999999"/>
    <n v="100"/>
    <n v="8"/>
    <n v="9.75"/>
    <s v="BC"/>
    <x v="2"/>
  </r>
  <r>
    <s v="60 Share AAPL"/>
    <d v="2014-05-05T00:00:00"/>
    <n v="36000"/>
    <d v="2014-01-09T00:00:00"/>
    <n v="32407.95"/>
    <n v="3592.05"/>
    <n v="7.95"/>
    <n v="60"/>
    <n v="540"/>
    <n v="600"/>
    <s v="S"/>
    <x v="0"/>
  </r>
  <r>
    <s v="60 Share AAPL"/>
    <d v="2014-02-14T00:00:00"/>
    <n v="318"/>
    <d v="2014-02-04T00:00:00"/>
    <n v="2125.8000000000002"/>
    <n v="-1807.8"/>
    <n v="16.8"/>
    <n v="60"/>
    <n v="35.15"/>
    <n v="5.3"/>
    <s v="SC"/>
    <x v="3"/>
  </r>
  <r>
    <s v="200 Share CTL"/>
    <d v="2014-06-05T00:00:00"/>
    <n v="240"/>
    <d v="2014-05-06T00:00:00"/>
    <n v="18.899999999999999"/>
    <n v="221.1"/>
    <n v="18.899999999999999"/>
    <n v="200"/>
    <n v="0"/>
    <n v="1.2"/>
    <s v="SC"/>
    <x v="4"/>
  </r>
  <r>
    <s v="200 Share CTL"/>
    <d v="2014-06-05T00:00:00"/>
    <n v="6800"/>
    <d v="2013-10-10T00:00:00"/>
    <n v="6583.89"/>
    <n v="216.11"/>
    <n v="7.95"/>
    <n v="200"/>
    <n v="32.8797"/>
    <n v="34"/>
    <s v="S"/>
    <x v="5"/>
  </r>
  <r>
    <s v="200 Share GASX"/>
    <d v="2014-09-15T00:00:00"/>
    <n v="4200"/>
    <d v="2013-09-20T00:00:00"/>
    <n v="6295.95"/>
    <n v="-2095.9499999999998"/>
    <n v="7.95"/>
    <n v="200"/>
    <n v="31.44"/>
    <n v="21"/>
    <s v="S"/>
    <x v="6"/>
  </r>
  <r>
    <s v="200 Share GRPN"/>
    <d v="2014-02-04T00:00:00"/>
    <n v="400"/>
    <d v="2013-12-31T00:00:00"/>
    <n v="218.9"/>
    <n v="181.1"/>
    <n v="18.899999999999999"/>
    <n v="200"/>
    <n v="1"/>
    <n v="2"/>
    <s v="SC"/>
    <x v="7"/>
  </r>
  <r>
    <s v="100 Share IBM"/>
    <d v="2014-01-18T00:00:00"/>
    <n v="1000"/>
    <d v="2013-12-26T00:00:00"/>
    <n v="17.399999999999999"/>
    <n v="982.6"/>
    <n v="17.399999999999999"/>
    <n v="100"/>
    <n v="0"/>
    <n v="10"/>
    <s v="SC"/>
    <x v="8"/>
  </r>
  <r>
    <s v="100 Share IBM"/>
    <d v="2014-01-18T00:00:00"/>
    <n v="17500"/>
    <d v="2013-10-09T00:00:00"/>
    <n v="18161.2"/>
    <n v="-661.2"/>
    <n v="7.95"/>
    <n v="100"/>
    <n v="181.5325"/>
    <n v="175"/>
    <s v="S"/>
    <x v="9"/>
  </r>
  <r>
    <s v="200 Share IVR"/>
    <d v="2014-03-25T00:00:00"/>
    <n v="200"/>
    <d v="2014-03-12T00:00:00"/>
    <n v="29.45"/>
    <n v="170.55"/>
    <n v="29.45"/>
    <n v="200"/>
    <n v="0"/>
    <n v="1"/>
    <s v="SCX"/>
    <x v="10"/>
  </r>
  <r>
    <s v="200 Share IVR"/>
    <d v="2014-03-25T00:00:00"/>
    <n v="3200"/>
    <d v="2013-10-14T00:00:00"/>
    <n v="3051.95"/>
    <n v="148.05000000000001"/>
    <n v="7.95"/>
    <n v="200"/>
    <n v="15.22"/>
    <n v="16"/>
    <s v="S"/>
    <x v="11"/>
  </r>
  <r>
    <s v="100 Share KLIC"/>
    <d v="2014-01-17T00:00:00"/>
    <n v="160"/>
    <d v="2013-12-23T00:00:00"/>
    <n v="67.400000000000006"/>
    <n v="92.6"/>
    <n v="17.399999999999999"/>
    <n v="100"/>
    <n v="0.5"/>
    <n v="1.6"/>
    <s v="SC"/>
    <x v="12"/>
  </r>
  <r>
    <s v="100 Share KLIC"/>
    <d v="2014-03-21T00:00:00"/>
    <n v="120"/>
    <d v="2014-01-28T00:00:00"/>
    <n v="183.4"/>
    <n v="-63.4"/>
    <n v="17.399999999999999"/>
    <n v="100"/>
    <n v="1.66"/>
    <n v="1.2"/>
    <s v="SC"/>
    <x v="13"/>
  </r>
  <r>
    <s v="145 Share MF-DPCCX"/>
    <d v="2014-01-27T00:00:00"/>
    <n v="5163.45"/>
    <d v="2009-10-16T00:00:00"/>
    <n v="5016.942"/>
    <n v="146.50800000000001"/>
    <n v="0"/>
    <n v="145"/>
    <n v="34.599600000000002"/>
    <n v="35.61"/>
    <s v="MF"/>
    <x v="14"/>
  </r>
  <r>
    <s v="9 Share NFLX"/>
    <d v="2014-01-28T00:00:00"/>
    <n v="3573"/>
    <d v="2014-01-23T00:00:00"/>
    <n v="3490.95"/>
    <n v="82.05"/>
    <n v="7.95"/>
    <n v="9"/>
    <n v="387"/>
    <n v="397"/>
    <s v="S"/>
    <x v="15"/>
  </r>
  <r>
    <s v="200 Share TQNT"/>
    <d v="2014-03-21T00:00:00"/>
    <n v="260"/>
    <d v="2014-02-13T00:00:00"/>
    <n v="29.45"/>
    <n v="230.55"/>
    <n v="29.45"/>
    <n v="200"/>
    <n v="0"/>
    <n v="1.3"/>
    <s v="SCX"/>
    <x v="16"/>
  </r>
  <r>
    <s v="200 Share TQNT"/>
    <d v="2014-03-21T00:00:00"/>
    <n v="1600"/>
    <d v="2013-10-22T00:00:00"/>
    <n v="1775.95"/>
    <n v="-175.95"/>
    <n v="7.95"/>
    <n v="200"/>
    <n v="8.84"/>
    <n v="8"/>
    <s v="S"/>
    <x v="17"/>
  </r>
  <r>
    <s v="200 Share TQNT"/>
    <d v="2014-01-24T00:00:00"/>
    <n v="300"/>
    <d v="2013-12-23T00:00:00"/>
    <n v="418.9"/>
    <n v="-118.9"/>
    <n v="18.899999999999999"/>
    <n v="200"/>
    <n v="2"/>
    <n v="1.5"/>
    <s v="SC"/>
    <x v="18"/>
  </r>
  <r>
    <s v="100 Share TTM"/>
    <d v="2014-03-21T00:00:00"/>
    <n v="220"/>
    <d v="2014-01-28T00:00:00"/>
    <n v="28.7"/>
    <n v="191.3"/>
    <n v="28.7"/>
    <n v="100"/>
    <n v="0"/>
    <n v="2.2000000000000002"/>
    <s v="SCX"/>
    <x v="19"/>
  </r>
  <r>
    <s v="100 Share TTM"/>
    <d v="2014-03-21T00:00:00"/>
    <n v="2800"/>
    <d v="2013-11-29T00:00:00"/>
    <n v="3254.95"/>
    <n v="-454.95"/>
    <n v="7.95"/>
    <n v="100"/>
    <n v="32.47"/>
    <n v="28"/>
    <s v="S"/>
    <x v="20"/>
  </r>
  <r>
    <s v="25 Share TWM"/>
    <d v="2014-10-08T00:00:00"/>
    <n v="1300"/>
    <d v="2012-01-19T00:00:00"/>
    <n v="3439.95"/>
    <n v="-2139.9499999999998"/>
    <n v="7.95"/>
    <n v="25"/>
    <n v="137.28"/>
    <n v="52"/>
    <s v="S"/>
    <x v="21"/>
  </r>
  <r>
    <s v="25 Share TWM"/>
    <d v="2014-10-08T00:00:00"/>
    <n v="1300"/>
    <d v="2012-06-29T00:00:00"/>
    <n v="3057.95"/>
    <n v="-1757.95"/>
    <n v="7.95"/>
    <n v="25"/>
    <n v="122"/>
    <n v="52"/>
    <s v="S"/>
    <x v="21"/>
  </r>
  <r>
    <s v="200 Share TWTR"/>
    <d v="2014-06-20T00:00:00"/>
    <n v="190"/>
    <d v="2013-11-29T00:00:00"/>
    <n v="1298.9000000000001"/>
    <n v="-1108.9000000000001"/>
    <n v="18.899999999999999"/>
    <n v="200"/>
    <n v="6.4"/>
    <n v="0.95"/>
    <s v="BP"/>
    <x v="22"/>
  </r>
  <r>
    <s v="50 Share UGL"/>
    <d v="2014-04-19T00:00:00"/>
    <n v="2000"/>
    <d v="2011-09-22T00:00:00"/>
    <n v="5007.95"/>
    <n v="-3007.95"/>
    <n v="7.95"/>
    <n v="50"/>
    <n v="100"/>
    <n v="40"/>
    <s v="S"/>
    <x v="23"/>
  </r>
  <r>
    <s v="50 Share UGL"/>
    <d v="2014-04-19T00:00:00"/>
    <n v="2000"/>
    <d v="2012-04-04T00:00:00"/>
    <n v="4182.95"/>
    <n v="-2182.9499999999998"/>
    <n v="7.95"/>
    <n v="50"/>
    <n v="83.5"/>
    <n v="40"/>
    <s v="S"/>
    <x v="23"/>
  </r>
  <r>
    <s v="100 Share UGL"/>
    <d v="2014-04-19T00:00:00"/>
    <n v="600"/>
    <d v="2014-01-23T00:00:00"/>
    <n v="28.7"/>
    <n v="571.29999999999995"/>
    <n v="28.7"/>
    <n v="100"/>
    <n v="0"/>
    <n v="6"/>
    <s v="SCX"/>
    <x v="24"/>
  </r>
  <r>
    <s v="100 Share WLT"/>
    <d v="2014-01-17T00:00:00"/>
    <n v="125"/>
    <d v="2013-12-27T00:00:00"/>
    <n v="17.399999999999999"/>
    <n v="107.6"/>
    <n v="17.399999999999999"/>
    <n v="100"/>
    <n v="0"/>
    <n v="1.25"/>
    <s v="SC"/>
    <x v="25"/>
  </r>
  <r>
    <s v="101 Share WMT"/>
    <d v="2014-12-19T00:00:00"/>
    <n v="8686"/>
    <d v="2013-12-29T00:00:00"/>
    <n v="8150.2871999999998"/>
    <n v="535.71280000000002"/>
    <n v="7.95"/>
    <n v="101"/>
    <n v="80.617199999999997"/>
    <n v="86"/>
    <s v="S"/>
    <x v="26"/>
  </r>
  <r>
    <s v="100 Share WR"/>
    <d v="2014-03-06T00:00:00"/>
    <n v="3000"/>
    <d v="2014-01-06T00:00:00"/>
    <n v="3205.95"/>
    <n v="-205.95"/>
    <n v="7.95"/>
    <n v="100"/>
    <n v="31.98"/>
    <n v="30"/>
    <s v="S"/>
    <x v="27"/>
  </r>
  <r>
    <s v="100 Share WR"/>
    <d v="2014-03-06T00:00:00"/>
    <n v="300"/>
    <d v="2014-01-09T00:00:00"/>
    <n v="28.7"/>
    <n v="271.3"/>
    <n v="28.7"/>
    <n v="100"/>
    <n v="0"/>
    <n v="3"/>
    <s v="SCX"/>
    <x v="28"/>
  </r>
</pivotCacheRecords>
</file>

<file path=xl/pivotCache/pivotCacheRecords2.xml><?xml version="1.0" encoding="utf-8"?>
<pivotCacheRecords xmlns="http://schemas.openxmlformats.org/spreadsheetml/2006/main" xmlns:r="http://schemas.openxmlformats.org/officeDocument/2006/relationships" count="483">
  <r>
    <n v="1"/>
    <x v="0"/>
    <x v="0"/>
    <n v="200"/>
    <n v="45.05"/>
    <d v="2009-10-07T00:00:00"/>
    <n v="46"/>
    <d v="2009-11-06T00:00:00"/>
    <n v="24.316845721349221"/>
    <n v="2.0187514900836776"/>
    <n v="182.05"/>
    <n v="7.95"/>
    <x v="0"/>
    <n v="9017.9500000000007"/>
    <x v="0"/>
    <x v="0"/>
    <x v="0"/>
    <x v="0"/>
    <x v="0"/>
    <x v="0"/>
    <x v="0"/>
    <x v="0"/>
  </r>
  <r>
    <n v="2"/>
    <x v="1"/>
    <x v="0"/>
    <n v="15"/>
    <n v="92.52"/>
    <d v="2009-07-29T00:00:00"/>
    <n v="99.25"/>
    <d v="2009-08-04T00:00:00"/>
    <n v="392.40503024749336"/>
    <n v="6.6630843632455692"/>
    <n v="93"/>
    <n v="7.95"/>
    <x v="0"/>
    <n v="1395.75"/>
    <x v="0"/>
    <x v="0"/>
    <x v="0"/>
    <x v="0"/>
    <x v="0"/>
    <x v="0"/>
    <x v="0"/>
    <x v="0"/>
  </r>
  <r>
    <n v="3"/>
    <x v="1"/>
    <x v="0"/>
    <n v="50"/>
    <n v="96.9"/>
    <d v="2009-09-02T00:00:00"/>
    <n v="103"/>
    <d v="2009-09-09T00:00:00"/>
    <n v="309.78043902909985"/>
    <n v="6.1210191739045188"/>
    <n v="297.05"/>
    <n v="7.95"/>
    <x v="0"/>
    <n v="4852.95"/>
    <x v="0"/>
    <x v="0"/>
    <x v="0"/>
    <x v="0"/>
    <x v="0"/>
    <x v="0"/>
    <x v="0"/>
    <x v="0"/>
  </r>
  <r>
    <n v="4"/>
    <x v="2"/>
    <x v="0"/>
    <n v="20"/>
    <n v="159.18"/>
    <d v="2009-08-17T00:00:00"/>
    <n v="167.02"/>
    <d v="2009-09-08T00:00:00"/>
    <n v="75.627781151371721"/>
    <n v="4.663878052983657"/>
    <n v="148.85"/>
    <n v="7.95"/>
    <x v="0"/>
    <n v="3191.55"/>
    <x v="0"/>
    <x v="0"/>
    <x v="0"/>
    <x v="0"/>
    <x v="0"/>
    <x v="0"/>
    <x v="0"/>
    <x v="0"/>
  </r>
  <r>
    <n v="5"/>
    <x v="3"/>
    <x v="0"/>
    <n v="60"/>
    <n v="74"/>
    <d v="2009-08-28T00:00:00"/>
    <n v="78.22"/>
    <d v="2009-09-08T00:00:00"/>
    <n v="178.09125356036608"/>
    <n v="5.5137760091727728"/>
    <n v="245.25"/>
    <n v="7.95"/>
    <x v="0"/>
    <n v="4447.95"/>
    <x v="0"/>
    <x v="0"/>
    <x v="0"/>
    <x v="0"/>
    <x v="0"/>
    <x v="0"/>
    <x v="0"/>
    <x v="0"/>
  </r>
  <r>
    <n v="6"/>
    <x v="4"/>
    <x v="0"/>
    <n v="1000"/>
    <n v="5.4"/>
    <d v="2009-08-18T00:00:00"/>
    <n v="6.3"/>
    <d v="2009-08-31T00:00:00"/>
    <n v="428.67717073475791"/>
    <n v="16.495159903475425"/>
    <n v="892.05"/>
    <n v="7.95"/>
    <x v="0"/>
    <n v="5407.95"/>
    <x v="0"/>
    <x v="0"/>
    <x v="0"/>
    <x v="0"/>
    <x v="0"/>
    <x v="0"/>
    <x v="0"/>
    <x v="0"/>
  </r>
  <r>
    <n v="7"/>
    <x v="5"/>
    <x v="0"/>
    <n v="200"/>
    <n v="31"/>
    <d v="2009-08-14T00:00:00"/>
    <n v="33"/>
    <d v="2009-09-09T00:00:00"/>
    <n v="85.970022739526883"/>
    <n v="6.3152892661828739"/>
    <n v="392.05"/>
    <n v="7.95"/>
    <x v="0"/>
    <n v="6207.95"/>
    <x v="0"/>
    <x v="0"/>
    <x v="0"/>
    <x v="0"/>
    <x v="0"/>
    <x v="0"/>
    <x v="0"/>
    <x v="0"/>
  </r>
  <r>
    <n v="8"/>
    <x v="6"/>
    <x v="0"/>
    <n v="200"/>
    <n v="51.9"/>
    <d v="2009-10-20T00:00:00"/>
    <n v="53.5"/>
    <d v="2009-11-17T00:00:00"/>
    <n v="38.582143705797549"/>
    <n v="3.0039613205685503"/>
    <n v="312.05"/>
    <n v="7.95"/>
    <x v="0"/>
    <n v="10387.950000000001"/>
    <x v="0"/>
    <x v="0"/>
    <x v="0"/>
    <x v="0"/>
    <x v="0"/>
    <x v="0"/>
    <x v="0"/>
    <x v="0"/>
  </r>
  <r>
    <n v="9"/>
    <x v="7"/>
    <x v="0"/>
    <n v="900"/>
    <n v="4.95"/>
    <d v="2009-10-02T00:00:00"/>
    <n v="5.39"/>
    <d v="2009-11-19T00:00:00"/>
    <n v="63.39965358418705"/>
    <n v="8.6949215205189265"/>
    <n v="388.05"/>
    <n v="7.95"/>
    <x v="0"/>
    <n v="4462.95"/>
    <x v="0"/>
    <x v="0"/>
    <x v="0"/>
    <x v="0"/>
    <x v="0"/>
    <x v="0"/>
    <x v="0"/>
    <x v="0"/>
  </r>
  <r>
    <n v="10"/>
    <x v="8"/>
    <x v="0"/>
    <n v="300"/>
    <n v="15.46"/>
    <d v="2009-10-29T00:00:00"/>
    <n v="21"/>
    <d v="2010-01-06T00:00:00"/>
    <n v="161.10452577438107"/>
    <n v="35.601975914506177"/>
    <n v="1654.05"/>
    <n v="7.95"/>
    <x v="0"/>
    <n v="4645.95"/>
    <x v="0"/>
    <x v="0"/>
    <x v="0"/>
    <x v="0"/>
    <x v="0"/>
    <x v="0"/>
    <x v="0"/>
    <x v="0"/>
  </r>
  <r>
    <n v="11"/>
    <x v="9"/>
    <x v="0"/>
    <n v="900"/>
    <n v="10.51"/>
    <d v="2009-10-01T00:00:00"/>
    <n v="20"/>
    <d v="2010-01-06T00:00:00"/>
    <n v="241.78991224499839"/>
    <n v="90.135154405589958"/>
    <n v="8533.0499999999993"/>
    <n v="7.95"/>
    <x v="0"/>
    <n v="9466.9500000000007"/>
    <x v="0"/>
    <x v="0"/>
    <x v="0"/>
    <x v="0"/>
    <x v="0"/>
    <x v="0"/>
    <x v="0"/>
    <x v="0"/>
  </r>
  <r>
    <n v="12"/>
    <x v="4"/>
    <x v="0"/>
    <n v="588"/>
    <n v="6.32"/>
    <d v="2009-09-21T00:00:00"/>
    <n v="4.57"/>
    <d v="2009-12-31T00:00:00"/>
    <n v="-117.93584504926866"/>
    <n v="-27.84423660955235"/>
    <n v="-1036.95"/>
    <n v="7.95"/>
    <x v="0"/>
    <n v="3724.11"/>
    <x v="0"/>
    <x v="0"/>
    <x v="0"/>
    <x v="0"/>
    <x v="0"/>
    <x v="0"/>
    <x v="0"/>
    <x v="0"/>
  </r>
  <r>
    <n v="13"/>
    <x v="6"/>
    <x v="0"/>
    <n v="100"/>
    <n v="51.9"/>
    <d v="2009-10-20T00:00:00"/>
    <n v="54.11"/>
    <d v="2010-03-05T00:00:00"/>
    <n v="10.780812186556396"/>
    <n v="4.0987312305812829"/>
    <n v="213.05"/>
    <n v="7.95"/>
    <x v="0"/>
    <n v="5197.95"/>
    <x v="0"/>
    <x v="0"/>
    <x v="0"/>
    <x v="0"/>
    <x v="0"/>
    <x v="0"/>
    <x v="0"/>
    <x v="0"/>
  </r>
  <r>
    <n v="14"/>
    <x v="10"/>
    <x v="0"/>
    <n v="600"/>
    <n v="16.02"/>
    <d v="2009-10-01T00:00:00"/>
    <n v="18.36"/>
    <d v="2009-11-11T00:00:00"/>
    <n v="120.6366790429678"/>
    <n v="14.512029688304001"/>
    <n v="1396.05"/>
    <n v="7.95"/>
    <x v="0"/>
    <n v="9619.9500000000007"/>
    <x v="0"/>
    <x v="0"/>
    <x v="0"/>
    <x v="0"/>
    <x v="0"/>
    <x v="0"/>
    <x v="0"/>
    <x v="0"/>
  </r>
  <r>
    <n v="15"/>
    <x v="11"/>
    <x v="0"/>
    <n v="300"/>
    <n v="16.600000000000001"/>
    <d v="2009-12-30T00:00:00"/>
    <n v="20"/>
    <d v="2010-03-17T00:00:00"/>
    <n v="88.721157781788619"/>
    <n v="20.289898655760386"/>
    <n v="1012.05"/>
    <n v="7.95"/>
    <x v="0"/>
    <n v="4987.95"/>
    <x v="0"/>
    <x v="0"/>
    <x v="0"/>
    <x v="0"/>
    <x v="0"/>
    <x v="0"/>
    <x v="0"/>
    <x v="0"/>
  </r>
  <r>
    <n v="16"/>
    <x v="12"/>
    <x v="0"/>
    <n v="900"/>
    <n v="8.52"/>
    <d v="2009-10-07T00:00:00"/>
    <n v="10"/>
    <d v="2010-03-23T00:00:00"/>
    <n v="34.780459432789591"/>
    <n v="17.24933070173725"/>
    <n v="1324.05"/>
    <n v="7.95"/>
    <x v="0"/>
    <n v="7675.95"/>
    <x v="0"/>
    <x v="0"/>
    <x v="0"/>
    <x v="0"/>
    <x v="0"/>
    <x v="0"/>
    <x v="0"/>
    <x v="0"/>
  </r>
  <r>
    <n v="17"/>
    <x v="13"/>
    <x v="0"/>
    <n v="25"/>
    <n v="188.19"/>
    <d v="2009-10-06T00:00:00"/>
    <n v="225.66"/>
    <d v="2010-03-23T00:00:00"/>
    <n v="39.083025787286537"/>
    <n v="19.708447386848295"/>
    <n v="928.8"/>
    <n v="7.95"/>
    <x v="0"/>
    <n v="4712.7"/>
    <x v="0"/>
    <x v="0"/>
    <x v="0"/>
    <x v="0"/>
    <x v="0"/>
    <x v="0"/>
    <x v="0"/>
    <x v="0"/>
  </r>
  <r>
    <n v="18"/>
    <x v="14"/>
    <x v="0"/>
    <n v="200"/>
    <n v="26"/>
    <d v="2010-01-21T00:00:00"/>
    <n v="33.090000000000003"/>
    <d v="2010-03-17T00:00:00"/>
    <n v="161.95651929183782"/>
    <n v="27.074952716519942"/>
    <n v="1410.05"/>
    <n v="7.95"/>
    <x v="0"/>
    <n v="5207.95"/>
    <x v="0"/>
    <x v="0"/>
    <x v="0"/>
    <x v="0"/>
    <x v="0"/>
    <x v="0"/>
    <x v="0"/>
    <x v="0"/>
  </r>
  <r>
    <n v="19"/>
    <x v="14"/>
    <x v="0"/>
    <n v="200"/>
    <n v="26"/>
    <d v="2010-01-21T00:00:00"/>
    <n v="33.1"/>
    <d v="2010-03-09T00:00:00"/>
    <n v="186.31235953544385"/>
    <n v="27.113355542967959"/>
    <n v="1412.05"/>
    <n v="7.95"/>
    <x v="0"/>
    <n v="5207.95"/>
    <x v="0"/>
    <x v="0"/>
    <x v="0"/>
    <x v="0"/>
    <x v="0"/>
    <x v="0"/>
    <x v="0"/>
    <x v="0"/>
  </r>
  <r>
    <n v="20"/>
    <x v="15"/>
    <x v="0"/>
    <n v="150"/>
    <n v="42.5"/>
    <d v="2010-01-21T00:00:00"/>
    <n v="50"/>
    <d v="2010-04-29T00:00:00"/>
    <n v="60.685068429154946"/>
    <n v="17.500528752379392"/>
    <n v="1117.05"/>
    <n v="7.95"/>
    <x v="0"/>
    <n v="6382.95"/>
    <x v="0"/>
    <x v="0"/>
    <x v="0"/>
    <x v="0"/>
    <x v="0"/>
    <x v="0"/>
    <x v="0"/>
    <x v="0"/>
  </r>
  <r>
    <n v="21"/>
    <x v="12"/>
    <x v="0"/>
    <n v="10"/>
    <n v="8.2438000000000002"/>
    <d v="2009-10-13T00:00:00"/>
    <n v="14"/>
    <d v="2010-07-13T00:00:00"/>
    <n v="58.49772204966763"/>
    <n v="54.887816966853997"/>
    <n v="49.612000000000002"/>
    <n v="7.95"/>
    <x v="0"/>
    <n v="90.388000000000005"/>
    <x v="0"/>
    <x v="0"/>
    <x v="0"/>
    <x v="0"/>
    <x v="0"/>
    <x v="0"/>
    <x v="0"/>
    <x v="0"/>
  </r>
  <r>
    <n v="22"/>
    <x v="16"/>
    <x v="0"/>
    <n v="100"/>
    <n v="120"/>
    <d v="2010-05-14T00:00:00"/>
    <n v="140"/>
    <d v="2010-07-23T00:00:00"/>
    <n v="80.033236717114036"/>
    <n v="16.589426171827835"/>
    <n v="1992.05"/>
    <n v="7.95"/>
    <x v="0"/>
    <n v="12007.95"/>
    <x v="0"/>
    <x v="0"/>
    <x v="0"/>
    <x v="0"/>
    <x v="0"/>
    <x v="0"/>
    <x v="0"/>
    <x v="0"/>
  </r>
  <r>
    <n v="23"/>
    <x v="5"/>
    <x v="0"/>
    <n v="285"/>
    <n v="35.28"/>
    <d v="2009-10-27T00:00:00"/>
    <n v="41"/>
    <d v="2010-03-09T00:00:00"/>
    <n v="41.018722183840339"/>
    <n v="16.121338600283213"/>
    <n v="1622.25"/>
    <n v="7.95"/>
    <x v="0"/>
    <n v="10062.75"/>
    <x v="0"/>
    <x v="0"/>
    <x v="0"/>
    <x v="0"/>
    <x v="0"/>
    <x v="0"/>
    <x v="0"/>
    <x v="0"/>
  </r>
  <r>
    <n v="24"/>
    <x v="17"/>
    <x v="0"/>
    <n v="500"/>
    <n v="13.5"/>
    <d v="2010-05-07T00:00:00"/>
    <n v="14"/>
    <d v="2010-09-29T00:00:00"/>
    <n v="8.8583132356351797"/>
    <n v="3.5817074704607146"/>
    <n v="242.05"/>
    <n v="7.95"/>
    <x v="0"/>
    <n v="6757.95"/>
    <x v="0"/>
    <x v="0"/>
    <x v="0"/>
    <x v="0"/>
    <x v="0"/>
    <x v="0"/>
    <x v="0"/>
    <x v="0"/>
  </r>
  <r>
    <n v="25"/>
    <x v="18"/>
    <x v="0"/>
    <n v="20"/>
    <n v="490.5"/>
    <d v="2009-09-30T00:00:00"/>
    <n v="615"/>
    <d v="2010-10-20T00:00:00"/>
    <n v="21.367850804277637"/>
    <n v="25.280735795150719"/>
    <n v="2482.0500000000002"/>
    <n v="7.95"/>
    <x v="0"/>
    <n v="9817.9500000000007"/>
    <x v="0"/>
    <x v="0"/>
    <x v="0"/>
    <x v="0"/>
    <x v="0"/>
    <x v="0"/>
    <x v="0"/>
    <x v="0"/>
  </r>
  <r>
    <n v="26"/>
    <x v="19"/>
    <x v="0"/>
    <n v="300"/>
    <n v="28.55"/>
    <d v="2010-05-17T00:00:00"/>
    <n v="29.5"/>
    <d v="2010-10-26T00:00:00"/>
    <n v="7.1660678923295578"/>
    <n v="3.2316763774430064"/>
    <n v="277.05"/>
    <n v="7.95"/>
    <x v="0"/>
    <n v="8572.9500000000007"/>
    <x v="0"/>
    <x v="0"/>
    <x v="0"/>
    <x v="0"/>
    <x v="0"/>
    <x v="0"/>
    <x v="0"/>
    <x v="0"/>
  </r>
  <r>
    <n v="27"/>
    <x v="15"/>
    <x v="0"/>
    <n v="50"/>
    <n v="42.5"/>
    <d v="2010-01-21T00:00:00"/>
    <n v="47.27"/>
    <d v="2010-10-26T00:00:00"/>
    <n v="13.524445565982049"/>
    <n v="10.808973487423531"/>
    <n v="230.55"/>
    <n v="7.95"/>
    <x v="0"/>
    <n v="2132.9499999999998"/>
    <x v="0"/>
    <x v="0"/>
    <x v="0"/>
    <x v="0"/>
    <x v="0"/>
    <x v="0"/>
    <x v="0"/>
    <x v="0"/>
  </r>
  <r>
    <n v="28"/>
    <x v="6"/>
    <x v="0"/>
    <n v="205"/>
    <n v="51.015099999999997"/>
    <d v="2009-10-20T00:00:00"/>
    <n v="55"/>
    <d v="2010-11-04T00:00:00"/>
    <n v="7.1512749904453106"/>
    <n v="7.7293233628690095"/>
    <n v="808.95450000000005"/>
    <n v="7.95"/>
    <x v="0"/>
    <n v="10466.0455"/>
    <x v="0"/>
    <x v="0"/>
    <x v="0"/>
    <x v="0"/>
    <x v="0"/>
    <x v="0"/>
    <x v="0"/>
    <x v="0"/>
  </r>
  <r>
    <n v="29"/>
    <x v="20"/>
    <x v="0"/>
    <n v="25"/>
    <n v="1.35"/>
    <d v="2010-01-22T00:00:00"/>
    <n v="2.23"/>
    <d v="2010-11-01T00:00:00"/>
    <n v="37.584164099449431"/>
    <n v="33.693045563549148"/>
    <n v="14.05"/>
    <n v="7.95"/>
    <x v="0"/>
    <n v="41.7"/>
    <x v="0"/>
    <x v="0"/>
    <x v="0"/>
    <x v="0"/>
    <x v="0"/>
    <x v="0"/>
    <x v="0"/>
    <x v="0"/>
  </r>
  <r>
    <n v="30"/>
    <x v="21"/>
    <x v="0"/>
    <n v="150"/>
    <n v="32"/>
    <d v="2010-01-22T00:00:00"/>
    <n v="36"/>
    <d v="2010-03-01T00:00:00"/>
    <n v="111.5441495787658"/>
    <n v="12.313979970673582"/>
    <n v="592.04999999999995"/>
    <n v="7.95"/>
    <x v="0"/>
    <n v="4807.95"/>
    <x v="0"/>
    <x v="0"/>
    <x v="0"/>
    <x v="0"/>
    <x v="0"/>
    <x v="0"/>
    <x v="0"/>
    <x v="0"/>
  </r>
  <r>
    <n v="31"/>
    <x v="22"/>
    <x v="0"/>
    <n v="1000"/>
    <n v="6.32"/>
    <d v="2009-09-21T00:00:00"/>
    <n v="3"/>
    <d v="2010-12-21T00:00:00"/>
    <n v="-59.741858494959331"/>
    <n v="-52.591281536674593"/>
    <n v="-3327.95"/>
    <n v="7.95"/>
    <x v="0"/>
    <n v="6327.95"/>
    <x v="0"/>
    <x v="0"/>
    <x v="0"/>
    <x v="0"/>
    <x v="0"/>
    <x v="0"/>
    <x v="0"/>
    <x v="0"/>
  </r>
  <r>
    <n v="32"/>
    <x v="23"/>
    <x v="0"/>
    <n v="300"/>
    <n v="13.5"/>
    <d v="2010-05-17T00:00:00"/>
    <n v="4"/>
    <d v="2010-12-29T00:00:00"/>
    <n v="-196.7699436130608"/>
    <n v="-70.428418290023288"/>
    <n v="-2857.95"/>
    <n v="7.95"/>
    <x v="0"/>
    <n v="4057.95"/>
    <x v="0"/>
    <x v="0"/>
    <x v="0"/>
    <x v="0"/>
    <x v="0"/>
    <x v="0"/>
    <x v="0"/>
    <x v="0"/>
  </r>
  <r>
    <n v="33"/>
    <x v="18"/>
    <x v="0"/>
    <n v="7"/>
    <n v="450"/>
    <d v="2010-08-27T00:00:00"/>
    <n v="605.62"/>
    <d v="2011-01-03T00:00:00"/>
    <n v="83.323137639060093"/>
    <n v="34.243417406862044"/>
    <n v="1081.3900000000001"/>
    <n v="7.95"/>
    <x v="0"/>
    <n v="3157.95"/>
    <x v="0"/>
    <x v="0"/>
    <x v="0"/>
    <x v="0"/>
    <x v="0"/>
    <x v="0"/>
    <x v="0"/>
    <x v="0"/>
  </r>
  <r>
    <n v="34"/>
    <x v="13"/>
    <x v="0"/>
    <n v="10"/>
    <n v="188.19"/>
    <d v="2009-10-06T00:00:00"/>
    <n v="332.5"/>
    <d v="2011-01-03T00:00:00"/>
    <n v="45.421774855022079"/>
    <n v="75.939889409212384"/>
    <n v="1435.15"/>
    <n v="7.95"/>
    <x v="0"/>
    <n v="1889.85"/>
    <x v="0"/>
    <x v="0"/>
    <x v="0"/>
    <x v="0"/>
    <x v="0"/>
    <x v="0"/>
    <x v="0"/>
    <x v="0"/>
  </r>
  <r>
    <n v="35"/>
    <x v="24"/>
    <x v="0"/>
    <n v="150"/>
    <n v="15.3"/>
    <d v="2009-12-15T00:00:00"/>
    <n v="18.2"/>
    <d v="2010-04-05T00:00:00"/>
    <n v="56.445822984714013"/>
    <n v="18.54360711261641"/>
    <n v="427.05"/>
    <n v="7.95"/>
    <x v="0"/>
    <n v="2302.9499999999998"/>
    <x v="0"/>
    <x v="0"/>
    <x v="0"/>
    <x v="0"/>
    <x v="0"/>
    <x v="0"/>
    <x v="0"/>
    <x v="0"/>
  </r>
  <r>
    <n v="36"/>
    <x v="18"/>
    <x v="0"/>
    <n v="23"/>
    <n v="450"/>
    <d v="2010-08-27T00:00:00"/>
    <n v="640"/>
    <d v="2011-01-21T00:00:00"/>
    <n v="87.265484327584957"/>
    <n v="42.113062913028159"/>
    <n v="4362.05"/>
    <n v="7.95"/>
    <x v="0"/>
    <n v="10357.950000000001"/>
    <x v="0"/>
    <x v="0"/>
    <x v="0"/>
    <x v="0"/>
    <x v="0"/>
    <x v="0"/>
    <x v="0"/>
    <x v="0"/>
  </r>
  <r>
    <n v="37"/>
    <x v="25"/>
    <x v="0"/>
    <n v="50"/>
    <n v="5"/>
    <d v="2010-01-25T00:00:00"/>
    <n v="3.51"/>
    <d v="2011-03-11T00:00:00"/>
    <n v="-34.28567184059257"/>
    <n v="-31.963558829230472"/>
    <n v="-82.45"/>
    <n v="7.95"/>
    <x v="0"/>
    <n v="257.95"/>
    <x v="0"/>
    <x v="0"/>
    <x v="0"/>
    <x v="0"/>
    <x v="0"/>
    <x v="0"/>
    <x v="0"/>
    <x v="0"/>
  </r>
  <r>
    <n v="38"/>
    <x v="13"/>
    <x v="0"/>
    <n v="15"/>
    <n v="188.19"/>
    <d v="2009-10-06T00:00:00"/>
    <n v="356"/>
    <d v="2011-02-09T00:00:00"/>
    <n v="47.179877382831563"/>
    <n v="88.639253921153028"/>
    <n v="2509.1999999999998"/>
    <n v="7.95"/>
    <x v="0"/>
    <n v="2830.8"/>
    <x v="0"/>
    <x v="0"/>
    <x v="0"/>
    <x v="0"/>
    <x v="0"/>
    <x v="0"/>
    <x v="0"/>
    <x v="0"/>
  </r>
  <r>
    <n v="39"/>
    <x v="26"/>
    <x v="0"/>
    <n v="800"/>
    <n v="12.04"/>
    <d v="2009-10-02T00:00:00"/>
    <n v="15"/>
    <d v="2011-04-15T00:00:00"/>
    <n v="14.273502800689466"/>
    <n v="24.481973454219176"/>
    <n v="2360.0500000000002"/>
    <n v="7.95"/>
    <x v="0"/>
    <n v="9639.9500000000007"/>
    <x v="0"/>
    <x v="0"/>
    <x v="0"/>
    <x v="0"/>
    <x v="0"/>
    <x v="0"/>
    <x v="0"/>
    <x v="0"/>
  </r>
  <r>
    <n v="40"/>
    <x v="27"/>
    <x v="0"/>
    <n v="500"/>
    <n v="17.714099999999998"/>
    <d v="2010-01-12T00:00:00"/>
    <n v="12"/>
    <d v="2011-04-15T00:00:00"/>
    <n v="-31.176867977858286"/>
    <n v="-32.318104906937378"/>
    <n v="-2865"/>
    <n v="7.95"/>
    <x v="0"/>
    <n v="8865"/>
    <x v="0"/>
    <x v="0"/>
    <x v="0"/>
    <x v="0"/>
    <x v="0"/>
    <x v="0"/>
    <x v="0"/>
    <x v="0"/>
  </r>
  <r>
    <n v="41"/>
    <x v="28"/>
    <x v="0"/>
    <n v="900"/>
    <n v="4.75"/>
    <d v="2009-10-13T00:00:00"/>
    <n v="5.15"/>
    <d v="2010-02-17T00:00:00"/>
    <n v="22.703050155300986"/>
    <n v="8.2198017721430361"/>
    <n v="352.05"/>
    <n v="7.95"/>
    <x v="0"/>
    <n v="4282.95"/>
    <x v="0"/>
    <x v="0"/>
    <x v="0"/>
    <x v="0"/>
    <x v="0"/>
    <x v="0"/>
    <x v="0"/>
    <x v="0"/>
  </r>
  <r>
    <n v="42"/>
    <x v="29"/>
    <x v="1"/>
    <n v="900"/>
    <n v="5.5236000000000001"/>
    <d v="2011-01-19T00:00:00"/>
    <n v="6.1"/>
    <d v="2011-02-22T00:00:00"/>
    <n v="100.22723004912804"/>
    <n v="9.7859473987329544"/>
    <n v="489.36"/>
    <n v="29.4"/>
    <x v="1"/>
    <n v="5000.6400000000003"/>
    <x v="0"/>
    <x v="0"/>
    <x v="0"/>
    <x v="0"/>
    <x v="0"/>
    <x v="0"/>
    <x v="0"/>
    <x v="0"/>
  </r>
  <r>
    <n v="43"/>
    <x v="27"/>
    <x v="2"/>
    <n v="500"/>
    <n v="0"/>
    <d v="2010-11-22T00:00:00"/>
    <n v="0.75"/>
    <d v="2011-02-18T00:00:00"/>
    <n v="1438.1569002509609"/>
    <n v="3105.1282051282055"/>
    <n v="363.3"/>
    <n v="11.7"/>
    <x v="2"/>
    <n v="11.7"/>
    <x v="0"/>
    <x v="0"/>
    <x v="0"/>
    <x v="0"/>
    <x v="0"/>
    <x v="0"/>
    <x v="0"/>
    <x v="0"/>
  </r>
  <r>
    <n v="44"/>
    <x v="27"/>
    <x v="3"/>
    <n v="500"/>
    <n v="0"/>
    <d v="2011-03-02T00:00:00"/>
    <n v="0.95"/>
    <d v="2011-04-15T00:00:00"/>
    <n v="3143.860409800674"/>
    <n v="3959.82905982906"/>
    <n v="463.3"/>
    <n v="11.7"/>
    <x v="2"/>
    <n v="11.7"/>
    <x v="0"/>
    <x v="0"/>
    <x v="0"/>
    <x v="0"/>
    <x v="0"/>
    <x v="0"/>
    <x v="0"/>
    <x v="0"/>
  </r>
  <r>
    <n v="45"/>
    <x v="30"/>
    <x v="4"/>
    <n v="500"/>
    <n v="2.9824000000000002"/>
    <d v="2010-12-27T00:00:00"/>
    <n v="3.6"/>
    <d v="2011-02-10T00:00:00"/>
    <n v="140.02639962145506"/>
    <n v="18.843258946256427"/>
    <n v="285.39999999999998"/>
    <n v="23.4"/>
    <x v="3"/>
    <n v="1514.6"/>
    <x v="0"/>
    <x v="0"/>
    <x v="0"/>
    <x v="0"/>
    <x v="0"/>
    <x v="0"/>
    <x v="0"/>
    <x v="0"/>
  </r>
  <r>
    <n v="46"/>
    <x v="30"/>
    <x v="5"/>
    <n v="400"/>
    <n v="4.6374000000000004"/>
    <d v="2010-12-27T00:00:00"/>
    <n v="5.8"/>
    <d v="2011-03-17T00:00:00"/>
    <n v="97.934128552381637"/>
    <n v="23.610711507517852"/>
    <n v="443.14"/>
    <n v="21.9"/>
    <x v="3"/>
    <n v="1876.86"/>
    <x v="0"/>
    <x v="0"/>
    <x v="0"/>
    <x v="0"/>
    <x v="0"/>
    <x v="0"/>
    <x v="0"/>
    <x v="0"/>
  </r>
  <r>
    <n v="47"/>
    <x v="30"/>
    <x v="6"/>
    <n v="900"/>
    <n v="0"/>
    <d v="2010-11-22T00:00:00"/>
    <n v="0.35"/>
    <d v="2011-01-22T00:00:00"/>
    <n v="1833.8109474425312"/>
    <n v="2042.8571428571431"/>
    <n v="300.3"/>
    <n v="14.7"/>
    <x v="2"/>
    <n v="14.7"/>
    <x v="0"/>
    <x v="0"/>
    <x v="0"/>
    <x v="0"/>
    <x v="0"/>
    <x v="0"/>
    <x v="0"/>
    <x v="0"/>
  </r>
  <r>
    <n v="48"/>
    <x v="31"/>
    <x v="7"/>
    <n v="900"/>
    <n v="0"/>
    <d v="2011-01-05T00:00:00"/>
    <n v="0.25"/>
    <d v="2011-03-18T00:00:00"/>
    <n v="1402.552551511551"/>
    <n v="1430.6122448979593"/>
    <n v="210.3"/>
    <n v="14.7"/>
    <x v="2"/>
    <n v="14.7"/>
    <x v="0"/>
    <x v="0"/>
    <x v="0"/>
    <x v="0"/>
    <x v="0"/>
    <x v="0"/>
    <x v="0"/>
    <x v="0"/>
  </r>
  <r>
    <n v="49"/>
    <x v="32"/>
    <x v="8"/>
    <n v="400"/>
    <n v="0"/>
    <d v="2010-11-22T00:00:00"/>
    <n v="0.3"/>
    <d v="2011-03-18T00:00:00"/>
    <n v="759.88311702576573"/>
    <n v="995.89041095890423"/>
    <n v="109.05"/>
    <n v="10.95"/>
    <x v="2"/>
    <n v="10.95"/>
    <x v="0"/>
    <x v="0"/>
    <x v="0"/>
    <x v="0"/>
    <x v="0"/>
    <x v="0"/>
    <x v="0"/>
    <x v="0"/>
  </r>
  <r>
    <n v="50"/>
    <x v="9"/>
    <x v="9"/>
    <n v="300"/>
    <n v="4.5699999999999998E-2"/>
    <d v="2010-11-22T00:00:00"/>
    <n v="0.46"/>
    <d v="2011-03-18T00:00:00"/>
    <n v="443.60611076976289"/>
    <n v="304.57343887423048"/>
    <n v="103.89"/>
    <n v="20.399999999999999"/>
    <x v="4"/>
    <n v="34.11"/>
    <x v="0"/>
    <x v="0"/>
    <x v="0"/>
    <x v="0"/>
    <x v="0"/>
    <x v="0"/>
    <x v="0"/>
    <x v="0"/>
  </r>
  <r>
    <n v="51"/>
    <x v="33"/>
    <x v="10"/>
    <n v="1000"/>
    <n v="3.6724000000000001"/>
    <d v="2011-03-18T00:00:00"/>
    <n v="4.05"/>
    <d v="2011-03-21T00:00:00"/>
    <n v="1088.8262327533423"/>
    <n v="9.3619204493289718"/>
    <n v="346.7"/>
    <n v="30.9"/>
    <x v="1"/>
    <n v="3703.3"/>
    <x v="0"/>
    <x v="0"/>
    <x v="0"/>
    <x v="0"/>
    <x v="0"/>
    <x v="0"/>
    <x v="0"/>
    <x v="0"/>
  </r>
  <r>
    <n v="52"/>
    <x v="33"/>
    <x v="11"/>
    <n v="500"/>
    <n v="9.5324000000000009"/>
    <d v="2011-03-30T00:00:00"/>
    <n v="10"/>
    <d v="2011-04-11T00:00:00"/>
    <n v="130.76432757383071"/>
    <n v="4.3928511775513597"/>
    <n v="210.4"/>
    <n v="23.4"/>
    <x v="3"/>
    <n v="4789.6000000000004"/>
    <x v="0"/>
    <x v="0"/>
    <x v="0"/>
    <x v="0"/>
    <x v="0"/>
    <x v="0"/>
    <x v="0"/>
    <x v="0"/>
  </r>
  <r>
    <n v="53"/>
    <x v="34"/>
    <x v="12"/>
    <n v="500"/>
    <n v="3.3323999999999998"/>
    <d v="2011-01-10T00:00:00"/>
    <n v="3.4"/>
    <d v="2011-05-13T00:00:00"/>
    <n v="1.8359010936993845"/>
    <n v="0.61553030303030098"/>
    <n v="10.4"/>
    <n v="23.4"/>
    <x v="3"/>
    <n v="1689.6"/>
    <x v="0"/>
    <x v="0"/>
    <x v="0"/>
    <x v="0"/>
    <x v="0"/>
    <x v="0"/>
    <x v="0"/>
    <x v="0"/>
  </r>
  <r>
    <n v="54"/>
    <x v="35"/>
    <x v="13"/>
    <n v="1000"/>
    <n v="2.4024000000000001"/>
    <d v="2011-04-12T00:00:00"/>
    <n v="2.98"/>
    <d v="2011-04-14T00:00:00"/>
    <n v="3698.8176505295055"/>
    <n v="22.467431060699461"/>
    <n v="546.70000000000005"/>
    <n v="30.9"/>
    <x v="3"/>
    <n v="2433.3000000000002"/>
    <x v="0"/>
    <x v="0"/>
    <x v="0"/>
    <x v="0"/>
    <x v="0"/>
    <x v="0"/>
    <x v="0"/>
    <x v="0"/>
  </r>
  <r>
    <n v="55"/>
    <x v="31"/>
    <x v="14"/>
    <n v="900"/>
    <n v="0"/>
    <d v="2010-11-12T00:00:00"/>
    <n v="0.1"/>
    <d v="2010-12-17T00:00:00"/>
    <n v="1889.6176983975276"/>
    <n v="512.24489795918373"/>
    <n v="75.3"/>
    <n v="14.7"/>
    <x v="2"/>
    <n v="14.7"/>
    <x v="0"/>
    <x v="0"/>
    <x v="0"/>
    <x v="0"/>
    <x v="0"/>
    <x v="0"/>
    <x v="0"/>
    <x v="0"/>
  </r>
  <r>
    <n v="56"/>
    <x v="31"/>
    <x v="15"/>
    <n v="700"/>
    <n v="0"/>
    <d v="2011-04-21T00:00:00"/>
    <n v="3.1"/>
    <d v="2011-05-01T00:00:00"/>
    <n v="15256.753882734029"/>
    <n v="6436.144578313254"/>
    <n v="2136.8000000000002"/>
    <n v="33.200000000000003"/>
    <x v="5"/>
    <n v="33.200000000000003"/>
    <x v="0"/>
    <x v="0"/>
    <x v="0"/>
    <x v="0"/>
    <x v="0"/>
    <x v="0"/>
    <x v="0"/>
    <x v="0"/>
  </r>
  <r>
    <n v="57"/>
    <x v="31"/>
    <x v="0"/>
    <n v="700"/>
    <n v="2.5"/>
    <d v="2010-05-21T00:00:00"/>
    <n v="1"/>
    <d v="2011-05-01T00:00:00"/>
    <n v="-97.420436233650435"/>
    <n v="-60.180892516852012"/>
    <n v="-1057.95"/>
    <n v="7.95"/>
    <x v="0"/>
    <n v="1757.95"/>
    <x v="0"/>
    <x v="0"/>
    <x v="0"/>
    <x v="0"/>
    <x v="0"/>
    <x v="0"/>
    <x v="0"/>
    <x v="0"/>
  </r>
  <r>
    <n v="58"/>
    <x v="36"/>
    <x v="16"/>
    <n v="1000"/>
    <n v="3.5"/>
    <d v="2011-04-27T00:00:00"/>
    <n v="3.95"/>
    <d v="2011-05-15T00:00:00"/>
    <n v="227.4411987736834"/>
    <n v="11.869495029595861"/>
    <n v="419.1"/>
    <n v="30.9"/>
    <x v="3"/>
    <n v="3530.9"/>
    <x v="0"/>
    <x v="0"/>
    <x v="0"/>
    <x v="0"/>
    <x v="0"/>
    <x v="0"/>
    <x v="0"/>
    <x v="0"/>
  </r>
  <r>
    <n v="62"/>
    <x v="37"/>
    <x v="17"/>
    <n v="500"/>
    <n v="4.5"/>
    <d v="2011-04-26T00:00:00"/>
    <n v="4.9000000000000004"/>
    <d v="2011-05-15T00:00:00"/>
    <n v="143.71686023394406"/>
    <n v="7.7681006422099106"/>
    <n v="176.6"/>
    <n v="23.4"/>
    <x v="3"/>
    <n v="2273.4"/>
    <x v="0"/>
    <x v="0"/>
    <x v="0"/>
    <x v="0"/>
    <x v="0"/>
    <x v="0"/>
    <x v="0"/>
    <x v="0"/>
  </r>
  <r>
    <n v="64"/>
    <x v="29"/>
    <x v="18"/>
    <n v="900"/>
    <n v="2.3E-2"/>
    <d v="2011-03-21T00:00:00"/>
    <n v="0.9"/>
    <d v="2011-05-21T00:00:00"/>
    <n v="1665.2456269592101"/>
    <n v="1516.7664670658685"/>
    <n v="759.9"/>
    <n v="29.4"/>
    <x v="4"/>
    <n v="50.1"/>
    <x v="0"/>
    <x v="0"/>
    <x v="0"/>
    <x v="0"/>
    <x v="0"/>
    <x v="0"/>
    <x v="0"/>
    <x v="0"/>
  </r>
  <r>
    <n v="65"/>
    <x v="38"/>
    <x v="19"/>
    <n v="1000"/>
    <n v="2.1999999999999999E-2"/>
    <d v="2011-03-31T00:00:00"/>
    <n v="0.3"/>
    <d v="2011-05-21T00:00:00"/>
    <n v="1241.9870285569818"/>
    <n v="467.10775047258977"/>
    <n v="247.1"/>
    <n v="30.9"/>
    <x v="4"/>
    <n v="52.9"/>
    <x v="0"/>
    <x v="0"/>
    <x v="0"/>
    <x v="0"/>
    <x v="0"/>
    <x v="0"/>
    <x v="0"/>
    <x v="0"/>
  </r>
  <r>
    <n v="66"/>
    <x v="39"/>
    <x v="0"/>
    <n v="500"/>
    <n v="2.2000000000000002"/>
    <d v="2009-10-19T00:00:00"/>
    <n v="5.5"/>
    <d v="2011-05-31T00:00:00"/>
    <n v="56.33576392440952"/>
    <n v="148.20614648675482"/>
    <n v="1642.05"/>
    <n v="7.95"/>
    <x v="0"/>
    <n v="1107.95"/>
    <x v="0"/>
    <x v="0"/>
    <x v="0"/>
    <x v="0"/>
    <x v="0"/>
    <x v="0"/>
    <x v="0"/>
    <x v="0"/>
  </r>
  <r>
    <n v="68"/>
    <x v="3"/>
    <x v="20"/>
    <n v="100"/>
    <n v="0.02"/>
    <d v="2010-11-15T00:00:00"/>
    <n v="2.87"/>
    <d v="2011-06-18T00:00:00"/>
    <n v="459.52632693316531"/>
    <n v="1379.3814432989691"/>
    <n v="267.60000000000002"/>
    <n v="17.399999999999999"/>
    <x v="4"/>
    <n v="19.399999999999999"/>
    <x v="0"/>
    <x v="0"/>
    <x v="0"/>
    <x v="0"/>
    <x v="0"/>
    <x v="0"/>
    <x v="0"/>
    <x v="0"/>
  </r>
  <r>
    <n v="69"/>
    <x v="32"/>
    <x v="21"/>
    <n v="400"/>
    <n v="0.02"/>
    <d v="2011-03-21T00:00:00"/>
    <n v="0.55000000000000004"/>
    <d v="2011-06-18T00:00:00"/>
    <n v="818.48956075712147"/>
    <n v="635.78595317725762"/>
    <n v="190.1"/>
    <n v="21.9"/>
    <x v="4"/>
    <n v="29.9"/>
    <x v="0"/>
    <x v="0"/>
    <x v="0"/>
    <x v="0"/>
    <x v="0"/>
    <x v="0"/>
    <x v="0"/>
    <x v="0"/>
  </r>
  <r>
    <n v="70"/>
    <x v="9"/>
    <x v="22"/>
    <n v="300"/>
    <n v="0.02"/>
    <d v="2011-03-21T00:00:00"/>
    <n v="0.45"/>
    <d v="2011-06-18T00:00:00"/>
    <n v="669.26677575780673"/>
    <n v="411.36363636363632"/>
    <n v="108.6"/>
    <n v="20.399999999999999"/>
    <x v="4"/>
    <n v="26.4"/>
    <x v="0"/>
    <x v="0"/>
    <x v="0"/>
    <x v="0"/>
    <x v="0"/>
    <x v="0"/>
    <x v="0"/>
    <x v="0"/>
  </r>
  <r>
    <n v="71"/>
    <x v="40"/>
    <x v="23"/>
    <n v="900"/>
    <n v="0.02"/>
    <d v="2011-01-06T00:00:00"/>
    <n v="0.4"/>
    <d v="2011-06-18T00:00:00"/>
    <n v="456.80917160705587"/>
    <n v="659.49367088607607"/>
    <n v="312.60000000000002"/>
    <n v="29.4"/>
    <x v="4"/>
    <n v="47.4"/>
    <x v="0"/>
    <x v="0"/>
    <x v="0"/>
    <x v="0"/>
    <x v="0"/>
    <x v="0"/>
    <x v="0"/>
    <x v="0"/>
  </r>
  <r>
    <n v="72"/>
    <x v="31"/>
    <x v="15"/>
    <n v="200"/>
    <n v="0"/>
    <d v="2011-04-21T00:00:00"/>
    <n v="3.1"/>
    <d v="2011-06-18T00:00:00"/>
    <n v="1917.524710859763"/>
    <n v="2005.2631578947369"/>
    <n v="590.54999999999995"/>
    <n v="29.45"/>
    <x v="5"/>
    <n v="29.45"/>
    <x v="0"/>
    <x v="0"/>
    <x v="0"/>
    <x v="0"/>
    <x v="0"/>
    <x v="0"/>
    <x v="0"/>
    <x v="0"/>
  </r>
  <r>
    <n v="73"/>
    <x v="30"/>
    <x v="24"/>
    <n v="900"/>
    <n v="0"/>
    <d v="2011-05-09T00:00:00"/>
    <n v="0.6"/>
    <d v="2011-06-18T00:00:00"/>
    <n v="3288.3960017684367"/>
    <n v="3573.4693877551026"/>
    <n v="525.29999999999995"/>
    <n v="14.7"/>
    <x v="2"/>
    <n v="14.7"/>
    <x v="0"/>
    <x v="0"/>
    <x v="0"/>
    <x v="0"/>
    <x v="0"/>
    <x v="0"/>
    <x v="0"/>
    <x v="0"/>
  </r>
  <r>
    <n v="74"/>
    <x v="41"/>
    <x v="25"/>
    <n v="1000"/>
    <n v="0"/>
    <d v="2011-05-24T00:00:00"/>
    <n v="0.3"/>
    <d v="2011-06-18T00:00:00"/>
    <n v="4330.6132681161725"/>
    <n v="1841.7475728155341"/>
    <n v="284.55"/>
    <n v="15.45"/>
    <x v="2"/>
    <n v="15.45"/>
    <x v="0"/>
    <x v="0"/>
    <x v="0"/>
    <x v="0"/>
    <x v="0"/>
    <x v="0"/>
    <x v="0"/>
    <x v="0"/>
  </r>
  <r>
    <n v="75"/>
    <x v="29"/>
    <x v="26"/>
    <n v="900"/>
    <n v="0"/>
    <d v="2011-05-25T00:00:00"/>
    <n v="0.65"/>
    <d v="2011-06-18T00:00:00"/>
    <n v="5602.3916208675655"/>
    <n v="3879.5918367346949"/>
    <n v="570.29999999999995"/>
    <n v="14.7"/>
    <x v="2"/>
    <n v="14.7"/>
    <x v="0"/>
    <x v="0"/>
    <x v="0"/>
    <x v="0"/>
    <x v="0"/>
    <x v="0"/>
    <x v="0"/>
    <x v="0"/>
  </r>
  <r>
    <n v="76"/>
    <x v="38"/>
    <x v="0"/>
    <n v="1000"/>
    <n v="29.4"/>
    <d v="2011-03-28T00:00:00"/>
    <n v="29.58"/>
    <d v="2011-06-23T00:00:00"/>
    <n v="2.4473507297521975"/>
    <n v="0.58504588045069006"/>
    <n v="172.05"/>
    <n v="7.95"/>
    <x v="0"/>
    <n v="29407.95"/>
    <x v="0"/>
    <x v="0"/>
    <x v="0"/>
    <x v="0"/>
    <x v="0"/>
    <x v="0"/>
    <x v="0"/>
    <x v="0"/>
  </r>
  <r>
    <n v="77"/>
    <x v="18"/>
    <x v="27"/>
    <n v="200"/>
    <n v="41"/>
    <d v="2011-04-15T00:00:00"/>
    <n v="68.3"/>
    <d v="2011-07-15T00:00:00"/>
    <n v="203.77247033287097"/>
    <n v="66.202289844139742"/>
    <n v="5441.1"/>
    <n v="18.899999999999999"/>
    <x v="1"/>
    <n v="8218.9"/>
    <x v="0"/>
    <x v="0"/>
    <x v="0"/>
    <x v="0"/>
    <x v="0"/>
    <x v="0"/>
    <x v="0"/>
    <x v="0"/>
  </r>
  <r>
    <n v="78"/>
    <x v="27"/>
    <x v="0"/>
    <n v="100"/>
    <n v="9.75"/>
    <d v="2011-05-31T00:00:00"/>
    <n v="7"/>
    <d v="2011-07-15T00:00:00"/>
    <n v="-275.35431216717103"/>
    <n v="-28.785797853400471"/>
    <n v="-282.95"/>
    <n v="7.95"/>
    <x v="0"/>
    <n v="982.95"/>
    <x v="0"/>
    <x v="0"/>
    <x v="0"/>
    <x v="0"/>
    <x v="0"/>
    <x v="0"/>
    <x v="0"/>
    <x v="0"/>
  </r>
  <r>
    <n v="79"/>
    <x v="27"/>
    <x v="28"/>
    <n v="100"/>
    <n v="0"/>
    <d v="2011-06-20T00:00:00"/>
    <n v="1"/>
    <d v="2011-07-15T00:00:00"/>
    <n v="1822.4786723048735"/>
    <n v="248.43205574912895"/>
    <n v="71.3"/>
    <n v="28.7"/>
    <x v="5"/>
    <n v="28.7"/>
    <x v="0"/>
    <x v="0"/>
    <x v="0"/>
    <x v="0"/>
    <x v="0"/>
    <x v="0"/>
    <x v="0"/>
    <x v="0"/>
  </r>
  <r>
    <n v="80"/>
    <x v="42"/>
    <x v="0"/>
    <n v="500"/>
    <n v="21"/>
    <d v="2010-05-07T00:00:00"/>
    <n v="15"/>
    <d v="2011-07-15T00:00:00"/>
    <n v="-28.361432935820311"/>
    <n v="-28.625469287539428"/>
    <n v="-3007.95"/>
    <n v="7.95"/>
    <x v="0"/>
    <n v="10507.95"/>
    <x v="0"/>
    <x v="0"/>
    <x v="0"/>
    <x v="0"/>
    <x v="0"/>
    <x v="0"/>
    <x v="0"/>
    <x v="0"/>
  </r>
  <r>
    <n v="81"/>
    <x v="42"/>
    <x v="29"/>
    <n v="500"/>
    <n v="0"/>
    <d v="2011-06-21T00:00:00"/>
    <n v="2.5"/>
    <d v="2011-07-15T00:00:00"/>
    <n v="5588.4270188991077"/>
    <n v="3843.2176656151419"/>
    <n v="1218.3"/>
    <n v="31.7"/>
    <x v="5"/>
    <n v="31.7"/>
    <x v="0"/>
    <x v="0"/>
    <x v="0"/>
    <x v="0"/>
    <x v="0"/>
    <x v="0"/>
    <x v="0"/>
    <x v="0"/>
  </r>
  <r>
    <n v="82"/>
    <x v="43"/>
    <x v="30"/>
    <n v="1700"/>
    <n v="0"/>
    <d v="2011-04-19T00:00:00"/>
    <n v="2.7"/>
    <d v="2011-07-15T00:00:00"/>
    <n v="2266.1472241561987"/>
    <n v="22073.913043478267"/>
    <n v="4569.3"/>
    <n v="20.7"/>
    <x v="2"/>
    <n v="20.7"/>
    <x v="0"/>
    <x v="0"/>
    <x v="0"/>
    <x v="0"/>
    <x v="0"/>
    <x v="0"/>
    <x v="0"/>
    <x v="0"/>
  </r>
  <r>
    <n v="83"/>
    <x v="43"/>
    <x v="30"/>
    <n v="300"/>
    <n v="0"/>
    <d v="2011-05-01T00:00:00"/>
    <n v="0.7"/>
    <d v="2011-07-15T00:00:00"/>
    <n v="1472.0303077412582"/>
    <n v="1958.8235294117649"/>
    <n v="199.8"/>
    <n v="10.199999999999999"/>
    <x v="2"/>
    <n v="10.199999999999999"/>
    <x v="0"/>
    <x v="0"/>
    <x v="0"/>
    <x v="0"/>
    <x v="0"/>
    <x v="0"/>
    <x v="0"/>
    <x v="0"/>
  </r>
  <r>
    <n v="84"/>
    <x v="44"/>
    <x v="31"/>
    <n v="100"/>
    <n v="0"/>
    <d v="2011-01-21T00:00:00"/>
    <n v="1.25"/>
    <d v="2011-07-15T00:00:00"/>
    <n v="559.03540790186412"/>
    <n v="1336.7816091954023"/>
    <n v="116.3"/>
    <n v="8.6999999999999993"/>
    <x v="2"/>
    <n v="8.6999999999999993"/>
    <x v="0"/>
    <x v="0"/>
    <x v="0"/>
    <x v="0"/>
    <x v="0"/>
    <x v="0"/>
    <x v="0"/>
    <x v="0"/>
  </r>
  <r>
    <n v="85"/>
    <x v="29"/>
    <x v="0"/>
    <n v="900"/>
    <n v="9"/>
    <d v="2011-03-14T00:00:00"/>
    <n v="5"/>
    <d v="2011-07-19T00:00:00"/>
    <n v="-169.21275412727155"/>
    <n v="-44.498917728895712"/>
    <n v="-3607.95"/>
    <n v="7.95"/>
    <x v="0"/>
    <n v="8107.95"/>
    <x v="0"/>
    <x v="0"/>
    <x v="0"/>
    <x v="0"/>
    <x v="0"/>
    <x v="0"/>
    <x v="0"/>
    <x v="0"/>
  </r>
  <r>
    <n v="86"/>
    <x v="29"/>
    <x v="32"/>
    <n v="900"/>
    <n v="0"/>
    <d v="2011-06-21T00:00:00"/>
    <n v="1.95"/>
    <d v="2011-07-19T00:00:00"/>
    <n v="5114.5422280918247"/>
    <n v="4957.6368876080696"/>
    <n v="1720.3"/>
    <n v="34.700000000000003"/>
    <x v="5"/>
    <n v="34.700000000000003"/>
    <x v="0"/>
    <x v="0"/>
    <x v="0"/>
    <x v="0"/>
    <x v="0"/>
    <x v="0"/>
    <x v="0"/>
    <x v="0"/>
  </r>
  <r>
    <n v="92"/>
    <x v="45"/>
    <x v="0"/>
    <n v="520"/>
    <n v="19.22"/>
    <d v="2011-03-16T00:00:00"/>
    <n v="19.940000000000001"/>
    <d v="2011-07-20T00:00:00"/>
    <n v="10.653469652312909"/>
    <n v="3.746097814776288"/>
    <n v="374.4"/>
    <n v="0"/>
    <x v="6"/>
    <n v="9994.4"/>
    <x v="0"/>
    <x v="0"/>
    <x v="0"/>
    <x v="0"/>
    <x v="0"/>
    <x v="0"/>
    <x v="0"/>
    <x v="0"/>
  </r>
  <r>
    <n v="93"/>
    <x v="46"/>
    <x v="33"/>
    <n v="2000"/>
    <n v="0.25"/>
    <d v="2011-08-09T00:00:00"/>
    <n v="0.55000000000000004"/>
    <d v="2011-08-14T00:00:00"/>
    <n v="5114.5964449908752"/>
    <n v="101.50210661293276"/>
    <n v="554.1"/>
    <n v="45.9"/>
    <x v="1"/>
    <n v="545.9"/>
    <x v="0"/>
    <x v="0"/>
    <x v="0"/>
    <x v="0"/>
    <x v="0"/>
    <x v="0"/>
    <x v="0"/>
    <x v="0"/>
  </r>
  <r>
    <n v="95"/>
    <x v="47"/>
    <x v="34"/>
    <n v="5000"/>
    <n v="0.34"/>
    <d v="2011-05-12T00:00:00"/>
    <n v="0.6"/>
    <d v="2011-08-18T00:00:00"/>
    <n v="192.14419457684369"/>
    <n v="67.513540677871433"/>
    <n v="1209.0999999999999"/>
    <n v="90.9"/>
    <x v="1"/>
    <n v="1790.9"/>
    <x v="0"/>
    <x v="0"/>
    <x v="0"/>
    <x v="0"/>
    <x v="0"/>
    <x v="0"/>
    <x v="0"/>
    <x v="0"/>
  </r>
  <r>
    <n v="96"/>
    <x v="3"/>
    <x v="35"/>
    <n v="100"/>
    <n v="0"/>
    <d v="2011-06-20T00:00:00"/>
    <n v="4.5"/>
    <d v="2011-08-19T00:00:00"/>
    <n v="1674.3465298325971"/>
    <n v="1467.9442508710804"/>
    <n v="421.3"/>
    <n v="28.7"/>
    <x v="5"/>
    <n v="28.7"/>
    <x v="0"/>
    <x v="0"/>
    <x v="0"/>
    <x v="0"/>
    <x v="0"/>
    <x v="0"/>
    <x v="0"/>
    <x v="0"/>
  </r>
  <r>
    <n v="97"/>
    <x v="3"/>
    <x v="36"/>
    <n v="100"/>
    <n v="67.069999999999993"/>
    <d v="2009-09-29T00:00:00"/>
    <n v="25"/>
    <d v="2011-08-19T00:00:00"/>
    <n v="-52.342041074134109"/>
    <n v="-62.769640875955886"/>
    <n v="-4214.95"/>
    <n v="7.95"/>
    <x v="0"/>
    <n v="6714.95"/>
    <x v="0"/>
    <x v="0"/>
    <x v="0"/>
    <x v="0"/>
    <x v="0"/>
    <x v="0"/>
    <x v="0"/>
    <x v="0"/>
  </r>
  <r>
    <n v="98"/>
    <x v="40"/>
    <x v="37"/>
    <n v="900"/>
    <n v="0"/>
    <d v="2011-06-27T00:00:00"/>
    <n v="0.65"/>
    <d v="2011-08-19T00:00:00"/>
    <n v="2536.9320547324819"/>
    <n v="3879.5918367346949"/>
    <n v="570.29999999999995"/>
    <n v="14.7"/>
    <x v="2"/>
    <n v="14.7"/>
    <x v="0"/>
    <x v="0"/>
    <x v="0"/>
    <x v="0"/>
    <x v="0"/>
    <x v="0"/>
    <x v="0"/>
    <x v="0"/>
  </r>
  <r>
    <n v="99"/>
    <x v="18"/>
    <x v="38"/>
    <n v="100"/>
    <n v="55.4"/>
    <d v="2011-08-18T00:00:00"/>
    <n v="75.900000000000006"/>
    <d v="2011-08-30T00:00:00"/>
    <n v="948.09120601356005"/>
    <n v="36.574657213805033"/>
    <n v="2032.6"/>
    <n v="17.399999999999999"/>
    <x v="1"/>
    <n v="5557.4"/>
    <x v="0"/>
    <x v="0"/>
    <x v="0"/>
    <x v="0"/>
    <x v="0"/>
    <x v="0"/>
    <x v="0"/>
    <x v="0"/>
  </r>
  <r>
    <n v="102"/>
    <x v="47"/>
    <x v="39"/>
    <n v="1000"/>
    <n v="7.15"/>
    <d v="2011-05-09T00:00:00"/>
    <n v="9.5"/>
    <d v="2011-09-01T00:00:00"/>
    <n v="88.827376045666881"/>
    <n v="32.295394727680367"/>
    <n v="2319.1"/>
    <n v="30.9"/>
    <x v="1"/>
    <n v="7180.9"/>
    <x v="0"/>
    <x v="0"/>
    <x v="0"/>
    <x v="0"/>
    <x v="0"/>
    <x v="0"/>
    <x v="0"/>
    <x v="0"/>
  </r>
  <r>
    <n v="104"/>
    <x v="48"/>
    <x v="40"/>
    <n v="1000"/>
    <n v="1.22"/>
    <d v="2011-08-09T00:00:00"/>
    <n v="2"/>
    <d v="2011-09-15T00:00:00"/>
    <n v="462.94221415488153"/>
    <n v="59.884882884323304"/>
    <n v="749.1"/>
    <n v="30.9"/>
    <x v="1"/>
    <n v="1250.9000000000001"/>
    <x v="0"/>
    <x v="0"/>
    <x v="0"/>
    <x v="0"/>
    <x v="0"/>
    <x v="0"/>
    <x v="0"/>
    <x v="0"/>
  </r>
  <r>
    <n v="105"/>
    <x v="40"/>
    <x v="0"/>
    <n v="900"/>
    <n v="5.5"/>
    <d v="2010-05-07T00:00:00"/>
    <n v="3"/>
    <d v="2011-09-16T00:00:00"/>
    <n v="-44.632859191489899"/>
    <n v="-45.54200828971652"/>
    <n v="-2257.9499999999998"/>
    <n v="7.95"/>
    <x v="0"/>
    <n v="4957.95"/>
    <x v="0"/>
    <x v="0"/>
    <x v="0"/>
    <x v="0"/>
    <x v="0"/>
    <x v="0"/>
    <x v="0"/>
    <x v="0"/>
  </r>
  <r>
    <n v="106"/>
    <x v="40"/>
    <x v="41"/>
    <n v="900"/>
    <n v="0"/>
    <d v="2011-08-29T00:00:00"/>
    <n v="0.4"/>
    <d v="2011-09-16T00:00:00"/>
    <n v="4743.7110318973891"/>
    <n v="937.46397694524524"/>
    <n v="325.3"/>
    <n v="34.700000000000003"/>
    <x v="5"/>
    <n v="34.700000000000003"/>
    <x v="0"/>
    <x v="0"/>
    <x v="0"/>
    <x v="0"/>
    <x v="0"/>
    <x v="0"/>
    <x v="0"/>
    <x v="0"/>
  </r>
  <r>
    <n v="107"/>
    <x v="49"/>
    <x v="0"/>
    <n v="100"/>
    <n v="33"/>
    <d v="2011-05-31T00:00:00"/>
    <n v="30"/>
    <d v="2011-09-16T00:00:00"/>
    <n v="-33.024515120106763"/>
    <n v="-9.3093910125606563"/>
    <n v="-307.95"/>
    <n v="7.95"/>
    <x v="0"/>
    <n v="3307.95"/>
    <x v="0"/>
    <x v="0"/>
    <x v="0"/>
    <x v="0"/>
    <x v="0"/>
    <x v="0"/>
    <x v="0"/>
    <x v="0"/>
  </r>
  <r>
    <n v="108"/>
    <x v="49"/>
    <x v="42"/>
    <n v="100"/>
    <n v="0"/>
    <d v="2011-06-02T00:00:00"/>
    <n v="4.9000000000000004"/>
    <d v="2011-09-16T00:00:00"/>
    <n v="977.06652636204763"/>
    <n v="1607.3170731707321"/>
    <n v="461.3"/>
    <n v="28.7"/>
    <x v="5"/>
    <n v="28.7"/>
    <x v="0"/>
    <x v="0"/>
    <x v="0"/>
    <x v="0"/>
    <x v="0"/>
    <x v="0"/>
    <x v="0"/>
    <x v="0"/>
  </r>
  <r>
    <n v="109"/>
    <x v="8"/>
    <x v="0"/>
    <n v="500"/>
    <n v="17.5"/>
    <d v="2011-08-09T00:00:00"/>
    <n v="10"/>
    <d v="2011-09-16T00:00:00"/>
    <n v="-538.39800159191213"/>
    <n v="-42.909014095764412"/>
    <n v="-3757.95"/>
    <n v="7.95"/>
    <x v="0"/>
    <n v="8757.9500000000007"/>
    <x v="0"/>
    <x v="0"/>
    <x v="0"/>
    <x v="0"/>
    <x v="0"/>
    <x v="0"/>
    <x v="0"/>
    <x v="0"/>
  </r>
  <r>
    <n v="110"/>
    <x v="8"/>
    <x v="43"/>
    <n v="500"/>
    <n v="0"/>
    <d v="2011-08-29T00:00:00"/>
    <n v="2.7"/>
    <d v="2011-09-16T00:00:00"/>
    <n v="7607.2959141692927"/>
    <n v="4158.675078864354"/>
    <n v="1318.3"/>
    <n v="31.7"/>
    <x v="5"/>
    <n v="31.7"/>
    <x v="0"/>
    <x v="0"/>
    <x v="0"/>
    <x v="0"/>
    <x v="0"/>
    <x v="0"/>
    <x v="0"/>
    <x v="0"/>
  </r>
  <r>
    <n v="111"/>
    <x v="41"/>
    <x v="44"/>
    <n v="1000"/>
    <n v="0"/>
    <d v="2011-06-21T00:00:00"/>
    <n v="0.65"/>
    <d v="2011-09-16T00:00:00"/>
    <n v="1568.8133634876599"/>
    <n v="4107.1197411003241"/>
    <n v="634.54999999999995"/>
    <n v="15.45"/>
    <x v="2"/>
    <n v="15.45"/>
    <x v="0"/>
    <x v="0"/>
    <x v="0"/>
    <x v="0"/>
    <x v="0"/>
    <x v="0"/>
    <x v="0"/>
    <x v="0"/>
  </r>
  <r>
    <n v="112"/>
    <x v="43"/>
    <x v="45"/>
    <n v="2000"/>
    <n v="0.5"/>
    <d v="2011-08-28T00:00:00"/>
    <n v="0.55000000000000004"/>
    <d v="2011-09-22T00:00:00"/>
    <n v="73.631334698309487"/>
    <n v="5.1725786404053959"/>
    <n v="54.1"/>
    <n v="45.9"/>
    <x v="4"/>
    <n v="1045.9000000000001"/>
    <x v="0"/>
    <x v="0"/>
    <x v="0"/>
    <x v="0"/>
    <x v="0"/>
    <x v="0"/>
    <x v="0"/>
    <x v="0"/>
  </r>
  <r>
    <n v="113"/>
    <x v="50"/>
    <x v="46"/>
    <n v="100"/>
    <n v="53"/>
    <d v="2011-09-21T00:00:00"/>
    <n v="59.194000000000003"/>
    <d v="2011-09-22T00:00:00"/>
    <n v="3979.5729440119785"/>
    <n v="11.519513183055604"/>
    <n v="611.45000000000005"/>
    <n v="7.95"/>
    <x v="0"/>
    <n v="5307.95"/>
    <x v="0"/>
    <x v="0"/>
    <x v="0"/>
    <x v="0"/>
    <x v="0"/>
    <x v="0"/>
    <x v="0"/>
    <x v="0"/>
  </r>
  <r>
    <n v="114"/>
    <x v="30"/>
    <x v="47"/>
    <n v="900"/>
    <n v="0.25"/>
    <d v="2011-06-20T00:00:00"/>
    <n v="0.85"/>
    <d v="2011-09-27T00:00:00"/>
    <n v="405.91244531475508"/>
    <n v="200.70754716981128"/>
    <n v="510.6"/>
    <n v="29.4"/>
    <x v="4"/>
    <n v="254.4"/>
    <x v="0"/>
    <x v="0"/>
    <x v="0"/>
    <x v="0"/>
    <x v="0"/>
    <x v="0"/>
    <x v="0"/>
    <x v="0"/>
  </r>
  <r>
    <n v="115"/>
    <x v="51"/>
    <x v="48"/>
    <n v="1000"/>
    <n v="1.77"/>
    <d v="2011-06-01T00:00:00"/>
    <n v="0.32"/>
    <d v="2011-09-30T00:00:00"/>
    <n v="-521.17198383737957"/>
    <n v="-82.231106668887762"/>
    <n v="-1480.9"/>
    <n v="30.9"/>
    <x v="1"/>
    <n v="1800.9"/>
    <x v="0"/>
    <x v="0"/>
    <x v="0"/>
    <x v="0"/>
    <x v="0"/>
    <x v="0"/>
    <x v="0"/>
    <x v="0"/>
  </r>
  <r>
    <n v="116"/>
    <x v="13"/>
    <x v="49"/>
    <n v="100"/>
    <n v="40"/>
    <d v="2011-09-22T00:00:00"/>
    <n v="64"/>
    <d v="2011-10-04T00:00:00"/>
    <n v="1416.3918170730849"/>
    <n v="59.307014486981629"/>
    <n v="2382.6"/>
    <n v="17.399999999999999"/>
    <x v="3"/>
    <n v="4017.4"/>
    <x v="0"/>
    <x v="0"/>
    <x v="0"/>
    <x v="0"/>
    <x v="0"/>
    <x v="0"/>
    <x v="0"/>
    <x v="0"/>
  </r>
  <r>
    <n v="117"/>
    <x v="52"/>
    <x v="50"/>
    <n v="100"/>
    <n v="7.2"/>
    <d v="2011-09-22T00:00:00"/>
    <n v="4.95"/>
    <d v="2011-10-18T00:00:00"/>
    <n v="-559.53478453632385"/>
    <n v="-32.87225386493084"/>
    <n v="-242.4"/>
    <n v="17.399999999999999"/>
    <x v="4"/>
    <n v="737.4"/>
    <x v="0"/>
    <x v="0"/>
    <x v="0"/>
    <x v="0"/>
    <x v="0"/>
    <x v="0"/>
    <x v="0"/>
    <x v="0"/>
  </r>
  <r>
    <n v="118"/>
    <x v="53"/>
    <x v="51"/>
    <n v="500"/>
    <n v="2.5"/>
    <d v="2011-08-31T00:00:00"/>
    <n v="2"/>
    <d v="2011-10-19T00:00:00"/>
    <n v="-180.03475171283191"/>
    <n v="-21.470080100518302"/>
    <n v="-273.39999999999998"/>
    <n v="23.4"/>
    <x v="4"/>
    <n v="1273.4000000000001"/>
    <x v="0"/>
    <x v="0"/>
    <x v="0"/>
    <x v="0"/>
    <x v="0"/>
    <x v="0"/>
    <x v="0"/>
    <x v="0"/>
  </r>
  <r>
    <n v="119"/>
    <x v="54"/>
    <x v="52"/>
    <n v="100"/>
    <n v="28.687100000000001"/>
    <d v="2011-09-22T00:00:00"/>
    <n v="30"/>
    <d v="2011-10-22T00:00:00"/>
    <n v="51.078574184483394"/>
    <n v="4.2876113270250897"/>
    <n v="123.34"/>
    <n v="7.95"/>
    <x v="0"/>
    <n v="2876.66"/>
    <x v="0"/>
    <x v="0"/>
    <x v="0"/>
    <x v="0"/>
    <x v="0"/>
    <x v="0"/>
    <x v="0"/>
    <x v="0"/>
  </r>
  <r>
    <n v="120"/>
    <x v="55"/>
    <x v="53"/>
    <n v="200"/>
    <n v="19.57"/>
    <d v="2011-09-26T00:00:00"/>
    <n v="18"/>
    <d v="2011-10-22T00:00:00"/>
    <n v="-120.24662990810675"/>
    <n v="-8.2089266818801967"/>
    <n v="-321.95"/>
    <n v="7.95"/>
    <x v="0"/>
    <n v="3921.95"/>
    <x v="0"/>
    <x v="0"/>
    <x v="0"/>
    <x v="0"/>
    <x v="0"/>
    <x v="0"/>
    <x v="0"/>
    <x v="0"/>
  </r>
  <r>
    <n v="121"/>
    <x v="56"/>
    <x v="54"/>
    <n v="100"/>
    <n v="32.89"/>
    <d v="2011-09-23T00:00:00"/>
    <n v="23"/>
    <d v="2011-10-22T00:00:00"/>
    <n v="-453.21505739400948"/>
    <n v="-30.238553814889528"/>
    <n v="-996.95"/>
    <n v="7.95"/>
    <x v="0"/>
    <n v="3296.95"/>
    <x v="0"/>
    <x v="0"/>
    <x v="0"/>
    <x v="0"/>
    <x v="0"/>
    <x v="0"/>
    <x v="0"/>
    <x v="0"/>
  </r>
  <r>
    <n v="122"/>
    <x v="57"/>
    <x v="55"/>
    <n v="100"/>
    <n v="86.9"/>
    <d v="2011-09-23T00:00:00"/>
    <n v="40"/>
    <d v="2011-10-22T00:00:00"/>
    <n v="-977.68774715778216"/>
    <n v="-54.01215228875769"/>
    <n v="-4697.95"/>
    <n v="7.95"/>
    <x v="0"/>
    <n v="8697.9500000000007"/>
    <x v="0"/>
    <x v="0"/>
    <x v="0"/>
    <x v="0"/>
    <x v="0"/>
    <x v="0"/>
    <x v="0"/>
    <x v="0"/>
  </r>
  <r>
    <n v="123"/>
    <x v="58"/>
    <x v="56"/>
    <n v="404"/>
    <n v="14.8675"/>
    <d v="2011-08-02T00:00:00"/>
    <n v="12"/>
    <d v="2011-10-22T00:00:00"/>
    <n v="-97.150234196072034"/>
    <n v="-19.393723750586098"/>
    <n v="-1166.42"/>
    <n v="7.95"/>
    <x v="0"/>
    <n v="6014.42"/>
    <x v="0"/>
    <x v="0"/>
    <x v="0"/>
    <x v="0"/>
    <x v="0"/>
    <x v="0"/>
    <x v="0"/>
    <x v="0"/>
  </r>
  <r>
    <n v="124"/>
    <x v="59"/>
    <x v="57"/>
    <n v="400"/>
    <n v="0"/>
    <d v="2011-05-31T00:00:00"/>
    <n v="0.4"/>
    <d v="2011-10-22T00:00:00"/>
    <n v="679.77051460036864"/>
    <n v="1361.1872146118724"/>
    <n v="149.05000000000001"/>
    <n v="10.95"/>
    <x v="2"/>
    <n v="10.95"/>
    <x v="0"/>
    <x v="0"/>
    <x v="0"/>
    <x v="0"/>
    <x v="0"/>
    <x v="0"/>
    <x v="0"/>
    <x v="0"/>
  </r>
  <r>
    <n v="125"/>
    <x v="60"/>
    <x v="58"/>
    <n v="800"/>
    <n v="0"/>
    <d v="2011-06-10T00:00:00"/>
    <n v="0.2"/>
    <d v="2011-10-22T00:00:00"/>
    <n v="664.54359853936944"/>
    <n v="1046.9534050179211"/>
    <n v="146.05000000000001"/>
    <n v="13.95"/>
    <x v="2"/>
    <n v="13.95"/>
    <x v="0"/>
    <x v="0"/>
    <x v="0"/>
    <x v="0"/>
    <x v="0"/>
    <x v="0"/>
    <x v="0"/>
    <x v="0"/>
  </r>
  <r>
    <n v="126"/>
    <x v="58"/>
    <x v="59"/>
    <n v="400"/>
    <n v="0"/>
    <d v="2011-08-29T00:00:00"/>
    <n v="1.35"/>
    <d v="2011-10-22T00:00:00"/>
    <n v="1932.6047986224371"/>
    <n v="1644.7495961227792"/>
    <n v="509.05"/>
    <n v="30.95"/>
    <x v="5"/>
    <n v="30.95"/>
    <x v="0"/>
    <x v="0"/>
    <x v="0"/>
    <x v="0"/>
    <x v="0"/>
    <x v="0"/>
    <x v="0"/>
    <x v="0"/>
  </r>
  <r>
    <n v="127"/>
    <x v="61"/>
    <x v="60"/>
    <n v="1000"/>
    <n v="0"/>
    <d v="2011-08-29T00:00:00"/>
    <n v="0.5"/>
    <d v="2011-10-22T00:00:00"/>
    <n v="2350.1938327844996"/>
    <n v="3136.245954692557"/>
    <n v="484.55"/>
    <n v="15.45"/>
    <x v="2"/>
    <n v="15.45"/>
    <x v="0"/>
    <x v="0"/>
    <x v="0"/>
    <x v="0"/>
    <x v="0"/>
    <x v="0"/>
    <x v="0"/>
    <x v="0"/>
  </r>
  <r>
    <n v="128"/>
    <x v="3"/>
    <x v="61"/>
    <n v="100"/>
    <n v="0"/>
    <d v="2011-09-27T00:00:00"/>
    <n v="0.5"/>
    <d v="2011-10-22T00:00:00"/>
    <n v="2553.1019704607079"/>
    <n v="474.71264367816099"/>
    <n v="41.3"/>
    <n v="8.6999999999999993"/>
    <x v="2"/>
    <n v="8.6999999999999993"/>
    <x v="0"/>
    <x v="0"/>
    <x v="0"/>
    <x v="0"/>
    <x v="0"/>
    <x v="0"/>
    <x v="0"/>
    <x v="0"/>
  </r>
  <r>
    <n v="129"/>
    <x v="55"/>
    <x v="62"/>
    <n v="200"/>
    <n v="0"/>
    <d v="2011-09-28T00:00:00"/>
    <n v="1.6"/>
    <d v="2011-10-22T00:00:00"/>
    <n v="3628.1411928296025"/>
    <n v="986.58743633276765"/>
    <n v="290.55"/>
    <n v="29.45"/>
    <x v="5"/>
    <n v="29.45"/>
    <x v="0"/>
    <x v="0"/>
    <x v="0"/>
    <x v="0"/>
    <x v="0"/>
    <x v="0"/>
    <x v="0"/>
    <x v="0"/>
  </r>
  <r>
    <n v="130"/>
    <x v="54"/>
    <x v="63"/>
    <n v="100"/>
    <n v="0"/>
    <d v="2011-10-06T00:00:00"/>
    <n v="0.89"/>
    <d v="2011-10-22T00:00:00"/>
    <n v="2581.7801571424757"/>
    <n v="210.10452961672473"/>
    <n v="60.3"/>
    <n v="28.7"/>
    <x v="5"/>
    <n v="28.7"/>
    <x v="0"/>
    <x v="0"/>
    <x v="0"/>
    <x v="0"/>
    <x v="0"/>
    <x v="0"/>
    <x v="0"/>
    <x v="0"/>
  </r>
  <r>
    <n v="131"/>
    <x v="24"/>
    <x v="64"/>
    <n v="700"/>
    <n v="0"/>
    <d v="2011-10-06T00:00:00"/>
    <n v="0.14000000000000001"/>
    <d v="2011-10-22T00:00:00"/>
    <n v="4573.3374182097505"/>
    <n v="642.42424242424249"/>
    <n v="84.8"/>
    <n v="13.2"/>
    <x v="2"/>
    <n v="13.2"/>
    <x v="0"/>
    <x v="0"/>
    <x v="0"/>
    <x v="0"/>
    <x v="0"/>
    <x v="0"/>
    <x v="0"/>
    <x v="0"/>
  </r>
  <r>
    <n v="132"/>
    <x v="57"/>
    <x v="65"/>
    <n v="100"/>
    <n v="0"/>
    <d v="2011-10-11T00:00:00"/>
    <n v="50"/>
    <d v="2011-10-22T00:00:00"/>
    <n v="17122.80059143174"/>
    <n v="17321.60278745645"/>
    <n v="4971.3"/>
    <n v="28.7"/>
    <x v="5"/>
    <n v="28.7"/>
    <x v="0"/>
    <x v="0"/>
    <x v="0"/>
    <x v="0"/>
    <x v="0"/>
    <x v="0"/>
    <x v="0"/>
    <x v="0"/>
  </r>
  <r>
    <n v="133"/>
    <x v="56"/>
    <x v="66"/>
    <n v="100"/>
    <n v="0"/>
    <d v="2011-10-12T00:00:00"/>
    <n v="11.7"/>
    <d v="2011-10-22T00:00:00"/>
    <n v="13533.695953345728"/>
    <n v="3976.655052264809"/>
    <n v="1141.3"/>
    <n v="28.7"/>
    <x v="5"/>
    <n v="28.7"/>
    <x v="0"/>
    <x v="0"/>
    <x v="0"/>
    <x v="0"/>
    <x v="0"/>
    <x v="0"/>
    <x v="0"/>
    <x v="0"/>
  </r>
  <r>
    <n v="134"/>
    <x v="62"/>
    <x v="67"/>
    <n v="100"/>
    <n v="0"/>
    <d v="2011-10-21T00:00:00"/>
    <n v="16.5"/>
    <d v="2011-10-22T00:00:00"/>
    <n v="147884.62071071035"/>
    <n v="5649.1289198606282"/>
    <n v="1621.3"/>
    <n v="28.7"/>
    <x v="5"/>
    <n v="28.7"/>
    <x v="0"/>
    <x v="0"/>
    <x v="0"/>
    <x v="0"/>
    <x v="0"/>
    <x v="0"/>
    <x v="0"/>
    <x v="0"/>
  </r>
  <r>
    <n v="135"/>
    <x v="62"/>
    <x v="68"/>
    <n v="102"/>
    <n v="38.006100000000004"/>
    <d v="2011-09-23T00:00:00"/>
    <n v="25"/>
    <d v="2011-10-22T00:00:00"/>
    <n v="-529.77799484802756"/>
    <n v="-34.35570588699575"/>
    <n v="-1334.5722000000001"/>
    <n v="7.95"/>
    <x v="0"/>
    <n v="3884.5722000000001"/>
    <x v="0"/>
    <x v="0"/>
    <x v="0"/>
    <x v="0"/>
    <x v="0"/>
    <x v="0"/>
    <x v="0"/>
    <x v="0"/>
  </r>
  <r>
    <n v="136"/>
    <x v="63"/>
    <x v="69"/>
    <n v="673"/>
    <n v="22.2956"/>
    <d v="2009-10-16T00:00:00"/>
    <n v="26.34"/>
    <d v="2011-10-24T00:00:00"/>
    <n v="8.2446153872589001"/>
    <n v="18.139902043452516"/>
    <n v="2721.8811999999998"/>
    <n v="0"/>
    <x v="6"/>
    <n v="15004.9388"/>
    <x v="0"/>
    <x v="0"/>
    <x v="0"/>
    <x v="0"/>
    <x v="0"/>
    <x v="0"/>
    <x v="0"/>
    <x v="0"/>
  </r>
  <r>
    <n v="138"/>
    <x v="64"/>
    <x v="70"/>
    <n v="5000"/>
    <n v="0.1"/>
    <d v="2011-09-07T00:00:00"/>
    <n v="1E-3"/>
    <d v="2011-10-04T00:00:00"/>
    <n v="-6343.1230696575121"/>
    <n v="-99.083325694380804"/>
    <n v="-540.45000000000005"/>
    <n v="45.45"/>
    <x v="7"/>
    <n v="545.45000000000005"/>
    <x v="0"/>
    <x v="0"/>
    <x v="0"/>
    <x v="0"/>
    <x v="0"/>
    <x v="0"/>
    <x v="0"/>
    <x v="0"/>
  </r>
  <r>
    <n v="139"/>
    <x v="62"/>
    <x v="68"/>
    <n v="2"/>
    <n v="38.006100000000004"/>
    <d v="2011-09-23T00:00:00"/>
    <n v="44.5"/>
    <d v="2011-10-27T00:00:00"/>
    <n v="62.554206887535784"/>
    <n v="6.0000809888259115"/>
    <n v="5.0377999999999998"/>
    <n v="7.95"/>
    <x v="0"/>
    <n v="83.962199999999996"/>
    <x v="0"/>
    <x v="0"/>
    <x v="0"/>
    <x v="0"/>
    <x v="0"/>
    <x v="0"/>
    <x v="0"/>
    <x v="0"/>
  </r>
  <r>
    <n v="140"/>
    <x v="18"/>
    <x v="71"/>
    <n v="100"/>
    <n v="12.1"/>
    <d v="2011-08-14T00:00:00"/>
    <n v="5.7"/>
    <d v="2011-10-27T00:00:00"/>
    <n v="-378.325967069103"/>
    <n v="-53.560371517027853"/>
    <n v="-657.4"/>
    <n v="17.399999999999999"/>
    <x v="1"/>
    <n v="1227.4000000000001"/>
    <x v="0"/>
    <x v="0"/>
    <x v="0"/>
    <x v="0"/>
    <x v="0"/>
    <x v="0"/>
    <x v="0"/>
    <x v="0"/>
  </r>
  <r>
    <n v="141"/>
    <x v="65"/>
    <x v="72"/>
    <n v="100"/>
    <n v="56.678800000000003"/>
    <d v="2011-10-27T00:00:00"/>
    <n v="66"/>
    <d v="2011-11-01T00:00:00"/>
    <n v="1101.2257382239743"/>
    <n v="16.282552507738945"/>
    <n v="924.17"/>
    <n v="7.95"/>
    <x v="0"/>
    <n v="5675.83"/>
    <x v="0"/>
    <x v="0"/>
    <x v="0"/>
    <x v="0"/>
    <x v="0"/>
    <x v="0"/>
    <x v="0"/>
    <x v="0"/>
  </r>
  <r>
    <n v="142"/>
    <x v="50"/>
    <x v="46"/>
    <n v="100"/>
    <n v="39.4"/>
    <d v="2011-10-27T00:00:00"/>
    <n v="44.18"/>
    <d v="2011-11-01T00:00:00"/>
    <n v="821.18173147464506"/>
    <n v="11.906179156270971"/>
    <n v="470.05"/>
    <n v="7.95"/>
    <x v="0"/>
    <n v="3947.95"/>
    <x v="0"/>
    <x v="0"/>
    <x v="0"/>
    <x v="0"/>
    <x v="0"/>
    <x v="0"/>
    <x v="0"/>
    <x v="0"/>
  </r>
  <r>
    <n v="143"/>
    <x v="66"/>
    <x v="73"/>
    <n v="100"/>
    <n v="33"/>
    <d v="2011-11-01T00:00:00"/>
    <n v="36.5"/>
    <d v="2011-11-03T00:00:00"/>
    <n v="1795.7727239190333"/>
    <n v="10.340240934717867"/>
    <n v="342.05"/>
    <n v="7.95"/>
    <x v="0"/>
    <n v="3307.95"/>
    <x v="0"/>
    <x v="0"/>
    <x v="0"/>
    <x v="0"/>
    <x v="0"/>
    <x v="0"/>
    <x v="0"/>
    <x v="0"/>
  </r>
  <r>
    <n v="144"/>
    <x v="18"/>
    <x v="71"/>
    <n v="200"/>
    <n v="12.1"/>
    <d v="2011-08-14T00:00:00"/>
    <n v="5.4"/>
    <d v="2011-11-07T00:00:00"/>
    <n v="-349.79284476375938"/>
    <n v="-55.717741604821839"/>
    <n v="-1358.9"/>
    <n v="18.899999999999999"/>
    <x v="1"/>
    <n v="2438.9"/>
    <x v="0"/>
    <x v="0"/>
    <x v="0"/>
    <x v="0"/>
    <x v="0"/>
    <x v="0"/>
    <x v="0"/>
    <x v="0"/>
  </r>
  <r>
    <n v="145"/>
    <x v="50"/>
    <x v="46"/>
    <n v="100"/>
    <n v="40"/>
    <d v="2011-11-03T00:00:00"/>
    <n v="43.01"/>
    <d v="2011-11-09T00:00:00"/>
    <n v="429.28662964272769"/>
    <n v="7.3117179605533869"/>
    <n v="293.05"/>
    <n v="7.95"/>
    <x v="0"/>
    <n v="4007.95"/>
    <x v="0"/>
    <x v="0"/>
    <x v="0"/>
    <x v="0"/>
    <x v="0"/>
    <x v="0"/>
    <x v="0"/>
    <x v="0"/>
  </r>
  <r>
    <n v="146"/>
    <x v="50"/>
    <x v="46"/>
    <n v="100"/>
    <n v="42.75"/>
    <d v="2011-10-24T00:00:00"/>
    <n v="44.18"/>
    <d v="2011-11-01T00:00:00"/>
    <n v="141.64317974964092"/>
    <n v="3.153200480976889"/>
    <n v="135.05000000000001"/>
    <n v="7.95"/>
    <x v="0"/>
    <n v="4282.95"/>
    <x v="0"/>
    <x v="0"/>
    <x v="0"/>
    <x v="0"/>
    <x v="0"/>
    <x v="0"/>
    <x v="0"/>
    <x v="0"/>
  </r>
  <r>
    <n v="147"/>
    <x v="67"/>
    <x v="74"/>
    <n v="500"/>
    <n v="0.8"/>
    <d v="2011-10-13T00:00:00"/>
    <n v="1.1000000000000001"/>
    <d v="2011-11-10T00:00:00"/>
    <n v="341.01548438178378"/>
    <n v="29.900803023145968"/>
    <n v="126.6"/>
    <n v="23.4"/>
    <x v="4"/>
    <n v="423.4"/>
    <x v="0"/>
    <x v="0"/>
    <x v="0"/>
    <x v="0"/>
    <x v="0"/>
    <x v="0"/>
    <x v="0"/>
    <x v="0"/>
  </r>
  <r>
    <n v="148"/>
    <x v="65"/>
    <x v="72"/>
    <n v="100"/>
    <n v="63"/>
    <d v="2011-11-01T00:00:00"/>
    <n v="66"/>
    <d v="2011-11-16T00:00:00"/>
    <n v="110.13000558699584"/>
    <n v="4.6298718284070057"/>
    <n v="292.05"/>
    <n v="7.95"/>
    <x v="0"/>
    <n v="6307.95"/>
    <x v="0"/>
    <x v="0"/>
    <x v="0"/>
    <x v="0"/>
    <x v="0"/>
    <x v="0"/>
    <x v="0"/>
    <x v="0"/>
  </r>
  <r>
    <n v="149"/>
    <x v="68"/>
    <x v="75"/>
    <n v="200"/>
    <n v="1"/>
    <d v="2011-09-27T00:00:00"/>
    <n v="0.7"/>
    <d v="2011-11-17T00:00:00"/>
    <n v="-319.89214196200453"/>
    <n v="-36.043855641845603"/>
    <n v="-78.900000000000006"/>
    <n v="18.899999999999999"/>
    <x v="4"/>
    <n v="218.9"/>
    <x v="0"/>
    <x v="0"/>
    <x v="0"/>
    <x v="0"/>
    <x v="0"/>
    <x v="0"/>
    <x v="0"/>
    <x v="0"/>
  </r>
  <r>
    <n v="150"/>
    <x v="30"/>
    <x v="76"/>
    <n v="900"/>
    <n v="0.1"/>
    <d v="2011-10-13T00:00:00"/>
    <n v="0.25"/>
    <d v="2011-11-17T00:00:00"/>
    <n v="660.77639558502938"/>
    <n v="88.442211055276402"/>
    <n v="105.6"/>
    <n v="29.4"/>
    <x v="4"/>
    <n v="119.4"/>
    <x v="0"/>
    <x v="0"/>
    <x v="0"/>
    <x v="0"/>
    <x v="0"/>
    <x v="0"/>
    <x v="0"/>
    <x v="0"/>
  </r>
  <r>
    <n v="151"/>
    <x v="69"/>
    <x v="77"/>
    <n v="200"/>
    <n v="14.25"/>
    <d v="2011-11-15T00:00:00"/>
    <n v="16"/>
    <d v="2011-11-17T00:00:00"/>
    <n v="2063.0936099477176"/>
    <n v="11.968368935775644"/>
    <n v="342.05"/>
    <n v="7.95"/>
    <x v="0"/>
    <n v="2857.95"/>
    <x v="0"/>
    <x v="0"/>
    <x v="0"/>
    <x v="0"/>
    <x v="0"/>
    <x v="0"/>
    <x v="0"/>
    <x v="0"/>
  </r>
  <r>
    <n v="152"/>
    <x v="41"/>
    <x v="78"/>
    <n v="1000"/>
    <n v="0"/>
    <d v="2011-10-06T00:00:00"/>
    <n v="0.3"/>
    <d v="2011-11-19T00:00:00"/>
    <n v="2460.5757205205523"/>
    <n v="1841.7475728155341"/>
    <n v="284.55"/>
    <n v="15.45"/>
    <x v="2"/>
    <n v="15.45"/>
    <x v="0"/>
    <x v="0"/>
    <x v="0"/>
    <x v="0"/>
    <x v="0"/>
    <x v="0"/>
    <x v="0"/>
    <x v="0"/>
  </r>
  <r>
    <n v="153"/>
    <x v="70"/>
    <x v="79"/>
    <n v="500"/>
    <n v="0"/>
    <d v="2011-07-19T00:00:00"/>
    <n v="3.4"/>
    <d v="2011-11-19T00:00:00"/>
    <n v="1477.4472042339985"/>
    <n v="14429.914529914531"/>
    <n v="1688.3"/>
    <n v="11.7"/>
    <x v="2"/>
    <n v="11.7"/>
    <x v="0"/>
    <x v="0"/>
    <x v="0"/>
    <x v="0"/>
    <x v="0"/>
    <x v="0"/>
    <x v="0"/>
    <x v="0"/>
  </r>
  <r>
    <n v="154"/>
    <x v="71"/>
    <x v="80"/>
    <n v="500"/>
    <n v="0"/>
    <d v="2011-09-19T00:00:00"/>
    <n v="0.35"/>
    <d v="2011-11-15T00:00:00"/>
    <n v="1732.2753565328569"/>
    <n v="1395.7264957264958"/>
    <n v="163.30000000000001"/>
    <n v="11.7"/>
    <x v="2"/>
    <n v="11.7"/>
    <x v="0"/>
    <x v="0"/>
    <x v="0"/>
    <x v="0"/>
    <x v="0"/>
    <x v="0"/>
    <x v="0"/>
    <x v="0"/>
  </r>
  <r>
    <n v="155"/>
    <x v="72"/>
    <x v="81"/>
    <n v="1000"/>
    <n v="0"/>
    <d v="2011-05-01T00:00:00"/>
    <n v="2.25"/>
    <d v="2011-11-19T00:00:00"/>
    <n v="900.04599976582665"/>
    <n v="14463.106796116506"/>
    <n v="2234.5500000000002"/>
    <n v="15.45"/>
    <x v="2"/>
    <n v="15.45"/>
    <x v="0"/>
    <x v="0"/>
    <x v="0"/>
    <x v="0"/>
    <x v="0"/>
    <x v="0"/>
    <x v="0"/>
    <x v="0"/>
  </r>
  <r>
    <n v="156"/>
    <x v="53"/>
    <x v="82"/>
    <n v="500"/>
    <n v="0"/>
    <d v="2011-10-21T00:00:00"/>
    <n v="0.8"/>
    <d v="2011-11-19T00:00:00"/>
    <n v="4445.2918359864107"/>
    <n v="3318.8034188034198"/>
    <n v="388.3"/>
    <n v="11.7"/>
    <x v="2"/>
    <n v="11.7"/>
    <x v="0"/>
    <x v="0"/>
    <x v="0"/>
    <x v="0"/>
    <x v="0"/>
    <x v="0"/>
    <x v="0"/>
    <x v="0"/>
  </r>
  <r>
    <n v="157"/>
    <x v="73"/>
    <x v="83"/>
    <n v="100"/>
    <n v="0"/>
    <d v="2011-10-27T00:00:00"/>
    <n v="3"/>
    <d v="2011-11-19T00:00:00"/>
    <n v="5618.5552125365957"/>
    <n v="3348.2758620689651"/>
    <n v="291.3"/>
    <n v="8.6999999999999993"/>
    <x v="2"/>
    <n v="8.6999999999999993"/>
    <x v="0"/>
    <x v="0"/>
    <x v="0"/>
    <x v="0"/>
    <x v="0"/>
    <x v="0"/>
    <x v="0"/>
    <x v="0"/>
  </r>
  <r>
    <n v="158"/>
    <x v="8"/>
    <x v="84"/>
    <n v="100"/>
    <n v="0"/>
    <d v="2011-10-28T00:00:00"/>
    <n v="1.3"/>
    <d v="2011-11-19T00:00:00"/>
    <n v="4486.5325911372329"/>
    <n v="1394.2528735632186"/>
    <n v="121.3"/>
    <n v="8.6999999999999993"/>
    <x v="2"/>
    <n v="8.6999999999999993"/>
    <x v="0"/>
    <x v="0"/>
    <x v="0"/>
    <x v="0"/>
    <x v="0"/>
    <x v="0"/>
    <x v="0"/>
    <x v="0"/>
  </r>
  <r>
    <n v="159"/>
    <x v="58"/>
    <x v="85"/>
    <n v="100"/>
    <n v="0"/>
    <d v="2011-11-07T00:00:00"/>
    <n v="1"/>
    <d v="2011-11-19T00:00:00"/>
    <n v="7427.2851126629757"/>
    <n v="1049.4252873563221"/>
    <n v="91.3"/>
    <n v="8.6999999999999993"/>
    <x v="2"/>
    <n v="8.6999999999999993"/>
    <x v="0"/>
    <x v="0"/>
    <x v="0"/>
    <x v="0"/>
    <x v="0"/>
    <x v="0"/>
    <x v="0"/>
    <x v="0"/>
  </r>
  <r>
    <n v="160"/>
    <x v="61"/>
    <x v="86"/>
    <n v="500"/>
    <n v="0"/>
    <d v="2011-11-07T00:00:00"/>
    <n v="0.4"/>
    <d v="2011-11-19T00:00:00"/>
    <n v="8634.4659294306603"/>
    <n v="1609.4017094017097"/>
    <n v="188.3"/>
    <n v="11.7"/>
    <x v="2"/>
    <n v="11.7"/>
    <x v="0"/>
    <x v="0"/>
    <x v="0"/>
    <x v="0"/>
    <x v="0"/>
    <x v="0"/>
    <x v="0"/>
    <x v="0"/>
  </r>
  <r>
    <n v="161"/>
    <x v="74"/>
    <x v="87"/>
    <n v="100"/>
    <n v="0"/>
    <d v="2011-09-28T00:00:00"/>
    <n v="1.6"/>
    <d v="2011-11-19T00:00:00"/>
    <n v="2043.8952657581735"/>
    <n v="1739.0804597701151"/>
    <n v="151.30000000000001"/>
    <n v="8.6999999999999993"/>
    <x v="2"/>
    <n v="8.6999999999999993"/>
    <x v="0"/>
    <x v="0"/>
    <x v="0"/>
    <x v="0"/>
    <x v="0"/>
    <x v="0"/>
    <x v="0"/>
    <x v="0"/>
  </r>
  <r>
    <n v="162"/>
    <x v="75"/>
    <x v="88"/>
    <n v="100"/>
    <n v="0.9"/>
    <d v="2011-10-27T00:00:00"/>
    <n v="5.7"/>
    <d v="2011-11-21T00:00:00"/>
    <n v="2436.851220980594"/>
    <n v="430.72625698324021"/>
    <n v="462.6"/>
    <n v="17.399999999999999"/>
    <x v="4"/>
    <n v="107.4"/>
    <x v="0"/>
    <x v="0"/>
    <x v="0"/>
    <x v="0"/>
    <x v="0"/>
    <x v="0"/>
    <x v="0"/>
    <x v="0"/>
  </r>
  <r>
    <n v="163"/>
    <x v="3"/>
    <x v="89"/>
    <n v="100"/>
    <n v="0.1"/>
    <d v="2011-10-24T00:00:00"/>
    <n v="1.65"/>
    <d v="2011-11-21T00:00:00"/>
    <n v="2340.4353503031898"/>
    <n v="502.18978102189777"/>
    <n v="137.6"/>
    <n v="17.399999999999999"/>
    <x v="4"/>
    <n v="27.4"/>
    <x v="0"/>
    <x v="0"/>
    <x v="0"/>
    <x v="0"/>
    <x v="0"/>
    <x v="0"/>
    <x v="0"/>
    <x v="0"/>
  </r>
  <r>
    <n v="164"/>
    <x v="32"/>
    <x v="90"/>
    <n v="400"/>
    <n v="0.1"/>
    <d v="2011-07-05T00:00:00"/>
    <n v="1.75"/>
    <d v="2011-11-21T00:00:00"/>
    <n v="636.92766669337527"/>
    <n v="1030.8562197092083"/>
    <n v="638.1"/>
    <n v="21.9"/>
    <x v="4"/>
    <n v="61.9"/>
    <x v="0"/>
    <x v="0"/>
    <x v="0"/>
    <x v="0"/>
    <x v="0"/>
    <x v="0"/>
    <x v="0"/>
    <x v="0"/>
  </r>
  <r>
    <n v="165"/>
    <x v="24"/>
    <x v="91"/>
    <n v="700"/>
    <n v="0.2"/>
    <d v="2011-10-27T00:00:00"/>
    <n v="0.94"/>
    <d v="2011-11-22T00:00:00"/>
    <n v="1930.0222964324855"/>
    <n v="295.43269230769226"/>
    <n v="491.6"/>
    <n v="26.4"/>
    <x v="4"/>
    <n v="166.4"/>
    <x v="0"/>
    <x v="0"/>
    <x v="0"/>
    <x v="0"/>
    <x v="0"/>
    <x v="0"/>
    <x v="0"/>
    <x v="0"/>
  </r>
  <r>
    <n v="166"/>
    <x v="18"/>
    <x v="71"/>
    <n v="200"/>
    <n v="12.1"/>
    <d v="2011-08-14T00:00:00"/>
    <n v="0.5"/>
    <d v="2011-11-28T00:00:00"/>
    <n v="-1099.8662801950086"/>
    <n v="-95.899790889335364"/>
    <n v="-2338.9"/>
    <n v="18.899999999999999"/>
    <x v="1"/>
    <n v="2438.9"/>
    <x v="0"/>
    <x v="0"/>
    <x v="0"/>
    <x v="0"/>
    <x v="0"/>
    <x v="0"/>
    <x v="0"/>
    <x v="0"/>
  </r>
  <r>
    <n v="167"/>
    <x v="76"/>
    <x v="92"/>
    <n v="200"/>
    <n v="5.3"/>
    <d v="2011-11-11T00:00:00"/>
    <n v="5.8"/>
    <d v="2011-11-30T00:00:00"/>
    <n v="139.23405559598581"/>
    <n v="7.5169153767726389"/>
    <n v="81.099999999999994"/>
    <n v="18.899999999999999"/>
    <x v="1"/>
    <n v="1078.9000000000001"/>
    <x v="0"/>
    <x v="0"/>
    <x v="0"/>
    <x v="0"/>
    <x v="0"/>
    <x v="0"/>
    <x v="0"/>
    <x v="0"/>
  </r>
  <r>
    <n v="168"/>
    <x v="77"/>
    <x v="93"/>
    <n v="500"/>
    <n v="3.4"/>
    <d v="2011-11-22T00:00:00"/>
    <n v="4.6500000000000004"/>
    <d v="2011-11-30T00:00:00"/>
    <n v="1366.1081081720431"/>
    <n v="34.90774051293954"/>
    <n v="601.6"/>
    <n v="23.4"/>
    <x v="1"/>
    <n v="1723.4"/>
    <x v="0"/>
    <x v="0"/>
    <x v="0"/>
    <x v="0"/>
    <x v="0"/>
    <x v="0"/>
    <x v="0"/>
    <x v="0"/>
  </r>
  <r>
    <n v="169"/>
    <x v="52"/>
    <x v="94"/>
    <n v="100"/>
    <n v="15.9"/>
    <d v="2011-09-12T00:00:00"/>
    <n v="7.25"/>
    <d v="2011-12-01T00:00:00"/>
    <n v="-363.26697585904918"/>
    <n v="-54.896105512006976"/>
    <n v="-882.4"/>
    <n v="17.399999999999999"/>
    <x v="1"/>
    <n v="1607.4"/>
    <x v="0"/>
    <x v="0"/>
    <x v="0"/>
    <x v="0"/>
    <x v="0"/>
    <x v="0"/>
    <x v="0"/>
    <x v="0"/>
  </r>
  <r>
    <n v="170"/>
    <x v="18"/>
    <x v="95"/>
    <n v="100"/>
    <n v="40"/>
    <d v="2011-11-22T00:00:00"/>
    <n v="49"/>
    <d v="2011-12-01T00:00:00"/>
    <n v="805.43446036520663"/>
    <n v="21.96943296659531"/>
    <n v="882.6"/>
    <n v="17.399999999999999"/>
    <x v="1"/>
    <n v="4017.4"/>
    <x v="0"/>
    <x v="0"/>
    <x v="0"/>
    <x v="0"/>
    <x v="0"/>
    <x v="0"/>
    <x v="0"/>
    <x v="0"/>
  </r>
  <r>
    <n v="171"/>
    <x v="54"/>
    <x v="96"/>
    <n v="400"/>
    <n v="2.41"/>
    <d v="2011-11-22T00:00:00"/>
    <n v="3.2"/>
    <d v="2011-12-01T00:00:00"/>
    <n v="1058.745066404706"/>
    <n v="29.830611623896957"/>
    <n v="294.10000000000002"/>
    <n v="21.9"/>
    <x v="1"/>
    <n v="985.9"/>
    <x v="0"/>
    <x v="0"/>
    <x v="0"/>
    <x v="0"/>
    <x v="0"/>
    <x v="0"/>
    <x v="0"/>
    <x v="0"/>
  </r>
  <r>
    <n v="172"/>
    <x v="78"/>
    <x v="97"/>
    <n v="100"/>
    <n v="19.61"/>
    <d v="2011-11-23T00:00:00"/>
    <n v="23.770399999999999"/>
    <d v="2011-12-05T00:00:00"/>
    <n v="572.91498174613901"/>
    <n v="20.726275425988472"/>
    <n v="408.09"/>
    <n v="7.95"/>
    <x v="0"/>
    <n v="1968.95"/>
    <x v="0"/>
    <x v="0"/>
    <x v="0"/>
    <x v="0"/>
    <x v="0"/>
    <x v="0"/>
    <x v="0"/>
    <x v="0"/>
  </r>
  <r>
    <n v="173"/>
    <x v="68"/>
    <x v="98"/>
    <n v="1000"/>
    <n v="0.75"/>
    <d v="2011-11-23T00:00:00"/>
    <n v="1.25"/>
    <d v="2011-12-07T00:00:00"/>
    <n v="1226.5348665294059"/>
    <n v="60.071712127032903"/>
    <n v="469.1"/>
    <n v="30.9"/>
    <x v="1"/>
    <n v="780.9"/>
    <x v="0"/>
    <x v="0"/>
    <x v="0"/>
    <x v="0"/>
    <x v="0"/>
    <x v="0"/>
    <x v="0"/>
    <x v="0"/>
  </r>
  <r>
    <n v="174"/>
    <x v="46"/>
    <x v="99"/>
    <n v="300"/>
    <n v="7"/>
    <d v="2011-11-22T00:00:00"/>
    <n v="8.75"/>
    <d v="2011-12-09T00:00:00"/>
    <n v="458.34584269356878"/>
    <n v="23.79739671760046"/>
    <n v="504.6"/>
    <n v="20.399999999999999"/>
    <x v="1"/>
    <n v="2120.4"/>
    <x v="0"/>
    <x v="0"/>
    <x v="0"/>
    <x v="0"/>
    <x v="0"/>
    <x v="0"/>
    <x v="0"/>
    <x v="0"/>
  </r>
  <r>
    <n v="175"/>
    <x v="43"/>
    <x v="100"/>
    <n v="2000"/>
    <n v="0.05"/>
    <d v="2011-09-27T00:00:00"/>
    <n v="0.2"/>
    <d v="2011-12-12T00:00:00"/>
    <n v="484.36609003476747"/>
    <n v="174.16038382453735"/>
    <n v="254.1"/>
    <n v="45.9"/>
    <x v="4"/>
    <n v="145.9"/>
    <x v="0"/>
    <x v="0"/>
    <x v="0"/>
    <x v="0"/>
    <x v="0"/>
    <x v="0"/>
    <x v="0"/>
    <x v="0"/>
  </r>
  <r>
    <n v="176"/>
    <x v="61"/>
    <x v="101"/>
    <n v="1000"/>
    <n v="0.05"/>
    <d v="2011-10-31T00:00:00"/>
    <n v="0.2"/>
    <d v="2011-12-12T00:00:00"/>
    <n v="786.57807858693002"/>
    <n v="147.21878862793574"/>
    <n v="119.1"/>
    <n v="30.9"/>
    <x v="4"/>
    <n v="80.900000000000006"/>
    <x v="0"/>
    <x v="0"/>
    <x v="0"/>
    <x v="0"/>
    <x v="0"/>
    <x v="0"/>
    <x v="0"/>
    <x v="0"/>
  </r>
  <r>
    <n v="177"/>
    <x v="68"/>
    <x v="102"/>
    <n v="200"/>
    <n v="13.05"/>
    <d v="2011-09-23T00:00:00"/>
    <n v="10"/>
    <d v="2011-12-13T00:00:00"/>
    <n v="-121.32617492822052"/>
    <n v="-23.60434691266067"/>
    <n v="-617.95000000000005"/>
    <n v="7.95"/>
    <x v="0"/>
    <n v="2617.9499999999998"/>
    <x v="0"/>
    <x v="0"/>
    <x v="0"/>
    <x v="0"/>
    <x v="0"/>
    <x v="0"/>
    <x v="0"/>
    <x v="0"/>
  </r>
  <r>
    <n v="178"/>
    <x v="68"/>
    <x v="103"/>
    <n v="200"/>
    <n v="0"/>
    <d v="2011-12-01T00:00:00"/>
    <n v="5.5"/>
    <d v="2011-12-13T00:00:00"/>
    <n v="11011.963460595303"/>
    <n v="3635.1443123938889"/>
    <n v="1070.55"/>
    <n v="29.45"/>
    <x v="5"/>
    <n v="29.45"/>
    <x v="0"/>
    <x v="0"/>
    <x v="0"/>
    <x v="0"/>
    <x v="0"/>
    <x v="0"/>
    <x v="0"/>
    <x v="0"/>
  </r>
  <r>
    <n v="179"/>
    <x v="24"/>
    <x v="104"/>
    <n v="700"/>
    <n v="1.4"/>
    <d v="2011-11-30T00:00:00"/>
    <n v="1.35"/>
    <d v="2011-12-13T00:00:00"/>
    <n v="-176.74411411644726"/>
    <n v="-6.1009538950715365"/>
    <n v="-61.4"/>
    <n v="26.4"/>
    <x v="4"/>
    <n v="1006.4"/>
    <x v="0"/>
    <x v="0"/>
    <x v="0"/>
    <x v="0"/>
    <x v="0"/>
    <x v="0"/>
    <x v="0"/>
    <x v="0"/>
  </r>
  <r>
    <n v="180"/>
    <x v="79"/>
    <x v="105"/>
    <n v="200"/>
    <n v="0.5"/>
    <d v="2011-09-19T00:00:00"/>
    <n v="2.75"/>
    <d v="2011-12-14T00:00:00"/>
    <n v="650.05459093415107"/>
    <n v="362.57359125315389"/>
    <n v="431.1"/>
    <n v="18.899999999999999"/>
    <x v="4"/>
    <n v="118.9"/>
    <x v="0"/>
    <x v="0"/>
    <x v="0"/>
    <x v="0"/>
    <x v="0"/>
    <x v="0"/>
    <x v="0"/>
    <x v="0"/>
  </r>
  <r>
    <n v="181"/>
    <x v="75"/>
    <x v="106"/>
    <n v="100"/>
    <n v="1"/>
    <d v="2011-12-01T00:00:00"/>
    <n v="6.1"/>
    <d v="2011-12-14T00:00:00"/>
    <n v="4626.7176782098213"/>
    <n v="419.59114139693361"/>
    <n v="492.6"/>
    <n v="17.399999999999999"/>
    <x v="4"/>
    <n v="117.4"/>
    <x v="0"/>
    <x v="0"/>
    <x v="0"/>
    <x v="0"/>
    <x v="0"/>
    <x v="0"/>
    <x v="0"/>
    <x v="0"/>
  </r>
  <r>
    <n v="182"/>
    <x v="80"/>
    <x v="107"/>
    <n v="2000"/>
    <n v="0.6"/>
    <d v="2011-05-22T00:00:00"/>
    <n v="0.01"/>
    <d v="2011-12-15T00:00:00"/>
    <n v="-725.29008553208178"/>
    <n v="-98.364610163947845"/>
    <n v="-1202.95"/>
    <n v="22.95"/>
    <x v="7"/>
    <n v="1222.95"/>
    <x v="0"/>
    <x v="0"/>
    <x v="0"/>
    <x v="0"/>
    <x v="0"/>
    <x v="0"/>
    <x v="0"/>
    <x v="0"/>
  </r>
  <r>
    <n v="183"/>
    <x v="70"/>
    <x v="108"/>
    <n v="500"/>
    <n v="0.55000000000000004"/>
    <d v="2011-11-30T00:00:00"/>
    <n v="0.45"/>
    <d v="2011-12-16T00:00:00"/>
    <n v="-644.07550084807974"/>
    <n v="-24.597855227882036"/>
    <n v="-73.400000000000006"/>
    <n v="23.4"/>
    <x v="4"/>
    <n v="298.39999999999998"/>
    <x v="0"/>
    <x v="0"/>
    <x v="0"/>
    <x v="0"/>
    <x v="0"/>
    <x v="0"/>
    <x v="0"/>
    <x v="0"/>
  </r>
  <r>
    <n v="184"/>
    <x v="81"/>
    <x v="109"/>
    <n v="200"/>
    <n v="0"/>
    <d v="2011-11-15T00:00:00"/>
    <n v="0.6"/>
    <d v="2011-12-17T00:00:00"/>
    <n v="2898.8722045808877"/>
    <n v="1169.8412698412701"/>
    <n v="110.55"/>
    <n v="9.4499999999999993"/>
    <x v="2"/>
    <n v="9.4499999999999993"/>
    <x v="0"/>
    <x v="0"/>
    <x v="0"/>
    <x v="0"/>
    <x v="0"/>
    <x v="0"/>
    <x v="0"/>
    <x v="0"/>
  </r>
  <r>
    <n v="185"/>
    <x v="27"/>
    <x v="110"/>
    <n v="100"/>
    <n v="0"/>
    <d v="2011-11-17T00:00:00"/>
    <n v="0.6"/>
    <d v="2011-12-17T00:00:00"/>
    <n v="2349.4095361499008"/>
    <n v="589.65517241379314"/>
    <n v="51.3"/>
    <n v="8.6999999999999993"/>
    <x v="2"/>
    <n v="8.6999999999999993"/>
    <x v="0"/>
    <x v="0"/>
    <x v="0"/>
    <x v="0"/>
    <x v="0"/>
    <x v="0"/>
    <x v="0"/>
    <x v="0"/>
  </r>
  <r>
    <n v="186"/>
    <x v="32"/>
    <x v="111"/>
    <n v="400"/>
    <n v="0"/>
    <d v="2011-11-30T00:00:00"/>
    <n v="0.25"/>
    <d v="2011-12-17T00:00:00"/>
    <n v="4748.9306844108078"/>
    <n v="813.24200913242032"/>
    <n v="89.05"/>
    <n v="10.95"/>
    <x v="2"/>
    <n v="10.95"/>
    <x v="0"/>
    <x v="0"/>
    <x v="0"/>
    <x v="0"/>
    <x v="0"/>
    <x v="0"/>
    <x v="0"/>
    <x v="0"/>
  </r>
  <r>
    <n v="187"/>
    <x v="52"/>
    <x v="112"/>
    <n v="100"/>
    <n v="0"/>
    <d v="2011-11-30T00:00:00"/>
    <n v="2.6"/>
    <d v="2011-12-17T00:00:00"/>
    <n v="7294.3287703210071"/>
    <n v="2888.5057471264367"/>
    <n v="251.3"/>
    <n v="8.6999999999999993"/>
    <x v="2"/>
    <n v="8.6999999999999993"/>
    <x v="0"/>
    <x v="0"/>
    <x v="0"/>
    <x v="0"/>
    <x v="0"/>
    <x v="0"/>
    <x v="0"/>
    <x v="0"/>
  </r>
  <r>
    <n v="188"/>
    <x v="82"/>
    <x v="113"/>
    <n v="100"/>
    <n v="0"/>
    <d v="2011-11-28T00:00:00"/>
    <n v="3.3"/>
    <d v="2011-12-17T00:00:00"/>
    <n v="6984.5048132210286"/>
    <n v="3693.1034482758619"/>
    <n v="321.3"/>
    <n v="8.6999999999999993"/>
    <x v="2"/>
    <n v="8.6999999999999993"/>
    <x v="0"/>
    <x v="0"/>
    <x v="0"/>
    <x v="0"/>
    <x v="0"/>
    <x v="0"/>
    <x v="0"/>
    <x v="0"/>
  </r>
  <r>
    <n v="189"/>
    <x v="74"/>
    <x v="114"/>
    <n v="100"/>
    <n v="47.3"/>
    <d v="2011-09-22T00:00:00"/>
    <n v="30"/>
    <d v="2011-12-23T00:00:00"/>
    <n v="-181.30671344940711"/>
    <n v="-36.681476165852317"/>
    <n v="-1737.95"/>
    <n v="7.95"/>
    <x v="0"/>
    <n v="4737.95"/>
    <x v="0"/>
    <x v="0"/>
    <x v="0"/>
    <x v="0"/>
    <x v="0"/>
    <x v="0"/>
    <x v="0"/>
    <x v="0"/>
  </r>
  <r>
    <n v="190"/>
    <x v="74"/>
    <x v="115"/>
    <n v="100"/>
    <n v="0"/>
    <d v="2011-12-22T00:00:00"/>
    <n v="13"/>
    <d v="2011-12-23T00:00:00"/>
    <n v="139182.61835496791"/>
    <n v="4429.6167247386766"/>
    <n v="1271.3"/>
    <n v="28.7"/>
    <x v="5"/>
    <n v="28.7"/>
    <x v="0"/>
    <x v="0"/>
    <x v="0"/>
    <x v="0"/>
    <x v="0"/>
    <x v="0"/>
    <x v="0"/>
    <x v="0"/>
  </r>
  <r>
    <n v="191"/>
    <x v="83"/>
    <x v="116"/>
    <n v="264"/>
    <n v="18.9116"/>
    <d v="2009-10-16T00:00:00"/>
    <n v="17.96"/>
    <d v="2011-12-23T00:00:00"/>
    <n v="-2.3614506328089382"/>
    <n v="-5.0318323145582555"/>
    <n v="-251.22239999999999"/>
    <n v="0"/>
    <x v="6"/>
    <n v="4992.6624000000002"/>
    <x v="0"/>
    <x v="0"/>
    <x v="0"/>
    <x v="0"/>
    <x v="0"/>
    <x v="0"/>
    <x v="0"/>
    <x v="0"/>
  </r>
  <r>
    <n v="192"/>
    <x v="71"/>
    <x v="117"/>
    <n v="300"/>
    <n v="12.54"/>
    <d v="2011-09-18T00:00:00"/>
    <n v="11"/>
    <d v="2011-12-28T00:00:00"/>
    <n v="-48.114686791608094"/>
    <n v="-12.46568256873433"/>
    <n v="-469.95"/>
    <n v="7.95"/>
    <x v="0"/>
    <n v="3769.95"/>
    <x v="0"/>
    <x v="0"/>
    <x v="0"/>
    <x v="0"/>
    <x v="0"/>
    <x v="0"/>
    <x v="0"/>
    <x v="0"/>
  </r>
  <r>
    <n v="193"/>
    <x v="71"/>
    <x v="118"/>
    <n v="300"/>
    <n v="0"/>
    <d v="2011-12-20T00:00:00"/>
    <n v="0.8"/>
    <d v="2011-12-28T00:00:00"/>
    <n v="9457.1363077603255"/>
    <n v="694.70198675496704"/>
    <n v="209.8"/>
    <n v="30.2"/>
    <x v="5"/>
    <n v="30.2"/>
    <x v="0"/>
    <x v="0"/>
    <x v="0"/>
    <x v="0"/>
    <x v="0"/>
    <x v="0"/>
    <x v="0"/>
    <x v="0"/>
  </r>
  <r>
    <n v="194"/>
    <x v="60"/>
    <x v="119"/>
    <n v="800"/>
    <n v="6"/>
    <d v="2010-01-21T00:00:00"/>
    <n v="0.65"/>
    <d v="2011-12-29T00:00:00"/>
    <n v="-114.827723029227"/>
    <n v="-89.184579706527714"/>
    <n v="-4287.95"/>
    <n v="7.95"/>
    <x v="0"/>
    <n v="4807.95"/>
    <x v="0"/>
    <x v="0"/>
    <x v="0"/>
    <x v="0"/>
    <x v="0"/>
    <x v="0"/>
    <x v="0"/>
    <x v="0"/>
  </r>
  <r>
    <n v="195"/>
    <x v="30"/>
    <x v="120"/>
    <n v="900"/>
    <n v="0.1"/>
    <d v="2011-12-12T00:00:00"/>
    <n v="0.75"/>
    <d v="2011-12-29T00:00:00"/>
    <n v="3719.2071989330607"/>
    <n v="465.32663316582909"/>
    <n v="555.6"/>
    <n v="29.4"/>
    <x v="4"/>
    <n v="119.4"/>
    <x v="0"/>
    <x v="0"/>
    <x v="0"/>
    <x v="0"/>
    <x v="0"/>
    <x v="0"/>
    <x v="0"/>
    <x v="0"/>
  </r>
  <r>
    <n v="196"/>
    <x v="84"/>
    <x v="121"/>
    <n v="350"/>
    <n v="12.5"/>
    <d v="2010-01-26T00:00:00"/>
    <n v="0.25"/>
    <d v="2011-12-30T00:00:00"/>
    <n v="-203.20783104362363"/>
    <n v="-98.003627693676634"/>
    <n v="-4295.45"/>
    <n v="7.95"/>
    <x v="0"/>
    <n v="4382.95"/>
    <x v="0"/>
    <x v="0"/>
    <x v="0"/>
    <x v="0"/>
    <x v="0"/>
    <x v="0"/>
    <x v="0"/>
    <x v="0"/>
  </r>
  <r>
    <n v="197"/>
    <x v="85"/>
    <x v="122"/>
    <n v="120"/>
    <n v="11.5"/>
    <d v="2010-01-22T00:00:00"/>
    <n v="0.81"/>
    <d v="2011-12-30T00:00:00"/>
    <n v="-137.2654212379513"/>
    <n v="-92.996865881335779"/>
    <n v="-1290.75"/>
    <n v="7.95"/>
    <x v="0"/>
    <n v="1387.95"/>
    <x v="0"/>
    <x v="0"/>
    <x v="0"/>
    <x v="0"/>
    <x v="0"/>
    <x v="0"/>
    <x v="0"/>
    <x v="0"/>
  </r>
  <r>
    <n v="198"/>
    <x v="86"/>
    <x v="123"/>
    <n v="500"/>
    <n v="2.4"/>
    <d v="2011-12-29T00:00:00"/>
    <n v="2.5"/>
    <d v="2012-01-03T00:00:00"/>
    <n v="157.02068946154083"/>
    <n v="2.1742684322380215"/>
    <n v="26.6"/>
    <n v="23.4"/>
    <x v="3"/>
    <n v="1223.4000000000001"/>
    <x v="0"/>
    <x v="0"/>
    <x v="0"/>
    <x v="0"/>
    <x v="0"/>
    <x v="0"/>
    <x v="0"/>
    <x v="0"/>
  </r>
  <r>
    <n v="199"/>
    <x v="87"/>
    <x v="124"/>
    <n v="50"/>
    <n v="31"/>
    <d v="2011-12-14T00:00:00"/>
    <n v="35"/>
    <d v="2012-01-11T00:00:00"/>
    <n v="151.53357393296329"/>
    <n v="12.327096505022631"/>
    <n v="192.05"/>
    <n v="7.95"/>
    <x v="0"/>
    <n v="1557.95"/>
    <x v="0"/>
    <x v="0"/>
    <x v="0"/>
    <x v="0"/>
    <x v="0"/>
    <x v="0"/>
    <x v="0"/>
    <x v="0"/>
  </r>
  <r>
    <n v="200"/>
    <x v="88"/>
    <x v="125"/>
    <n v="102"/>
    <n v="14.8241"/>
    <d v="2011-11-22T00:00:00"/>
    <n v="16"/>
    <d v="2012-01-17T00:00:00"/>
    <n v="46.335789894509801"/>
    <n v="7.3678418313795948"/>
    <n v="111.9918"/>
    <n v="7.95"/>
    <x v="0"/>
    <n v="1520.0082"/>
    <x v="0"/>
    <x v="0"/>
    <x v="0"/>
    <x v="0"/>
    <x v="0"/>
    <x v="0"/>
    <x v="0"/>
    <x v="0"/>
  </r>
  <r>
    <n v="201"/>
    <x v="52"/>
    <x v="126"/>
    <n v="100"/>
    <n v="13.75"/>
    <d v="2011-12-21T00:00:00"/>
    <n v="17"/>
    <d v="2012-01-17T00:00:00"/>
    <n v="269.82878351505059"/>
    <n v="22.091353059465675"/>
    <n v="307.60000000000002"/>
    <n v="17.399999999999999"/>
    <x v="4"/>
    <n v="1392.4"/>
    <x v="0"/>
    <x v="0"/>
    <x v="0"/>
    <x v="0"/>
    <x v="0"/>
    <x v="0"/>
    <x v="0"/>
    <x v="0"/>
  </r>
  <r>
    <n v="202"/>
    <x v="52"/>
    <x v="94"/>
    <n v="100"/>
    <n v="15.9"/>
    <d v="2011-09-12T00:00:00"/>
    <n v="1.25"/>
    <d v="2012-01-19T00:00:00"/>
    <n v="-722.66024852236887"/>
    <n v="-92.2234664675874"/>
    <n v="-1482.4"/>
    <n v="17.399999999999999"/>
    <x v="1"/>
    <n v="1607.4"/>
    <x v="0"/>
    <x v="0"/>
    <x v="0"/>
    <x v="0"/>
    <x v="0"/>
    <x v="0"/>
    <x v="0"/>
    <x v="0"/>
  </r>
  <r>
    <n v="203"/>
    <x v="3"/>
    <x v="127"/>
    <n v="100"/>
    <n v="8"/>
    <d v="2011-12-01T00:00:00"/>
    <n v="9"/>
    <d v="2012-01-20T00:00:00"/>
    <n v="70.27432030171768"/>
    <n v="10.105211646684616"/>
    <n v="82.6"/>
    <n v="17.399999999999999"/>
    <x v="4"/>
    <n v="817.4"/>
    <x v="0"/>
    <x v="0"/>
    <x v="0"/>
    <x v="0"/>
    <x v="0"/>
    <x v="0"/>
    <x v="0"/>
    <x v="0"/>
  </r>
  <r>
    <n v="204"/>
    <x v="8"/>
    <x v="128"/>
    <n v="100"/>
    <n v="3.3"/>
    <d v="2011-11-30T00:00:00"/>
    <n v="2"/>
    <d v="2012-01-20T00:00:00"/>
    <n v="-395.17296637161422"/>
    <n v="-42.429476108232585"/>
    <n v="-147.4"/>
    <n v="17.399999999999999"/>
    <x v="4"/>
    <n v="347.4"/>
    <x v="0"/>
    <x v="0"/>
    <x v="0"/>
    <x v="0"/>
    <x v="0"/>
    <x v="0"/>
    <x v="0"/>
    <x v="0"/>
  </r>
  <r>
    <n v="205"/>
    <x v="76"/>
    <x v="129"/>
    <n v="200"/>
    <n v="1.75"/>
    <d v="2011-12-23T00:00:00"/>
    <n v="2"/>
    <d v="2012-01-20T00:00:00"/>
    <n v="105.50969290876247"/>
    <n v="8.4304689617782582"/>
    <n v="31.1"/>
    <n v="18.899999999999999"/>
    <x v="4"/>
    <n v="368.9"/>
    <x v="0"/>
    <x v="0"/>
    <x v="0"/>
    <x v="0"/>
    <x v="0"/>
    <x v="0"/>
    <x v="0"/>
    <x v="0"/>
  </r>
  <r>
    <n v="206"/>
    <x v="70"/>
    <x v="130"/>
    <n v="500"/>
    <n v="2.1"/>
    <d v="2011-12-22T00:00:00"/>
    <n v="1"/>
    <d v="2012-01-20T00:00:00"/>
    <n v="-961.55897200688241"/>
    <n v="-53.419042295509598"/>
    <n v="-573.4"/>
    <n v="23.4"/>
    <x v="4"/>
    <n v="1073.4000000000001"/>
    <x v="0"/>
    <x v="0"/>
    <x v="0"/>
    <x v="0"/>
    <x v="0"/>
    <x v="0"/>
    <x v="0"/>
    <x v="0"/>
  </r>
  <r>
    <n v="207"/>
    <x v="89"/>
    <x v="131"/>
    <n v="100"/>
    <n v="10.1"/>
    <d v="2011-12-29T00:00:00"/>
    <n v="7"/>
    <d v="2012-01-20T00:00:00"/>
    <n v="-636.60360586937895"/>
    <n v="-31.866848355071049"/>
    <n v="-327.39999999999998"/>
    <n v="17.399999999999999"/>
    <x v="4"/>
    <n v="1027.4000000000001"/>
    <x v="0"/>
    <x v="0"/>
    <x v="0"/>
    <x v="0"/>
    <x v="0"/>
    <x v="0"/>
    <x v="0"/>
    <x v="0"/>
  </r>
  <r>
    <n v="208"/>
    <x v="71"/>
    <x v="117"/>
    <n v="200"/>
    <n v="12.535500000000001"/>
    <d v="2011-09-18T00:00:00"/>
    <n v="11"/>
    <d v="2012-01-22T00:00:00"/>
    <n v="-38.769756470249646"/>
    <n v="-12.526589928629653"/>
    <n v="-315.05"/>
    <n v="7.95"/>
    <x v="0"/>
    <n v="2515.0500000000002"/>
    <x v="0"/>
    <x v="0"/>
    <x v="0"/>
    <x v="0"/>
    <x v="0"/>
    <x v="0"/>
    <x v="0"/>
    <x v="0"/>
  </r>
  <r>
    <n v="209"/>
    <x v="82"/>
    <x v="132"/>
    <n v="100"/>
    <n v="74"/>
    <d v="2011-11-25T00:00:00"/>
    <n v="72.5"/>
    <d v="2012-01-22T00:00:00"/>
    <n v="-13.563072125832695"/>
    <n v="-2.1321688186340295"/>
    <n v="-157.94999999999999"/>
    <n v="7.95"/>
    <x v="0"/>
    <n v="7407.95"/>
    <x v="0"/>
    <x v="0"/>
    <x v="0"/>
    <x v="0"/>
    <x v="0"/>
    <x v="0"/>
    <x v="0"/>
    <x v="0"/>
  </r>
  <r>
    <n v="210"/>
    <x v="71"/>
    <x v="118"/>
    <n v="200"/>
    <n v="0"/>
    <d v="2011-12-20T00:00:00"/>
    <n v="0.8"/>
    <d v="2012-01-22T00:00:00"/>
    <n v="1871.9853496203771"/>
    <n v="443.29371816638377"/>
    <n v="130.55000000000001"/>
    <n v="29.45"/>
    <x v="5"/>
    <n v="29.45"/>
    <x v="0"/>
    <x v="0"/>
    <x v="0"/>
    <x v="0"/>
    <x v="0"/>
    <x v="0"/>
    <x v="0"/>
    <x v="0"/>
  </r>
  <r>
    <n v="211"/>
    <x v="82"/>
    <x v="133"/>
    <n v="100"/>
    <n v="0"/>
    <d v="2011-12-20T00:00:00"/>
    <n v="4.5"/>
    <d v="2012-01-22T00:00:00"/>
    <n v="3044.2664178774494"/>
    <n v="1467.9442508710804"/>
    <n v="421.3"/>
    <n v="28.7"/>
    <x v="5"/>
    <n v="28.7"/>
    <x v="0"/>
    <x v="0"/>
    <x v="0"/>
    <x v="0"/>
    <x v="0"/>
    <x v="0"/>
    <x v="0"/>
    <x v="0"/>
  </r>
  <r>
    <n v="212"/>
    <x v="33"/>
    <x v="134"/>
    <n v="2000"/>
    <n v="0.22"/>
    <d v="2011-08-09T00:00:00"/>
    <n v="1E-3"/>
    <d v="2012-01-22T00:00:00"/>
    <n v="-1197.1278523264759"/>
    <n v="-99.567987903661304"/>
    <n v="-460.95"/>
    <n v="22.95"/>
    <x v="7"/>
    <n v="462.95"/>
    <x v="0"/>
    <x v="0"/>
    <x v="0"/>
    <x v="0"/>
    <x v="0"/>
    <x v="0"/>
    <x v="0"/>
    <x v="0"/>
  </r>
  <r>
    <n v="213"/>
    <x v="90"/>
    <x v="135"/>
    <n v="100"/>
    <n v="0"/>
    <d v="2011-12-21T00:00:00"/>
    <n v="1.1000000000000001"/>
    <d v="2012-01-22T00:00:00"/>
    <n v="2893.9450910879236"/>
    <n v="1164.3678160919542"/>
    <n v="101.3"/>
    <n v="8.6999999999999993"/>
    <x v="2"/>
    <n v="8.6999999999999993"/>
    <x v="0"/>
    <x v="0"/>
    <x v="0"/>
    <x v="0"/>
    <x v="0"/>
    <x v="0"/>
    <x v="0"/>
    <x v="0"/>
  </r>
  <r>
    <n v="214"/>
    <x v="91"/>
    <x v="136"/>
    <n v="760"/>
    <n v="10.5222"/>
    <d v="2010-01-11T00:00:00"/>
    <n v="12.29"/>
    <d v="2012-01-27T00:00:00"/>
    <n v="7.5983905656466737"/>
    <n v="16.800669061603081"/>
    <n v="1343.528"/>
    <n v="0"/>
    <x v="6"/>
    <n v="7996.8720000000003"/>
    <x v="0"/>
    <x v="0"/>
    <x v="0"/>
    <x v="0"/>
    <x v="0"/>
    <x v="0"/>
    <x v="0"/>
    <x v="0"/>
  </r>
  <r>
    <n v="215"/>
    <x v="92"/>
    <x v="137"/>
    <n v="115"/>
    <n v="2.84"/>
    <d v="2009-12-17T00:00:00"/>
    <n v="1.1000000000000001"/>
    <d v="2012-02-03T00:00:00"/>
    <n v="-45.627066006086963"/>
    <n v="-62.188013749813173"/>
    <n v="-208.05"/>
    <n v="7.95"/>
    <x v="0"/>
    <n v="334.55"/>
    <x v="0"/>
    <x v="0"/>
    <x v="0"/>
    <x v="0"/>
    <x v="0"/>
    <x v="0"/>
    <x v="0"/>
    <x v="0"/>
  </r>
  <r>
    <n v="216"/>
    <x v="93"/>
    <x v="138"/>
    <n v="104"/>
    <n v="22"/>
    <d v="2011-10-03T00:00:00"/>
    <n v="24.07"/>
    <d v="2012-02-08T00:00:00"/>
    <n v="24.653232280616095"/>
    <n v="9.0302489165704856"/>
    <n v="207.33"/>
    <n v="7.95"/>
    <x v="0"/>
    <n v="2295.9499999999998"/>
    <x v="0"/>
    <x v="0"/>
    <x v="0"/>
    <x v="0"/>
    <x v="0"/>
    <x v="0"/>
    <x v="0"/>
    <x v="0"/>
  </r>
  <r>
    <n v="217"/>
    <x v="52"/>
    <x v="139"/>
    <n v="100"/>
    <n v="21"/>
    <d v="2012-01-17T00:00:00"/>
    <n v="11.5"/>
    <d v="2012-02-10T00:00:00"/>
    <n v="-928.35769654780859"/>
    <n v="-45.688108057051103"/>
    <n v="-967.4"/>
    <n v="17.399999999999999"/>
    <x v="4"/>
    <n v="2117.4"/>
    <x v="0"/>
    <x v="0"/>
    <x v="0"/>
    <x v="0"/>
    <x v="0"/>
    <x v="0"/>
    <x v="0"/>
    <x v="0"/>
  </r>
  <r>
    <n v="218"/>
    <x v="75"/>
    <x v="140"/>
    <n v="100"/>
    <n v="11"/>
    <d v="2011-12-29T00:00:00"/>
    <n v="3.5"/>
    <d v="2012-02-15T00:00:00"/>
    <n v="-882.71195651599999"/>
    <n v="-68.677286558081263"/>
    <n v="-767.4"/>
    <n v="17.399999999999999"/>
    <x v="4"/>
    <n v="1117.4000000000001"/>
    <x v="0"/>
    <x v="0"/>
    <x v="0"/>
    <x v="0"/>
    <x v="0"/>
    <x v="0"/>
    <x v="0"/>
    <x v="0"/>
  </r>
  <r>
    <n v="219"/>
    <x v="94"/>
    <x v="141"/>
    <n v="63"/>
    <n v="43.95"/>
    <d v="2011-06-07T00:00:00"/>
    <n v="44.22"/>
    <d v="2012-02-17T00:00:00"/>
    <n v="0.87665146031829944"/>
    <n v="0.61433447098975202"/>
    <n v="17.010000000000002"/>
    <n v="0"/>
    <x v="6"/>
    <n v="2768.85"/>
    <x v="0"/>
    <x v="0"/>
    <x v="0"/>
    <x v="0"/>
    <x v="0"/>
    <x v="0"/>
    <x v="0"/>
    <x v="0"/>
  </r>
  <r>
    <n v="220"/>
    <x v="94"/>
    <x v="141"/>
    <n v="116"/>
    <n v="43.26"/>
    <d v="2011-03-17T00:00:00"/>
    <n v="44.22"/>
    <d v="2012-02-17T00:00:00"/>
    <n v="2.3772390326710515"/>
    <n v="2.2191400832177552"/>
    <n v="111.36"/>
    <n v="0"/>
    <x v="6"/>
    <n v="5018.16"/>
    <x v="0"/>
    <x v="0"/>
    <x v="0"/>
    <x v="0"/>
    <x v="0"/>
    <x v="0"/>
    <x v="0"/>
    <x v="0"/>
  </r>
  <r>
    <n v="221"/>
    <x v="89"/>
    <x v="142"/>
    <n v="100"/>
    <n v="6.1"/>
    <d v="2012-01-25T00:00:00"/>
    <n v="3"/>
    <d v="2012-02-27T00:00:00"/>
    <n v="-816.05352939890145"/>
    <n v="-52.183614918712145"/>
    <n v="-327.39999999999998"/>
    <n v="17.399999999999999"/>
    <x v="4"/>
    <n v="627.4"/>
    <x v="0"/>
    <x v="0"/>
    <x v="0"/>
    <x v="0"/>
    <x v="0"/>
    <x v="0"/>
    <x v="0"/>
    <x v="0"/>
  </r>
  <r>
    <n v="222"/>
    <x v="30"/>
    <x v="143"/>
    <n v="900"/>
    <n v="0.1"/>
    <d v="2012-01-10T00:00:00"/>
    <n v="0.5"/>
    <d v="2012-02-17T00:00:00"/>
    <n v="1274.3959456819482"/>
    <n v="276.8844221105528"/>
    <n v="330.6"/>
    <n v="29.4"/>
    <x v="4"/>
    <n v="119.4"/>
    <x v="0"/>
    <x v="0"/>
    <x v="0"/>
    <x v="0"/>
    <x v="0"/>
    <x v="0"/>
    <x v="0"/>
    <x v="0"/>
  </r>
  <r>
    <n v="223"/>
    <x v="24"/>
    <x v="144"/>
    <n v="700"/>
    <n v="7.5960999999999999"/>
    <d v="2011-08-24T00:00:00"/>
    <n v="4"/>
    <d v="2012-02-17T00:00:00"/>
    <n v="-132.56193896154684"/>
    <n v="-47.420012694311225"/>
    <n v="-2525.2199999999998"/>
    <n v="7.95"/>
    <x v="0"/>
    <n v="5325.22"/>
    <x v="0"/>
    <x v="0"/>
    <x v="0"/>
    <x v="0"/>
    <x v="0"/>
    <x v="0"/>
    <x v="0"/>
    <x v="0"/>
  </r>
  <r>
    <n v="224"/>
    <x v="95"/>
    <x v="145"/>
    <n v="100"/>
    <n v="50"/>
    <d v="2010-01-21T00:00:00"/>
    <n v="49"/>
    <d v="2012-02-17T00:00:00"/>
    <n v="-1.0507103409673868"/>
    <n v="-2.155572639503196"/>
    <n v="-107.95"/>
    <n v="7.95"/>
    <x v="0"/>
    <n v="5007.95"/>
    <x v="0"/>
    <x v="0"/>
    <x v="0"/>
    <x v="0"/>
    <x v="0"/>
    <x v="0"/>
    <x v="0"/>
    <x v="0"/>
  </r>
  <r>
    <n v="225"/>
    <x v="81"/>
    <x v="146"/>
    <n v="200"/>
    <n v="14"/>
    <d v="2011-11-14T00:00:00"/>
    <n v="12"/>
    <d v="2012-02-17T00:00:00"/>
    <n v="-60.315651547277525"/>
    <n v="-14.528392599583324"/>
    <n v="-407.95"/>
    <n v="7.95"/>
    <x v="0"/>
    <n v="2807.95"/>
    <x v="0"/>
    <x v="0"/>
    <x v="0"/>
    <x v="0"/>
    <x v="0"/>
    <x v="0"/>
    <x v="0"/>
    <x v="0"/>
  </r>
  <r>
    <n v="226"/>
    <x v="58"/>
    <x v="56"/>
    <n v="97"/>
    <n v="12.5"/>
    <d v="2011-10-31T00:00:00"/>
    <n v="12"/>
    <d v="2012-02-17T00:00:00"/>
    <n v="-15.858176392881171"/>
    <n v="-4.625343111147532"/>
    <n v="-56.45"/>
    <n v="7.95"/>
    <x v="0"/>
    <n v="1220.45"/>
    <x v="0"/>
    <x v="0"/>
    <x v="0"/>
    <x v="0"/>
    <x v="0"/>
    <x v="0"/>
    <x v="0"/>
    <x v="0"/>
  </r>
  <r>
    <n v="227"/>
    <x v="58"/>
    <x v="56"/>
    <n v="3"/>
    <n v="14.8675"/>
    <d v="2011-08-02T00:00:00"/>
    <n v="12"/>
    <d v="2012-02-17T00:00:00"/>
    <n v="-69.385533662417728"/>
    <n v="-31.497074354217201"/>
    <n v="-16.552499999999998"/>
    <n v="7.95"/>
    <x v="0"/>
    <n v="52.552500000000002"/>
    <x v="0"/>
    <x v="0"/>
    <x v="0"/>
    <x v="0"/>
    <x v="0"/>
    <x v="0"/>
    <x v="0"/>
    <x v="0"/>
  </r>
  <r>
    <n v="228"/>
    <x v="81"/>
    <x v="147"/>
    <n v="200"/>
    <n v="0"/>
    <d v="2012-01-03T00:00:00"/>
    <n v="2.25"/>
    <d v="2012-02-17T00:00:00"/>
    <n v="2211.5379789408244"/>
    <n v="1428.0135823429539"/>
    <n v="420.55"/>
    <n v="29.45"/>
    <x v="5"/>
    <n v="29.45"/>
    <x v="0"/>
    <x v="0"/>
    <x v="0"/>
    <x v="0"/>
    <x v="0"/>
    <x v="0"/>
    <x v="0"/>
    <x v="0"/>
  </r>
  <r>
    <n v="229"/>
    <x v="58"/>
    <x v="148"/>
    <n v="100"/>
    <n v="0"/>
    <d v="2011-11-30T00:00:00"/>
    <n v="1.5"/>
    <d v="2012-02-17T00:00:00"/>
    <n v="764.0689019439219"/>
    <n v="422.64808362369348"/>
    <n v="121.3"/>
    <n v="28.7"/>
    <x v="5"/>
    <n v="28.7"/>
    <x v="0"/>
    <x v="0"/>
    <x v="0"/>
    <x v="0"/>
    <x v="0"/>
    <x v="0"/>
    <x v="0"/>
    <x v="0"/>
  </r>
  <r>
    <n v="230"/>
    <x v="24"/>
    <x v="149"/>
    <n v="700"/>
    <n v="0"/>
    <d v="2011-12-22T00:00:00"/>
    <n v="1.5"/>
    <d v="2012-02-17T00:00:00"/>
    <n v="2211.7690912958442"/>
    <n v="3062.6506024096389"/>
    <n v="1016.8"/>
    <n v="33.200000000000003"/>
    <x v="5"/>
    <n v="33.200000000000003"/>
    <x v="0"/>
    <x v="0"/>
    <x v="0"/>
    <x v="0"/>
    <x v="0"/>
    <x v="0"/>
    <x v="0"/>
    <x v="0"/>
  </r>
  <r>
    <n v="231"/>
    <x v="95"/>
    <x v="150"/>
    <n v="100"/>
    <n v="0"/>
    <d v="2012-01-10T00:00:00"/>
    <n v="10.5"/>
    <d v="2012-02-17T00:00:00"/>
    <n v="3457.5569393181249"/>
    <n v="3558.5365853658536"/>
    <n v="1021.3"/>
    <n v="28.7"/>
    <x v="5"/>
    <n v="28.7"/>
    <x v="0"/>
    <x v="0"/>
    <x v="0"/>
    <x v="0"/>
    <x v="0"/>
    <x v="0"/>
    <x v="0"/>
    <x v="0"/>
  </r>
  <r>
    <n v="232"/>
    <x v="61"/>
    <x v="151"/>
    <n v="1500"/>
    <n v="0"/>
    <d v="2012-01-17T00:00:00"/>
    <n v="0.4"/>
    <d v="2012-02-17T00:00:00"/>
    <n v="4052.7002332470311"/>
    <n v="3025.0000000000009"/>
    <n v="580.79999999999995"/>
    <n v="19.2"/>
    <x v="2"/>
    <n v="19.2"/>
    <x v="0"/>
    <x v="0"/>
    <x v="0"/>
    <x v="0"/>
    <x v="0"/>
    <x v="0"/>
    <x v="0"/>
    <x v="0"/>
  </r>
  <r>
    <n v="234"/>
    <x v="47"/>
    <x v="152"/>
    <n v="200"/>
    <n v="4.25"/>
    <d v="2011-09-22T00:00:00"/>
    <n v="0.8"/>
    <d v="2012-02-23T00:00:00"/>
    <n v="-401.03882691112773"/>
    <n v="-81.585913223616075"/>
    <n v="-708.9"/>
    <n v="18.899999999999999"/>
    <x v="1"/>
    <n v="868.9"/>
    <x v="0"/>
    <x v="0"/>
    <x v="0"/>
    <x v="0"/>
    <x v="0"/>
    <x v="0"/>
    <x v="0"/>
    <x v="0"/>
  </r>
  <r>
    <n v="235"/>
    <x v="27"/>
    <x v="153"/>
    <n v="100"/>
    <n v="6.75"/>
    <d v="2011-11-11T00:00:00"/>
    <n v="4"/>
    <d v="2012-02-24T00:00:00"/>
    <n v="-185.96127878041463"/>
    <n v="-41.430558606047299"/>
    <n v="-282.95"/>
    <n v="7.95"/>
    <x v="0"/>
    <n v="682.95"/>
    <x v="0"/>
    <x v="0"/>
    <x v="0"/>
    <x v="0"/>
    <x v="0"/>
    <x v="0"/>
    <x v="0"/>
    <x v="0"/>
  </r>
  <r>
    <n v="236"/>
    <x v="27"/>
    <x v="154"/>
    <n v="100"/>
    <n v="0"/>
    <d v="2012-01-03T00:00:00"/>
    <n v="1.25"/>
    <d v="2012-02-24T00:00:00"/>
    <n v="1384.0824785478144"/>
    <n v="618.39080459770128"/>
    <n v="107.6"/>
    <n v="17.399999999999999"/>
    <x v="4"/>
    <n v="17.399999999999999"/>
    <x v="0"/>
    <x v="0"/>
    <x v="0"/>
    <x v="0"/>
    <x v="0"/>
    <x v="0"/>
    <x v="0"/>
    <x v="0"/>
  </r>
  <r>
    <n v="237"/>
    <x v="3"/>
    <x v="155"/>
    <n v="100"/>
    <n v="0.6"/>
    <d v="2012-01-26T00:00:00"/>
    <n v="2"/>
    <d v="2012-02-27T00:00:00"/>
    <n v="1082.8301996019052"/>
    <n v="158.39793281653746"/>
    <n v="122.6"/>
    <n v="17.399999999999999"/>
    <x v="4"/>
    <n v="77.400000000000006"/>
    <x v="0"/>
    <x v="0"/>
    <x v="0"/>
    <x v="0"/>
    <x v="0"/>
    <x v="0"/>
    <x v="0"/>
    <x v="0"/>
  </r>
  <r>
    <n v="238"/>
    <x v="75"/>
    <x v="156"/>
    <n v="100"/>
    <n v="2.5"/>
    <d v="2012-02-21T00:00:00"/>
    <n v="3.4"/>
    <d v="2012-02-29T00:00:00"/>
    <n v="1095.912285299537"/>
    <n v="27.150336574420344"/>
    <n v="72.599999999999994"/>
    <n v="17.399999999999999"/>
    <x v="4"/>
    <n v="267.39999999999998"/>
    <x v="0"/>
    <x v="0"/>
    <x v="0"/>
    <x v="0"/>
    <x v="0"/>
    <x v="0"/>
    <x v="0"/>
    <x v="0"/>
  </r>
  <r>
    <n v="239"/>
    <x v="96"/>
    <x v="157"/>
    <n v="100"/>
    <n v="4.5"/>
    <d v="2012-02-23T00:00:00"/>
    <n v="5"/>
    <d v="2012-02-29T00:00:00"/>
    <n v="410.15461426439037"/>
    <n v="6.9747539580658886"/>
    <n v="32.6"/>
    <n v="17.399999999999999"/>
    <x v="3"/>
    <n v="467.4"/>
    <x v="0"/>
    <x v="0"/>
    <x v="0"/>
    <x v="0"/>
    <x v="0"/>
    <x v="0"/>
    <x v="0"/>
    <x v="0"/>
  </r>
  <r>
    <n v="240"/>
    <x v="89"/>
    <x v="158"/>
    <n v="100"/>
    <n v="7.5"/>
    <d v="2012-02-22T00:00:00"/>
    <n v="9.5"/>
    <d v="2012-03-02T00:00:00"/>
    <n v="865.67377194814537"/>
    <n v="23.794631222309089"/>
    <n v="182.6"/>
    <n v="17.399999999999999"/>
    <x v="4"/>
    <n v="767.4"/>
    <x v="0"/>
    <x v="0"/>
    <x v="0"/>
    <x v="0"/>
    <x v="0"/>
    <x v="0"/>
    <x v="0"/>
    <x v="0"/>
  </r>
  <r>
    <n v="241"/>
    <x v="70"/>
    <x v="159"/>
    <n v="500"/>
    <n v="0.5"/>
    <d v="2012-02-06T00:00:00"/>
    <n v="1"/>
    <d v="2012-03-05T00:00:00"/>
    <n v="786.92979842251816"/>
    <n v="82.882223847842013"/>
    <n v="226.6"/>
    <n v="23.4"/>
    <x v="4"/>
    <n v="273.39999999999998"/>
    <x v="0"/>
    <x v="0"/>
    <x v="0"/>
    <x v="0"/>
    <x v="0"/>
    <x v="0"/>
    <x v="0"/>
    <x v="0"/>
  </r>
  <r>
    <n v="242"/>
    <x v="52"/>
    <x v="160"/>
    <n v="100"/>
    <n v="0.83"/>
    <d v="2012-02-24T00:00:00"/>
    <n v="5.5"/>
    <d v="2012-03-06T00:00:00"/>
    <n v="5643.4178718513094"/>
    <n v="447.80876494023909"/>
    <n v="449.6"/>
    <n v="17.399999999999999"/>
    <x v="4"/>
    <n v="100.4"/>
    <x v="0"/>
    <x v="0"/>
    <x v="0"/>
    <x v="0"/>
    <x v="0"/>
    <x v="0"/>
    <x v="0"/>
    <x v="0"/>
  </r>
  <r>
    <n v="243"/>
    <x v="97"/>
    <x v="161"/>
    <n v="100"/>
    <n v="1.9"/>
    <d v="2011-12-28T00:00:00"/>
    <n v="2.1"/>
    <d v="2012-03-06T00:00:00"/>
    <n v="6.5902257196308103"/>
    <n v="1.253616200578604"/>
    <n v="2.6"/>
    <n v="17.399999999999999"/>
    <x v="4"/>
    <n v="207.4"/>
    <x v="0"/>
    <x v="0"/>
    <x v="0"/>
    <x v="0"/>
    <x v="0"/>
    <x v="0"/>
    <x v="0"/>
    <x v="0"/>
  </r>
  <r>
    <n v="244"/>
    <x v="53"/>
    <x v="162"/>
    <n v="500"/>
    <n v="0.45"/>
    <d v="2011-11-30T00:00:00"/>
    <n v="1.5"/>
    <d v="2012-03-06T00:00:00"/>
    <n v="415.81133258961535"/>
    <n v="201.93236714975845"/>
    <n v="501.6"/>
    <n v="23.4"/>
    <x v="4"/>
    <n v="248.4"/>
    <x v="0"/>
    <x v="0"/>
    <x v="0"/>
    <x v="0"/>
    <x v="0"/>
    <x v="0"/>
    <x v="0"/>
    <x v="0"/>
  </r>
  <r>
    <n v="245"/>
    <x v="41"/>
    <x v="163"/>
    <n v="1000"/>
    <n v="0.3"/>
    <d v="2011-12-01T00:00:00"/>
    <n v="0.55000000000000004"/>
    <d v="2012-03-07T00:00:00"/>
    <n v="191.19304443723388"/>
    <n v="66.213357509821719"/>
    <n v="219.1"/>
    <n v="30.9"/>
    <x v="4"/>
    <n v="330.9"/>
    <x v="0"/>
    <x v="0"/>
    <x v="0"/>
    <x v="0"/>
    <x v="0"/>
    <x v="0"/>
    <x v="0"/>
    <x v="0"/>
  </r>
  <r>
    <n v="246"/>
    <x v="98"/>
    <x v="164"/>
    <n v="100"/>
    <n v="4"/>
    <d v="2012-02-23T00:00:00"/>
    <n v="6.5"/>
    <d v="2012-03-12T00:00:00"/>
    <n v="950.99111417648555"/>
    <n v="55.725922376617142"/>
    <n v="232.6"/>
    <n v="17.399999999999999"/>
    <x v="3"/>
    <n v="417.4"/>
    <x v="0"/>
    <x v="0"/>
    <x v="0"/>
    <x v="0"/>
    <x v="0"/>
    <x v="0"/>
    <x v="0"/>
    <x v="0"/>
  </r>
  <r>
    <n v="247"/>
    <x v="47"/>
    <x v="165"/>
    <n v="200"/>
    <n v="3.95"/>
    <d v="2011-09-28T00:00:00"/>
    <n v="0.01"/>
    <d v="2012-03-12T00:00:00"/>
    <n v="-1325.3492242422249"/>
    <n v="-99.758876363855578"/>
    <n v="-827.45"/>
    <n v="39.450000000000003"/>
    <x v="8"/>
    <n v="829.45"/>
    <x v="0"/>
    <x v="0"/>
    <x v="0"/>
    <x v="0"/>
    <x v="0"/>
    <x v="0"/>
    <x v="0"/>
    <x v="0"/>
  </r>
  <r>
    <n v="248"/>
    <x v="89"/>
    <x v="166"/>
    <n v="100"/>
    <n v="4"/>
    <d v="2012-03-08T00:00:00"/>
    <n v="5.5"/>
    <d v="2012-03-15T00:00:00"/>
    <n v="1678.2291417991146"/>
    <n v="31.768088164829887"/>
    <n v="132.6"/>
    <n v="17.399999999999999"/>
    <x v="4"/>
    <n v="417.4"/>
    <x v="0"/>
    <x v="0"/>
    <x v="0"/>
    <x v="0"/>
    <x v="0"/>
    <x v="0"/>
    <x v="0"/>
    <x v="0"/>
  </r>
  <r>
    <n v="249"/>
    <x v="5"/>
    <x v="167"/>
    <n v="50"/>
    <n v="31.48"/>
    <d v="2009-06-09T00:00:00"/>
    <n v="37.03"/>
    <d v="2012-03-15T00:00:00"/>
    <n v="5.6859720992239078"/>
    <n v="17.03909731660293"/>
    <n v="269.55"/>
    <n v="7.95"/>
    <x v="0"/>
    <n v="1581.95"/>
    <x v="0"/>
    <x v="0"/>
    <x v="0"/>
    <x v="0"/>
    <x v="0"/>
    <x v="0"/>
    <x v="0"/>
    <x v="0"/>
  </r>
  <r>
    <n v="250"/>
    <x v="81"/>
    <x v="146"/>
    <n v="8"/>
    <n v="14"/>
    <d v="2011-11-14T00:00:00"/>
    <n v="18.100000000000001"/>
    <d v="2012-03-15T00:00:00"/>
    <n v="56.7947513165769"/>
    <n v="20.716965402250946"/>
    <n v="24.85"/>
    <n v="7.95"/>
    <x v="0"/>
    <n v="119.95"/>
    <x v="0"/>
    <x v="0"/>
    <x v="0"/>
    <x v="0"/>
    <x v="0"/>
    <x v="0"/>
    <x v="0"/>
    <x v="0"/>
  </r>
  <r>
    <n v="251"/>
    <x v="73"/>
    <x v="168"/>
    <n v="50"/>
    <n v="128.5"/>
    <d v="2011-09-22T00:00:00"/>
    <n v="75"/>
    <d v="2012-03-16T00:00:00"/>
    <n v="-111.92172937352689"/>
    <n v="-41.706371105014028"/>
    <n v="-2682.95"/>
    <n v="7.95"/>
    <x v="0"/>
    <n v="6432.95"/>
    <x v="0"/>
    <x v="0"/>
    <x v="0"/>
    <x v="0"/>
    <x v="0"/>
    <x v="0"/>
    <x v="0"/>
    <x v="0"/>
  </r>
  <r>
    <n v="252"/>
    <x v="73"/>
    <x v="168"/>
    <n v="50"/>
    <n v="77"/>
    <d v="2011-10-25T00:00:00"/>
    <n v="75"/>
    <d v="2012-03-16T00:00:00"/>
    <n v="-7.2438753370742353"/>
    <n v="-2.798118171567809"/>
    <n v="-107.95"/>
    <n v="7.95"/>
    <x v="0"/>
    <n v="3857.95"/>
    <x v="0"/>
    <x v="0"/>
    <x v="0"/>
    <x v="0"/>
    <x v="0"/>
    <x v="0"/>
    <x v="0"/>
    <x v="0"/>
  </r>
  <r>
    <n v="262"/>
    <x v="70"/>
    <x v="169"/>
    <n v="500"/>
    <n v="9.5"/>
    <d v="2011-07-18T00:00:00"/>
    <n v="6"/>
    <d v="2012-03-16T00:00:00"/>
    <n v="-69.561853019519276"/>
    <n v="-36.947635010876539"/>
    <n v="-1757.95"/>
    <n v="7.95"/>
    <x v="0"/>
    <n v="4757.95"/>
    <x v="0"/>
    <x v="0"/>
    <x v="0"/>
    <x v="0"/>
    <x v="0"/>
    <x v="0"/>
    <x v="0"/>
    <x v="0"/>
  </r>
  <r>
    <n v="264"/>
    <x v="70"/>
    <x v="170"/>
    <n v="500"/>
    <n v="0"/>
    <d v="2012-03-14T00:00:00"/>
    <n v="0.5"/>
    <d v="2012-03-16T00:00:00"/>
    <n v="43229.229342849278"/>
    <n v="968.37606837606836"/>
    <n v="226.6"/>
    <n v="23.4"/>
    <x v="4"/>
    <n v="23.4"/>
    <x v="0"/>
    <x v="0"/>
    <x v="0"/>
    <x v="0"/>
    <x v="0"/>
    <x v="0"/>
    <x v="0"/>
    <x v="0"/>
  </r>
  <r>
    <n v="270"/>
    <x v="73"/>
    <x v="171"/>
    <n v="100"/>
    <n v="0.28699999999999998"/>
    <d v="2011-12-08T00:00:00"/>
    <n v="10"/>
    <d v="2012-03-16T00:00:00"/>
    <n v="1064.3515368516989"/>
    <n v="1642.1602787456447"/>
    <n v="942.6"/>
    <n v="28.7"/>
    <x v="5"/>
    <n v="57.4"/>
    <x v="0"/>
    <x v="0"/>
    <x v="0"/>
    <x v="0"/>
    <x v="0"/>
    <x v="0"/>
    <x v="0"/>
    <x v="0"/>
  </r>
  <r>
    <n v="271"/>
    <x v="89"/>
    <x v="172"/>
    <n v="100"/>
    <n v="2"/>
    <d v="2012-03-16T00:00:00"/>
    <n v="7.2"/>
    <d v="2012-03-29T00:00:00"/>
    <n v="3362.2458970991697"/>
    <n v="231.1867525298988"/>
    <n v="502.6"/>
    <n v="17.399999999999999"/>
    <x v="4"/>
    <n v="217.4"/>
    <x v="0"/>
    <x v="0"/>
    <x v="0"/>
    <x v="0"/>
    <x v="0"/>
    <x v="0"/>
    <x v="0"/>
    <x v="0"/>
  </r>
  <r>
    <n v="272"/>
    <x v="53"/>
    <x v="173"/>
    <n v="500"/>
    <n v="0.4"/>
    <d v="2012-03-15T00:00:00"/>
    <n v="1.2"/>
    <d v="2012-04-10T00:00:00"/>
    <n v="1386.9519443541606"/>
    <n v="168.57654431512978"/>
    <n v="376.6"/>
    <n v="23.4"/>
    <x v="4"/>
    <n v="223.4"/>
    <x v="0"/>
    <x v="0"/>
    <x v="0"/>
    <x v="0"/>
    <x v="0"/>
    <x v="0"/>
    <x v="0"/>
    <x v="0"/>
  </r>
  <r>
    <n v="273"/>
    <x v="99"/>
    <x v="174"/>
    <n v="100"/>
    <n v="16.93"/>
    <d v="2011-11-11T00:00:00"/>
    <n v="19"/>
    <d v="2012-04-10T00:00:00"/>
    <n v="26.928962131703535"/>
    <n v="11.702284017754788"/>
    <n v="199.05"/>
    <n v="7.95"/>
    <x v="0"/>
    <n v="1700.95"/>
    <x v="0"/>
    <x v="0"/>
    <x v="0"/>
    <x v="0"/>
    <x v="0"/>
    <x v="0"/>
    <x v="0"/>
    <x v="0"/>
  </r>
  <r>
    <n v="274"/>
    <x v="99"/>
    <x v="175"/>
    <n v="100"/>
    <n v="0.01"/>
    <d v="2012-04-08T00:00:00"/>
    <n v="2.15"/>
    <d v="2012-04-10T00:00:00"/>
    <n v="36125.710427321908"/>
    <n v="623.90572390572402"/>
    <n v="185.3"/>
    <n v="28.7"/>
    <x v="5"/>
    <n v="29.7"/>
    <x v="0"/>
    <x v="0"/>
    <x v="0"/>
    <x v="0"/>
    <x v="0"/>
    <x v="0"/>
    <x v="0"/>
    <x v="0"/>
  </r>
  <r>
    <n v="275"/>
    <x v="13"/>
    <x v="176"/>
    <n v="100"/>
    <n v="27.5"/>
    <d v="2011-12-23T00:00:00"/>
    <n v="0.01"/>
    <d v="2012-04-22T00:00:00"/>
    <n v="-2409.7649284487825"/>
    <n v="-99.963751042157526"/>
    <n v="-2757.7"/>
    <n v="8.6999999999999993"/>
    <x v="9"/>
    <n v="2758.7"/>
    <x v="0"/>
    <x v="0"/>
    <x v="0"/>
    <x v="0"/>
    <x v="0"/>
    <x v="0"/>
    <x v="0"/>
    <x v="0"/>
  </r>
  <r>
    <n v="276"/>
    <x v="89"/>
    <x v="177"/>
    <n v="100"/>
    <n v="0.25"/>
    <d v="2012-04-03T00:00:00"/>
    <n v="3.5"/>
    <d v="2012-04-16T00:00:00"/>
    <n v="5926.4342243817282"/>
    <n v="725.47169811320759"/>
    <n v="307.60000000000002"/>
    <n v="17.399999999999999"/>
    <x v="4"/>
    <n v="42.4"/>
    <x v="0"/>
    <x v="0"/>
    <x v="0"/>
    <x v="0"/>
    <x v="0"/>
    <x v="0"/>
    <x v="0"/>
    <x v="0"/>
  </r>
  <r>
    <n v="277"/>
    <x v="24"/>
    <x v="178"/>
    <n v="100"/>
    <n v="2.5"/>
    <d v="2012-01-03T00:00:00"/>
    <n v="0.5"/>
    <d v="2012-04-20T00:00:00"/>
    <n v="-571.96614076868173"/>
    <n v="-81.301421091997014"/>
    <n v="-217.4"/>
    <n v="17.399999999999999"/>
    <x v="4"/>
    <n v="267.39999999999998"/>
    <x v="0"/>
    <x v="0"/>
    <x v="0"/>
    <x v="0"/>
    <x v="0"/>
    <x v="0"/>
    <x v="0"/>
    <x v="0"/>
  </r>
  <r>
    <n v="278"/>
    <x v="43"/>
    <x v="179"/>
    <n v="2000"/>
    <n v="0.32"/>
    <d v="2012-01-03T00:00:00"/>
    <n v="0.5"/>
    <d v="2012-04-20T00:00:00"/>
    <n v="128.61079774210697"/>
    <n v="45.793847499635525"/>
    <n v="314.10000000000002"/>
    <n v="45.9"/>
    <x v="4"/>
    <n v="685.9"/>
    <x v="0"/>
    <x v="0"/>
    <x v="0"/>
    <x v="0"/>
    <x v="0"/>
    <x v="0"/>
    <x v="0"/>
    <x v="0"/>
  </r>
  <r>
    <n v="279"/>
    <x v="52"/>
    <x v="180"/>
    <n v="100"/>
    <n v="10"/>
    <d v="2012-03-15T00:00:00"/>
    <n v="6.65"/>
    <d v="2012-04-20T00:00:00"/>
    <n v="-431.12440550687728"/>
    <n v="-34.637310792215445"/>
    <n v="-352.4"/>
    <n v="17.399999999999999"/>
    <x v="4"/>
    <n v="1017.4"/>
    <x v="0"/>
    <x v="0"/>
    <x v="0"/>
    <x v="0"/>
    <x v="0"/>
    <x v="0"/>
    <x v="0"/>
    <x v="0"/>
  </r>
  <r>
    <n v="280"/>
    <x v="79"/>
    <x v="181"/>
    <n v="200"/>
    <n v="8.1999999999999993"/>
    <d v="2012-01-11T00:00:00"/>
    <n v="7.5"/>
    <d v="2012-04-20T00:00:00"/>
    <n v="-37.122942184741078"/>
    <n v="-9.5786364458375957"/>
    <n v="-158.9"/>
    <n v="18.899999999999999"/>
    <x v="4"/>
    <n v="1658.9"/>
    <x v="0"/>
    <x v="0"/>
    <x v="0"/>
    <x v="0"/>
    <x v="0"/>
    <x v="0"/>
    <x v="0"/>
    <x v="0"/>
  </r>
  <r>
    <n v="281"/>
    <x v="90"/>
    <x v="182"/>
    <n v="100"/>
    <n v="0.62"/>
    <d v="2012-03-16T00:00:00"/>
    <n v="0.5"/>
    <d v="2012-04-20T00:00:00"/>
    <n v="-482.2957355174417"/>
    <n v="-37.027707808564237"/>
    <n v="-29.4"/>
    <n v="17.399999999999999"/>
    <x v="4"/>
    <n v="79.400000000000006"/>
    <x v="0"/>
    <x v="0"/>
    <x v="0"/>
    <x v="0"/>
    <x v="0"/>
    <x v="0"/>
    <x v="0"/>
    <x v="0"/>
  </r>
  <r>
    <n v="282"/>
    <x v="100"/>
    <x v="183"/>
    <n v="100"/>
    <n v="64.703800000000001"/>
    <d v="2012-01-05T00:00:00"/>
    <n v="50"/>
    <d v="2012-04-22T00:00:00"/>
    <n v="-88.358943703894909"/>
    <n v="-22.81961554906897"/>
    <n v="-1478.33"/>
    <n v="7.95"/>
    <x v="0"/>
    <n v="6478.33"/>
    <x v="0"/>
    <x v="0"/>
    <x v="0"/>
    <x v="0"/>
    <x v="0"/>
    <x v="0"/>
    <x v="0"/>
    <x v="0"/>
  </r>
  <r>
    <n v="283"/>
    <x v="100"/>
    <x v="184"/>
    <n v="100"/>
    <n v="0.01"/>
    <d v="2012-01-17T00:00:00"/>
    <n v="13.5"/>
    <d v="2012-04-22T00:00:00"/>
    <n v="1466.4212435291524"/>
    <n v="4445.454545454546"/>
    <n v="1320.3"/>
    <n v="28.7"/>
    <x v="5"/>
    <n v="29.7"/>
    <x v="0"/>
    <x v="0"/>
    <x v="0"/>
    <x v="0"/>
    <x v="0"/>
    <x v="0"/>
    <x v="0"/>
    <x v="0"/>
  </r>
  <r>
    <n v="284"/>
    <x v="101"/>
    <x v="185"/>
    <n v="100"/>
    <n v="3.25"/>
    <d v="2012-02-23T00:00:00"/>
    <n v="3.9"/>
    <d v="2012-04-23T00:00:00"/>
    <n v="80.527101055048036"/>
    <n v="13.901869158878505"/>
    <n v="47.6"/>
    <n v="17.399999999999999"/>
    <x v="3"/>
    <n v="342.4"/>
    <x v="0"/>
    <x v="0"/>
    <x v="0"/>
    <x v="0"/>
    <x v="0"/>
    <x v="0"/>
    <x v="0"/>
    <x v="0"/>
  </r>
  <r>
    <n v="285"/>
    <x v="72"/>
    <x v="186"/>
    <n v="1000"/>
    <n v="2"/>
    <d v="2011-12-01T00:00:00"/>
    <n v="2.5"/>
    <d v="2012-04-23T00:00:00"/>
    <n v="53.042843266285523"/>
    <n v="23.098133832291108"/>
    <n v="469.1"/>
    <n v="30.9"/>
    <x v="4"/>
    <n v="2030.9"/>
    <x v="0"/>
    <x v="0"/>
    <x v="0"/>
    <x v="0"/>
    <x v="0"/>
    <x v="0"/>
    <x v="0"/>
    <x v="0"/>
  </r>
  <r>
    <n v="286"/>
    <x v="102"/>
    <x v="187"/>
    <n v="500"/>
    <n v="3.4"/>
    <d v="2011-12-23T00:00:00"/>
    <n v="0.01"/>
    <d v="2012-04-22T00:00:00"/>
    <n v="-1775.0571702272032"/>
    <n v="-99.707892738213474"/>
    <n v="-1706.7"/>
    <n v="11.7"/>
    <x v="9"/>
    <n v="1711.7"/>
    <x v="0"/>
    <x v="0"/>
    <x v="0"/>
    <x v="0"/>
    <x v="0"/>
    <x v="0"/>
    <x v="0"/>
    <x v="0"/>
  </r>
  <r>
    <n v="287"/>
    <x v="47"/>
    <x v="152"/>
    <n v="300"/>
    <n v="4.25"/>
    <d v="2011-09-22T00:00:00"/>
    <n v="0.01"/>
    <d v="2012-04-22T00:00:00"/>
    <n v="-1038.4605298494655"/>
    <n v="-99.76657329598504"/>
    <n v="-1282.2"/>
    <n v="10.199999999999999"/>
    <x v="7"/>
    <n v="1285.2"/>
    <x v="0"/>
    <x v="0"/>
    <x v="0"/>
    <x v="0"/>
    <x v="0"/>
    <x v="0"/>
    <x v="0"/>
    <x v="0"/>
  </r>
  <r>
    <n v="288"/>
    <x v="75"/>
    <x v="188"/>
    <n v="100"/>
    <n v="2"/>
    <d v="2012-04-17T00:00:00"/>
    <n v="5"/>
    <d v="2012-04-30T00:00:00"/>
    <n v="2338.4402320254239"/>
    <n v="129.99080036798529"/>
    <n v="282.60000000000002"/>
    <n v="17.399999999999999"/>
    <x v="4"/>
    <n v="217.4"/>
    <x v="0"/>
    <x v="0"/>
    <x v="0"/>
    <x v="0"/>
    <x v="0"/>
    <x v="0"/>
    <x v="0"/>
    <x v="0"/>
  </r>
  <r>
    <n v="289"/>
    <x v="27"/>
    <x v="153"/>
    <n v="1"/>
    <n v="8.1367999999999991"/>
    <d v="2010-01-12T00:00:00"/>
    <n v="7.49"/>
    <d v="2012-05-01T00:00:00"/>
    <n v="-33.255905336956964"/>
    <n v="-53.440087525175919"/>
    <n v="-8.5968"/>
    <n v="7.95"/>
    <x v="0"/>
    <n v="16.0868"/>
    <x v="0"/>
    <x v="0"/>
    <x v="0"/>
    <x v="0"/>
    <x v="0"/>
    <x v="0"/>
    <x v="0"/>
    <x v="0"/>
  </r>
  <r>
    <n v="290"/>
    <x v="103"/>
    <x v="189"/>
    <n v="100"/>
    <n v="2.75"/>
    <d v="2012-04-17T00:00:00"/>
    <n v="3.5"/>
    <d v="2012-05-03T00:00:00"/>
    <n v="410.1925356991257"/>
    <n v="19.699042407660741"/>
    <n v="57.6"/>
    <n v="17.399999999999999"/>
    <x v="3"/>
    <n v="292.39999999999998"/>
    <x v="0"/>
    <x v="0"/>
    <x v="0"/>
    <x v="0"/>
    <x v="0"/>
    <x v="0"/>
    <x v="0"/>
    <x v="0"/>
  </r>
  <r>
    <n v="291"/>
    <x v="89"/>
    <x v="190"/>
    <n v="100"/>
    <n v="3"/>
    <d v="2012-04-18T00:00:00"/>
    <n v="5"/>
    <d v="2012-05-04T00:00:00"/>
    <n v="1036.7033185650455"/>
    <n v="57.529930686830497"/>
    <n v="182.6"/>
    <n v="17.399999999999999"/>
    <x v="4"/>
    <n v="317.39999999999998"/>
    <x v="0"/>
    <x v="0"/>
    <x v="0"/>
    <x v="0"/>
    <x v="0"/>
    <x v="0"/>
    <x v="0"/>
    <x v="0"/>
  </r>
  <r>
    <n v="292"/>
    <x v="104"/>
    <x v="191"/>
    <n v="100"/>
    <n v="2"/>
    <d v="2012-04-30T00:00:00"/>
    <n v="3"/>
    <d v="2012-05-04T00:00:00"/>
    <n v="2938.6469372179649"/>
    <n v="37.994480220791175"/>
    <n v="82.6"/>
    <n v="17.399999999999999"/>
    <x v="4"/>
    <n v="217.4"/>
    <x v="0"/>
    <x v="0"/>
    <x v="0"/>
    <x v="0"/>
    <x v="0"/>
    <x v="0"/>
    <x v="0"/>
    <x v="0"/>
  </r>
  <r>
    <n v="293"/>
    <x v="3"/>
    <x v="192"/>
    <n v="100"/>
    <n v="0.1"/>
    <d v="2012-03-15T00:00:00"/>
    <n v="1.1000000000000001"/>
    <d v="2012-05-04T00:00:00"/>
    <n v="1014.6542672508258"/>
    <n v="301.45985401459853"/>
    <n v="82.6"/>
    <n v="17.399999999999999"/>
    <x v="4"/>
    <n v="27.4"/>
    <x v="0"/>
    <x v="0"/>
    <x v="0"/>
    <x v="0"/>
    <x v="0"/>
    <x v="0"/>
    <x v="0"/>
    <x v="0"/>
  </r>
  <r>
    <n v="294"/>
    <x v="79"/>
    <x v="193"/>
    <n v="200"/>
    <n v="0.9"/>
    <d v="2012-04-25T00:00:00"/>
    <n v="3"/>
    <d v="2012-05-04T00:00:00"/>
    <n v="4477.8502923891137"/>
    <n v="201.65912518853696"/>
    <n v="401.1"/>
    <n v="18.899999999999999"/>
    <x v="4"/>
    <n v="198.9"/>
    <x v="0"/>
    <x v="0"/>
    <x v="0"/>
    <x v="0"/>
    <x v="0"/>
    <x v="0"/>
    <x v="0"/>
    <x v="0"/>
  </r>
  <r>
    <n v="295"/>
    <x v="100"/>
    <x v="183"/>
    <n v="1"/>
    <n v="64.703800000000001"/>
    <d v="2012-01-05T00:00:00"/>
    <n v="81.510000000000005"/>
    <d v="2012-05-04T00:00:00"/>
    <n v="35.279249182689782"/>
    <n v="12.189589532825538"/>
    <n v="8.8561999999999994"/>
    <n v="7.95"/>
    <x v="0"/>
    <n v="72.653800000000004"/>
    <x v="0"/>
    <x v="0"/>
    <x v="0"/>
    <x v="0"/>
    <x v="0"/>
    <x v="0"/>
    <x v="0"/>
    <x v="0"/>
  </r>
  <r>
    <n v="296"/>
    <x v="105"/>
    <x v="194"/>
    <n v="100"/>
    <n v="3.8"/>
    <d v="2012-04-27T00:00:00"/>
    <n v="7"/>
    <d v="2012-05-07T00:00:00"/>
    <n v="2066.4000679787619"/>
    <n v="76.144942123804739"/>
    <n v="302.60000000000002"/>
    <n v="17.399999999999999"/>
    <x v="4"/>
    <n v="397.4"/>
    <x v="0"/>
    <x v="0"/>
    <x v="0"/>
    <x v="0"/>
    <x v="0"/>
    <x v="0"/>
    <x v="0"/>
    <x v="0"/>
  </r>
  <r>
    <n v="297"/>
    <x v="61"/>
    <x v="195"/>
    <n v="1500"/>
    <n v="0.5"/>
    <d v="2012-04-20T00:00:00"/>
    <n v="1"/>
    <d v="2012-05-14T00:00:00"/>
    <n v="978.22252629701597"/>
    <n v="90.25875190258752"/>
    <n v="711.6"/>
    <n v="38.4"/>
    <x v="4"/>
    <n v="788.4"/>
    <x v="0"/>
    <x v="0"/>
    <x v="0"/>
    <x v="0"/>
    <x v="0"/>
    <x v="0"/>
    <x v="0"/>
    <x v="0"/>
  </r>
  <r>
    <n v="298"/>
    <x v="8"/>
    <x v="196"/>
    <n v="100"/>
    <n v="3.2"/>
    <d v="2012-01-27T00:00:00"/>
    <n v="6.1"/>
    <d v="2012-05-15T00:00:00"/>
    <n v="200.13821506967912"/>
    <n v="80.794309425014802"/>
    <n v="272.60000000000002"/>
    <n v="17.399999999999999"/>
    <x v="4"/>
    <n v="337.4"/>
    <x v="0"/>
    <x v="0"/>
    <x v="0"/>
    <x v="0"/>
    <x v="0"/>
    <x v="0"/>
    <x v="0"/>
    <x v="0"/>
  </r>
  <r>
    <n v="299"/>
    <x v="32"/>
    <x v="197"/>
    <n v="400"/>
    <n v="1.1499999999999999"/>
    <d v="2012-01-03T00:00:00"/>
    <n v="2"/>
    <d v="2012-05-18T00:00:00"/>
    <n v="137.0440096058509"/>
    <n v="66.00954554886907"/>
    <n v="318.10000000000002"/>
    <n v="21.9"/>
    <x v="4"/>
    <n v="481.9"/>
    <x v="0"/>
    <x v="0"/>
    <x v="0"/>
    <x v="0"/>
    <x v="0"/>
    <x v="0"/>
    <x v="0"/>
    <x v="0"/>
  </r>
  <r>
    <n v="300"/>
    <x v="76"/>
    <x v="198"/>
    <n v="200"/>
    <n v="0.1"/>
    <d v="2012-01-23T00:00:00"/>
    <n v="1.3"/>
    <d v="2012-05-18T00:00:00"/>
    <n v="602.94425551544464"/>
    <n v="568.3804627249358"/>
    <n v="221.1"/>
    <n v="18.899999999999999"/>
    <x v="4"/>
    <n v="38.9"/>
    <x v="0"/>
    <x v="0"/>
    <x v="0"/>
    <x v="0"/>
    <x v="0"/>
    <x v="0"/>
    <x v="0"/>
    <x v="0"/>
  </r>
  <r>
    <n v="301"/>
    <x v="71"/>
    <x v="199"/>
    <n v="100"/>
    <n v="0"/>
    <d v="2012-04-17T00:00:00"/>
    <n v="0.5"/>
    <d v="2012-05-20T00:00:00"/>
    <n v="1934.1681594399304"/>
    <n v="474.71264367816099"/>
    <n v="41.3"/>
    <n v="8.6999999999999993"/>
    <x v="2"/>
    <n v="8.6999999999999993"/>
    <x v="0"/>
    <x v="0"/>
    <x v="0"/>
    <x v="0"/>
    <x v="0"/>
    <x v="0"/>
    <x v="0"/>
    <x v="0"/>
  </r>
  <r>
    <n v="302"/>
    <x v="71"/>
    <x v="199"/>
    <n v="100"/>
    <n v="0"/>
    <d v="2012-01-25T00:00:00"/>
    <n v="1.3"/>
    <d v="2012-05-20T00:00:00"/>
    <n v="858.29319134799232"/>
    <n v="1394.2528735632186"/>
    <n v="121.3"/>
    <n v="8.6999999999999993"/>
    <x v="2"/>
    <n v="8.6999999999999993"/>
    <x v="0"/>
    <x v="0"/>
    <x v="0"/>
    <x v="0"/>
    <x v="0"/>
    <x v="0"/>
    <x v="0"/>
    <x v="0"/>
  </r>
  <r>
    <n v="303"/>
    <x v="36"/>
    <x v="200"/>
    <n v="100"/>
    <n v="23"/>
    <d v="2012-01-25T00:00:00"/>
    <n v="24.3"/>
    <d v="2012-06-01T00:00:00"/>
    <n v="13.635879737516367"/>
    <n v="4.8588935876413277"/>
    <n v="112.6"/>
    <n v="17.399999999999999"/>
    <x v="3"/>
    <n v="2317.4"/>
    <x v="0"/>
    <x v="0"/>
    <x v="0"/>
    <x v="0"/>
    <x v="0"/>
    <x v="0"/>
    <x v="0"/>
    <x v="0"/>
  </r>
  <r>
    <n v="304"/>
    <x v="89"/>
    <x v="201"/>
    <n v="100"/>
    <n v="1"/>
    <d v="2012-05-22T00:00:00"/>
    <n v="4.5"/>
    <d v="2012-06-01T00:00:00"/>
    <n v="4904.3614651018488"/>
    <n v="283.30494037478707"/>
    <n v="332.6"/>
    <n v="17.399999999999999"/>
    <x v="4"/>
    <n v="117.4"/>
    <x v="0"/>
    <x v="0"/>
    <x v="0"/>
    <x v="0"/>
    <x v="0"/>
    <x v="0"/>
    <x v="0"/>
    <x v="0"/>
  </r>
  <r>
    <n v="305"/>
    <x v="3"/>
    <x v="202"/>
    <n v="100"/>
    <n v="0.5"/>
    <d v="2012-05-17T00:00:00"/>
    <n v="1.7"/>
    <d v="2012-06-11T00:00:00"/>
    <n v="1350.7239919327208"/>
    <n v="152.22551928783386"/>
    <n v="102.6"/>
    <n v="17.399999999999999"/>
    <x v="4"/>
    <n v="67.400000000000006"/>
    <x v="0"/>
    <x v="0"/>
    <x v="0"/>
    <x v="0"/>
    <x v="0"/>
    <x v="0"/>
    <x v="0"/>
    <x v="0"/>
  </r>
  <r>
    <n v="306"/>
    <x v="41"/>
    <x v="203"/>
    <n v="1000"/>
    <n v="0.4"/>
    <d v="2012-03-19T00:00:00"/>
    <n v="0.75"/>
    <d v="2012-06-14T00:00:00"/>
    <n v="232.5080047087653"/>
    <n v="74.054304943142256"/>
    <n v="319.10000000000002"/>
    <n v="30.9"/>
    <x v="4"/>
    <n v="430.9"/>
    <x v="0"/>
    <x v="0"/>
    <x v="0"/>
    <x v="0"/>
    <x v="0"/>
    <x v="0"/>
    <x v="0"/>
    <x v="0"/>
  </r>
  <r>
    <n v="307"/>
    <x v="52"/>
    <x v="204"/>
    <n v="100"/>
    <n v="0"/>
    <d v="2012-04-25T00:00:00"/>
    <n v="5"/>
    <d v="2012-06-15T00:00:00"/>
    <n v="2899.4491207019678"/>
    <n v="5647.1264367816093"/>
    <n v="491.3"/>
    <n v="8.6999999999999993"/>
    <x v="2"/>
    <n v="8.6999999999999993"/>
    <x v="0"/>
    <x v="0"/>
    <x v="0"/>
    <x v="0"/>
    <x v="0"/>
    <x v="0"/>
    <x v="0"/>
    <x v="0"/>
  </r>
  <r>
    <n v="308"/>
    <x v="97"/>
    <x v="205"/>
    <n v="100"/>
    <n v="12.44"/>
    <d v="2011-11-25T00:00:00"/>
    <n v="10"/>
    <d v="2012-06-15T00:00:00"/>
    <n v="-40.602154732200042"/>
    <n v="-20.12460561524022"/>
    <n v="-251.95"/>
    <n v="7.95"/>
    <x v="0"/>
    <n v="1251.95"/>
    <x v="0"/>
    <x v="0"/>
    <x v="0"/>
    <x v="0"/>
    <x v="0"/>
    <x v="0"/>
    <x v="0"/>
    <x v="0"/>
  </r>
  <r>
    <n v="309"/>
    <x v="106"/>
    <x v="206"/>
    <n v="200"/>
    <n v="22"/>
    <d v="2012-05-17T00:00:00"/>
    <n v="21"/>
    <d v="2012-06-15T00:00:00"/>
    <n v="-60.823100937078536"/>
    <n v="-4.7176124956045395"/>
    <n v="-207.95"/>
    <n v="7.95"/>
    <x v="0"/>
    <n v="4407.95"/>
    <x v="0"/>
    <x v="0"/>
    <x v="0"/>
    <x v="0"/>
    <x v="0"/>
    <x v="0"/>
    <x v="0"/>
    <x v="0"/>
  </r>
  <r>
    <n v="310"/>
    <x v="58"/>
    <x v="56"/>
    <n v="1"/>
    <n v="12.5"/>
    <d v="2011-10-31T00:00:00"/>
    <n v="10.97"/>
    <d v="2012-06-15T00:00:00"/>
    <n v="-99.705610523513243"/>
    <n v="-46.356968215158922"/>
    <n v="-9.48"/>
    <n v="7.95"/>
    <x v="0"/>
    <n v="20.45"/>
    <x v="0"/>
    <x v="0"/>
    <x v="0"/>
    <x v="0"/>
    <x v="0"/>
    <x v="0"/>
    <x v="0"/>
    <x v="0"/>
  </r>
  <r>
    <n v="311"/>
    <x v="97"/>
    <x v="207"/>
    <n v="100"/>
    <n v="0"/>
    <d v="2012-03-14T00:00:00"/>
    <n v="2.5"/>
    <d v="2012-06-15T00:00:00"/>
    <n v="849.5331023766505"/>
    <n v="771.08013937282237"/>
    <n v="221.3"/>
    <n v="28.7"/>
    <x v="5"/>
    <n v="28.7"/>
    <x v="0"/>
    <x v="0"/>
    <x v="0"/>
    <x v="0"/>
    <x v="0"/>
    <x v="0"/>
    <x v="0"/>
    <x v="0"/>
  </r>
  <r>
    <n v="312"/>
    <x v="50"/>
    <x v="208"/>
    <n v="100"/>
    <n v="0"/>
    <d v="2012-05-17T00:00:00"/>
    <n v="2"/>
    <d v="2012-06-15T00:00:00"/>
    <n v="3945.7687393928863"/>
    <n v="2198.8505747126442"/>
    <n v="191.3"/>
    <n v="8.6999999999999993"/>
    <x v="2"/>
    <n v="8.6999999999999993"/>
    <x v="0"/>
    <x v="0"/>
    <x v="0"/>
    <x v="0"/>
    <x v="0"/>
    <x v="0"/>
    <x v="0"/>
    <x v="0"/>
  </r>
  <r>
    <n v="313"/>
    <x v="106"/>
    <x v="209"/>
    <n v="200"/>
    <n v="0"/>
    <d v="2012-05-29T00:00:00"/>
    <n v="3.5"/>
    <d v="2012-06-15T00:00:00"/>
    <n v="6802.7120300307079"/>
    <n v="2276.9100169779285"/>
    <n v="670.55"/>
    <n v="29.45"/>
    <x v="5"/>
    <n v="29.45"/>
    <x v="0"/>
    <x v="0"/>
    <x v="0"/>
    <x v="0"/>
    <x v="0"/>
    <x v="0"/>
    <x v="0"/>
    <x v="0"/>
  </r>
  <r>
    <n v="314"/>
    <x v="107"/>
    <x v="210"/>
    <n v="500"/>
    <n v="0.05"/>
    <d v="2012-01-03T00:00:00"/>
    <n v="0.65"/>
    <d v="2012-06-22T00:00:00"/>
    <n v="408.86985855388838"/>
    <n v="571.48760330578511"/>
    <n v="276.60000000000002"/>
    <n v="23.4"/>
    <x v="4"/>
    <n v="48.4"/>
    <x v="0"/>
    <x v="0"/>
    <x v="0"/>
    <x v="0"/>
    <x v="0"/>
    <x v="0"/>
    <x v="0"/>
    <x v="0"/>
  </r>
  <r>
    <n v="315"/>
    <x v="90"/>
    <x v="211"/>
    <n v="100"/>
    <n v="2"/>
    <d v="2012-06-19T00:00:00"/>
    <n v="2.2000000000000002"/>
    <d v="2012-06-25T00:00:00"/>
    <n v="72.322144296952743"/>
    <n v="1.1959521619135347"/>
    <n v="2.6"/>
    <n v="17.399999999999999"/>
    <x v="4"/>
    <n v="217.4"/>
    <x v="0"/>
    <x v="0"/>
    <x v="0"/>
    <x v="0"/>
    <x v="0"/>
    <x v="0"/>
    <x v="0"/>
    <x v="0"/>
  </r>
  <r>
    <n v="316"/>
    <x v="71"/>
    <x v="212"/>
    <n v="200"/>
    <n v="0"/>
    <d v="2012-06-18T00:00:00"/>
    <n v="0.6"/>
    <d v="2012-06-28T00:00:00"/>
    <n v="5127.5120892982441"/>
    <n v="307.47028862478777"/>
    <n v="90.55"/>
    <n v="29.45"/>
    <x v="5"/>
    <n v="29.45"/>
    <x v="0"/>
    <x v="0"/>
    <x v="0"/>
    <x v="0"/>
    <x v="0"/>
    <x v="0"/>
    <x v="0"/>
    <x v="0"/>
  </r>
  <r>
    <n v="317"/>
    <x v="75"/>
    <x v="213"/>
    <n v="100"/>
    <n v="1"/>
    <d v="2012-06-13T00:00:00"/>
    <n v="5"/>
    <d v="2012-06-27T00:00:00"/>
    <n v="3777.8052480377969"/>
    <n v="325.89437819420789"/>
    <n v="382.6"/>
    <n v="17.399999999999999"/>
    <x v="4"/>
    <n v="117.4"/>
    <x v="0"/>
    <x v="0"/>
    <x v="0"/>
    <x v="0"/>
    <x v="0"/>
    <x v="0"/>
    <x v="0"/>
    <x v="0"/>
  </r>
  <r>
    <n v="318"/>
    <x v="105"/>
    <x v="214"/>
    <n v="100"/>
    <n v="0.75"/>
    <d v="2012-06-01T00:00:00"/>
    <n v="4.5999999999999996"/>
    <d v="2012-06-28T00:00:00"/>
    <n v="2169.8567461294756"/>
    <n v="397.83549783549785"/>
    <n v="367.6"/>
    <n v="17.399999999999999"/>
    <x v="4"/>
    <n v="92.4"/>
    <x v="0"/>
    <x v="0"/>
    <x v="0"/>
    <x v="0"/>
    <x v="0"/>
    <x v="0"/>
    <x v="0"/>
    <x v="0"/>
  </r>
  <r>
    <n v="319"/>
    <x v="71"/>
    <x v="117"/>
    <n v="11"/>
    <n v="12.535500000000001"/>
    <d v="2011-09-18T00:00:00"/>
    <n v="9"/>
    <d v="2012-06-28T00:00:00"/>
    <n v="-49.788275934962748"/>
    <n v="-32.117621648307569"/>
    <n v="-46.840499999999999"/>
    <n v="7.95"/>
    <x v="0"/>
    <n v="145.84049999999999"/>
    <x v="0"/>
    <x v="0"/>
    <x v="0"/>
    <x v="0"/>
    <x v="0"/>
    <x v="0"/>
    <x v="0"/>
    <x v="0"/>
  </r>
  <r>
    <n v="320"/>
    <x v="71"/>
    <x v="117"/>
    <n v="96"/>
    <n v="11.25"/>
    <d v="2012-04-10T00:00:00"/>
    <n v="9"/>
    <d v="2012-06-28T00:00:00"/>
    <n v="-106.48653305166904"/>
    <n v="-20.584585688680541"/>
    <n v="-223.95"/>
    <n v="7.95"/>
    <x v="0"/>
    <n v="1087.95"/>
    <x v="0"/>
    <x v="0"/>
    <x v="0"/>
    <x v="0"/>
    <x v="0"/>
    <x v="0"/>
    <x v="0"/>
    <x v="0"/>
  </r>
  <r>
    <n v="321"/>
    <x v="71"/>
    <x v="117"/>
    <n v="94"/>
    <n v="10"/>
    <d v="2012-01-05T00:00:00"/>
    <n v="9"/>
    <d v="2012-06-28T00:00:00"/>
    <n v="-23.868146841532059"/>
    <n v="-10.754786644865238"/>
    <n v="-101.95"/>
    <n v="7.95"/>
    <x v="0"/>
    <n v="947.95"/>
    <x v="0"/>
    <x v="0"/>
    <x v="0"/>
    <x v="0"/>
    <x v="0"/>
    <x v="0"/>
    <x v="0"/>
    <x v="0"/>
  </r>
  <r>
    <n v="322"/>
    <x v="108"/>
    <x v="215"/>
    <n v="200"/>
    <n v="4.3"/>
    <d v="2012-06-07T00:00:00"/>
    <n v="2.5"/>
    <d v="2012-06-29T00:00:00"/>
    <n v="-935.83184049622184"/>
    <n v="-43.110706565024458"/>
    <n v="-378.9"/>
    <n v="18.899999999999999"/>
    <x v="4"/>
    <n v="878.9"/>
    <x v="0"/>
    <x v="0"/>
    <x v="0"/>
    <x v="0"/>
    <x v="0"/>
    <x v="0"/>
    <x v="0"/>
    <x v="0"/>
  </r>
  <r>
    <n v="323"/>
    <x v="72"/>
    <x v="216"/>
    <n v="1000"/>
    <n v="7.25"/>
    <d v="2011-04-12T00:00:00"/>
    <n v="3"/>
    <d v="2012-07-02T00:00:00"/>
    <n v="-72.141403326477487"/>
    <n v="-58.666014508228912"/>
    <n v="-4257.95"/>
    <n v="7.95"/>
    <x v="0"/>
    <n v="7257.95"/>
    <x v="0"/>
    <x v="0"/>
    <x v="0"/>
    <x v="0"/>
    <x v="0"/>
    <x v="0"/>
    <x v="0"/>
    <x v="0"/>
  </r>
  <r>
    <n v="324"/>
    <x v="72"/>
    <x v="217"/>
    <n v="1000"/>
    <n v="0"/>
    <d v="2012-06-07T00:00:00"/>
    <n v="1.25"/>
    <d v="2012-07-02T00:00:00"/>
    <n v="5201.6523428845876"/>
    <n v="3426.0930888575463"/>
    <n v="1214.55"/>
    <n v="35.450000000000003"/>
    <x v="5"/>
    <n v="35.450000000000003"/>
    <x v="0"/>
    <x v="0"/>
    <x v="0"/>
    <x v="0"/>
    <x v="0"/>
    <x v="0"/>
    <x v="0"/>
    <x v="0"/>
  </r>
  <r>
    <n v="325"/>
    <x v="3"/>
    <x v="218"/>
    <n v="100"/>
    <n v="0.2"/>
    <d v="2012-06-18T00:00:00"/>
    <n v="2.35"/>
    <d v="2012-07-02T00:00:00"/>
    <n v="4791.7064682081473"/>
    <n v="528.34224598930484"/>
    <n v="197.6"/>
    <n v="17.399999999999999"/>
    <x v="4"/>
    <n v="37.4"/>
    <x v="0"/>
    <x v="0"/>
    <x v="0"/>
    <x v="0"/>
    <x v="0"/>
    <x v="0"/>
    <x v="0"/>
    <x v="0"/>
  </r>
  <r>
    <n v="326"/>
    <x v="50"/>
    <x v="219"/>
    <n v="100"/>
    <n v="1"/>
    <d v="2012-06-26T00:00:00"/>
    <n v="3"/>
    <d v="2012-07-02T00:00:00"/>
    <n v="5707.3563675117484"/>
    <n v="155.53662691652471"/>
    <n v="182.6"/>
    <n v="17.399999999999999"/>
    <x v="4"/>
    <n v="117.4"/>
    <x v="0"/>
    <x v="0"/>
    <x v="0"/>
    <x v="0"/>
    <x v="0"/>
    <x v="0"/>
    <x v="0"/>
    <x v="0"/>
  </r>
  <r>
    <n v="327"/>
    <x v="109"/>
    <x v="220"/>
    <n v="1110"/>
    <n v="9.01"/>
    <d v="2011-03-16T00:00:00"/>
    <n v="8.3699999999999992"/>
    <d v="2012-07-03T00:00:00"/>
    <n v="-5.6618175365020758"/>
    <n v="-7.1032186459489521"/>
    <n v="-710.4"/>
    <n v="0"/>
    <x v="6"/>
    <n v="10001.1"/>
    <x v="0"/>
    <x v="0"/>
    <x v="0"/>
    <x v="0"/>
    <x v="0"/>
    <x v="0"/>
    <x v="0"/>
    <x v="0"/>
  </r>
  <r>
    <n v="328"/>
    <x v="43"/>
    <x v="221"/>
    <n v="700"/>
    <n v="2.5"/>
    <d v="2011-03-30T00:00:00"/>
    <n v="1"/>
    <d v="2012-07-05T00:00:00"/>
    <n v="-72.591901729177962"/>
    <n v="-60.180892516852012"/>
    <n v="-1057.95"/>
    <n v="7.95"/>
    <x v="0"/>
    <n v="1757.95"/>
    <x v="0"/>
    <x v="0"/>
    <x v="0"/>
    <x v="0"/>
    <x v="0"/>
    <x v="0"/>
    <x v="0"/>
    <x v="0"/>
  </r>
  <r>
    <n v="329"/>
    <x v="43"/>
    <x v="222"/>
    <n v="700"/>
    <n v="0"/>
    <d v="2012-04-30T00:00:00"/>
    <n v="0.4"/>
    <d v="2012-07-05T00:00:00"/>
    <n v="1305.9399112896929"/>
    <n v="960.60606060606085"/>
    <n v="253.6"/>
    <n v="26.4"/>
    <x v="4"/>
    <n v="26.4"/>
    <x v="0"/>
    <x v="0"/>
    <x v="0"/>
    <x v="0"/>
    <x v="0"/>
    <x v="0"/>
    <x v="0"/>
    <x v="0"/>
  </r>
  <r>
    <n v="330"/>
    <x v="110"/>
    <x v="223"/>
    <n v="200"/>
    <n v="1.7"/>
    <d v="2012-05-02T00:00:00"/>
    <n v="3.6"/>
    <d v="2012-07-06T00:00:00"/>
    <n v="390.94724008867217"/>
    <n v="100.61298411813875"/>
    <n v="361.1"/>
    <n v="18.899999999999999"/>
    <x v="1"/>
    <n v="358.9"/>
    <x v="0"/>
    <x v="0"/>
    <x v="0"/>
    <x v="0"/>
    <x v="0"/>
    <x v="0"/>
    <x v="0"/>
    <x v="0"/>
  </r>
  <r>
    <n v="331"/>
    <x v="79"/>
    <x v="224"/>
    <n v="200"/>
    <n v="2"/>
    <d v="2012-06-11T00:00:00"/>
    <n v="2.5"/>
    <d v="2012-07-06T00:00:00"/>
    <n v="258.38477088503561"/>
    <n v="19.360229171640007"/>
    <n v="81.099999999999994"/>
    <n v="18.899999999999999"/>
    <x v="4"/>
    <n v="418.9"/>
    <x v="0"/>
    <x v="0"/>
    <x v="0"/>
    <x v="0"/>
    <x v="0"/>
    <x v="0"/>
    <x v="0"/>
    <x v="0"/>
  </r>
  <r>
    <n v="332"/>
    <x v="30"/>
    <x v="225"/>
    <n v="900"/>
    <n v="0.65"/>
    <d v="2012-05-10T00:00:00"/>
    <n v="1"/>
    <d v="2012-07-12T00:00:00"/>
    <n v="221.17179721295184"/>
    <n v="46.484375"/>
    <n v="285.60000000000002"/>
    <n v="29.4"/>
    <x v="4"/>
    <n v="614.4"/>
    <x v="0"/>
    <x v="0"/>
    <x v="0"/>
    <x v="0"/>
    <x v="0"/>
    <x v="0"/>
    <x v="0"/>
    <x v="0"/>
  </r>
  <r>
    <n v="333"/>
    <x v="43"/>
    <x v="221"/>
    <n v="1300"/>
    <n v="2.5"/>
    <d v="2011-03-30T00:00:00"/>
    <n v="1"/>
    <d v="2012-07-13T00:00:00"/>
    <n v="-71.197000646700047"/>
    <n v="-60.097607391150881"/>
    <n v="-1957.95"/>
    <n v="7.95"/>
    <x v="0"/>
    <n v="3257.95"/>
    <x v="0"/>
    <x v="0"/>
    <x v="0"/>
    <x v="0"/>
    <x v="0"/>
    <x v="0"/>
    <x v="0"/>
    <x v="0"/>
  </r>
  <r>
    <n v="334"/>
    <x v="111"/>
    <x v="226"/>
    <n v="200"/>
    <n v="26"/>
    <d v="2012-05-30T00:00:00"/>
    <n v="25"/>
    <d v="2012-07-13T00:00:00"/>
    <n v="-33.802643207385081"/>
    <n v="-3.992933879933569"/>
    <n v="-207.95"/>
    <n v="7.95"/>
    <x v="0"/>
    <n v="5207.95"/>
    <x v="0"/>
    <x v="0"/>
    <x v="0"/>
    <x v="0"/>
    <x v="0"/>
    <x v="0"/>
    <x v="0"/>
    <x v="0"/>
  </r>
  <r>
    <n v="335"/>
    <x v="43"/>
    <x v="222"/>
    <n v="1300"/>
    <n v="0"/>
    <d v="2012-04-30T00:00:00"/>
    <n v="0.4"/>
    <d v="2012-07-13T00:00:00"/>
    <n v="1325.4022998297928"/>
    <n v="1368.9265536723169"/>
    <n v="484.6"/>
    <n v="35.4"/>
    <x v="4"/>
    <n v="35.4"/>
    <x v="0"/>
    <x v="0"/>
    <x v="0"/>
    <x v="0"/>
    <x v="0"/>
    <x v="0"/>
    <x v="0"/>
    <x v="0"/>
  </r>
  <r>
    <n v="336"/>
    <x v="111"/>
    <x v="227"/>
    <n v="200"/>
    <n v="0"/>
    <d v="2012-06-08T00:00:00"/>
    <n v="1.6"/>
    <d v="2012-07-13T00:00:00"/>
    <n v="2487.8682465117272"/>
    <n v="986.58743633276765"/>
    <n v="290.55"/>
    <n v="29.45"/>
    <x v="5"/>
    <n v="29.45"/>
    <x v="0"/>
    <x v="0"/>
    <x v="0"/>
    <x v="0"/>
    <x v="0"/>
    <x v="0"/>
    <x v="0"/>
    <x v="0"/>
  </r>
  <r>
    <n v="337"/>
    <x v="52"/>
    <x v="228"/>
    <n v="100"/>
    <n v="2"/>
    <d v="2012-06-27T00:00:00"/>
    <n v="7.5"/>
    <d v="2012-07-16T00:00:00"/>
    <n v="2378.9052348567639"/>
    <n v="244.98620055197793"/>
    <n v="532.6"/>
    <n v="17.399999999999999"/>
    <x v="4"/>
    <n v="217.4"/>
    <x v="0"/>
    <x v="0"/>
    <x v="0"/>
    <x v="0"/>
    <x v="0"/>
    <x v="0"/>
    <x v="0"/>
    <x v="0"/>
  </r>
  <r>
    <n v="338"/>
    <x v="76"/>
    <x v="229"/>
    <n v="200"/>
    <n v="0.5"/>
    <d v="2012-05-29T00:00:00"/>
    <n v="1.1499999999999999"/>
    <d v="2012-07-17T00:00:00"/>
    <n v="491.48107021970941"/>
    <n v="93.439865433137086"/>
    <n v="111.1"/>
    <n v="18.899999999999999"/>
    <x v="4"/>
    <n v="118.9"/>
    <x v="0"/>
    <x v="0"/>
    <x v="0"/>
    <x v="0"/>
    <x v="0"/>
    <x v="0"/>
    <x v="0"/>
    <x v="0"/>
  </r>
  <r>
    <n v="339"/>
    <x v="104"/>
    <x v="230"/>
    <n v="100"/>
    <n v="7"/>
    <d v="2012-06-06T00:00:00"/>
    <n v="4.5"/>
    <d v="2012-07-16T00:00:00"/>
    <n v="-425.57720887960784"/>
    <n v="-37.273487594089772"/>
    <n v="-267.39999999999998"/>
    <n v="17.399999999999999"/>
    <x v="4"/>
    <n v="717.4"/>
    <x v="0"/>
    <x v="0"/>
    <x v="0"/>
    <x v="0"/>
    <x v="0"/>
    <x v="0"/>
    <x v="0"/>
    <x v="0"/>
  </r>
  <r>
    <n v="340"/>
    <x v="112"/>
    <x v="231"/>
    <n v="200"/>
    <n v="1.65"/>
    <d v="2012-07-12T00:00:00"/>
    <n v="2.5"/>
    <d v="2012-07-17T00:00:00"/>
    <n v="2626.7060766750828"/>
    <n v="43.307537976497571"/>
    <n v="151.1"/>
    <n v="18.899999999999999"/>
    <x v="4"/>
    <n v="348.9"/>
    <x v="0"/>
    <x v="0"/>
    <x v="0"/>
    <x v="0"/>
    <x v="0"/>
    <x v="0"/>
    <x v="0"/>
    <x v="0"/>
  </r>
  <r>
    <n v="341"/>
    <x v="24"/>
    <x v="232"/>
    <n v="200"/>
    <n v="1.4"/>
    <d v="2012-05-29T00:00:00"/>
    <n v="1.5"/>
    <d v="2012-07-19T00:00:00"/>
    <n v="2.6290058013779301"/>
    <n v="0.36801605888257349"/>
    <n v="1.1000000000000001"/>
    <n v="18.899999999999999"/>
    <x v="4"/>
    <n v="298.89999999999998"/>
    <x v="0"/>
    <x v="0"/>
    <x v="0"/>
    <x v="0"/>
    <x v="0"/>
    <x v="0"/>
    <x v="0"/>
    <x v="0"/>
  </r>
  <r>
    <n v="342"/>
    <x v="113"/>
    <x v="233"/>
    <n v="100"/>
    <n v="1.1499999999999999"/>
    <d v="2012-06-15T00:00:00"/>
    <n v="0.28999999999999998"/>
    <d v="2012-07-20T00:00:00"/>
    <n v="-1583.6117483814239"/>
    <n v="-78.096676737160109"/>
    <n v="-103.4"/>
    <n v="17.399999999999999"/>
    <x v="3"/>
    <n v="132.4"/>
    <x v="0"/>
    <x v="0"/>
    <x v="0"/>
    <x v="0"/>
    <x v="0"/>
    <x v="0"/>
    <x v="0"/>
    <x v="0"/>
  </r>
  <r>
    <n v="343"/>
    <x v="53"/>
    <x v="234"/>
    <n v="500"/>
    <n v="9.25"/>
    <d v="2011-08-03T00:00:00"/>
    <n v="5"/>
    <d v="2012-07-20T00:00:00"/>
    <n v="-63.968643483227936"/>
    <n v="-46.038701043611525"/>
    <n v="-2132.9499999999998"/>
    <n v="7.95"/>
    <x v="0"/>
    <n v="4632.95"/>
    <x v="0"/>
    <x v="0"/>
    <x v="0"/>
    <x v="0"/>
    <x v="0"/>
    <x v="0"/>
    <x v="0"/>
    <x v="0"/>
  </r>
  <r>
    <n v="344"/>
    <x v="53"/>
    <x v="235"/>
    <n v="500"/>
    <n v="0"/>
    <d v="2012-06-13T00:00:00"/>
    <n v="0.4"/>
    <d v="2012-07-20T00:00:00"/>
    <n v="1817.1087845071695"/>
    <n v="530.91482649842283"/>
    <n v="168.3"/>
    <n v="31.7"/>
    <x v="5"/>
    <n v="31.7"/>
    <x v="0"/>
    <x v="0"/>
    <x v="0"/>
    <x v="0"/>
    <x v="0"/>
    <x v="0"/>
    <x v="0"/>
    <x v="0"/>
  </r>
  <r>
    <n v="345"/>
    <x v="89"/>
    <x v="236"/>
    <n v="100"/>
    <n v="8.1"/>
    <d v="2012-06-15T00:00:00"/>
    <n v="4.5"/>
    <d v="2012-07-20T00:00:00"/>
    <n v="-635.14241431707183"/>
    <n v="-45.612762871646119"/>
    <n v="-377.4"/>
    <n v="17.399999999999999"/>
    <x v="4"/>
    <n v="827.4"/>
    <x v="0"/>
    <x v="0"/>
    <x v="0"/>
    <x v="0"/>
    <x v="0"/>
    <x v="0"/>
    <x v="0"/>
    <x v="0"/>
  </r>
  <r>
    <n v="346"/>
    <x v="104"/>
    <x v="237"/>
    <n v="100"/>
    <n v="3"/>
    <d v="2012-07-17T00:00:00"/>
    <n v="5.35"/>
    <d v="2012-07-23T00:00:00"/>
    <n v="3176.1322943891623"/>
    <n v="68.557025834908629"/>
    <n v="217.6"/>
    <n v="17.399999999999999"/>
    <x v="4"/>
    <n v="317.39999999999998"/>
    <x v="0"/>
    <x v="0"/>
    <x v="0"/>
    <x v="0"/>
    <x v="0"/>
    <x v="0"/>
    <x v="0"/>
    <x v="0"/>
  </r>
  <r>
    <n v="347"/>
    <x v="90"/>
    <x v="238"/>
    <n v="100"/>
    <n v="0.75"/>
    <d v="2012-06-29T00:00:00"/>
    <n v="1.1000000000000001"/>
    <d v="2012-07-24T00:00:00"/>
    <n v="254.5559452313758"/>
    <n v="19.047619047619065"/>
    <n v="17.600000000000001"/>
    <n v="17.399999999999999"/>
    <x v="4"/>
    <n v="92.4"/>
    <x v="0"/>
    <x v="0"/>
    <x v="0"/>
    <x v="0"/>
    <x v="0"/>
    <x v="0"/>
    <x v="0"/>
    <x v="0"/>
  </r>
  <r>
    <n v="348"/>
    <x v="108"/>
    <x v="239"/>
    <n v="200"/>
    <n v="3"/>
    <d v="2012-06-29T00:00:00"/>
    <n v="5.5"/>
    <d v="2012-07-24T00:00:00"/>
    <n v="839.67775506007331"/>
    <n v="77.734690580061397"/>
    <n v="481.1"/>
    <n v="18.899999999999999"/>
    <x v="4"/>
    <n v="618.9"/>
    <x v="0"/>
    <x v="0"/>
    <x v="0"/>
    <x v="0"/>
    <x v="0"/>
    <x v="0"/>
    <x v="0"/>
    <x v="0"/>
  </r>
  <r>
    <n v="349"/>
    <x v="75"/>
    <x v="240"/>
    <n v="100"/>
    <n v="3"/>
    <d v="2012-06-29T00:00:00"/>
    <n v="6"/>
    <d v="2012-07-24T00:00:00"/>
    <n v="929.67959680080298"/>
    <n v="89.035916824196605"/>
    <n v="282.60000000000002"/>
    <n v="17.399999999999999"/>
    <x v="4"/>
    <n v="317.39999999999998"/>
    <x v="0"/>
    <x v="0"/>
    <x v="0"/>
    <x v="0"/>
    <x v="0"/>
    <x v="0"/>
    <x v="0"/>
    <x v="0"/>
  </r>
  <r>
    <n v="350"/>
    <x v="114"/>
    <x v="241"/>
    <n v="100"/>
    <n v="3.25"/>
    <d v="2012-07-18T00:00:00"/>
    <n v="4"/>
    <d v="2012-07-25T00:00:00"/>
    <n v="810.74270766777374"/>
    <n v="16.822429906542059"/>
    <n v="57.6"/>
    <n v="17.399999999999999"/>
    <x v="3"/>
    <n v="342.4"/>
    <x v="0"/>
    <x v="0"/>
    <x v="0"/>
    <x v="0"/>
    <x v="0"/>
    <x v="0"/>
    <x v="0"/>
    <x v="0"/>
  </r>
  <r>
    <n v="351"/>
    <x v="69"/>
    <x v="242"/>
    <n v="100"/>
    <n v="2.75"/>
    <d v="2012-07-23T00:00:00"/>
    <n v="5.0999999999999996"/>
    <d v="2012-07-27T00:00:00"/>
    <n v="5076.1279803150755"/>
    <n v="74.418604651162781"/>
    <n v="217.6"/>
    <n v="17.399999999999999"/>
    <x v="4"/>
    <n v="292.39999999999998"/>
    <x v="0"/>
    <x v="0"/>
    <x v="0"/>
    <x v="0"/>
    <x v="0"/>
    <x v="0"/>
    <x v="0"/>
    <x v="0"/>
  </r>
  <r>
    <n v="352"/>
    <x v="112"/>
    <x v="243"/>
    <n v="200"/>
    <n v="0.8"/>
    <d v="2012-07-24T00:00:00"/>
    <n v="1.5"/>
    <d v="2012-07-27T00:00:00"/>
    <n v="6289.625057055252"/>
    <n v="67.691447736165443"/>
    <n v="121.1"/>
    <n v="18.899999999999999"/>
    <x v="4"/>
    <n v="178.9"/>
    <x v="0"/>
    <x v="0"/>
    <x v="0"/>
    <x v="0"/>
    <x v="0"/>
    <x v="0"/>
    <x v="0"/>
    <x v="0"/>
  </r>
  <r>
    <n v="353"/>
    <x v="24"/>
    <x v="232"/>
    <n v="100"/>
    <n v="1.1499999999999999"/>
    <d v="2012-05-29T00:00:00"/>
    <n v="1.5"/>
    <d v="2012-08-02T00:00:00"/>
    <n v="70.084296102418563"/>
    <n v="13.29305135951663"/>
    <n v="17.600000000000001"/>
    <n v="17.399999999999999"/>
    <x v="4"/>
    <n v="132.4"/>
    <x v="0"/>
    <x v="0"/>
    <x v="0"/>
    <x v="0"/>
    <x v="0"/>
    <x v="0"/>
    <x v="0"/>
    <x v="0"/>
  </r>
  <r>
    <n v="354"/>
    <x v="48"/>
    <x v="244"/>
    <n v="100"/>
    <n v="3.1"/>
    <d v="2012-07-27T00:00:00"/>
    <n v="3.5"/>
    <d v="2012-08-02T00:00:00"/>
    <n v="406.06547807408469"/>
    <n v="6.9028711056811236"/>
    <n v="22.6"/>
    <n v="17.399999999999999"/>
    <x v="3"/>
    <n v="327.39999999999998"/>
    <x v="0"/>
    <x v="0"/>
    <x v="0"/>
    <x v="0"/>
    <x v="0"/>
    <x v="0"/>
    <x v="0"/>
    <x v="0"/>
  </r>
  <r>
    <n v="355"/>
    <x v="41"/>
    <x v="245"/>
    <n v="1000"/>
    <n v="0.4"/>
    <d v="2012-06-19T00:00:00"/>
    <n v="0.75"/>
    <d v="2012-08-03T00:00:00"/>
    <n v="449.51547577027952"/>
    <n v="74.054304943142256"/>
    <n v="319.10000000000002"/>
    <n v="30.9"/>
    <x v="4"/>
    <n v="430.9"/>
    <x v="0"/>
    <x v="0"/>
    <x v="0"/>
    <x v="0"/>
    <x v="0"/>
    <x v="0"/>
    <x v="0"/>
    <x v="0"/>
  </r>
  <r>
    <n v="356"/>
    <x v="112"/>
    <x v="246"/>
    <n v="200"/>
    <n v="2.2000000000000002"/>
    <d v="2012-08-02T00:00:00"/>
    <n v="3.55"/>
    <d v="2012-08-03T00:00:00"/>
    <n v="15929.79167516192"/>
    <n v="54.717803443015882"/>
    <n v="251.1"/>
    <n v="18.899999999999999"/>
    <x v="4"/>
    <n v="458.9"/>
    <x v="0"/>
    <x v="0"/>
    <x v="0"/>
    <x v="0"/>
    <x v="0"/>
    <x v="0"/>
    <x v="0"/>
    <x v="0"/>
  </r>
  <r>
    <n v="357"/>
    <x v="8"/>
    <x v="247"/>
    <n v="100"/>
    <n v="0.2"/>
    <d v="2012-05-21T00:00:00"/>
    <n v="1.4"/>
    <d v="2012-08-10T00:00:00"/>
    <n v="594.80207054187474"/>
    <n v="274.33155080213896"/>
    <n v="102.6"/>
    <n v="17.399999999999999"/>
    <x v="4"/>
    <n v="37.4"/>
    <x v="0"/>
    <x v="0"/>
    <x v="0"/>
    <x v="0"/>
    <x v="0"/>
    <x v="0"/>
    <x v="0"/>
    <x v="0"/>
  </r>
  <r>
    <n v="358"/>
    <x v="105"/>
    <x v="248"/>
    <n v="100"/>
    <n v="4.5"/>
    <d v="2012-07-03T00:00:00"/>
    <n v="6.5"/>
    <d v="2012-08-12T00:00:00"/>
    <n v="300.93058346624417"/>
    <n v="39.067180145485658"/>
    <n v="182.6"/>
    <n v="17.399999999999999"/>
    <x v="4"/>
    <n v="467.4"/>
    <x v="0"/>
    <x v="0"/>
    <x v="0"/>
    <x v="0"/>
    <x v="0"/>
    <x v="0"/>
    <x v="0"/>
    <x v="0"/>
  </r>
  <r>
    <n v="359"/>
    <x v="47"/>
    <x v="249"/>
    <n v="200"/>
    <n v="1.5"/>
    <d v="2012-07-26T00:00:00"/>
    <n v="1.7"/>
    <d v="2012-08-12T00:00:00"/>
    <n v="137.55785830518377"/>
    <n v="6.6164941988083994"/>
    <n v="21.1"/>
    <n v="18.899999999999999"/>
    <x v="4"/>
    <n v="318.89999999999998"/>
    <x v="0"/>
    <x v="0"/>
    <x v="0"/>
    <x v="0"/>
    <x v="0"/>
    <x v="0"/>
    <x v="0"/>
    <x v="0"/>
  </r>
  <r>
    <n v="360"/>
    <x v="52"/>
    <x v="250"/>
    <n v="100"/>
    <n v="1"/>
    <d v="2012-07-19T00:00:00"/>
    <n v="3.5"/>
    <d v="2012-08-15T00:00:00"/>
    <n v="1476.6902969913117"/>
    <n v="198.1260647359455"/>
    <n v="232.6"/>
    <n v="17.399999999999999"/>
    <x v="4"/>
    <n v="117.4"/>
    <x v="0"/>
    <x v="0"/>
    <x v="0"/>
    <x v="0"/>
    <x v="0"/>
    <x v="0"/>
    <x v="0"/>
    <x v="0"/>
  </r>
  <r>
    <n v="361"/>
    <x v="58"/>
    <x v="56"/>
    <n v="200"/>
    <n v="12.18"/>
    <d v="2012-07-11T00:00:00"/>
    <n v="12"/>
    <d v="2012-08-18T00:00:00"/>
    <n v="-17.430522633100974"/>
    <n v="-1.798318296200818"/>
    <n v="-43.95"/>
    <n v="7.95"/>
    <x v="0"/>
    <n v="2443.9499999999998"/>
    <x v="0"/>
    <x v="0"/>
    <x v="0"/>
    <x v="0"/>
    <x v="0"/>
    <x v="0"/>
    <x v="0"/>
    <x v="0"/>
  </r>
  <r>
    <n v="362"/>
    <x v="58"/>
    <x v="251"/>
    <n v="200"/>
    <n v="0"/>
    <d v="2012-07-18T00:00:00"/>
    <n v="0.9"/>
    <d v="2012-08-18T00:00:00"/>
    <n v="2653.6617710354321"/>
    <n v="852.38095238095252"/>
    <n v="161.1"/>
    <n v="18.899999999999999"/>
    <x v="4"/>
    <n v="18.899999999999999"/>
    <x v="0"/>
    <x v="0"/>
    <x v="0"/>
    <x v="0"/>
    <x v="0"/>
    <x v="0"/>
    <x v="0"/>
    <x v="0"/>
  </r>
  <r>
    <n v="363"/>
    <x v="41"/>
    <x v="245"/>
    <n v="1000"/>
    <n v="0.6"/>
    <d v="2012-08-21T00:00:00"/>
    <n v="0.8"/>
    <d v="2012-08-27T00:00:00"/>
    <n v="1444.5748341045785"/>
    <n v="26.802979870026952"/>
    <n v="169.1"/>
    <n v="30.9"/>
    <x v="4"/>
    <n v="630.9"/>
    <x v="0"/>
    <x v="0"/>
    <x v="0"/>
    <x v="0"/>
    <x v="0"/>
    <x v="0"/>
    <x v="0"/>
    <x v="0"/>
  </r>
  <r>
    <n v="364"/>
    <x v="76"/>
    <x v="252"/>
    <n v="200"/>
    <n v="0.6"/>
    <d v="2012-07-30T00:00:00"/>
    <n v="1.2"/>
    <d v="2012-09-04T00:00:00"/>
    <n v="554.48029404810563"/>
    <n v="72.786177105831527"/>
    <n v="101.1"/>
    <n v="18.899999999999999"/>
    <x v="4"/>
    <n v="138.9"/>
    <x v="0"/>
    <x v="0"/>
    <x v="0"/>
    <x v="0"/>
    <x v="0"/>
    <x v="0"/>
    <x v="0"/>
    <x v="0"/>
  </r>
  <r>
    <n v="365"/>
    <x v="108"/>
    <x v="253"/>
    <n v="200"/>
    <n v="0.75"/>
    <d v="2012-08-16T00:00:00"/>
    <n v="2.5499999999999998"/>
    <d v="2012-09-04T00:00:00"/>
    <n v="2122.9627589220272"/>
    <n v="201.95381882770869"/>
    <n v="341.1"/>
    <n v="18.899999999999999"/>
    <x v="4"/>
    <n v="168.9"/>
    <x v="0"/>
    <x v="0"/>
    <x v="0"/>
    <x v="0"/>
    <x v="0"/>
    <x v="0"/>
    <x v="0"/>
    <x v="0"/>
  </r>
  <r>
    <n v="366"/>
    <x v="3"/>
    <x v="254"/>
    <n v="100"/>
    <n v="0.9"/>
    <d v="2012-08-07T00:00:00"/>
    <n v="1.7"/>
    <d v="2012-09-06T00:00:00"/>
    <n v="558.73987688685497"/>
    <n v="58.286778398510229"/>
    <n v="62.6"/>
    <n v="17.399999999999999"/>
    <x v="4"/>
    <n v="107.4"/>
    <x v="0"/>
    <x v="0"/>
    <x v="0"/>
    <x v="0"/>
    <x v="0"/>
    <x v="0"/>
    <x v="0"/>
    <x v="0"/>
  </r>
  <r>
    <n v="367"/>
    <x v="115"/>
    <x v="255"/>
    <n v="200"/>
    <n v="1.2"/>
    <d v="2012-08-30T00:00:00"/>
    <n v="2.4"/>
    <d v="2012-09-11T00:00:00"/>
    <n v="1877.7553271476861"/>
    <n v="85.399768250289682"/>
    <n v="221.1"/>
    <n v="18.899999999999999"/>
    <x v="4"/>
    <n v="258.89999999999998"/>
    <x v="0"/>
    <x v="0"/>
    <x v="0"/>
    <x v="0"/>
    <x v="0"/>
    <x v="0"/>
    <x v="0"/>
    <x v="0"/>
  </r>
  <r>
    <n v="368"/>
    <x v="32"/>
    <x v="256"/>
    <n v="400"/>
    <n v="0.2"/>
    <d v="2012-06-22T00:00:00"/>
    <n v="0.65"/>
    <d v="2012-09-11T00:00:00"/>
    <n v="422.08856436691315"/>
    <n v="155.15210991167808"/>
    <n v="158.1"/>
    <n v="21.9"/>
    <x v="4"/>
    <n v="101.9"/>
    <x v="0"/>
    <x v="0"/>
    <x v="0"/>
    <x v="0"/>
    <x v="0"/>
    <x v="0"/>
    <x v="0"/>
    <x v="0"/>
  </r>
  <r>
    <n v="369"/>
    <x v="105"/>
    <x v="257"/>
    <n v="100"/>
    <n v="16"/>
    <d v="2012-08-21T00:00:00"/>
    <n v="4.4000000000000004"/>
    <d v="2012-09-13T00:00:00"/>
    <n v="-2065.9007518197236"/>
    <n v="-72.795845183628032"/>
    <n v="-1177.4000000000001"/>
    <n v="17.399999999999999"/>
    <x v="4"/>
    <n v="1617.4"/>
    <x v="0"/>
    <x v="0"/>
    <x v="0"/>
    <x v="0"/>
    <x v="0"/>
    <x v="0"/>
    <x v="0"/>
    <x v="0"/>
  </r>
  <r>
    <n v="370"/>
    <x v="89"/>
    <x v="258"/>
    <n v="100"/>
    <n v="21.5"/>
    <d v="2012-07-27T00:00:00"/>
    <n v="8.6"/>
    <d v="2012-09-17T00:00:00"/>
    <n v="-648.82342599632614"/>
    <n v="-60.321122081756947"/>
    <n v="-1307.4000000000001"/>
    <n v="17.399999999999999"/>
    <x v="4"/>
    <n v="2167.4"/>
    <x v="0"/>
    <x v="0"/>
    <x v="0"/>
    <x v="0"/>
    <x v="0"/>
    <x v="0"/>
    <x v="0"/>
    <x v="0"/>
  </r>
  <r>
    <n v="371"/>
    <x v="116"/>
    <x v="259"/>
    <n v="200"/>
    <n v="3.25"/>
    <d v="2012-04-27T00:00:00"/>
    <n v="2.6"/>
    <d v="2012-09-18T00:00:00"/>
    <n v="-63.825765694683753"/>
    <n v="-22.260427567648374"/>
    <n v="-148.9"/>
    <n v="18.899999999999999"/>
    <x v="3"/>
    <n v="668.9"/>
    <x v="0"/>
    <x v="0"/>
    <x v="0"/>
    <x v="0"/>
    <x v="0"/>
    <x v="0"/>
    <x v="0"/>
    <x v="0"/>
  </r>
  <r>
    <n v="372"/>
    <x v="36"/>
    <x v="260"/>
    <n v="100"/>
    <n v="3.35"/>
    <d v="2012-07-27T00:00:00"/>
    <n v="0.01"/>
    <d v="2012-09-20T00:00:00"/>
    <n v="-3892.0725751502528"/>
    <n v="-99.716231555051081"/>
    <n v="-351.4"/>
    <n v="17.399999999999999"/>
    <x v="3"/>
    <n v="352.4"/>
    <x v="0"/>
    <x v="0"/>
    <x v="0"/>
    <x v="0"/>
    <x v="0"/>
    <x v="0"/>
    <x v="0"/>
    <x v="0"/>
  </r>
  <r>
    <n v="373"/>
    <x v="75"/>
    <x v="261"/>
    <n v="100"/>
    <n v="23.8"/>
    <d v="2012-08-03T00:00:00"/>
    <n v="4.5"/>
    <d v="2012-09-21T00:00:00"/>
    <n v="-1246.1342188737783"/>
    <n v="-81.229665470926847"/>
    <n v="-1947.4"/>
    <n v="17.399999999999999"/>
    <x v="4"/>
    <n v="2397.4"/>
    <x v="0"/>
    <x v="0"/>
    <x v="0"/>
    <x v="0"/>
    <x v="0"/>
    <x v="0"/>
    <x v="0"/>
    <x v="0"/>
  </r>
  <r>
    <n v="374"/>
    <x v="52"/>
    <x v="262"/>
    <n v="100"/>
    <n v="0.9"/>
    <d v="2012-09-11T00:00:00"/>
    <n v="3.05"/>
    <d v="2012-09-25T00:00:00"/>
    <n v="2721.2095143172592"/>
    <n v="183.98510242085655"/>
    <n v="197.6"/>
    <n v="17.399999999999999"/>
    <x v="4"/>
    <n v="107.4"/>
    <x v="0"/>
    <x v="0"/>
    <x v="0"/>
    <x v="0"/>
    <x v="0"/>
    <x v="0"/>
    <x v="0"/>
    <x v="0"/>
  </r>
  <r>
    <n v="375"/>
    <x v="71"/>
    <x v="117"/>
    <n v="100"/>
    <n v="9.5"/>
    <d v="2012-08-14T00:00:00"/>
    <n v="9"/>
    <d v="2012-09-26T00:00:00"/>
    <n v="-52.968138940597775"/>
    <n v="-6.0493762722480247"/>
    <n v="-57.95"/>
    <n v="7.95"/>
    <x v="0"/>
    <n v="957.95"/>
    <x v="0"/>
    <x v="0"/>
    <x v="0"/>
    <x v="0"/>
    <x v="0"/>
    <x v="0"/>
    <x v="0"/>
    <x v="0"/>
  </r>
  <r>
    <n v="376"/>
    <x v="71"/>
    <x v="263"/>
    <n v="100"/>
    <n v="0"/>
    <d v="2012-08-29T00:00:00"/>
    <n v="1"/>
    <d v="2012-09-26T00:00:00"/>
    <n v="1627.2131002722083"/>
    <n v="248.43205574912895"/>
    <n v="71.3"/>
    <n v="28.7"/>
    <x v="5"/>
    <n v="28.7"/>
    <x v="0"/>
    <x v="0"/>
    <x v="0"/>
    <x v="0"/>
    <x v="0"/>
    <x v="0"/>
    <x v="0"/>
    <x v="0"/>
  </r>
  <r>
    <n v="377"/>
    <x v="117"/>
    <x v="264"/>
    <n v="100"/>
    <n v="3.7"/>
    <d v="2012-09-26T00:00:00"/>
    <n v="5"/>
    <d v="2012-09-28T00:00:00"/>
    <n v="4656.4938409496544"/>
    <n v="29.065565307176044"/>
    <n v="112.6"/>
    <n v="17.399999999999999"/>
    <x v="4"/>
    <n v="387.4"/>
    <x v="0"/>
    <x v="0"/>
    <x v="0"/>
    <x v="0"/>
    <x v="0"/>
    <x v="0"/>
    <x v="0"/>
    <x v="0"/>
  </r>
  <r>
    <n v="378"/>
    <x v="76"/>
    <x v="265"/>
    <n v="200"/>
    <n v="0.5"/>
    <d v="2012-09-06T00:00:00"/>
    <n v="1.3"/>
    <d v="2012-09-28T00:00:00"/>
    <n v="1298.0707816879949"/>
    <n v="118.67115222876366"/>
    <n v="141.1"/>
    <n v="18.899999999999999"/>
    <x v="4"/>
    <n v="118.9"/>
    <x v="0"/>
    <x v="0"/>
    <x v="0"/>
    <x v="0"/>
    <x v="0"/>
    <x v="0"/>
    <x v="0"/>
    <x v="0"/>
  </r>
  <r>
    <n v="379"/>
    <x v="105"/>
    <x v="266"/>
    <n v="100"/>
    <n v="0.85"/>
    <d v="2012-10-01T00:00:00"/>
    <n v="2.5499999999999998"/>
    <d v="2012-10-10T00:00:00"/>
    <n v="3700.1949320205754"/>
    <n v="149.02343749999997"/>
    <n v="152.6"/>
    <n v="17.399999999999999"/>
    <x v="4"/>
    <n v="102.4"/>
    <x v="0"/>
    <x v="0"/>
    <x v="0"/>
    <x v="0"/>
    <x v="0"/>
    <x v="0"/>
    <x v="0"/>
    <x v="0"/>
  </r>
  <r>
    <n v="380"/>
    <x v="3"/>
    <x v="267"/>
    <n v="100"/>
    <n v="0.8"/>
    <d v="2012-09-11T00:00:00"/>
    <n v="1"/>
    <d v="2012-10-10T00:00:00"/>
    <n v="33.157072410188803"/>
    <n v="2.6694045174538013"/>
    <n v="2.6"/>
    <n v="17.399999999999999"/>
    <x v="4"/>
    <n v="97.4"/>
    <x v="0"/>
    <x v="0"/>
    <x v="0"/>
    <x v="0"/>
    <x v="0"/>
    <x v="0"/>
    <x v="0"/>
    <x v="0"/>
  </r>
  <r>
    <n v="381"/>
    <x v="79"/>
    <x v="268"/>
    <n v="200"/>
    <n v="6"/>
    <d v="2012-07-18T00:00:00"/>
    <n v="1.5"/>
    <d v="2012-10-10T00:00:00"/>
    <n v="-609.16832167504788"/>
    <n v="-75.387644597587993"/>
    <n v="-918.9"/>
    <n v="18.899999999999999"/>
    <x v="4"/>
    <n v="1218.9000000000001"/>
    <x v="0"/>
    <x v="0"/>
    <x v="0"/>
    <x v="0"/>
    <x v="0"/>
    <x v="0"/>
    <x v="0"/>
    <x v="0"/>
  </r>
  <r>
    <n v="382"/>
    <x v="47"/>
    <x v="269"/>
    <n v="200"/>
    <n v="6.5"/>
    <d v="2012-08-16T00:00:00"/>
    <n v="2.0499999999999998"/>
    <d v="2012-10-12T00:00:00"/>
    <n v="-748.18351565565308"/>
    <n v="-68.913488513154903"/>
    <n v="-908.9"/>
    <n v="18.899999999999999"/>
    <x v="4"/>
    <n v="1318.9"/>
    <x v="0"/>
    <x v="0"/>
    <x v="0"/>
    <x v="0"/>
    <x v="0"/>
    <x v="0"/>
    <x v="0"/>
    <x v="0"/>
  </r>
  <r>
    <n v="383"/>
    <x v="90"/>
    <x v="270"/>
    <n v="100"/>
    <n v="0.7"/>
    <d v="2012-07-27T00:00:00"/>
    <n v="1.25"/>
    <d v="2012-10-15T00:00:00"/>
    <n v="163.25466992987023"/>
    <n v="43.020594965675073"/>
    <n v="37.6"/>
    <n v="17.399999999999999"/>
    <x v="4"/>
    <n v="87.4"/>
    <x v="0"/>
    <x v="0"/>
    <x v="0"/>
    <x v="0"/>
    <x v="0"/>
    <x v="0"/>
    <x v="0"/>
    <x v="0"/>
  </r>
  <r>
    <n v="384"/>
    <x v="118"/>
    <x v="271"/>
    <n v="100"/>
    <n v="3.4"/>
    <d v="2012-10-10T00:00:00"/>
    <n v="4.8"/>
    <d v="2012-10-16T00:00:00"/>
    <n v="1794.1605488243715"/>
    <n v="34.303301622831562"/>
    <n v="122.6"/>
    <n v="17.399999999999999"/>
    <x v="4"/>
    <n v="357.4"/>
    <x v="0"/>
    <x v="0"/>
    <x v="0"/>
    <x v="0"/>
    <x v="0"/>
    <x v="0"/>
    <x v="0"/>
    <x v="0"/>
  </r>
  <r>
    <n v="385"/>
    <x v="30"/>
    <x v="272"/>
    <n v="400"/>
    <n v="6.5"/>
    <d v="2010-07-01T00:00:00"/>
    <n v="3"/>
    <d v="2012-10-18T00:00:00"/>
    <n v="-33.729602867529572"/>
    <n v="-53.986847907360193"/>
    <n v="-1407.95"/>
    <n v="7.95"/>
    <x v="0"/>
    <n v="2607.9499999999998"/>
    <x v="0"/>
    <x v="0"/>
    <x v="0"/>
    <x v="0"/>
    <x v="0"/>
    <x v="0"/>
    <x v="0"/>
    <x v="0"/>
  </r>
  <r>
    <n v="386"/>
    <x v="30"/>
    <x v="273"/>
    <n v="400"/>
    <n v="0"/>
    <d v="2012-07-26T00:00:00"/>
    <n v="0.5"/>
    <d v="2012-10-18T00:00:00"/>
    <n v="810.79725488971735"/>
    <n v="546.20355411954779"/>
    <n v="169.05"/>
    <n v="30.95"/>
    <x v="5"/>
    <n v="30.95"/>
    <x v="0"/>
    <x v="0"/>
    <x v="0"/>
    <x v="0"/>
    <x v="0"/>
    <x v="0"/>
    <x v="0"/>
    <x v="0"/>
  </r>
  <r>
    <n v="387"/>
    <x v="105"/>
    <x v="274"/>
    <n v="100"/>
    <n v="2.2999999999999998"/>
    <d v="2012-10-11T00:00:00"/>
    <n v="5"/>
    <d v="2012-10-19T00:00:00"/>
    <n v="3210.1824754911072"/>
    <n v="102.10185933710592"/>
    <n v="252.6"/>
    <n v="17.399999999999999"/>
    <x v="4"/>
    <n v="247.4"/>
    <x v="0"/>
    <x v="0"/>
    <x v="0"/>
    <x v="0"/>
    <x v="0"/>
    <x v="0"/>
    <x v="0"/>
    <x v="0"/>
  </r>
  <r>
    <n v="388"/>
    <x v="104"/>
    <x v="275"/>
    <n v="100"/>
    <n v="0.2"/>
    <d v="2012-09-06T00:00:00"/>
    <n v="1.49"/>
    <d v="2012-10-19T00:00:00"/>
    <n v="1173.3269640851515"/>
    <n v="298.39572192513373"/>
    <n v="111.6"/>
    <n v="17.399999999999999"/>
    <x v="4"/>
    <n v="37.4"/>
    <x v="0"/>
    <x v="0"/>
    <x v="0"/>
    <x v="0"/>
    <x v="0"/>
    <x v="0"/>
    <x v="0"/>
    <x v="0"/>
  </r>
  <r>
    <n v="389"/>
    <x v="79"/>
    <x v="276"/>
    <n v="200"/>
    <n v="2.2000000000000002"/>
    <d v="2012-10-11T00:00:00"/>
    <n v="3.5"/>
    <d v="2012-10-19T00:00:00"/>
    <n v="1926.5065622444392"/>
    <n v="52.538679450860741"/>
    <n v="241.1"/>
    <n v="18.899999999999999"/>
    <x v="4"/>
    <n v="458.9"/>
    <x v="0"/>
    <x v="0"/>
    <x v="0"/>
    <x v="0"/>
    <x v="0"/>
    <x v="0"/>
    <x v="0"/>
    <x v="0"/>
  </r>
  <r>
    <n v="390"/>
    <x v="24"/>
    <x v="277"/>
    <n v="200"/>
    <n v="2.41"/>
    <d v="2012-08-03T00:00:00"/>
    <n v="0.75"/>
    <d v="2012-10-19T00:00:00"/>
    <n v="-571.56686102281833"/>
    <n v="-70.053902974645638"/>
    <n v="-350.9"/>
    <n v="18.899999999999999"/>
    <x v="4"/>
    <n v="500.9"/>
    <x v="0"/>
    <x v="0"/>
    <x v="0"/>
    <x v="0"/>
    <x v="0"/>
    <x v="0"/>
    <x v="0"/>
    <x v="0"/>
  </r>
  <r>
    <n v="391"/>
    <x v="30"/>
    <x v="272"/>
    <n v="500"/>
    <n v="6.5"/>
    <d v="2010-07-01T00:00:00"/>
    <n v="3"/>
    <d v="2012-10-19T00:00:00"/>
    <n v="-33.663027956850357"/>
    <n v="-53.958777759020244"/>
    <n v="-1757.95"/>
    <n v="7.95"/>
    <x v="0"/>
    <n v="3257.95"/>
    <x v="0"/>
    <x v="0"/>
    <x v="0"/>
    <x v="0"/>
    <x v="0"/>
    <x v="0"/>
    <x v="0"/>
    <x v="0"/>
  </r>
  <r>
    <n v="392"/>
    <x v="30"/>
    <x v="273"/>
    <n v="500"/>
    <n v="0"/>
    <d v="2012-07-26T00:00:00"/>
    <n v="0.5"/>
    <d v="2012-10-19T00:00:00"/>
    <n v="1017.1583374788064"/>
    <n v="968.37606837606836"/>
    <n v="226.6"/>
    <n v="23.4"/>
    <x v="4"/>
    <n v="23.4"/>
    <x v="0"/>
    <x v="0"/>
    <x v="0"/>
    <x v="0"/>
    <x v="0"/>
    <x v="0"/>
    <x v="0"/>
    <x v="0"/>
  </r>
  <r>
    <n v="393"/>
    <x v="89"/>
    <x v="278"/>
    <n v="100"/>
    <n v="4.5999999999999996"/>
    <d v="2012-09-27T00:00:00"/>
    <n v="9"/>
    <d v="2012-10-23T00:00:00"/>
    <n v="890.09468476210407"/>
    <n v="88.521156263091754"/>
    <n v="422.6"/>
    <n v="17.399999999999999"/>
    <x v="4"/>
    <n v="477.4"/>
    <x v="0"/>
    <x v="0"/>
    <x v="0"/>
    <x v="0"/>
    <x v="0"/>
    <x v="0"/>
    <x v="0"/>
    <x v="0"/>
  </r>
  <r>
    <n v="394"/>
    <x v="119"/>
    <x v="279"/>
    <n v="243"/>
    <n v="13.8041"/>
    <d v="2011-05-24T00:00:00"/>
    <n v="10.43"/>
    <d v="2012-11-05T00:00:00"/>
    <n v="-19.265908450651217"/>
    <n v="-24.44273802710789"/>
    <n v="-819.90629999999999"/>
    <n v="0"/>
    <x v="6"/>
    <n v="3354.3962999999999"/>
    <x v="0"/>
    <x v="0"/>
    <x v="0"/>
    <x v="0"/>
    <x v="0"/>
    <x v="0"/>
    <x v="0"/>
    <x v="0"/>
  </r>
  <r>
    <n v="395"/>
    <x v="52"/>
    <x v="280"/>
    <n v="100"/>
    <n v="2.5"/>
    <d v="2012-10-05T00:00:00"/>
    <n v="2.7"/>
    <d v="2012-11-07T00:00:00"/>
    <n v="10.702567971649016"/>
    <n v="0.97232610321616475"/>
    <n v="2.6"/>
    <n v="17.399999999999999"/>
    <x v="4"/>
    <n v="267.39999999999998"/>
    <x v="0"/>
    <x v="0"/>
    <x v="0"/>
    <x v="0"/>
    <x v="0"/>
    <x v="0"/>
    <x v="0"/>
    <x v="0"/>
  </r>
  <r>
    <n v="396"/>
    <x v="120"/>
    <x v="281"/>
    <n v="100"/>
    <n v="3.5"/>
    <d v="2012-07-27T00:00:00"/>
    <n v="4"/>
    <d v="2012-11-08T00:00:00"/>
    <n v="29.836424643595365"/>
    <n v="8.8731627653783374"/>
    <n v="32.6"/>
    <n v="17.399999999999999"/>
    <x v="3"/>
    <n v="367.4"/>
    <x v="0"/>
    <x v="0"/>
    <x v="0"/>
    <x v="0"/>
    <x v="0"/>
    <x v="0"/>
    <x v="0"/>
    <x v="0"/>
  </r>
  <r>
    <n v="397"/>
    <x v="108"/>
    <x v="282"/>
    <n v="200"/>
    <n v="1.5"/>
    <d v="2012-09-11T00:00:00"/>
    <n v="2"/>
    <d v="2012-11-08T00:00:00"/>
    <n v="142.59352616994667"/>
    <n v="25.431169645656944"/>
    <n v="81.099999999999994"/>
    <n v="18.899999999999999"/>
    <x v="4"/>
    <n v="318.89999999999998"/>
    <x v="0"/>
    <x v="0"/>
    <x v="0"/>
    <x v="0"/>
    <x v="0"/>
    <x v="0"/>
    <x v="0"/>
    <x v="0"/>
  </r>
  <r>
    <n v="398"/>
    <x v="89"/>
    <x v="283"/>
    <n v="100"/>
    <n v="0.3"/>
    <d v="2012-11-01T00:00:00"/>
    <n v="2.5"/>
    <d v="2012-11-08T00:00:00"/>
    <n v="8670.5160220549114"/>
    <n v="427.42616033755269"/>
    <n v="202.6"/>
    <n v="17.399999999999999"/>
    <x v="4"/>
    <n v="47.4"/>
    <x v="0"/>
    <x v="0"/>
    <x v="0"/>
    <x v="0"/>
    <x v="0"/>
    <x v="0"/>
    <x v="0"/>
    <x v="0"/>
  </r>
  <r>
    <n v="399"/>
    <x v="41"/>
    <x v="284"/>
    <n v="1000"/>
    <n v="0.7"/>
    <d v="2012-09-10T00:00:00"/>
    <n v="0.95"/>
    <d v="2012-11-13T00:00:00"/>
    <n v="149.52757278829341"/>
    <n v="29.97674100424134"/>
    <n v="219.1"/>
    <n v="30.9"/>
    <x v="4"/>
    <n v="730.9"/>
    <x v="0"/>
    <x v="0"/>
    <x v="0"/>
    <x v="0"/>
    <x v="0"/>
    <x v="0"/>
    <x v="0"/>
    <x v="0"/>
  </r>
  <r>
    <n v="400"/>
    <x v="118"/>
    <x v="285"/>
    <n v="75"/>
    <n v="64.36"/>
    <d v="2012-10-05T00:00:00"/>
    <n v="63"/>
    <d v="2012-11-15T00:00:00"/>
    <n v="-20.478482256641279"/>
    <n v="-2.2740669500201567"/>
    <n v="-109.95"/>
    <n v="7.95"/>
    <x v="0"/>
    <n v="4834.95"/>
    <x v="0"/>
    <x v="0"/>
    <x v="0"/>
    <x v="0"/>
    <x v="0"/>
    <x v="0"/>
    <x v="0"/>
    <x v="0"/>
  </r>
  <r>
    <n v="401"/>
    <x v="118"/>
    <x v="285"/>
    <n v="25"/>
    <n v="71.959999999999994"/>
    <d v="2012-08-07T00:00:00"/>
    <n v="63"/>
    <d v="2012-11-15T00:00:00"/>
    <n v="-50.145550104011456"/>
    <n v="-12.836547773873091"/>
    <n v="-231.95"/>
    <n v="7.95"/>
    <x v="0"/>
    <n v="1806.95"/>
    <x v="0"/>
    <x v="0"/>
    <x v="0"/>
    <x v="0"/>
    <x v="0"/>
    <x v="0"/>
    <x v="0"/>
    <x v="0"/>
  </r>
  <r>
    <n v="402"/>
    <x v="118"/>
    <x v="271"/>
    <n v="100"/>
    <n v="0"/>
    <d v="2012-10-19T00:00:00"/>
    <n v="4.5"/>
    <d v="2012-11-15T00:00:00"/>
    <n v="3720.7700662946609"/>
    <n v="1467.9442508710804"/>
    <n v="421.3"/>
    <n v="28.7"/>
    <x v="5"/>
    <n v="28.7"/>
    <x v="0"/>
    <x v="0"/>
    <x v="0"/>
    <x v="0"/>
    <x v="0"/>
    <x v="0"/>
    <x v="0"/>
    <x v="0"/>
  </r>
  <r>
    <n v="403"/>
    <x v="105"/>
    <x v="286"/>
    <n v="100"/>
    <n v="0.5"/>
    <d v="2012-10-31T00:00:00"/>
    <n v="2.65"/>
    <d v="2012-11-16T00:00:00"/>
    <n v="3123.2247184050361"/>
    <n v="293.17507418397628"/>
    <n v="197.6"/>
    <n v="17.399999999999999"/>
    <x v="4"/>
    <n v="67.400000000000006"/>
    <x v="0"/>
    <x v="0"/>
    <x v="0"/>
    <x v="0"/>
    <x v="0"/>
    <x v="0"/>
    <x v="0"/>
    <x v="0"/>
  </r>
  <r>
    <n v="404"/>
    <x v="79"/>
    <x v="287"/>
    <n v="200"/>
    <n v="0.1"/>
    <d v="2012-11-05T00:00:00"/>
    <n v="1.2"/>
    <d v="2012-11-16T00:00:00"/>
    <n v="6037.9118685629137"/>
    <n v="516.96658097686384"/>
    <n v="201.1"/>
    <n v="18.899999999999999"/>
    <x v="4"/>
    <n v="38.9"/>
    <x v="0"/>
    <x v="0"/>
    <x v="0"/>
    <x v="0"/>
    <x v="0"/>
    <x v="0"/>
    <x v="0"/>
    <x v="0"/>
  </r>
  <r>
    <n v="405"/>
    <x v="117"/>
    <x v="288"/>
    <n v="100"/>
    <n v="41"/>
    <d v="2012-09-19T00:00:00"/>
    <n v="37"/>
    <d v="2012-11-17T00:00:00"/>
    <n v="-64.7047878876824"/>
    <n v="-9.9307440450833209"/>
    <n v="-407.95"/>
    <n v="7.95"/>
    <x v="0"/>
    <n v="4107.95"/>
    <x v="0"/>
    <x v="0"/>
    <x v="0"/>
    <x v="0"/>
    <x v="0"/>
    <x v="0"/>
    <x v="0"/>
    <x v="0"/>
  </r>
  <r>
    <n v="406"/>
    <x v="121"/>
    <x v="289"/>
    <n v="100"/>
    <n v="43.82"/>
    <d v="2012-09-07T00:00:00"/>
    <n v="43"/>
    <d v="2012-11-17T00:00:00"/>
    <n v="-10.64299634139109"/>
    <n v="-2.0489982801626514"/>
    <n v="-89.95"/>
    <n v="7.95"/>
    <x v="0"/>
    <n v="4389.95"/>
    <x v="0"/>
    <x v="0"/>
    <x v="0"/>
    <x v="0"/>
    <x v="0"/>
    <x v="0"/>
    <x v="0"/>
    <x v="0"/>
  </r>
  <r>
    <n v="407"/>
    <x v="99"/>
    <x v="174"/>
    <n v="100"/>
    <n v="18"/>
    <d v="2012-07-27T00:00:00"/>
    <n v="15"/>
    <d v="2012-11-17T00:00:00"/>
    <n v="-60.314957516317442"/>
    <n v="-17.033103791587152"/>
    <n v="-307.95"/>
    <n v="7.95"/>
    <x v="0"/>
    <n v="1807.95"/>
    <x v="0"/>
    <x v="0"/>
    <x v="0"/>
    <x v="0"/>
    <x v="0"/>
    <x v="0"/>
    <x v="0"/>
    <x v="0"/>
  </r>
  <r>
    <n v="408"/>
    <x v="99"/>
    <x v="174"/>
    <n v="100"/>
    <n v="14.984999999999999"/>
    <d v="2012-09-07T00:00:00"/>
    <n v="15"/>
    <d v="2012-11-17T00:00:00"/>
    <n v="-2.2058242496648046"/>
    <n v="-0.4281589166583617"/>
    <n v="-6.45"/>
    <n v="7.95"/>
    <x v="0"/>
    <n v="1506.45"/>
    <x v="0"/>
    <x v="0"/>
    <x v="0"/>
    <x v="0"/>
    <x v="0"/>
    <x v="0"/>
    <x v="0"/>
    <x v="0"/>
  </r>
  <r>
    <n v="409"/>
    <x v="99"/>
    <x v="290"/>
    <n v="200"/>
    <n v="0"/>
    <d v="2012-11-08T00:00:00"/>
    <n v="2"/>
    <d v="2012-11-17T00:00:00"/>
    <n v="10580.014250097678"/>
    <n v="1258.2342954159592"/>
    <n v="370.55"/>
    <n v="29.45"/>
    <x v="5"/>
    <n v="29.45"/>
    <x v="0"/>
    <x v="0"/>
    <x v="0"/>
    <x v="0"/>
    <x v="0"/>
    <x v="0"/>
    <x v="0"/>
    <x v="0"/>
  </r>
  <r>
    <n v="410"/>
    <x v="117"/>
    <x v="291"/>
    <n v="100"/>
    <n v="0"/>
    <d v="2012-10-15T00:00:00"/>
    <n v="5.0999999999999996"/>
    <d v="2012-11-17T00:00:00"/>
    <n v="3182.7044396296078"/>
    <n v="1677.0034843205574"/>
    <n v="481.3"/>
    <n v="28.7"/>
    <x v="5"/>
    <n v="28.7"/>
    <x v="0"/>
    <x v="0"/>
    <x v="0"/>
    <x v="0"/>
    <x v="0"/>
    <x v="0"/>
    <x v="0"/>
    <x v="0"/>
  </r>
  <r>
    <n v="411"/>
    <x v="121"/>
    <x v="292"/>
    <n v="100"/>
    <n v="0"/>
    <d v="2012-10-08T00:00:00"/>
    <n v="2"/>
    <d v="2012-11-17T00:00:00"/>
    <n v="1771.5459724514958"/>
    <n v="596.8641114982579"/>
    <n v="171.3"/>
    <n v="28.7"/>
    <x v="5"/>
    <n v="28.7"/>
    <x v="0"/>
    <x v="0"/>
    <x v="0"/>
    <x v="0"/>
    <x v="0"/>
    <x v="0"/>
    <x v="0"/>
    <x v="0"/>
  </r>
  <r>
    <n v="412"/>
    <x v="90"/>
    <x v="293"/>
    <n v="500"/>
    <n v="1.9"/>
    <d v="2011-10-05T00:00:00"/>
    <n v="0.01"/>
    <d v="2012-11-19T00:00:00"/>
    <n v="-469.7916536159762"/>
    <n v="-99.49581526671372"/>
    <n v="-986.7"/>
    <n v="41.7"/>
    <x v="8"/>
    <n v="991.7"/>
    <x v="0"/>
    <x v="0"/>
    <x v="0"/>
    <x v="0"/>
    <x v="0"/>
    <x v="0"/>
    <x v="0"/>
    <x v="0"/>
  </r>
  <r>
    <n v="413"/>
    <x v="24"/>
    <x v="144"/>
    <n v="2"/>
    <n v="7.6"/>
    <d v="2011-08-24T00:00:00"/>
    <n v="9.5"/>
    <d v="2012-11-20T00:00:00"/>
    <n v="-15.882790197911438"/>
    <n v="-17.926565874730017"/>
    <n v="-4.1500000000000004"/>
    <n v="7.95"/>
    <x v="0"/>
    <n v="23.15"/>
    <x v="0"/>
    <x v="0"/>
    <x v="0"/>
    <x v="0"/>
    <x v="0"/>
    <x v="0"/>
    <x v="0"/>
    <x v="0"/>
  </r>
  <r>
    <n v="414"/>
    <x v="61"/>
    <x v="294"/>
    <n v="1500"/>
    <n v="0.1"/>
    <d v="2012-09-10T00:00:00"/>
    <n v="0.35"/>
    <d v="2012-11-28T00:00:00"/>
    <n v="473.49782109369215"/>
    <n v="178.66242038216561"/>
    <n v="336.6"/>
    <n v="38.4"/>
    <x v="4"/>
    <n v="188.4"/>
    <x v="0"/>
    <x v="0"/>
    <x v="0"/>
    <x v="0"/>
    <x v="0"/>
    <x v="0"/>
    <x v="0"/>
    <x v="0"/>
  </r>
  <r>
    <n v="415"/>
    <x v="105"/>
    <x v="295"/>
    <n v="100"/>
    <n v="3.7"/>
    <d v="2012-11-23T00:00:00"/>
    <n v="5.7"/>
    <d v="2012-11-30T00:00:00"/>
    <n v="2013.6456085332943"/>
    <n v="47.13474445018069"/>
    <n v="182.6"/>
    <n v="17.399999999999999"/>
    <x v="4"/>
    <n v="387.4"/>
    <x v="0"/>
    <x v="0"/>
    <x v="0"/>
    <x v="0"/>
    <x v="0"/>
    <x v="0"/>
    <x v="0"/>
    <x v="0"/>
  </r>
  <r>
    <n v="416"/>
    <x v="75"/>
    <x v="296"/>
    <n v="100"/>
    <n v="5"/>
    <d v="2012-11-19T00:00:00"/>
    <n v="5.7"/>
    <d v="2012-12-04T00:00:00"/>
    <n v="235.59555495322297"/>
    <n v="10.16621569385388"/>
    <n v="52.6"/>
    <n v="17.399999999999999"/>
    <x v="4"/>
    <n v="517.4"/>
    <x v="0"/>
    <x v="0"/>
    <x v="0"/>
    <x v="0"/>
    <x v="0"/>
    <x v="0"/>
    <x v="0"/>
    <x v="0"/>
  </r>
  <r>
    <n v="417"/>
    <x v="47"/>
    <x v="297"/>
    <n v="200"/>
    <n v="1"/>
    <d v="2012-11-05T00:00:00"/>
    <n v="1.2"/>
    <d v="2012-12-18T00:00:00"/>
    <n v="78.113326434438449"/>
    <n v="9.6391046139789793"/>
    <n v="21.1"/>
    <n v="18.899999999999999"/>
    <x v="4"/>
    <n v="218.9"/>
    <x v="0"/>
    <x v="0"/>
    <x v="0"/>
    <x v="0"/>
    <x v="0"/>
    <x v="0"/>
    <x v="0"/>
    <x v="0"/>
  </r>
  <r>
    <n v="418"/>
    <x v="52"/>
    <x v="298"/>
    <n v="100"/>
    <n v="1.3"/>
    <d v="2012-11-30T00:00:00"/>
    <n v="0.95"/>
    <d v="2012-12-21T00:00:00"/>
    <n v="-763.49846274506592"/>
    <n v="-35.549525101763912"/>
    <n v="-52.4"/>
    <n v="17.399999999999999"/>
    <x v="4"/>
    <n v="147.4"/>
    <x v="0"/>
    <x v="0"/>
    <x v="0"/>
    <x v="0"/>
    <x v="0"/>
    <x v="0"/>
    <x v="0"/>
    <x v="0"/>
  </r>
  <r>
    <n v="419"/>
    <x v="89"/>
    <x v="299"/>
    <n v="100"/>
    <n v="5.4"/>
    <d v="2012-11-19T00:00:00"/>
    <n v="4"/>
    <d v="2012-12-21T00:00:00"/>
    <n v="-378.48055405640957"/>
    <n v="-28.238249013275933"/>
    <n v="-157.4"/>
    <n v="17.399999999999999"/>
    <x v="4"/>
    <n v="557.4"/>
    <x v="0"/>
    <x v="0"/>
    <x v="0"/>
    <x v="0"/>
    <x v="0"/>
    <x v="0"/>
    <x v="0"/>
    <x v="0"/>
  </r>
  <r>
    <n v="420"/>
    <x v="108"/>
    <x v="300"/>
    <n v="200"/>
    <n v="5.7"/>
    <d v="2012-11-16T00:00:00"/>
    <n v="2.1"/>
    <d v="2012-12-21T00:00:00"/>
    <n v="-1058.4706405084858"/>
    <n v="-63.758736733108975"/>
    <n v="-738.9"/>
    <n v="18.899999999999999"/>
    <x v="4"/>
    <n v="1158.9000000000001"/>
    <x v="0"/>
    <x v="0"/>
    <x v="0"/>
    <x v="0"/>
    <x v="0"/>
    <x v="0"/>
    <x v="0"/>
    <x v="0"/>
  </r>
  <r>
    <n v="421"/>
    <x v="24"/>
    <x v="301"/>
    <n v="100"/>
    <n v="0"/>
    <d v="2012-10-31T00:00:00"/>
    <n v="0.6"/>
    <d v="2012-12-21T00:00:00"/>
    <n v="527.78101059143489"/>
    <n v="109.05923344947736"/>
    <n v="31.3"/>
    <n v="28.7"/>
    <x v="5"/>
    <n v="28.7"/>
    <x v="0"/>
    <x v="0"/>
    <x v="0"/>
    <x v="0"/>
    <x v="0"/>
    <x v="0"/>
    <x v="0"/>
    <x v="0"/>
  </r>
  <r>
    <n v="422"/>
    <x v="24"/>
    <x v="301"/>
    <n v="100"/>
    <n v="2.25"/>
    <d v="2012-10-31T00:00:00"/>
    <n v="0.6"/>
    <d v="2012-12-21T00:00:00"/>
    <n v="-999.27316190228726"/>
    <n v="-75.247524752475243"/>
    <n v="-182.4"/>
    <n v="17.399999999999999"/>
    <x v="4"/>
    <n v="242.4"/>
    <x v="0"/>
    <x v="0"/>
    <x v="0"/>
    <x v="0"/>
    <x v="0"/>
    <x v="0"/>
    <x v="0"/>
    <x v="0"/>
  </r>
  <r>
    <n v="423"/>
    <x v="24"/>
    <x v="144"/>
    <n v="100"/>
    <n v="15.3"/>
    <d v="2009-12-15T00:00:00"/>
    <n v="9"/>
    <d v="2012-12-22T00:00:00"/>
    <n v="-17.73082229445723"/>
    <n v="-41.480542280308207"/>
    <n v="-637.95000000000005"/>
    <n v="7.95"/>
    <x v="0"/>
    <n v="1537.95"/>
    <x v="0"/>
    <x v="0"/>
    <x v="0"/>
    <x v="0"/>
    <x v="0"/>
    <x v="0"/>
    <x v="0"/>
    <x v="0"/>
  </r>
  <r>
    <n v="424"/>
    <x v="90"/>
    <x v="302"/>
    <n v="600"/>
    <n v="0"/>
    <d v="2012-11-19T00:00:00"/>
    <n v="0.65"/>
    <d v="2012-12-22T00:00:00"/>
    <n v="2750.1602970617014"/>
    <n v="1101.8489984591679"/>
    <n v="357.55"/>
    <n v="32.450000000000003"/>
    <x v="5"/>
    <n v="32.450000000000003"/>
    <x v="0"/>
    <x v="0"/>
    <x v="0"/>
    <x v="0"/>
    <x v="0"/>
    <x v="0"/>
    <x v="0"/>
    <x v="0"/>
  </r>
  <r>
    <n v="425"/>
    <x v="32"/>
    <x v="303"/>
    <n v="400"/>
    <n v="0"/>
    <d v="2012-09-19T00:00:00"/>
    <n v="0.55000000000000004"/>
    <d v="2012-12-22T00:00:00"/>
    <n v="1165.0054817902085"/>
    <n v="1909.1324200913243"/>
    <n v="209.05"/>
    <n v="10.95"/>
    <x v="2"/>
    <n v="10.95"/>
    <x v="0"/>
    <x v="0"/>
    <x v="0"/>
    <x v="0"/>
    <x v="0"/>
    <x v="0"/>
    <x v="0"/>
    <x v="0"/>
  </r>
  <r>
    <n v="426"/>
    <x v="90"/>
    <x v="304"/>
    <n v="100"/>
    <n v="16.43"/>
    <d v="2011-12-01T00:00:00"/>
    <n v="18"/>
    <d v="2012-12-23T00:00:00"/>
    <n v="8.1312014332513751"/>
    <n v="9.0281353160301698"/>
    <n v="149.05000000000001"/>
    <n v="7.95"/>
    <x v="0"/>
    <n v="1650.95"/>
    <x v="0"/>
    <x v="0"/>
    <x v="0"/>
    <x v="0"/>
    <x v="0"/>
    <x v="0"/>
    <x v="0"/>
    <x v="0"/>
  </r>
  <r>
    <n v="427"/>
    <x v="90"/>
    <x v="304"/>
    <n v="500"/>
    <n v="17.5"/>
    <d v="2012-11-19T00:00:00"/>
    <n v="18"/>
    <d v="2012-12-23T00:00:00"/>
    <n v="29.267329659843636"/>
    <n v="2.7637746276240533"/>
    <n v="242.05"/>
    <n v="7.95"/>
    <x v="0"/>
    <n v="8757.9500000000007"/>
    <x v="0"/>
    <x v="0"/>
    <x v="0"/>
    <x v="0"/>
    <x v="0"/>
    <x v="0"/>
    <x v="0"/>
    <x v="0"/>
  </r>
  <r>
    <n v="428"/>
    <x v="8"/>
    <x v="305"/>
    <n v="100"/>
    <n v="13"/>
    <d v="2011-10-28T00:00:00"/>
    <n v="7.5"/>
    <d v="2012-12-24T00:00:00"/>
    <n v="-47.988707077211423"/>
    <n v="-42.658358499942658"/>
    <n v="-557.95000000000005"/>
    <n v="7.95"/>
    <x v="0"/>
    <n v="1307.95"/>
    <x v="0"/>
    <x v="0"/>
    <x v="0"/>
    <x v="0"/>
    <x v="0"/>
    <x v="0"/>
    <x v="0"/>
    <x v="0"/>
  </r>
  <r>
    <n v="429"/>
    <x v="122"/>
    <x v="306"/>
    <n v="10"/>
    <n v="400"/>
    <d v="2011-12-13T00:00:00"/>
    <n v="12"/>
    <d v="2012-12-27T00:00:00"/>
    <n v="-337.0048289663298"/>
    <n v="-97.005950673037319"/>
    <n v="-3887.95"/>
    <n v="7.95"/>
    <x v="0"/>
    <n v="4007.95"/>
    <x v="0"/>
    <x v="0"/>
    <x v="0"/>
    <x v="0"/>
    <x v="0"/>
    <x v="0"/>
    <x v="0"/>
    <x v="0"/>
  </r>
  <r>
    <n v="430"/>
    <x v="89"/>
    <x v="307"/>
    <n v="100"/>
    <n v="86.55"/>
    <d v="2011-07-21T00:00:00"/>
    <n v="46"/>
    <d v="2012-12-31T00:00:00"/>
    <n v="-43.675734937455275"/>
    <n v="-46.900305323244389"/>
    <n v="-4062.95"/>
    <n v="7.95"/>
    <x v="0"/>
    <n v="8662.9500000000007"/>
    <x v="0"/>
    <x v="0"/>
    <x v="0"/>
    <x v="0"/>
    <x v="0"/>
    <x v="0"/>
    <x v="0"/>
    <x v="0"/>
  </r>
  <r>
    <n v="431"/>
    <x v="104"/>
    <x v="308"/>
    <n v="100"/>
    <n v="3"/>
    <d v="2012-12-05T00:00:00"/>
    <n v="3.5"/>
    <d v="2012-12-31T00:00:00"/>
    <n v="137.25452474142298"/>
    <n v="10.270951480781353"/>
    <n v="32.6"/>
    <n v="17.399999999999999"/>
    <x v="4"/>
    <n v="317.39999999999998"/>
    <x v="0"/>
    <x v="0"/>
    <x v="0"/>
    <x v="0"/>
    <x v="0"/>
    <x v="0"/>
    <x v="0"/>
    <x v="0"/>
  </r>
  <r>
    <n v="432"/>
    <x v="32"/>
    <x v="309"/>
    <n v="400"/>
    <n v="11"/>
    <d v="2010-01-06T00:00:00"/>
    <n v="3.6"/>
    <d v="2012-12-31T00:00:00"/>
    <n v="-37.463285737868681"/>
    <n v="-67.331752855635841"/>
    <n v="-2967.95"/>
    <n v="7.95"/>
    <x v="0"/>
    <n v="4407.95"/>
    <x v="0"/>
    <x v="0"/>
    <x v="0"/>
    <x v="0"/>
    <x v="0"/>
    <x v="0"/>
    <x v="0"/>
    <x v="0"/>
  </r>
  <r>
    <n v="433"/>
    <x v="52"/>
    <x v="310"/>
    <n v="100"/>
    <n v="79.621899999999997"/>
    <d v="2011-09-18T00:00:00"/>
    <n v="35.299999999999997"/>
    <d v="2012-12-31T00:00:00"/>
    <n v="-63.246282652074669"/>
    <n v="-55.709686404504815"/>
    <n v="-4440.1400000000003"/>
    <n v="7.95"/>
    <x v="0"/>
    <n v="7970.14"/>
    <x v="0"/>
    <x v="0"/>
    <x v="0"/>
    <x v="0"/>
    <x v="0"/>
    <x v="0"/>
    <x v="0"/>
    <x v="0"/>
  </r>
  <r>
    <n v="434"/>
    <x v="123"/>
    <x v="311"/>
    <n v="2000"/>
    <n v="1.8"/>
    <d v="2011-03-21T00:00:00"/>
    <n v="0.4"/>
    <d v="2012-12-31T00:00:00"/>
    <n v="-84.453671704114328"/>
    <n v="-77.826743718732246"/>
    <n v="-2807.95"/>
    <n v="7.95"/>
    <x v="0"/>
    <n v="3607.95"/>
    <x v="0"/>
    <x v="0"/>
    <x v="0"/>
    <x v="0"/>
    <x v="0"/>
    <x v="0"/>
    <x v="0"/>
    <x v="0"/>
  </r>
  <r>
    <n v="435"/>
    <x v="75"/>
    <x v="312"/>
    <n v="100"/>
    <n v="64.305000000000007"/>
    <d v="2011-09-27T00:00:00"/>
    <n v="43.26"/>
    <d v="2012-12-31T00:00:00"/>
    <n v="-31.483783653178861"/>
    <n v="-32.809915429955971"/>
    <n v="-2112.4499999999998"/>
    <n v="7.95"/>
    <x v="0"/>
    <n v="6438.45"/>
    <x v="0"/>
    <x v="0"/>
    <x v="0"/>
    <x v="0"/>
    <x v="0"/>
    <x v="0"/>
    <x v="0"/>
    <x v="0"/>
  </r>
  <r>
    <n v="436"/>
    <x v="59"/>
    <x v="313"/>
    <n v="900"/>
    <n v="2"/>
    <d v="2010-05-17T00:00:00"/>
    <n v="0.3"/>
    <d v="2012-12-31T00:00:00"/>
    <n v="-72.373026928779154"/>
    <n v="-85.065958682485686"/>
    <n v="-1537.95"/>
    <n v="7.95"/>
    <x v="0"/>
    <n v="1807.95"/>
    <x v="0"/>
    <x v="0"/>
    <x v="0"/>
    <x v="0"/>
    <x v="0"/>
    <x v="0"/>
    <x v="0"/>
    <x v="0"/>
  </r>
  <r>
    <n v="437"/>
    <x v="124"/>
    <x v="314"/>
    <n v="79"/>
    <n v="40.200000000000003"/>
    <d v="2009-10-01T00:00:00"/>
    <n v="6.0031999999999996"/>
    <d v="2012-12-31T00:00:00"/>
    <n v="-58.549890261540014"/>
    <n v="-85.103956026698086"/>
    <n v="-2709.4971999999998"/>
    <n v="7.95"/>
    <x v="0"/>
    <n v="3183.75"/>
    <x v="0"/>
    <x v="0"/>
    <x v="0"/>
    <x v="0"/>
    <x v="0"/>
    <x v="0"/>
    <x v="0"/>
    <x v="0"/>
  </r>
  <r>
    <n v="438"/>
    <x v="108"/>
    <x v="315"/>
    <n v="200"/>
    <n v="40"/>
    <d v="2012-05-18T00:00:00"/>
    <n v="26.5"/>
    <d v="2012-12-31T00:00:00"/>
    <n v="-66.363749714922534"/>
    <n v="-33.815770577988125"/>
    <n v="-2707.95"/>
    <n v="7.95"/>
    <x v="0"/>
    <n v="8007.95"/>
    <x v="0"/>
    <x v="0"/>
    <x v="0"/>
    <x v="0"/>
    <x v="0"/>
    <x v="0"/>
    <x v="0"/>
    <x v="0"/>
  </r>
  <r>
    <n v="439"/>
    <x v="61"/>
    <x v="316"/>
    <n v="1000"/>
    <n v="4.41"/>
    <d v="2011-08-07T00:00:00"/>
    <n v="2.0145"/>
    <d v="2013-01-02T00:00:00"/>
    <n v="-55.765805079855411"/>
    <n v="-54.40192849624826"/>
    <n v="-2403.4499999999998"/>
    <n v="7.95"/>
    <x v="0"/>
    <n v="4417.95"/>
    <x v="0"/>
    <x v="0"/>
    <x v="0"/>
    <x v="0"/>
    <x v="0"/>
    <x v="0"/>
    <x v="0"/>
    <x v="0"/>
  </r>
  <r>
    <n v="440"/>
    <x v="61"/>
    <x v="316"/>
    <n v="500"/>
    <n v="4.5"/>
    <d v="2011-11-01T00:00:00"/>
    <n v="2.0145"/>
    <d v="2013-01-02T00:00:00"/>
    <n v="-68.841172679826073"/>
    <n v="-55.390951969707039"/>
    <n v="-1250.7"/>
    <n v="7.95"/>
    <x v="0"/>
    <n v="2257.9499999999998"/>
    <x v="0"/>
    <x v="0"/>
    <x v="0"/>
    <x v="0"/>
    <x v="0"/>
    <x v="0"/>
    <x v="0"/>
    <x v="0"/>
  </r>
  <r>
    <n v="441"/>
    <x v="3"/>
    <x v="317"/>
    <n v="100"/>
    <n v="0.5"/>
    <d v="2012-11-29T00:00:00"/>
    <n v="1.48"/>
    <d v="2013-01-04T00:00:00"/>
    <n v="797.49180106593519"/>
    <n v="119.58456973293772"/>
    <n v="80.599999999999994"/>
    <n v="17.399999999999999"/>
    <x v="4"/>
    <n v="67.400000000000006"/>
    <x v="0"/>
    <x v="0"/>
    <x v="0"/>
    <x v="0"/>
    <x v="0"/>
    <x v="0"/>
    <x v="0"/>
    <x v="0"/>
  </r>
  <r>
    <n v="442"/>
    <x v="107"/>
    <x v="318"/>
    <n v="517"/>
    <n v="2.915"/>
    <d v="2011-08-30T00:00:00"/>
    <n v="1.95"/>
    <d v="2013-01-04T00:00:00"/>
    <n v="-30.155202126196706"/>
    <n v="-33.455665162821248"/>
    <n v="-506.85500000000002"/>
    <n v="7.95"/>
    <x v="0"/>
    <n v="1515.0050000000001"/>
    <x v="0"/>
    <x v="0"/>
    <x v="0"/>
    <x v="0"/>
    <x v="0"/>
    <x v="0"/>
    <x v="0"/>
    <x v="0"/>
  </r>
  <r>
    <n v="443"/>
    <x v="104"/>
    <x v="319"/>
    <n v="100"/>
    <n v="4.74"/>
    <d v="2013-01-02T00:00:00"/>
    <n v="2.75"/>
    <d v="2013-01-18T00:00:00"/>
    <n v="-1324.2367955217826"/>
    <n v="-44.037444037444047"/>
    <n v="-216.4"/>
    <n v="17.399999999999999"/>
    <x v="4"/>
    <n v="491.4"/>
    <x v="0"/>
    <x v="0"/>
    <x v="0"/>
    <x v="0"/>
    <x v="0"/>
    <x v="0"/>
    <x v="0"/>
    <x v="0"/>
  </r>
  <r>
    <n v="444"/>
    <x v="79"/>
    <x v="320"/>
    <n v="200"/>
    <n v="19.5"/>
    <d v="2011-09-01T00:00:00"/>
    <n v="19"/>
    <d v="2013-01-20T00:00:00"/>
    <n v="-2.0166338620978475"/>
    <n v="-2.7623178392763545"/>
    <n v="-107.95"/>
    <n v="7.95"/>
    <x v="0"/>
    <n v="3907.95"/>
    <x v="0"/>
    <x v="0"/>
    <x v="0"/>
    <x v="0"/>
    <x v="0"/>
    <x v="0"/>
    <x v="0"/>
    <x v="0"/>
  </r>
  <r>
    <n v="445"/>
    <x v="41"/>
    <x v="321"/>
    <n v="1000"/>
    <n v="0.5"/>
    <d v="2012-12-17T00:00:00"/>
    <n v="0.75"/>
    <d v="2013-02-07T00:00:00"/>
    <n v="242.51409102570489"/>
    <n v="41.269542286682984"/>
    <n v="219.1"/>
    <n v="30.9"/>
    <x v="4"/>
    <n v="530.9"/>
    <x v="0"/>
    <x v="0"/>
    <x v="0"/>
    <x v="0"/>
    <x v="0"/>
    <x v="0"/>
    <x v="0"/>
    <x v="0"/>
  </r>
  <r>
    <n v="446"/>
    <x v="125"/>
    <x v="322"/>
    <n v="100"/>
    <n v="2.5"/>
    <d v="2012-12-05T00:00:00"/>
    <n v="3.5"/>
    <d v="2013-01-25T00:00:00"/>
    <n v="192.65379173078441"/>
    <n v="30.890052356020945"/>
    <n v="82.6"/>
    <n v="17.399999999999999"/>
    <x v="1"/>
    <n v="267.39999999999998"/>
    <x v="0"/>
    <x v="0"/>
    <x v="0"/>
    <x v="0"/>
    <x v="0"/>
    <x v="0"/>
    <x v="0"/>
    <x v="0"/>
  </r>
  <r>
    <n v="447"/>
    <x v="79"/>
    <x v="323"/>
    <n v="200"/>
    <n v="0"/>
    <d v="2012-12-04T00:00:00"/>
    <n v="2"/>
    <d v="2013-01-20T00:00:00"/>
    <n v="2025.9601755506192"/>
    <n v="1258.2342954159592"/>
    <n v="370.55"/>
    <n v="29.45"/>
    <x v="5"/>
    <n v="29.45"/>
    <x v="0"/>
    <x v="0"/>
    <x v="0"/>
    <x v="0"/>
    <x v="0"/>
    <x v="0"/>
    <x v="0"/>
    <x v="0"/>
  </r>
  <r>
    <n v="448"/>
    <x v="24"/>
    <x v="144"/>
    <n v="75"/>
    <n v="15.3"/>
    <d v="2009-12-15T00:00:00"/>
    <n v="10"/>
    <d v="2013-02-15T00:00:00"/>
    <n v="-13.622000180648174"/>
    <n v="-35.090224587822924"/>
    <n v="-405.45"/>
    <n v="7.95"/>
    <x v="0"/>
    <n v="1155.45"/>
    <x v="0"/>
    <x v="0"/>
    <x v="0"/>
    <x v="0"/>
    <x v="0"/>
    <x v="0"/>
    <x v="0"/>
    <x v="0"/>
  </r>
  <r>
    <n v="449"/>
    <x v="126"/>
    <x v="324"/>
    <n v="100"/>
    <n v="67.75"/>
    <d v="2012-12-31T00:00:00"/>
    <n v="67.5"/>
    <d v="2013-02-15T00:00:00"/>
    <n v="-3.8639262482569889"/>
    <n v="-0.48577683751169615"/>
    <n v="-32.950000000000003"/>
    <n v="7.95"/>
    <x v="0"/>
    <n v="6782.95"/>
    <x v="0"/>
    <x v="0"/>
    <x v="0"/>
    <x v="0"/>
    <x v="0"/>
    <x v="0"/>
    <x v="0"/>
    <x v="0"/>
  </r>
  <r>
    <n v="450"/>
    <x v="24"/>
    <x v="144"/>
    <n v="25"/>
    <n v="8"/>
    <d v="2012-05-03T00:00:00"/>
    <n v="10"/>
    <d v="2013-02-15T00:00:00"/>
    <n v="23.340134326654141"/>
    <n v="20.221207020918495"/>
    <n v="42.05"/>
    <n v="7.95"/>
    <x v="0"/>
    <n v="207.95"/>
    <x v="0"/>
    <x v="0"/>
    <x v="0"/>
    <x v="0"/>
    <x v="0"/>
    <x v="0"/>
    <x v="0"/>
    <x v="0"/>
  </r>
  <r>
    <n v="451"/>
    <x v="126"/>
    <x v="325"/>
    <n v="100"/>
    <n v="0"/>
    <d v="2013-01-04T00:00:00"/>
    <n v="2.5"/>
    <d v="2013-02-15T00:00:00"/>
    <n v="1881.1090124054399"/>
    <n v="771.08013937282237"/>
    <n v="221.3"/>
    <n v="28.7"/>
    <x v="5"/>
    <n v="28.7"/>
    <x v="0"/>
    <x v="0"/>
    <x v="0"/>
    <x v="0"/>
    <x v="0"/>
    <x v="0"/>
    <x v="0"/>
    <x v="0"/>
  </r>
  <r>
    <n v="452"/>
    <x v="24"/>
    <x v="326"/>
    <n v="100"/>
    <n v="0"/>
    <d v="2012-12-27T00:00:00"/>
    <n v="1.5"/>
    <d v="2013-02-15T00:00:00"/>
    <n v="1572.5405141493138"/>
    <n v="762.06896551724139"/>
    <n v="132.6"/>
    <n v="17.399999999999999"/>
    <x v="4"/>
    <n v="17.399999999999999"/>
    <x v="0"/>
    <x v="0"/>
    <x v="0"/>
    <x v="0"/>
    <x v="0"/>
    <x v="0"/>
    <x v="0"/>
    <x v="0"/>
  </r>
  <r>
    <n v="453"/>
    <x v="104"/>
    <x v="327"/>
    <n v="100"/>
    <n v="95"/>
    <d v="2012-04-19T00:00:00"/>
    <n v="92.5"/>
    <d v="2013-02-27T00:00:00"/>
    <n v="-3.1972069487445434"/>
    <n v="-2.7129928112789781"/>
    <n v="-257.95"/>
    <n v="7.95"/>
    <x v="0"/>
    <n v="9507.9500000000007"/>
    <x v="0"/>
    <x v="0"/>
    <x v="0"/>
    <x v="0"/>
    <x v="0"/>
    <x v="0"/>
    <x v="0"/>
    <x v="0"/>
  </r>
  <r>
    <n v="454"/>
    <x v="104"/>
    <x v="328"/>
    <n v="100"/>
    <n v="0"/>
    <d v="2013-02-25T00:00:00"/>
    <n v="2"/>
    <d v="2013-02-27T00:00:00"/>
    <n v="35430.91944902992"/>
    <n v="596.8641114982579"/>
    <n v="171.3"/>
    <n v="28.7"/>
    <x v="5"/>
    <n v="28.7"/>
    <x v="0"/>
    <x v="0"/>
    <x v="0"/>
    <x v="0"/>
    <x v="0"/>
    <x v="0"/>
    <x v="0"/>
    <x v="0"/>
  </r>
  <r>
    <n v="455"/>
    <x v="127"/>
    <x v="329"/>
    <n v="50"/>
    <n v="67.069999999999993"/>
    <d v="2009-09-29T00:00:00"/>
    <n v="13"/>
    <d v="2013-03-19T00:00:00"/>
    <n v="-47.336361545209428"/>
    <n v="-80.663106695027437"/>
    <n v="-2711.45"/>
    <n v="7.95"/>
    <x v="0"/>
    <n v="3361.45"/>
    <x v="0"/>
    <x v="0"/>
    <x v="0"/>
    <x v="0"/>
    <x v="0"/>
    <x v="0"/>
    <x v="0"/>
    <x v="0"/>
  </r>
  <r>
    <n v="456"/>
    <x v="127"/>
    <x v="329"/>
    <n v="50"/>
    <n v="23.5"/>
    <d v="2011-09-15T00:00:00"/>
    <n v="13"/>
    <d v="2013-03-19T00:00:00"/>
    <n v="-39.666042775053427"/>
    <n v="-45.052622680586666"/>
    <n v="-532.95000000000005"/>
    <n v="7.95"/>
    <x v="0"/>
    <n v="1182.95"/>
    <x v="0"/>
    <x v="0"/>
    <x v="0"/>
    <x v="0"/>
    <x v="0"/>
    <x v="0"/>
    <x v="0"/>
    <x v="0"/>
  </r>
  <r>
    <n v="457"/>
    <x v="127"/>
    <x v="330"/>
    <n v="100"/>
    <n v="0"/>
    <d v="2013-03-12T00:00:00"/>
    <n v="1.7"/>
    <d v="2013-03-19T00:00:00"/>
    <n v="9275.6997101987217"/>
    <n v="492.33449477351922"/>
    <n v="141.30000000000001"/>
    <n v="28.7"/>
    <x v="5"/>
    <n v="28.7"/>
    <x v="0"/>
    <x v="0"/>
    <x v="0"/>
    <x v="0"/>
    <x v="0"/>
    <x v="0"/>
    <x v="0"/>
    <x v="0"/>
  </r>
  <r>
    <n v="458"/>
    <x v="128"/>
    <x v="331"/>
    <n v="100"/>
    <n v="3"/>
    <d v="2012-11-30T00:00:00"/>
    <n v="0.01"/>
    <d v="2013-03-16T00:00:00"/>
    <n v="-1992.680976190916"/>
    <n v="-99.676060900550723"/>
    <n v="-307.7"/>
    <n v="8.6999999999999993"/>
    <x v="9"/>
    <n v="308.7"/>
    <x v="0"/>
    <x v="0"/>
    <x v="0"/>
    <x v="0"/>
    <x v="0"/>
    <x v="0"/>
    <x v="0"/>
    <x v="0"/>
  </r>
  <r>
    <n v="459"/>
    <x v="18"/>
    <x v="332"/>
    <n v="100"/>
    <n v="49"/>
    <d v="2013-01-03T00:00:00"/>
    <n v="1E-3"/>
    <d v="2013-06-22T00:00:00"/>
    <n v="-2332.8358415525299"/>
    <n v="-99.997962800741561"/>
    <n v="-4908.6000000000004"/>
    <n v="8.6999999999999993"/>
    <x v="9"/>
    <n v="4908.7"/>
    <x v="0"/>
    <x v="0"/>
    <x v="0"/>
    <x v="0"/>
    <x v="0"/>
    <x v="0"/>
    <x v="0"/>
    <x v="0"/>
  </r>
  <r>
    <n v="460"/>
    <x v="13"/>
    <x v="333"/>
    <n v="10"/>
    <n v="493.41989999999998"/>
    <d v="2013-08-28T00:00:00"/>
    <n v="506.05"/>
    <d v="2013-09-09T00:00:00"/>
    <n v="71.981150552085964"/>
    <n v="2.3947274758409773"/>
    <n v="118.351"/>
    <n v="7.95"/>
    <x v="0"/>
    <n v="4942.1490000000003"/>
    <x v="0"/>
    <x v="0"/>
    <x v="0"/>
    <x v="0"/>
    <x v="0"/>
    <x v="0"/>
    <x v="0"/>
    <x v="0"/>
  </r>
  <r>
    <n v="461"/>
    <x v="13"/>
    <x v="333"/>
    <n v="10"/>
    <n v="492.18"/>
    <d v="2013-09-23T00:00:00"/>
    <n v="501"/>
    <d v="2013-10-16T00:00:00"/>
    <n v="25.625599858682644"/>
    <n v="1.6278715959227097"/>
    <n v="80.25"/>
    <n v="7.95"/>
    <x v="0"/>
    <n v="4929.75"/>
    <x v="0"/>
    <x v="0"/>
    <x v="0"/>
    <x v="0"/>
    <x v="0"/>
    <x v="0"/>
    <x v="0"/>
    <x v="0"/>
  </r>
  <r>
    <n v="462"/>
    <x v="129"/>
    <x v="334"/>
    <n v="100"/>
    <n v="1E-4"/>
    <d v="2013-10-14T00:00:00"/>
    <n v="4"/>
    <d v="2013-10-18T00:00:00"/>
    <n v="34921.308900722579"/>
    <n v="4492.4225028702649"/>
    <n v="391.29"/>
    <n v="8.6999999999999993"/>
    <x v="2"/>
    <n v="8.7100000000000009"/>
    <x v="0"/>
    <x v="0"/>
    <x v="0"/>
    <x v="0"/>
    <x v="0"/>
    <x v="0"/>
    <x v="0"/>
    <x v="0"/>
  </r>
  <r>
    <n v="463"/>
    <x v="104"/>
    <x v="327"/>
    <n v="2"/>
    <n v="95"/>
    <d v="2012-04-19T00:00:00"/>
    <n v="102"/>
    <d v="2013-05-15T00:00:00"/>
    <n v="2.810361868697711"/>
    <n v="3.0563273553927819"/>
    <n v="6.05"/>
    <n v="7.95"/>
    <x v="0"/>
    <n v="197.95"/>
    <x v="0"/>
    <x v="0"/>
    <x v="0"/>
    <x v="0"/>
    <x v="0"/>
    <x v="0"/>
    <x v="0"/>
    <x v="0"/>
  </r>
  <r>
    <n v="464"/>
    <x v="104"/>
    <x v="327"/>
    <n v="98"/>
    <n v="94.56"/>
    <d v="2013-10-04T00:00:00"/>
    <n v="95.35"/>
    <d v="2013-10-17T00:00:00"/>
    <n v="20.951708241253883"/>
    <n v="0.74901642402070889"/>
    <n v="69.47"/>
    <n v="7.95"/>
    <x v="0"/>
    <n v="9274.83"/>
    <x v="0"/>
    <x v="0"/>
    <x v="0"/>
    <x v="0"/>
    <x v="0"/>
    <x v="0"/>
    <x v="0"/>
    <x v="0"/>
  </r>
  <r>
    <n v="465"/>
    <x v="130"/>
    <x v="335"/>
    <n v="200"/>
    <n v="0.3"/>
    <d v="2013-10-02T00:00:00"/>
    <n v="0.82"/>
    <d v="2013-10-18T00:00:00"/>
    <n v="1669.1568624369686"/>
    <n v="107.85804816223067"/>
    <n v="85.1"/>
    <n v="18.899999999999999"/>
    <x v="4"/>
    <n v="78.900000000000006"/>
    <x v="0"/>
    <x v="0"/>
    <x v="0"/>
    <x v="0"/>
    <x v="0"/>
    <x v="0"/>
    <x v="0"/>
    <x v="0"/>
  </r>
  <r>
    <n v="466"/>
    <x v="75"/>
    <x v="336"/>
    <n v="200"/>
    <n v="1.3"/>
    <d v="2013-10-02T00:00:00"/>
    <n v="1.8"/>
    <d v="2013-10-18T00:00:00"/>
    <n v="582.29074336312533"/>
    <n v="29.078522768017208"/>
    <n v="81.099999999999994"/>
    <n v="18.899999999999999"/>
    <x v="4"/>
    <n v="278.89999999999998"/>
    <x v="0"/>
    <x v="0"/>
    <x v="0"/>
    <x v="0"/>
    <x v="0"/>
    <x v="0"/>
    <x v="0"/>
    <x v="0"/>
  </r>
  <r>
    <n v="467"/>
    <x v="76"/>
    <x v="337"/>
    <n v="204"/>
    <n v="14.5541"/>
    <d v="2011-11-11T00:00:00"/>
    <n v="14"/>
    <d v="2013-10-19T00:00:00"/>
    <n v="-2.1419598661651724"/>
    <n v="-4.0640561878280677"/>
    <n v="-120.9864"/>
    <n v="7.95"/>
    <x v="0"/>
    <n v="2976.9863999999998"/>
    <x v="0"/>
    <x v="0"/>
    <x v="0"/>
    <x v="0"/>
    <x v="0"/>
    <x v="0"/>
    <x v="0"/>
    <x v="0"/>
  </r>
  <r>
    <n v="468"/>
    <x v="76"/>
    <x v="338"/>
    <n v="200"/>
    <n v="0"/>
    <d v="2013-07-25T00:00:00"/>
    <n v="1"/>
    <d v="2013-10-19T00:00:00"/>
    <n v="813.02623442373374"/>
    <n v="579.11714770797971"/>
    <n v="170.55"/>
    <n v="29.45"/>
    <x v="5"/>
    <n v="29.45"/>
    <x v="0"/>
    <x v="0"/>
    <x v="0"/>
    <x v="0"/>
    <x v="0"/>
    <x v="0"/>
    <x v="0"/>
    <x v="0"/>
  </r>
  <r>
    <n v="469"/>
    <x v="75"/>
    <x v="339"/>
    <n v="200"/>
    <n v="1.5"/>
    <d v="2013-10-22T00:00:00"/>
    <n v="3"/>
    <d v="2013-11-04T00:00:00"/>
    <n v="1774.6077664465311"/>
    <n v="88.146754468485426"/>
    <n v="281.10000000000002"/>
    <n v="18.899999999999999"/>
    <x v="4"/>
    <n v="318.89999999999998"/>
    <x v="0"/>
    <x v="0"/>
    <x v="0"/>
    <x v="0"/>
    <x v="0"/>
    <x v="0"/>
    <x v="0"/>
    <x v="0"/>
  </r>
  <r>
    <n v="470"/>
    <x v="56"/>
    <x v="340"/>
    <n v="200"/>
    <n v="0.35"/>
    <d v="2013-10-11T00:00:00"/>
    <n v="1.65"/>
    <d v="2013-11-07T00:00:00"/>
    <n v="1773.0625439197909"/>
    <n v="271.20359955005625"/>
    <n v="241.1"/>
    <n v="18.899999999999999"/>
    <x v="4"/>
    <n v="88.9"/>
    <x v="0"/>
    <x v="0"/>
    <x v="0"/>
    <x v="0"/>
    <x v="0"/>
    <x v="0"/>
    <x v="0"/>
    <x v="0"/>
  </r>
  <r>
    <n v="471"/>
    <x v="52"/>
    <x v="341"/>
    <n v="100"/>
    <n v="0.15"/>
    <d v="2013-11-08T00:00:00"/>
    <n v="0.8"/>
    <d v="2013-11-13T00:00:00"/>
    <n v="6598.2379466918665"/>
    <n v="146.91358024691365"/>
    <n v="47.6"/>
    <n v="17.399999999999999"/>
    <x v="4"/>
    <n v="32.4"/>
    <x v="0"/>
    <x v="0"/>
    <x v="0"/>
    <x v="0"/>
    <x v="0"/>
    <x v="0"/>
    <x v="0"/>
    <x v="0"/>
  </r>
  <r>
    <n v="472"/>
    <x v="71"/>
    <x v="117"/>
    <n v="200"/>
    <n v="8.5048999999999992"/>
    <d v="2013-10-14T00:00:00"/>
    <n v="8"/>
    <d v="2013-11-14T00:00:00"/>
    <n v="-77.549329885542932"/>
    <n v="-6.3741639505421412"/>
    <n v="-108.93"/>
    <n v="7.95"/>
    <x v="0"/>
    <n v="1708.93"/>
    <x v="0"/>
    <x v="0"/>
    <x v="0"/>
    <x v="0"/>
    <x v="0"/>
    <x v="0"/>
    <x v="0"/>
    <x v="0"/>
  </r>
  <r>
    <n v="473"/>
    <x v="71"/>
    <x v="342"/>
    <n v="200"/>
    <n v="0"/>
    <d v="2013-10-29T00:00:00"/>
    <n v="0.65"/>
    <d v="2013-11-14T00:00:00"/>
    <n v="3387.2924826916578"/>
    <n v="341.42614601018681"/>
    <n v="100.55"/>
    <n v="29.45"/>
    <x v="5"/>
    <n v="29.45"/>
    <x v="0"/>
    <x v="0"/>
    <x v="0"/>
    <x v="0"/>
    <x v="0"/>
    <x v="0"/>
    <x v="0"/>
    <x v="0"/>
  </r>
  <r>
    <n v="474"/>
    <x v="129"/>
    <x v="343"/>
    <n v="100"/>
    <n v="1E-4"/>
    <d v="2013-11-07T00:00:00"/>
    <n v="2.7"/>
    <d v="2013-11-29T00:00:00"/>
    <n v="5697.2355062222578"/>
    <n v="2999.8851894374284"/>
    <n v="261.29000000000002"/>
    <n v="8.6999999999999993"/>
    <x v="2"/>
    <n v="8.7100000000000009"/>
    <x v="0"/>
    <x v="0"/>
    <x v="0"/>
    <x v="0"/>
    <x v="0"/>
    <x v="0"/>
    <x v="0"/>
    <x v="0"/>
  </r>
  <r>
    <n v="475"/>
    <x v="131"/>
    <x v="344"/>
    <n v="100"/>
    <n v="0.95"/>
    <d v="2013-12-20T00:00:00"/>
    <n v="0.8"/>
    <d v="2013-12-21T00:00:00"/>
    <n v="-12411.361551678374"/>
    <n v="-28.825622775800699"/>
    <n v="-32.4"/>
    <n v="17.399999999999999"/>
    <x v="4"/>
    <n v="112.4"/>
    <x v="0"/>
    <x v="0"/>
    <x v="0"/>
    <x v="0"/>
    <x v="0"/>
    <x v="0"/>
    <x v="0"/>
    <x v="0"/>
  </r>
  <r>
    <n v="476"/>
    <x v="70"/>
    <x v="345"/>
    <n v="200"/>
    <n v="1"/>
    <d v="2013-11-29T00:00:00"/>
    <n v="0.9"/>
    <d v="2013-12-21T00:00:00"/>
    <n v="-324.61466399132502"/>
    <n v="-17.77067153951576"/>
    <n v="-38.9"/>
    <n v="18.899999999999999"/>
    <x v="4"/>
    <n v="218.9"/>
    <x v="0"/>
    <x v="0"/>
    <x v="0"/>
    <x v="0"/>
    <x v="0"/>
    <x v="0"/>
    <x v="0"/>
    <x v="0"/>
  </r>
  <r>
    <n v="477"/>
    <x v="130"/>
    <x v="346"/>
    <n v="200"/>
    <n v="2.65"/>
    <d v="2013-11-07T00:00:00"/>
    <n v="1.25"/>
    <d v="2013-12-21T00:00:00"/>
    <n v="-652.40046717764301"/>
    <n v="-54.454363271998538"/>
    <n v="-298.89999999999998"/>
    <n v="18.899999999999999"/>
    <x v="4"/>
    <n v="548.9"/>
    <x v="0"/>
    <x v="0"/>
    <x v="0"/>
    <x v="0"/>
    <x v="0"/>
    <x v="0"/>
    <x v="0"/>
    <x v="0"/>
  </r>
  <r>
    <n v="478"/>
    <x v="13"/>
    <x v="347"/>
    <n v="60"/>
    <n v="19.68"/>
    <d v="2014-10-21T00:00:00"/>
    <n v="0.01"/>
    <d v="2014-01-09T00:00:00"/>
    <n v="976.61924885847316"/>
    <n v="-99.949899799599194"/>
    <n v="-1197"/>
    <n v="16.8"/>
    <x v="1"/>
    <n v="1197.5999999999999"/>
    <x v="0"/>
    <x v="0"/>
    <x v="0"/>
    <x v="0"/>
    <x v="0"/>
    <x v="0"/>
    <x v="0"/>
    <x v="0"/>
  </r>
  <r>
    <n v="479"/>
    <x v="131"/>
    <x v="348"/>
    <n v="100"/>
    <n v="0.5"/>
    <d v="2013-12-23T00:00:00"/>
    <n v="1.6"/>
    <d v="2014-01-17T00:00:00"/>
    <n v="1262.2120440807259"/>
    <n v="137.38872403560836"/>
    <n v="92.6"/>
    <n v="17.399999999999999"/>
    <x v="4"/>
    <n v="67.400000000000006"/>
    <x v="0"/>
    <x v="0"/>
    <x v="0"/>
    <x v="0"/>
    <x v="0"/>
    <x v="0"/>
    <x v="0"/>
    <x v="0"/>
  </r>
  <r>
    <n v="480"/>
    <x v="13"/>
    <x v="347"/>
    <n v="40"/>
    <n v="19.68"/>
    <d v="2013-10-21T00:00:00"/>
    <n v="3.15"/>
    <d v="2014-01-17T00:00:00"/>
    <n v="-768.55070200855232"/>
    <n v="-84.322508398656225"/>
    <n v="-677.7"/>
    <n v="16.5"/>
    <x v="1"/>
    <n v="803.7"/>
    <x v="0"/>
    <x v="0"/>
    <x v="0"/>
    <x v="0"/>
    <x v="0"/>
    <x v="0"/>
    <x v="0"/>
    <x v="0"/>
  </r>
  <r>
    <n v="481"/>
    <x v="129"/>
    <x v="349"/>
    <n v="100"/>
    <n v="181.5325"/>
    <d v="2013-10-09T00:00:00"/>
    <n v="175"/>
    <d v="2014-01-18T00:00:00"/>
    <n v="-13.402572093888905"/>
    <n v="-3.6407285862167669"/>
    <n v="-661.2"/>
    <n v="7.95"/>
    <x v="0"/>
    <n v="18161.2"/>
    <x v="0"/>
    <x v="0"/>
    <x v="0"/>
    <x v="0"/>
    <x v="0"/>
    <x v="0"/>
    <x v="0"/>
    <x v="0"/>
  </r>
  <r>
    <n v="482"/>
    <x v="129"/>
    <x v="350"/>
    <n v="100"/>
    <n v="0"/>
    <d v="2013-12-26T00:00:00"/>
    <n v="10"/>
    <d v="2014-01-18T00:00:00"/>
    <n v="6429.213267643494"/>
    <n v="5647.1264367816093"/>
    <n v="982.6"/>
    <n v="17.399999999999999"/>
    <x v="4"/>
    <n v="17.399999999999999"/>
    <x v="0"/>
    <x v="0"/>
    <x v="0"/>
    <x v="0"/>
    <x v="0"/>
    <x v="0"/>
    <x v="0"/>
    <x v="0"/>
  </r>
  <r>
    <n v="483"/>
    <x v="52"/>
    <x v="351"/>
    <n v="100"/>
    <n v="0"/>
    <d v="2013-12-27T00:00:00"/>
    <n v="1.25"/>
    <d v="2014-01-17T00:00:00"/>
    <n v="3427.2518516422074"/>
    <n v="618.39080459770128"/>
    <n v="107.6"/>
    <n v="17.399999999999999"/>
    <x v="4"/>
    <n v="17.399999999999999"/>
    <x v="0"/>
    <x v="0"/>
    <x v="0"/>
    <x v="0"/>
    <x v="0"/>
    <x v="0"/>
    <x v="0"/>
    <x v="0"/>
  </r>
  <r>
    <n v="484"/>
    <x v="70"/>
    <x v="352"/>
    <n v="200"/>
    <n v="2"/>
    <d v="2013-12-23T00:00:00"/>
    <n v="1.5"/>
    <d v="2014-01-24T00:00:00"/>
    <n v="-380.79737485414904"/>
    <n v="-28.383862497015997"/>
    <n v="-118.9"/>
    <n v="18.899999999999999"/>
    <x v="4"/>
    <n v="418.9"/>
    <x v="0"/>
    <x v="0"/>
    <x v="0"/>
    <x v="0"/>
    <x v="0"/>
    <x v="0"/>
    <x v="0"/>
    <x v="0"/>
  </r>
  <r>
    <n v="485"/>
    <x v="132"/>
    <x v="353"/>
    <n v="145"/>
    <n v="34.599600000000002"/>
    <d v="2009-10-16T00:00:00"/>
    <n v="35.61"/>
    <d v="2014-01-27T00:00:00"/>
    <n v="0.67175813523422145"/>
    <n v="2.9202649741615425"/>
    <n v="146.50800000000001"/>
    <n v="0"/>
    <x v="6"/>
    <n v="5016.942"/>
    <x v="0"/>
    <x v="0"/>
    <x v="0"/>
    <x v="0"/>
    <x v="0"/>
    <x v="0"/>
    <x v="0"/>
    <x v="0"/>
  </r>
  <r>
    <n v="486"/>
    <x v="73"/>
    <x v="168"/>
    <n v="9"/>
    <n v="387"/>
    <d v="2014-01-23T00:00:00"/>
    <n v="397"/>
    <d v="2014-01-28T00:00:00"/>
    <n v="169.59121702177086"/>
    <n v="2.3503630816826382"/>
    <n v="82.05"/>
    <n v="7.95"/>
    <x v="0"/>
    <n v="3490.95"/>
    <x v="0"/>
    <x v="0"/>
    <x v="0"/>
    <x v="0"/>
    <x v="0"/>
    <x v="0"/>
    <x v="0"/>
    <x v="0"/>
  </r>
  <r>
    <n v="487"/>
    <x v="130"/>
    <x v="354"/>
    <n v="200"/>
    <n v="1"/>
    <d v="2013-12-31T00:00:00"/>
    <n v="2"/>
    <d v="2014-02-04T00:00:00"/>
    <n v="628.68595154684328"/>
    <n v="82.731841023298301"/>
    <n v="181.1"/>
    <n v="18.899999999999999"/>
    <x v="4"/>
    <n v="218.9"/>
    <x v="0"/>
    <x v="0"/>
    <x v="0"/>
    <x v="0"/>
    <x v="0"/>
    <x v="0"/>
    <x v="0"/>
    <x v="0"/>
  </r>
  <r>
    <n v="488"/>
    <x v="13"/>
    <x v="355"/>
    <n v="60"/>
    <n v="35.15"/>
    <d v="2014-02-04T00:00:00"/>
    <n v="5.3"/>
    <d v="2014-02-14T00:00:00"/>
    <n v="-6934.4601588654614"/>
    <n v="-85.040925769122211"/>
    <n v="-1807.8"/>
    <n v="16.8"/>
    <x v="4"/>
    <n v="2125.8000000000002"/>
    <x v="0"/>
    <x v="0"/>
    <x v="0"/>
    <x v="0"/>
    <x v="0"/>
    <x v="0"/>
    <x v="0"/>
    <x v="0"/>
  </r>
  <r>
    <n v="489"/>
    <x v="133"/>
    <x v="356"/>
    <n v="100"/>
    <n v="31.98"/>
    <d v="2014-01-06T00:00:00"/>
    <n v="30"/>
    <d v="2014-03-06T00:00:00"/>
    <n v="-41.075596472007049"/>
    <n v="-6.4239928882234594"/>
    <n v="-205.95"/>
    <n v="7.95"/>
    <x v="0"/>
    <n v="3205.95"/>
    <x v="0"/>
    <x v="0"/>
    <x v="0"/>
    <x v="0"/>
    <x v="0"/>
    <x v="0"/>
    <x v="0"/>
    <x v="0"/>
  </r>
  <r>
    <n v="490"/>
    <x v="133"/>
    <x v="357"/>
    <n v="100"/>
    <n v="0"/>
    <d v="2014-01-09T00:00:00"/>
    <n v="3"/>
    <d v="2014-03-06T00:00:00"/>
    <n v="1529.6663454287116"/>
    <n v="945.29616724738685"/>
    <n v="271.3"/>
    <n v="28.7"/>
    <x v="5"/>
    <n v="28.7"/>
    <x v="0"/>
    <x v="0"/>
    <x v="0"/>
    <x v="0"/>
    <x v="0"/>
    <x v="0"/>
    <x v="0"/>
    <x v="0"/>
  </r>
  <r>
    <n v="491"/>
    <x v="131"/>
    <x v="358"/>
    <n v="100"/>
    <n v="1.66"/>
    <d v="2014-01-28T00:00:00"/>
    <n v="1.2"/>
    <d v="2014-03-21T00:00:00"/>
    <n v="-303.57824160728677"/>
    <n v="-34.56924754634678"/>
    <n v="-63.4"/>
    <n v="17.399999999999999"/>
    <x v="4"/>
    <n v="183.4"/>
    <x v="0"/>
    <x v="0"/>
    <x v="0"/>
    <x v="0"/>
    <x v="0"/>
    <x v="0"/>
    <x v="0"/>
    <x v="0"/>
  </r>
  <r>
    <n v="492"/>
    <x v="70"/>
    <x v="169"/>
    <n v="200"/>
    <n v="8.84"/>
    <d v="2013-10-22T00:00:00"/>
    <n v="8"/>
    <d v="2014-03-21T00:00:00"/>
    <n v="-25.387419698530312"/>
    <n v="-9.9073735183986003"/>
    <n v="-175.95"/>
    <n v="7.95"/>
    <x v="0"/>
    <n v="1775.95"/>
    <x v="0"/>
    <x v="0"/>
    <x v="0"/>
    <x v="0"/>
    <x v="0"/>
    <x v="0"/>
    <x v="0"/>
    <x v="0"/>
  </r>
  <r>
    <n v="493"/>
    <x v="134"/>
    <x v="359"/>
    <n v="100"/>
    <n v="32.47"/>
    <d v="2013-11-29T00:00:00"/>
    <n v="28"/>
    <d v="2014-03-21T00:00:00"/>
    <n v="-49.507645534302704"/>
    <n v="-13.977173228467414"/>
    <n v="-454.95"/>
    <n v="7.95"/>
    <x v="0"/>
    <n v="3254.95"/>
    <x v="0"/>
    <x v="0"/>
    <x v="0"/>
    <x v="0"/>
    <x v="0"/>
    <x v="0"/>
    <x v="0"/>
    <x v="0"/>
  </r>
  <r>
    <n v="494"/>
    <x v="70"/>
    <x v="360"/>
    <n v="200"/>
    <n v="0"/>
    <d v="2014-02-13T00:00:00"/>
    <n v="1.3"/>
    <d v="2014-03-21T00:00:00"/>
    <n v="2271.3300518144151"/>
    <n v="782.85229202037374"/>
    <n v="230.55"/>
    <n v="29.45"/>
    <x v="5"/>
    <n v="29.45"/>
    <x v="0"/>
    <x v="0"/>
    <x v="0"/>
    <x v="0"/>
    <x v="0"/>
    <x v="0"/>
    <x v="0"/>
    <x v="0"/>
  </r>
  <r>
    <n v="495"/>
    <x v="134"/>
    <x v="361"/>
    <n v="100"/>
    <n v="0"/>
    <d v="2014-01-28T00:00:00"/>
    <n v="2.2000000000000002"/>
    <d v="2014-03-21T00:00:00"/>
    <n v="1457.6600090376021"/>
    <n v="666.55052264808376"/>
    <n v="191.3"/>
    <n v="28.7"/>
    <x v="5"/>
    <n v="28.7"/>
    <x v="0"/>
    <x v="0"/>
    <x v="0"/>
    <x v="0"/>
    <x v="0"/>
    <x v="0"/>
    <x v="0"/>
    <x v="0"/>
  </r>
  <r>
    <n v="496"/>
    <x v="81"/>
    <x v="146"/>
    <n v="200"/>
    <n v="15.22"/>
    <d v="2013-10-14T00:00:00"/>
    <n v="16"/>
    <d v="2014-03-25T00:00:00"/>
    <n v="10.672888218766056"/>
    <n v="4.850996903618995"/>
    <n v="148.05000000000001"/>
    <n v="7.95"/>
    <x v="0"/>
    <n v="3051.95"/>
    <x v="0"/>
    <x v="0"/>
    <x v="0"/>
    <x v="0"/>
    <x v="0"/>
    <x v="0"/>
    <x v="0"/>
    <x v="0"/>
  </r>
  <r>
    <n v="497"/>
    <x v="81"/>
    <x v="362"/>
    <n v="200"/>
    <n v="0"/>
    <d v="2014-03-12T00:00:00"/>
    <n v="1"/>
    <d v="2014-03-25T00:00:00"/>
    <n v="5378.4812431108539"/>
    <n v="579.11714770797971"/>
    <n v="170.55"/>
    <n v="29.45"/>
    <x v="5"/>
    <n v="29.45"/>
    <x v="0"/>
    <x v="0"/>
    <x v="0"/>
    <x v="0"/>
    <x v="0"/>
    <x v="0"/>
    <x v="0"/>
    <x v="0"/>
  </r>
  <r>
    <n v="498"/>
    <x v="105"/>
    <x v="363"/>
    <n v="50"/>
    <n v="100"/>
    <d v="2011-09-22T00:00:00"/>
    <n v="40"/>
    <d v="2014-04-19T00:00:00"/>
    <n v="-35.641064494073937"/>
    <n v="-60.063499036531915"/>
    <n v="-3007.95"/>
    <n v="7.95"/>
    <x v="0"/>
    <n v="5007.95"/>
    <x v="0"/>
    <x v="0"/>
    <x v="0"/>
    <x v="0"/>
    <x v="0"/>
    <x v="0"/>
    <x v="0"/>
    <x v="0"/>
  </r>
  <r>
    <n v="499"/>
    <x v="105"/>
    <x v="363"/>
    <n v="50"/>
    <n v="83.5"/>
    <d v="2012-04-04T00:00:00"/>
    <n v="40"/>
    <d v="2014-04-19T00:00:00"/>
    <n v="-36.150656230875839"/>
    <n v="-52.186853775445563"/>
    <n v="-2182.9499999999998"/>
    <n v="7.95"/>
    <x v="0"/>
    <n v="4182.95"/>
    <x v="0"/>
    <x v="0"/>
    <x v="0"/>
    <x v="0"/>
    <x v="0"/>
    <x v="0"/>
    <x v="0"/>
    <x v="0"/>
  </r>
  <r>
    <n v="500"/>
    <x v="105"/>
    <x v="364"/>
    <n v="100"/>
    <n v="0"/>
    <d v="2014-01-23T00:00:00"/>
    <n v="6"/>
    <d v="2014-04-19T00:00:00"/>
    <n v="1305.4257345228923"/>
    <n v="1990.5923344947737"/>
    <n v="571.29999999999995"/>
    <n v="28.7"/>
    <x v="5"/>
    <n v="28.7"/>
    <x v="0"/>
    <x v="0"/>
    <x v="0"/>
    <x v="0"/>
    <x v="0"/>
    <x v="0"/>
    <x v="0"/>
    <x v="0"/>
  </r>
  <r>
    <n v="501"/>
    <x v="13"/>
    <x v="333"/>
    <n v="20"/>
    <n v="462.3639"/>
    <d v="2013-08-07T00:00:00"/>
    <n v="570"/>
    <d v="2014-04-25T00:00:00"/>
    <n v="29.147525914312663"/>
    <n v="23.173626840959511"/>
    <n v="2144.7719999999999"/>
    <n v="7.95"/>
    <x v="0"/>
    <n v="9255.2279999999992"/>
    <x v="0"/>
    <x v="0"/>
    <x v="0"/>
    <x v="0"/>
    <x v="0"/>
    <x v="0"/>
    <x v="0"/>
    <x v="0"/>
  </r>
  <r>
    <n v="502"/>
    <x v="13"/>
    <x v="333"/>
    <n v="60"/>
    <n v="540"/>
    <d v="2014-01-09T00:00:00"/>
    <n v="600"/>
    <d v="2014-05-05T00:00:00"/>
    <n v="33.362642622462843"/>
    <n v="11.083854424608765"/>
    <n v="3592.05"/>
    <n v="7.95"/>
    <x v="0"/>
    <n v="32407.95"/>
    <x v="0"/>
    <x v="0"/>
    <x v="0"/>
    <x v="0"/>
    <x v="0"/>
    <x v="0"/>
    <x v="0"/>
    <x v="0"/>
  </r>
  <r>
    <n v="503"/>
    <x v="56"/>
    <x v="54"/>
    <n v="200"/>
    <n v="32.8797"/>
    <d v="2013-10-10T00:00:00"/>
    <n v="34"/>
    <d v="2014-06-05T00:00:00"/>
    <n v="4.953089278256221"/>
    <n v="3.2824059940248165"/>
    <n v="216.11"/>
    <n v="7.95"/>
    <x v="0"/>
    <n v="6583.89"/>
    <x v="0"/>
    <x v="0"/>
    <x v="0"/>
    <x v="0"/>
    <x v="0"/>
    <x v="0"/>
    <x v="0"/>
    <x v="0"/>
  </r>
  <r>
    <n v="504"/>
    <x v="56"/>
    <x v="365"/>
    <n v="200"/>
    <n v="0"/>
    <d v="2014-05-06T00:00:00"/>
    <n v="1.2"/>
    <d v="2014-06-05T00:00:00"/>
    <n v="3092.1303515529462"/>
    <n v="1169.8412698412701"/>
    <n v="221.1"/>
    <n v="18.899999999999999"/>
    <x v="4"/>
    <n v="18.899999999999999"/>
    <x v="0"/>
    <x v="0"/>
    <x v="0"/>
    <x v="0"/>
    <x v="0"/>
    <x v="0"/>
    <x v="0"/>
    <x v="0"/>
  </r>
  <r>
    <n v="505"/>
    <x v="135"/>
    <x v="366"/>
    <n v="200"/>
    <n v="6.4"/>
    <d v="2013-11-29T00:00:00"/>
    <n v="0.95"/>
    <d v="2014-06-20T00:00:00"/>
    <n v="-347.33706441943298"/>
    <n v="-85.372238047578719"/>
    <n v="-1108.9000000000001"/>
    <n v="18.899999999999999"/>
    <x v="3"/>
    <n v="1298.9000000000001"/>
    <x v="0"/>
    <x v="0"/>
    <x v="0"/>
    <x v="0"/>
    <x v="0"/>
    <x v="0"/>
    <x v="0"/>
    <x v="0"/>
  </r>
  <r>
    <n v="506"/>
    <x v="13"/>
    <x v="367"/>
    <n v="100"/>
    <n v="8"/>
    <d v="2014-07-07T00:00:00"/>
    <n v="9.75"/>
    <d v="2014-09-03T00:00:00"/>
    <n v="110.95301457189592"/>
    <n v="19.280645950575"/>
    <n v="157.6"/>
    <n v="17.399999999999999"/>
    <x v="1"/>
    <n v="817.4"/>
    <x v="0"/>
    <x v="0"/>
    <x v="0"/>
    <x v="0"/>
    <x v="0"/>
    <x v="0"/>
    <x v="0"/>
    <x v="0"/>
  </r>
  <r>
    <n v="507"/>
    <x v="99"/>
    <x v="174"/>
    <n v="200"/>
    <n v="31.44"/>
    <d v="2013-09-20T00:00:00"/>
    <n v="21"/>
    <d v="2014-09-15T00:00:00"/>
    <n v="-41.044457263633326"/>
    <n v="-33.290448621733027"/>
    <n v="-2095.9499999999998"/>
    <n v="7.95"/>
    <x v="0"/>
    <n v="6295.95"/>
    <x v="0"/>
    <x v="0"/>
    <x v="0"/>
    <x v="0"/>
    <x v="0"/>
    <x v="0"/>
    <x v="0"/>
    <x v="0"/>
  </r>
  <r>
    <n v="508"/>
    <x v="50"/>
    <x v="46"/>
    <n v="25"/>
    <n v="137.28"/>
    <d v="2012-01-19T00:00:00"/>
    <n v="52"/>
    <d v="2014-10-08T00:00:00"/>
    <n v="-35.80431706188395"/>
    <n v="-62.208753034201081"/>
    <n v="-2139.9499999999998"/>
    <n v="7.95"/>
    <x v="0"/>
    <n v="3439.95"/>
    <x v="0"/>
    <x v="0"/>
    <x v="0"/>
    <x v="0"/>
    <x v="0"/>
    <x v="0"/>
    <x v="0"/>
    <x v="0"/>
  </r>
  <r>
    <n v="509"/>
    <x v="50"/>
    <x v="46"/>
    <n v="25"/>
    <n v="122"/>
    <d v="2012-06-29T00:00:00"/>
    <n v="52"/>
    <d v="2014-10-08T00:00:00"/>
    <n v="-37.570863984076162"/>
    <n v="-57.487859513726519"/>
    <n v="-1757.95"/>
    <n v="7.95"/>
    <x v="0"/>
    <n v="3057.95"/>
    <x v="0"/>
    <x v="0"/>
    <x v="0"/>
    <x v="0"/>
    <x v="0"/>
    <x v="0"/>
    <x v="0"/>
    <x v="0"/>
  </r>
  <r>
    <n v="510"/>
    <x v="6"/>
    <x v="368"/>
    <n v="101"/>
    <n v="80.617199999999997"/>
    <d v="2013-12-29T00:00:00"/>
    <n v="86"/>
    <d v="2014-12-19T00:00:00"/>
    <n v="6.5452589856857326"/>
    <n v="6.57293156491468"/>
    <n v="535.71280000000002"/>
    <n v="7.95"/>
    <x v="0"/>
    <n v="8150.2871999999998"/>
    <x v="0"/>
    <x v="0"/>
    <x v="0"/>
    <x v="0"/>
    <x v="0"/>
    <x v="0"/>
    <x v="0"/>
    <x v="0"/>
  </r>
  <r>
    <n v="511"/>
    <x v="131"/>
    <x v="369"/>
    <n v="100"/>
    <n v="13.135999999999999"/>
    <d v="2013-10-21T00:00:00"/>
    <n v="16"/>
    <d v="2015-02-13T00:00:00"/>
    <n v="14.539040369566234"/>
    <n v="21.06995573379745"/>
    <n v="278.45"/>
    <n v="7.95"/>
    <x v="0"/>
    <n v="1321.55"/>
    <x v="0"/>
    <x v="0"/>
    <x v="0"/>
    <x v="0"/>
    <x v="0"/>
    <x v="0"/>
    <x v="0"/>
    <x v="0"/>
  </r>
  <r>
    <n v="512"/>
    <x v="136"/>
    <x v="370"/>
    <n v="50"/>
    <n v="73.88"/>
    <d v="2011-11-08T00:00:00"/>
    <n v="21.22"/>
    <d v="2015-01-23T00:00:00"/>
    <n v="-38.918213702953757"/>
    <n v="-71.33942921973555"/>
    <n v="-2640.95"/>
    <n v="7.95"/>
    <x v="0"/>
    <n v="3701.95"/>
    <x v="0"/>
    <x v="0"/>
    <x v="0"/>
    <x v="0"/>
    <x v="0"/>
    <x v="0"/>
    <x v="0"/>
    <x v="0"/>
  </r>
  <r>
    <n v="513"/>
    <x v="136"/>
    <x v="370"/>
    <n v="50"/>
    <n v="64"/>
    <d v="2012-06-06T00:00:00"/>
    <n v="21.22"/>
    <d v="2015-01-23T00:00:00"/>
    <n v="-42.023245487914338"/>
    <n v="-66.925918421421784"/>
    <n v="-2146.9499999999998"/>
    <n v="7.95"/>
    <x v="0"/>
    <n v="3207.95"/>
    <x v="0"/>
    <x v="0"/>
    <x v="0"/>
    <x v="0"/>
    <x v="0"/>
    <x v="0"/>
    <x v="0"/>
    <x v="0"/>
  </r>
  <r>
    <n v="514"/>
    <x v="137"/>
    <x v="371"/>
    <n v="500"/>
    <n v="3"/>
    <d v="2015-03-19T00:00:00"/>
    <n v="8"/>
    <d v="2015-04-24T00:00:00"/>
    <n v="978.75731663783085"/>
    <n v="162.57056583956938"/>
    <n v="2476.6"/>
    <n v="23.4"/>
    <x v="1"/>
    <n v="1523.4"/>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A1:C140" firstHeaderRow="0" firstDataRow="1" firstDataCol="1"/>
  <pivotFields count="22">
    <pivotField showAll="0"/>
    <pivotField axis="axisRow" showAll="0">
      <items count="139">
        <item sd="0" x="13"/>
        <item sd="0" x="75"/>
        <item sd="0" x="93"/>
        <item sd="0" x="96"/>
        <item sd="0" x="9"/>
        <item sd="0" x="84"/>
        <item sd="0" x="68"/>
        <item sd="0" x="79"/>
        <item sd="0" x="31"/>
        <item sd="0" x="24"/>
        <item sd="0" x="64"/>
        <item sd="0" x="127"/>
        <item sd="0" x="107"/>
        <item sd="0" x="67"/>
        <item sd="0" x="26"/>
        <item sd="0" x="40"/>
        <item sd="0" x="128"/>
        <item sd="0" x="53"/>
        <item sd="0" x="59"/>
        <item sd="0" x="7"/>
        <item sd="0" x="60"/>
        <item sd="0" x="101"/>
        <item sd="0" x="123"/>
        <item sd="0" x="17"/>
        <item sd="0" x="56"/>
        <item sd="0" x="92"/>
        <item sd="0" x="111"/>
        <item sd="0" x="82"/>
        <item sd="0" x="14"/>
        <item sd="0" x="48"/>
        <item sd="0" x="115"/>
        <item sd="0" x="77"/>
        <item sd="0" x="27"/>
        <item sd="0" x="72"/>
        <item sd="0" x="62"/>
        <item sd="0" x="89"/>
        <item sd="0" x="108"/>
        <item sd="0" x="16"/>
        <item sd="0" x="106"/>
        <item sd="0" x="99"/>
        <item sd="0" x="49"/>
        <item sd="0" x="55"/>
        <item sd="0" x="18"/>
        <item sd="0" x="130"/>
        <item sd="0" x="2"/>
        <item sd="0" x="38"/>
        <item sd="0" x="11"/>
        <item sd="0" x="1"/>
        <item sd="0" x="28"/>
        <item sd="0" x="21"/>
        <item sd="0" x="129"/>
        <item sd="0" x="5"/>
        <item sd="0" x="12"/>
        <item sd="0" x="0"/>
        <item sd="0" x="81"/>
        <item sd="0" x="95"/>
        <item sd="0" x="46"/>
        <item sd="0" x="74"/>
        <item sd="0" x="51"/>
        <item sd="0" x="35"/>
        <item sd="0" x="39"/>
        <item sd="0" x="131"/>
        <item sd="0" x="116"/>
        <item sd="0" x="88"/>
        <item sd="0" x="29"/>
        <item sd="0" x="20"/>
        <item sd="0" x="34"/>
        <item sd="0" x="78"/>
        <item sd="0" x="104"/>
        <item sd="0" x="103"/>
        <item sd="0" x="91"/>
        <item sd="0" x="119"/>
        <item sd="0" x="132"/>
        <item sd="0" x="63"/>
        <item sd="0" x="45"/>
        <item sd="0" x="83"/>
        <item sd="0" x="109"/>
        <item sd="0" x="94"/>
        <item sd="0" x="137"/>
        <item sd="0" x="98"/>
        <item sd="0" x="73"/>
        <item sd="0" x="57"/>
        <item sd="0" x="43"/>
        <item sd="0" x="76"/>
        <item sd="0" x="42"/>
        <item sd="0" x="25"/>
        <item sd="0" x="54"/>
        <item sd="0" x="8"/>
        <item sd="0" x="126"/>
        <item sd="0" x="100"/>
        <item sd="0" x="97"/>
        <item sd="0" x="19"/>
        <item sd="0" x="3"/>
        <item sd="0" x="23"/>
        <item sd="0" x="80"/>
        <item sd="0" x="4"/>
        <item sd="0" x="22"/>
        <item sd="0" x="124"/>
        <item sd="0" x="117"/>
        <item sd="0" x="118"/>
        <item sd="0" x="136"/>
        <item sd="0" x="61"/>
        <item sd="0" x="65"/>
        <item sd="0" x="10"/>
        <item sd="0" x="47"/>
        <item sd="0" x="125"/>
        <item sd="0" x="36"/>
        <item sd="0" x="69"/>
        <item sd="0" x="58"/>
        <item sd="0" x="37"/>
        <item sd="0" x="86"/>
        <item sd="0" x="70"/>
        <item sd="0" x="134"/>
        <item sd="0" x="122"/>
        <item sd="0" x="50"/>
        <item sd="0" x="135"/>
        <item sd="0" x="112"/>
        <item sd="0" x="105"/>
        <item sd="0" x="110"/>
        <item sd="0" x="87"/>
        <item sd="0" x="114"/>
        <item sd="0" x="66"/>
        <item sd="0" x="32"/>
        <item sd="0" x="120"/>
        <item sd="0" x="44"/>
        <item sd="0" x="85"/>
        <item sd="0" x="102"/>
        <item sd="0" x="71"/>
        <item sd="0" x="52"/>
        <item sd="0" x="15"/>
        <item sd="0" x="6"/>
        <item sd="0" x="133"/>
        <item sd="0" x="41"/>
        <item sd="0" x="113"/>
        <item sd="0" x="33"/>
        <item sd="0" x="90"/>
        <item sd="0" x="30"/>
        <item sd="0" x="121"/>
        <item t="default" sd="0"/>
      </items>
    </pivotField>
    <pivotField axis="axisRow" showAll="0">
      <items count="373">
        <item x="333"/>
        <item x="49"/>
        <item x="176"/>
        <item x="347"/>
        <item x="367"/>
        <item x="355"/>
        <item x="312"/>
        <item x="88"/>
        <item x="106"/>
        <item x="140"/>
        <item x="156"/>
        <item x="188"/>
        <item x="213"/>
        <item x="240"/>
        <item x="261"/>
        <item x="296"/>
        <item x="336"/>
        <item x="339"/>
        <item x="138"/>
        <item x="157"/>
        <item x="121"/>
        <item x="9"/>
        <item x="22"/>
        <item x="102"/>
        <item x="75"/>
        <item x="103"/>
        <item x="98"/>
        <item x="320"/>
        <item x="105"/>
        <item x="181"/>
        <item x="193"/>
        <item x="224"/>
        <item x="268"/>
        <item x="276"/>
        <item x="287"/>
        <item x="323"/>
        <item x="14"/>
        <item x="7"/>
        <item x="15"/>
        <item x="144"/>
        <item x="64"/>
        <item x="104"/>
        <item x="149"/>
        <item x="91"/>
        <item x="178"/>
        <item x="232"/>
        <item x="277"/>
        <item x="301"/>
        <item x="326"/>
        <item x="70"/>
        <item x="329"/>
        <item x="330"/>
        <item x="318"/>
        <item x="210"/>
        <item x="74"/>
        <item x="23"/>
        <item x="37"/>
        <item x="41"/>
        <item x="331"/>
        <item x="234"/>
        <item x="51"/>
        <item x="82"/>
        <item x="173"/>
        <item x="235"/>
        <item x="162"/>
        <item x="313"/>
        <item x="57"/>
        <item x="119"/>
        <item x="58"/>
        <item x="185"/>
        <item x="311"/>
        <item x="54"/>
        <item x="66"/>
        <item x="340"/>
        <item x="365"/>
        <item x="137"/>
        <item x="226"/>
        <item x="227"/>
        <item x="132"/>
        <item x="113"/>
        <item x="133"/>
        <item x="40"/>
        <item x="244"/>
        <item x="255"/>
        <item x="93"/>
        <item x="153"/>
        <item x="2"/>
        <item x="3"/>
        <item x="28"/>
        <item x="110"/>
        <item x="154"/>
        <item x="216"/>
        <item x="81"/>
        <item x="186"/>
        <item x="217"/>
        <item x="68"/>
        <item x="67"/>
        <item x="307"/>
        <item x="131"/>
        <item x="142"/>
        <item x="158"/>
        <item x="166"/>
        <item x="177"/>
        <item x="172"/>
        <item x="190"/>
        <item x="201"/>
        <item x="236"/>
        <item x="258"/>
        <item x="278"/>
        <item x="283"/>
        <item x="299"/>
        <item x="315"/>
        <item x="215"/>
        <item x="239"/>
        <item x="253"/>
        <item x="282"/>
        <item x="300"/>
        <item x="206"/>
        <item x="209"/>
        <item x="174"/>
        <item x="175"/>
        <item x="290"/>
        <item x="42"/>
        <item x="53"/>
        <item x="62"/>
        <item x="71"/>
        <item x="27"/>
        <item x="38"/>
        <item x="95"/>
        <item x="332"/>
        <item x="335"/>
        <item x="346"/>
        <item x="354"/>
        <item x="19"/>
        <item x="349"/>
        <item x="334"/>
        <item x="343"/>
        <item x="350"/>
        <item x="167"/>
        <item x="146"/>
        <item x="109"/>
        <item x="147"/>
        <item x="362"/>
        <item x="145"/>
        <item x="150"/>
        <item x="33"/>
        <item x="99"/>
        <item x="114"/>
        <item x="87"/>
        <item x="115"/>
        <item x="48"/>
        <item x="13"/>
        <item x="369"/>
        <item x="344"/>
        <item x="358"/>
        <item x="348"/>
        <item x="259"/>
        <item x="125"/>
        <item x="1"/>
        <item x="18"/>
        <item x="26"/>
        <item x="32"/>
        <item x="12"/>
        <item x="97"/>
        <item x="327"/>
        <item x="191"/>
        <item x="230"/>
        <item x="237"/>
        <item x="275"/>
        <item x="308"/>
        <item x="319"/>
        <item x="328"/>
        <item x="189"/>
        <item x="136"/>
        <item x="279"/>
        <item x="353"/>
        <item x="69"/>
        <item x="116"/>
        <item x="220"/>
        <item x="141"/>
        <item x="371"/>
        <item x="164"/>
        <item x="168"/>
        <item x="83"/>
        <item x="171"/>
        <item x="55"/>
        <item x="65"/>
        <item x="221"/>
        <item x="30"/>
        <item x="45"/>
        <item x="100"/>
        <item x="179"/>
        <item x="222"/>
        <item x="337"/>
        <item x="129"/>
        <item x="92"/>
        <item x="198"/>
        <item x="229"/>
        <item x="252"/>
        <item x="265"/>
        <item x="338"/>
        <item x="29"/>
        <item x="52"/>
        <item x="63"/>
        <item x="96"/>
        <item x="305"/>
        <item x="43"/>
        <item x="84"/>
        <item x="128"/>
        <item x="196"/>
        <item x="247"/>
        <item x="324"/>
        <item x="325"/>
        <item x="183"/>
        <item x="184"/>
        <item x="205"/>
        <item x="161"/>
        <item x="207"/>
        <item x="36"/>
        <item x="20"/>
        <item x="35"/>
        <item x="61"/>
        <item x="89"/>
        <item x="127"/>
        <item x="155"/>
        <item x="192"/>
        <item x="202"/>
        <item x="218"/>
        <item x="254"/>
        <item x="267"/>
        <item x="317"/>
        <item x="107"/>
        <item x="314"/>
        <item x="288"/>
        <item x="264"/>
        <item x="291"/>
        <item x="285"/>
        <item x="271"/>
        <item x="370"/>
        <item x="316"/>
        <item x="60"/>
        <item x="86"/>
        <item x="101"/>
        <item x="151"/>
        <item x="195"/>
        <item x="294"/>
        <item x="72"/>
        <item x="39"/>
        <item x="34"/>
        <item x="165"/>
        <item x="152"/>
        <item x="249"/>
        <item x="269"/>
        <item x="297"/>
        <item x="322"/>
        <item x="16"/>
        <item x="200"/>
        <item x="260"/>
        <item x="77"/>
        <item x="242"/>
        <item x="56"/>
        <item x="59"/>
        <item x="85"/>
        <item x="148"/>
        <item x="251"/>
        <item x="17"/>
        <item x="123"/>
        <item x="169"/>
        <item x="79"/>
        <item x="108"/>
        <item x="130"/>
        <item x="170"/>
        <item x="159"/>
        <item x="345"/>
        <item x="360"/>
        <item x="352"/>
        <item x="359"/>
        <item x="361"/>
        <item x="306"/>
        <item x="46"/>
        <item x="208"/>
        <item x="219"/>
        <item x="366"/>
        <item x="231"/>
        <item x="243"/>
        <item x="246"/>
        <item x="363"/>
        <item x="194"/>
        <item x="214"/>
        <item x="248"/>
        <item x="257"/>
        <item x="266"/>
        <item x="286"/>
        <item x="274"/>
        <item x="295"/>
        <item x="364"/>
        <item x="223"/>
        <item x="124"/>
        <item x="241"/>
        <item x="73"/>
        <item x="309"/>
        <item x="8"/>
        <item x="21"/>
        <item x="111"/>
        <item x="90"/>
        <item x="197"/>
        <item x="256"/>
        <item x="303"/>
        <item x="281"/>
        <item x="122"/>
        <item x="31"/>
        <item x="187"/>
        <item x="117"/>
        <item x="80"/>
        <item x="118"/>
        <item x="199"/>
        <item x="212"/>
        <item x="263"/>
        <item x="342"/>
        <item x="310"/>
        <item x="50"/>
        <item x="112"/>
        <item x="126"/>
        <item x="139"/>
        <item x="160"/>
        <item x="94"/>
        <item x="180"/>
        <item x="204"/>
        <item x="228"/>
        <item x="250"/>
        <item x="262"/>
        <item x="280"/>
        <item x="298"/>
        <item x="341"/>
        <item x="351"/>
        <item x="368"/>
        <item x="356"/>
        <item x="357"/>
        <item x="25"/>
        <item x="44"/>
        <item x="78"/>
        <item x="163"/>
        <item x="203"/>
        <item x="245"/>
        <item x="284"/>
        <item x="321"/>
        <item x="233"/>
        <item x="10"/>
        <item x="11"/>
        <item x="134"/>
        <item x="304"/>
        <item x="135"/>
        <item x="182"/>
        <item x="238"/>
        <item x="211"/>
        <item x="270"/>
        <item x="302"/>
        <item x="293"/>
        <item x="272"/>
        <item x="6"/>
        <item x="24"/>
        <item x="4"/>
        <item x="5"/>
        <item x="47"/>
        <item x="76"/>
        <item x="120"/>
        <item x="143"/>
        <item x="225"/>
        <item x="273"/>
        <item x="289"/>
        <item x="292"/>
        <item x="0"/>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s>
  <rowFields count="2">
    <field x="1"/>
    <field x="2"/>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Fields count="1">
    <field x="-2"/>
  </colFields>
  <colItems count="2">
    <i>
      <x/>
    </i>
    <i i="1">
      <x v="1"/>
    </i>
  </colItems>
  <dataFields count="2">
    <dataField name="Sum of Profit" fld="10" baseField="0" baseItem="0"/>
    <dataField name="Sum of CostBasis" fld="13" baseField="0" baseItem="0" numFmtId="8"/>
  </dataFields>
  <formats count="2">
    <format dxfId="151">
      <pivotArea field="1" grandRow="1" outline="0" collapsedLevelsAreSubtotals="1" axis="axisRow" fieldPosition="0">
        <references count="1">
          <reference field="4294967294" count="1" selected="0">
            <x v="0"/>
          </reference>
        </references>
      </pivotArea>
    </format>
    <format dxfId="15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5:B75" firstHeaderRow="1" firstDataRow="1" firstDataCol="1"/>
  <pivotFields count="12">
    <pivotField showAll="0"/>
    <pivotField numFmtId="14" showAll="0"/>
    <pivotField showAll="0"/>
    <pivotField numFmtId="14" showAll="0"/>
    <pivotField showAll="0"/>
    <pivotField dataField="1" numFmtId="167" showAll="0"/>
    <pivotField showAll="0"/>
    <pivotField showAll="0"/>
    <pivotField showAll="0"/>
    <pivotField showAll="0"/>
    <pivotField showAll="0"/>
    <pivotField axis="axisRow" showAll="0">
      <items count="30">
        <item x="1"/>
        <item x="7"/>
        <item x="9"/>
        <item x="8"/>
        <item x="12"/>
        <item x="14"/>
        <item x="15"/>
        <item x="18"/>
        <item x="25"/>
        <item x="0"/>
        <item x="2"/>
        <item x="3"/>
        <item x="4"/>
        <item x="5"/>
        <item x="6"/>
        <item x="10"/>
        <item x="11"/>
        <item x="13"/>
        <item x="16"/>
        <item x="17"/>
        <item x="19"/>
        <item x="20"/>
        <item x="21"/>
        <item x="22"/>
        <item x="23"/>
        <item x="24"/>
        <item x="26"/>
        <item x="27"/>
        <item x="28"/>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rofit" fld="5" baseField="0" baseItem="0" numFmtId="6"/>
  </dataFields>
  <formats count="3">
    <format dxfId="149">
      <pivotArea collapsedLevelsAreSubtotals="1" fieldPosition="0">
        <references count="1">
          <reference field="11" count="0"/>
        </references>
      </pivotArea>
    </format>
    <format dxfId="148">
      <pivotArea grandRow="1" outline="0" collapsedLevelsAreSubtotals="1" fieldPosition="0"/>
    </format>
    <format dxfId="1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USStocks.accdb" refreshOnLoad="1" connectionId="2" autoFormatId="16" applyNumberFormats="0" applyBorderFormats="0" applyFontFormats="0" applyPatternFormats="0" applyAlignmentFormats="0" applyWidthHeightFormats="0">
  <queryTableRefresh nextId="12" unboundColumnsRight="2">
    <queryTableFields count="11">
      <queryTableField id="1" name="icicicode" tableColumnId="1"/>
      <queryTableField id="2" name="number" tableColumnId="2"/>
      <queryTableField id="3" name="buyprice" tableColumnId="3"/>
      <queryTableField id="4" name="buydate" tableColumnId="4"/>
      <queryTableField id="5" name="closeprice" tableColumnId="5"/>
      <queryTableField id="6" name="lastupdated" tableColumnId="6"/>
      <queryTableField id="7" name="AnnualizedGrowth" tableColumnId="7"/>
      <queryTableField id="8" name="AbsoluteGrowth" tableColumnId="8"/>
      <queryTableField id="9" name="Profit" tableColumnId="9"/>
      <queryTableField id="10" dataBound="0" tableColumnId="10"/>
      <queryTableField id="11" dataBound="0" tableColumnId="11"/>
    </queryTableFields>
  </queryTableRefresh>
</queryTable>
</file>

<file path=xl/queryTables/queryTable10.xml><?xml version="1.0" encoding="utf-8"?>
<queryTable xmlns="http://schemas.openxmlformats.org/spreadsheetml/2006/main" name="USStocks.accdb" refreshOnLoad="1" connectionId="7" autoFormatId="16" applyNumberFormats="0" applyBorderFormats="0" applyFontFormats="0" applyPatternFormats="0" applyAlignmentFormats="0" applyWidthHeightFormats="0">
  <queryTableRefresh nextId="13">
    <queryTableFields count="12">
      <queryTableField id="1" name="Description" tableColumnId="1"/>
      <queryTableField id="2" name="SellDate" tableColumnId="2"/>
      <queryTableField id="3" name="SaleProceeds" tableColumnId="3"/>
      <queryTableField id="4" name="DateAcquired" tableColumnId="4"/>
      <queryTableField id="5" name="CostBasis" tableColumnId="5"/>
      <queryTableField id="6" name="Profit" tableColumnId="6"/>
      <queryTableField id="7" name="Commission" tableColumnId="7"/>
      <queryTableField id="8" name="Shares" tableColumnId="8"/>
      <queryTableField id="9" name="BuyPrice" tableColumnId="9"/>
      <queryTableField id="10" name="SellPrice" tableColumnId="10"/>
      <queryTableField id="11" name="type" tableColumnId="11"/>
      <queryTableField id="12" name="options" tableColumnId="12"/>
    </queryTableFields>
  </queryTableRefresh>
</queryTable>
</file>

<file path=xl/queryTables/queryTable11.xml><?xml version="1.0" encoding="utf-8"?>
<queryTable xmlns="http://schemas.openxmlformats.org/spreadsheetml/2006/main" name="USStocks.accdb" refreshOnLoad="1" connectionId="12" autoFormatId="16" applyNumberFormats="0" applyBorderFormats="0" applyFontFormats="0" applyPatternFormats="0" applyAlignmentFormats="0" applyWidthHeightFormats="0">
  <queryTableRefresh nextId="13">
    <queryTableFields count="12">
      <queryTableField id="1" name="Description" tableColumnId="1"/>
      <queryTableField id="2" name="SellDate" tableColumnId="2"/>
      <queryTableField id="3" name="SaleProceeds" tableColumnId="3"/>
      <queryTableField id="4" name="DateAcquired" tableColumnId="4"/>
      <queryTableField id="5" name="CostBasis" tableColumnId="5"/>
      <queryTableField id="6" name="Profit" tableColumnId="6"/>
      <queryTableField id="7" name="Commission" tableColumnId="7"/>
      <queryTableField id="8" name="Shares" tableColumnId="8"/>
      <queryTableField id="9" name="BuyPrice" tableColumnId="9"/>
      <queryTableField id="10" name="SellPrice" tableColumnId="10"/>
      <queryTableField id="11" name="type" tableColumnId="11"/>
      <queryTableField id="12" name="options" tableColumnId="12"/>
    </queryTableFields>
  </queryTableRefresh>
</queryTable>
</file>

<file path=xl/queryTables/queryTable2.xml><?xml version="1.0" encoding="utf-8"?>
<queryTable xmlns="http://schemas.openxmlformats.org/spreadsheetml/2006/main" name="USStocks.accdb_1" refreshOnLoad="1" connectionId="6" autoFormatId="16" applyNumberFormats="0" applyBorderFormats="0" applyFontFormats="0" applyPatternFormats="0" applyAlignmentFormats="0" applyWidthHeightFormats="0">
  <queryTableRefresh nextId="12" unboundColumnsRight="2">
    <queryTableFields count="11">
      <queryTableField id="1" name="icicicode" tableColumnId="1"/>
      <queryTableField id="2" name="number" tableColumnId="2"/>
      <queryTableField id="3" name="buyprice" tableColumnId="3"/>
      <queryTableField id="4" name="buydate" tableColumnId="4"/>
      <queryTableField id="5" name="NAV" tableColumnId="5"/>
      <queryTableField id="6" name="lastupdated" tableColumnId="6"/>
      <queryTableField id="7" name="AnnualizedGrowth" tableColumnId="7"/>
      <queryTableField id="8" name="AbsoluteGrowth" tableColumnId="8"/>
      <queryTableField id="9" name="Profit" tableColumnId="9"/>
      <queryTableField id="11" dataBound="0" tableColumnId="10"/>
      <queryTableField id="10" dataBound="0" tableColumnId="11"/>
    </queryTableFields>
  </queryTableRefresh>
</queryTable>
</file>

<file path=xl/queryTables/queryTable3.xml><?xml version="1.0" encoding="utf-8"?>
<queryTable xmlns="http://schemas.openxmlformats.org/spreadsheetml/2006/main" name="USStocks.accdb" refreshOnLoad="1" growShrinkType="insertClear" connectionId="11" autoFormatId="16" applyNumberFormats="0" applyBorderFormats="0" applyFontFormats="0" applyPatternFormats="0" applyAlignmentFormats="0" applyWidthHeightFormats="0">
  <queryTableRefresh nextId="16">
    <queryTableFields count="14">
      <queryTableField id="1" name="ID" tableColumnId="1"/>
      <queryTableField id="2" name="symbol" tableColumnId="2"/>
      <queryTableField id="3" name="Number" tableColumnId="3"/>
      <queryTableField id="4" name="BuyPrice" tableColumnId="4"/>
      <queryTableField id="5" name="BuyDate" tableColumnId="5"/>
      <queryTableField id="6" name="ClosePrice" tableColumnId="6"/>
      <queryTableField id="7" name="AnnualizedGrowth" tableColumnId="7"/>
      <queryTableField id="8" name="AbsoluteGrowth" tableColumnId="8"/>
      <queryTableField id="9" name="Profit" tableColumnId="9"/>
      <queryTableField id="10" name="Beta" tableColumnId="10"/>
      <queryTableField id="12" name="MedTarget" tableColumnId="12"/>
      <queryTableField id="13" name="Costbasis" tableColumnId="13"/>
      <queryTableField id="14" name="Commission" tableColumnId="14"/>
      <queryTableField id="15" name="RSI" tableColumnId="11"/>
    </queryTableFields>
  </queryTableRefresh>
</queryTable>
</file>

<file path=xl/queryTables/queryTable4.xml><?xml version="1.0" encoding="utf-8"?>
<queryTable xmlns="http://schemas.openxmlformats.org/spreadsheetml/2006/main" name="USStocks.accdb_1" refreshOnLoad="1" growShrinkType="insertClear" connectionId="3" autoFormatId="16" applyNumberFormats="0" applyBorderFormats="0" applyFontFormats="0" applyPatternFormats="0" applyAlignmentFormats="0" applyWidthHeightFormats="0">
  <queryTableRefresh nextId="19">
    <queryTableFields count="18">
      <queryTableField id="1" name="symbol" tableColumnId="1"/>
      <queryTableField id="2" name="Number" tableColumnId="2"/>
      <queryTableField id="3" name="BuyPrice" tableColumnId="3"/>
      <queryTableField id="4" name="BuyDate" tableColumnId="4"/>
      <queryTableField id="5" name="Price" tableColumnId="5"/>
      <queryTableField id="6" name="CalculatedPrice" tableColumnId="6"/>
      <queryTableField id="7" name="AnnualizedGrowth" tableColumnId="7"/>
      <queryTableField id="8" name="AbsoluteGrowth" tableColumnId="8"/>
      <queryTableField id="9" name="Profit" tableColumnId="9"/>
      <queryTableField id="10" name="Delta" tableColumnId="10"/>
      <queryTableField id="11" name="BEP" tableColumnId="11"/>
      <queryTableField id="12" name="oddsBEP" tableColumnId="12"/>
      <queryTableField id="13" name="Decay" tableColumnId="13"/>
      <queryTableField id="18" dataBound="0" tableColumnId="18"/>
      <queryTableField id="14" name="Remarks" tableColumnId="14"/>
      <queryTableField id="15" name="ExcercisePositionValue" tableColumnId="15"/>
      <queryTableField id="16" name="CostBasis" tableColumnId="16"/>
      <queryTableField id="17" name="Commission" tableColumnId="17"/>
    </queryTableFields>
  </queryTableRefresh>
</queryTable>
</file>

<file path=xl/queryTables/queryTable5.xml><?xml version="1.0" encoding="utf-8"?>
<queryTable xmlns="http://schemas.openxmlformats.org/spreadsheetml/2006/main" name="USStocks.accdb_2" refreshOnLoad="1" connectionId="4" autoFormatId="16" applyNumberFormats="0" applyBorderFormats="0" applyFontFormats="0" applyPatternFormats="0" applyAlignmentFormats="0" applyWidthHeightFormats="0">
  <queryTableRefresh nextId="11">
    <queryTableFields count="10">
      <queryTableField id="1" name="symbol" tableColumnId="1"/>
      <queryTableField id="2" name="Number" tableColumnId="2"/>
      <queryTableField id="3" name="BuyPrice" tableColumnId="3"/>
      <queryTableField id="4" name="BuyDate" tableColumnId="4"/>
      <queryTableField id="5" name="NAV" tableColumnId="5"/>
      <queryTableField id="6" name="LastUpdated" tableColumnId="6"/>
      <queryTableField id="7" name="AnnualizedGrowth" tableColumnId="7"/>
      <queryTableField id="8" name="AbsoluteGrowth" tableColumnId="8"/>
      <queryTableField id="9" name="Profit" tableColumnId="9"/>
      <queryTableField id="10" name="TargetNAV" tableColumnId="10"/>
    </queryTableFields>
  </queryTableRefresh>
</queryTable>
</file>

<file path=xl/queryTables/queryTable6.xml><?xml version="1.0" encoding="utf-8"?>
<queryTable xmlns="http://schemas.openxmlformats.org/spreadsheetml/2006/main" name="USStocks.accdb" refreshOnLoad="1" connectionId="8" autoFormatId="16" applyNumberFormats="0" applyBorderFormats="0" applyFontFormats="0" applyPatternFormats="0" applyAlignmentFormats="0" applyWidthHeightFormats="0">
  <queryTableRefresh nextId="8" unboundColumnsRight="1">
    <queryTableFields count="7">
      <queryTableField id="1" name="Symbol" tableColumnId="1"/>
      <queryTableField id="2" name="Shares" tableColumnId="2"/>
      <queryTableField id="3" name="BuyPrice" tableColumnId="3"/>
      <queryTableField id="4" name="BuyDate" tableColumnId="4"/>
      <queryTableField id="5" name="SellPrice" tableColumnId="5"/>
      <queryTableField id="6" name="SellDate" tableColumnId="6"/>
      <queryTableField id="7" dataBound="0" tableColumnId="7"/>
    </queryTableFields>
  </queryTableRefresh>
</queryTable>
</file>

<file path=xl/queryTables/queryTable7.xml><?xml version="1.0" encoding="utf-8"?>
<queryTable xmlns="http://schemas.openxmlformats.org/spreadsheetml/2006/main" name="USStocks.accdb_1" refreshOnLoad="1" connectionId="1" autoFormatId="16" applyNumberFormats="0" applyBorderFormats="0" applyFontFormats="0" applyPatternFormats="0" applyAlignmentFormats="0" applyWidthHeightFormats="0">
  <queryTableRefresh nextId="63">
    <queryTableFields count="22">
      <queryTableField id="1" name="symbol" tableColumnId="1"/>
      <queryTableField id="26" name="Options" tableColumnId="26"/>
      <queryTableField id="31" name="LastUpdated" tableColumnId="31"/>
      <queryTableField id="44" name="TxID" tableColumnId="2"/>
      <queryTableField id="45" name="Shares" tableColumnId="3"/>
      <queryTableField id="46" name="BuyPrice" tableColumnId="4"/>
      <queryTableField id="47" name="BuyDate" tableColumnId="5"/>
      <queryTableField id="48" name="SellPrice" tableColumnId="6"/>
      <queryTableField id="49" name="SellDate" tableColumnId="7"/>
      <queryTableField id="50" name="AnnualizedGrowth" tableColumnId="8"/>
      <queryTableField id="51" name="AbsoluteGrowth" tableColumnId="9"/>
      <queryTableField id="52" name="Profit" tableColumnId="10"/>
      <queryTableField id="53" name="Commission" tableColumnId="11"/>
      <queryTableField id="54" name="Type" tableColumnId="12"/>
      <queryTableField id="55" name="CostBasis" tableColumnId="13"/>
      <queryTableField id="56" name="ExcercisePositionValue" tableColumnId="14"/>
      <queryTableField id="57" name="BlockedValue" tableColumnId="15"/>
      <queryTableField id="58" name="HighDate" tableColumnId="16"/>
      <queryTableField id="59" name="LowDate" tableColumnId="17"/>
      <queryTableField id="60" name="Remarks" tableColumnId="18"/>
      <queryTableField id="61" name="Asset" tableColumnId="19"/>
      <queryTableField id="62" name="AssetType" tableColumnId="20"/>
    </queryTableFields>
  </queryTableRefresh>
</queryTable>
</file>

<file path=xl/queryTables/queryTable8.xml><?xml version="1.0" encoding="utf-8"?>
<queryTable xmlns="http://schemas.openxmlformats.org/spreadsheetml/2006/main" name="USStocks.accdb" refreshOnLoad="1" connectionId="5" autoFormatId="16" applyNumberFormats="0" applyBorderFormats="0" applyFontFormats="0" applyPatternFormats="0" applyAlignmentFormats="0" applyWidthHeightFormats="0">
  <queryTableRefresh nextId="13">
    <queryTableFields count="12">
      <queryTableField id="1" name="Description" tableColumnId="1"/>
      <queryTableField id="2" name="SellDate" tableColumnId="2"/>
      <queryTableField id="3" name="SaleProceeds" tableColumnId="3"/>
      <queryTableField id="4" name="DateAcquired" tableColumnId="4"/>
      <queryTableField id="5" name="CostBasis" tableColumnId="5"/>
      <queryTableField id="6" name="Profit" tableColumnId="6"/>
      <queryTableField id="7" name="Commission" tableColumnId="7"/>
      <queryTableField id="8" name="Shares" tableColumnId="8"/>
      <queryTableField id="9" name="BuyPrice" tableColumnId="9"/>
      <queryTableField id="10" name="SellPrice" tableColumnId="10"/>
      <queryTableField id="11" name="type" tableColumnId="11"/>
      <queryTableField id="12" name="options" tableColumnId="12"/>
    </queryTableFields>
  </queryTableRefresh>
</queryTable>
</file>

<file path=xl/queryTables/queryTable9.xml><?xml version="1.0" encoding="utf-8"?>
<queryTable xmlns="http://schemas.openxmlformats.org/spreadsheetml/2006/main" name="USStocks.accdb" refreshOnLoad="1" connectionId="9" autoFormatId="16" applyNumberFormats="0" applyBorderFormats="0" applyFontFormats="0" applyPatternFormats="0" applyAlignmentFormats="0" applyWidthHeightFormats="0">
  <queryTableRefresh nextId="13">
    <queryTableFields count="12">
      <queryTableField id="1" name="Description" tableColumnId="1"/>
      <queryTableField id="2" name="SellDate" tableColumnId="2"/>
      <queryTableField id="3" name="SaleProceeds" tableColumnId="3"/>
      <queryTableField id="4" name="DateAcquired" tableColumnId="4"/>
      <queryTableField id="5" name="CostBasis" tableColumnId="5"/>
      <queryTableField id="6" name="Profit" tableColumnId="6"/>
      <queryTableField id="7" name="Commission" tableColumnId="7"/>
      <queryTableField id="8" name="Shares" tableColumnId="8"/>
      <queryTableField id="9" name="BuyPrice" tableColumnId="9"/>
      <queryTableField id="10" name="SellPrice" tableColumnId="10"/>
      <queryTableField id="11" name="type" tableColumnId="11"/>
      <queryTableField id="12" name="options"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3" name="Table_USStocks.accdb" displayName="Table_USStocks.accdb" ref="A1:K12" tableType="queryTable" totalsRowCount="1">
  <autoFilter ref="A1:K11"/>
  <sortState ref="A2:K11">
    <sortCondition descending="1" ref="G1:G20"/>
  </sortState>
  <tableColumns count="11">
    <tableColumn id="1" uniqueName="1" name="icicicode" queryTableFieldId="1"/>
    <tableColumn id="2" uniqueName="2" name="number" queryTableFieldId="2"/>
    <tableColumn id="3" uniqueName="3" name="buyprice" queryTableFieldId="3" dataDxfId="118" totalsRowDxfId="119" dataCellStyle="Currency"/>
    <tableColumn id="4" uniqueName="4" name="buydate" queryTableFieldId="4" dataDxfId="117" totalsRowDxfId="120"/>
    <tableColumn id="5" uniqueName="5" name="closeprice" queryTableFieldId="5" dataDxfId="116" totalsRowDxfId="121" dataCellStyle="Currency"/>
    <tableColumn id="6" uniqueName="6" name="lastupdated" queryTableFieldId="6" dataDxfId="115" totalsRowDxfId="122"/>
    <tableColumn id="7" uniqueName="7" name="AnnualizedGrowth" queryTableFieldId="7" dataDxfId="114" totalsRowDxfId="123"/>
    <tableColumn id="8" uniqueName="8" name="AbsoluteGrowth" queryTableFieldId="8" dataDxfId="113" totalsRowDxfId="124"/>
    <tableColumn id="9" uniqueName="9" name="Profit" totalsRowFunction="sum" queryTableFieldId="9" dataDxfId="112" totalsRowDxfId="125" dataCellStyle="Currency"/>
    <tableColumn id="10" uniqueName="10" name="MKT Value" totalsRowFunction="sum" queryTableFieldId="10" dataDxfId="111" totalsRowDxfId="126" dataCellStyle="Percent">
      <calculatedColumnFormula>Table_USStocks.accdb[[#This Row],[number]]*Table_USStocks.accdb[[#This Row],[closeprice]]</calculatedColumnFormula>
    </tableColumn>
    <tableColumn id="11" uniqueName="11" name="Weight" queryTableFieldId="11" dataDxfId="110">
      <calculatedColumnFormula>Table_USStocks.accdb[[#This Row],[MKT Value]]/$G$29</calculatedColumnFormula>
    </tableColumn>
  </tableColumns>
  <tableStyleInfo name="TableStyleMedium4" showFirstColumn="0" showLastColumn="0" showRowStripes="1" showColumnStripes="0"/>
</table>
</file>

<file path=xl/tables/table10.xml><?xml version="1.0" encoding="utf-8"?>
<table xmlns="http://schemas.openxmlformats.org/spreadsheetml/2006/main" id="4" name="Table_USStocks.accdb5" displayName="Table_USStocks.accdb5" ref="A2:L42" tableType="queryTable" totalsRowCount="1">
  <autoFilter ref="A2:L41"/>
  <sortState ref="A3:L41">
    <sortCondition descending="1" ref="B4:B28"/>
  </sortState>
  <tableColumns count="12">
    <tableColumn id="1" uniqueName="1" name="Description" queryTableFieldId="1"/>
    <tableColumn id="2" uniqueName="2" name="SellDate" queryTableFieldId="2" dataDxfId="8" totalsRowDxfId="9"/>
    <tableColumn id="3" uniqueName="3" name="SaleProceeds" queryTableFieldId="3"/>
    <tableColumn id="4" uniqueName="4" name="DateAcquired" queryTableFieldId="4" dataDxfId="7" totalsRowDxfId="10"/>
    <tableColumn id="5" uniqueName="5" name="CostBasis" queryTableFieldId="5"/>
    <tableColumn id="6" uniqueName="6" name="Profit" totalsRowFunction="sum" queryTableFieldId="6" dataDxfId="6" totalsRowDxfId="11"/>
    <tableColumn id="7" uniqueName="7" name="Commission" queryTableFieldId="7"/>
    <tableColumn id="8" uniqueName="8" name="Shares" queryTableFieldId="8"/>
    <tableColumn id="9" uniqueName="9" name="BuyPrice" queryTableFieldId="9"/>
    <tableColumn id="10" uniqueName="10" name="SellPrice" queryTableFieldId="10"/>
    <tableColumn id="11" uniqueName="11" name="type" queryTableFieldId="11"/>
    <tableColumn id="12" uniqueName="12" name="options" queryTableFieldId="12"/>
  </tableColumns>
  <tableStyleInfo name="TableStyleMedium2" showFirstColumn="0" showLastColumn="0" showRowStripes="1" showColumnStripes="0"/>
</table>
</file>

<file path=xl/tables/table11.xml><?xml version="1.0" encoding="utf-8"?>
<table xmlns="http://schemas.openxmlformats.org/spreadsheetml/2006/main" id="9" name="Table_USStocks.accdb10" displayName="Table_USStocks.accdb10" ref="A1:L227" tableType="queryTable" totalsRowCount="1">
  <autoFilter ref="A1:L226"/>
  <sortState ref="A2:L226">
    <sortCondition ref="B1:B205"/>
  </sortState>
  <tableColumns count="12">
    <tableColumn id="1" uniqueName="1" name="Description" queryTableFieldId="1"/>
    <tableColumn id="2" uniqueName="2" name="SellDate" queryTableFieldId="2" dataDxfId="2" totalsRowDxfId="3"/>
    <tableColumn id="3" uniqueName="3" name="SaleProceeds" queryTableFieldId="3"/>
    <tableColumn id="4" uniqueName="4" name="DateAcquired" queryTableFieldId="4" dataDxfId="1" totalsRowDxfId="4"/>
    <tableColumn id="5" uniqueName="5" name="CostBasis" queryTableFieldId="5"/>
    <tableColumn id="6" uniqueName="6" name="Profit" totalsRowFunction="sum" queryTableFieldId="6" dataDxfId="0" totalsRowDxfId="5"/>
    <tableColumn id="7" uniqueName="7" name="Commission" queryTableFieldId="7"/>
    <tableColumn id="8" uniqueName="8" name="Shares" queryTableFieldId="8"/>
    <tableColumn id="9" uniqueName="9" name="BuyPrice" queryTableFieldId="9"/>
    <tableColumn id="10" uniqueName="10" name="SellPrice" queryTableFieldId="10"/>
    <tableColumn id="11" uniqueName="11" name="type" queryTableFieldId="11"/>
    <tableColumn id="12" uniqueName="12" name="options" queryTableFieldId="12"/>
  </tableColumns>
  <tableStyleInfo name="TableStyleMedium2" showFirstColumn="0" showLastColumn="0" showRowStripes="1" showColumnStripes="0"/>
</table>
</file>

<file path=xl/tables/table2.xml><?xml version="1.0" encoding="utf-8"?>
<table xmlns="http://schemas.openxmlformats.org/spreadsheetml/2006/main" id="5" name="Table_USStocks.accdb_1" displayName="Table_USStocks.accdb_1" ref="A16:K24" tableType="queryTable" totalsRowCount="1" headerRowDxfId="169">
  <autoFilter ref="A16:K23"/>
  <sortState ref="A17:K23">
    <sortCondition descending="1" ref="G25:G39"/>
  </sortState>
  <tableColumns count="11">
    <tableColumn id="1" uniqueName="1" name="icicicode" queryTableFieldId="1" dataDxfId="136" totalsRowDxfId="137"/>
    <tableColumn id="2" uniqueName="2" name="number" queryTableFieldId="2" totalsRowDxfId="138"/>
    <tableColumn id="3" uniqueName="3" name="buyprice" queryTableFieldId="3" dataDxfId="135" totalsRowDxfId="139" dataCellStyle="Currency"/>
    <tableColumn id="4" uniqueName="4" name="buydate" queryTableFieldId="4" dataDxfId="134" totalsRowDxfId="140"/>
    <tableColumn id="5" uniqueName="5" name="NAV" queryTableFieldId="5" dataDxfId="133" totalsRowDxfId="141" dataCellStyle="Currency"/>
    <tableColumn id="6" uniqueName="6" name="lastupdated" queryTableFieldId="6" dataDxfId="132" totalsRowDxfId="142"/>
    <tableColumn id="7" uniqueName="7" name="AnnualizedGrowth" queryTableFieldId="7" dataDxfId="131" totalsRowDxfId="143"/>
    <tableColumn id="8" uniqueName="8" name="AbsoluteGrowth" queryTableFieldId="8" dataDxfId="130" totalsRowDxfId="144"/>
    <tableColumn id="9" uniqueName="9" name="Profit" totalsRowFunction="sum" queryTableFieldId="9" dataDxfId="129" totalsRowDxfId="145" dataCellStyle="Currency"/>
    <tableColumn id="10" uniqueName="10" name="MKT Value" totalsRowFunction="sum" queryTableFieldId="11" dataDxfId="128" totalsRowDxfId="146" dataCellStyle="Percent">
      <calculatedColumnFormula>Table_USStocks.accdb_1[[#This Row],[number]]*Table_USStocks.accdb_1[[#This Row],[NAV]]</calculatedColumnFormula>
    </tableColumn>
    <tableColumn id="11" uniqueName="11" name="Weight" queryTableFieldId="10" dataDxfId="127">
      <calculatedColumnFormula>Table_USStocks.accdb_1[[#This Row],[MKT Value]]/$G$29</calculatedColumnFormula>
    </tableColumn>
  </tableColumns>
  <tableStyleInfo name="TableStyleMedium4" showFirstColumn="0" showLastColumn="0" showRowStripes="1" showColumnStripes="0"/>
</table>
</file>

<file path=xl/tables/table3.xml><?xml version="1.0" encoding="utf-8"?>
<table xmlns="http://schemas.openxmlformats.org/spreadsheetml/2006/main" id="11" name="Table_USStocks.accdb12" displayName="Table_USStocks.accdb12" ref="A1:N21" tableType="queryTable" totalsRowShown="0" headerRowDxfId="168" dataDxfId="167">
  <autoFilter ref="A1:N21"/>
  <sortState ref="A2:N21">
    <sortCondition descending="1" ref="H1:H27"/>
  </sortState>
  <tableColumns count="14">
    <tableColumn id="1" uniqueName="1" name="ID" queryTableFieldId="1" dataDxfId="62" totalsRowDxfId="166"/>
    <tableColumn id="2" uniqueName="2" name="symbol" queryTableFieldId="2" dataDxfId="61" totalsRowDxfId="165"/>
    <tableColumn id="3" uniqueName="3" name="Number" queryTableFieldId="3" dataDxfId="60" totalsRowDxfId="164"/>
    <tableColumn id="4" uniqueName="4" name="BuyPrice" queryTableFieldId="4" dataDxfId="59" totalsRowDxfId="163"/>
    <tableColumn id="5" uniqueName="5" name="BuyDate" queryTableFieldId="5" dataDxfId="58" totalsRowDxfId="162"/>
    <tableColumn id="6" uniqueName="6" name="ClosePrice" queryTableFieldId="6" dataDxfId="57" totalsRowDxfId="161" dataCellStyle="Currency"/>
    <tableColumn id="7" uniqueName="7" name="AnnualizedGrowth" queryTableFieldId="7" dataDxfId="56" totalsRowDxfId="160"/>
    <tableColumn id="8" uniqueName="8" name="AbsoluteGrowth" queryTableFieldId="8" dataDxfId="55" totalsRowDxfId="159"/>
    <tableColumn id="9" uniqueName="9" name="Profit" queryTableFieldId="9" dataDxfId="54" totalsRowDxfId="158"/>
    <tableColumn id="10" uniqueName="10" name="Beta" queryTableFieldId="10" dataDxfId="53" totalsRowDxfId="157"/>
    <tableColumn id="12" uniqueName="12" name="MedTarget" queryTableFieldId="12" dataDxfId="52" totalsRowDxfId="156"/>
    <tableColumn id="13" uniqueName="13" name="Costbasis" queryTableFieldId="13" dataDxfId="51" totalsRowDxfId="155"/>
    <tableColumn id="14" uniqueName="14" name="Commission" queryTableFieldId="14" dataDxfId="50" totalsRowDxfId="154"/>
    <tableColumn id="11" uniqueName="11" name="RSI" queryTableFieldId="15" dataDxfId="49" totalsRowDxfId="153"/>
  </tableColumns>
  <tableStyleInfo showFirstColumn="0" showLastColumn="0" showRowStripes="1" showColumnStripes="0"/>
</table>
</file>

<file path=xl/tables/table4.xml><?xml version="1.0" encoding="utf-8"?>
<table xmlns="http://schemas.openxmlformats.org/spreadsheetml/2006/main" id="12" name="Table_USStocks.accdb_113" displayName="Table_USStocks.accdb_113" ref="A54:R55" tableType="queryTable" totalsRowShown="0">
  <autoFilter ref="A54:R55"/>
  <sortState ref="A55:R55">
    <sortCondition descending="1" ref="H48:H65"/>
  </sortState>
  <tableColumns count="18">
    <tableColumn id="1" uniqueName="1" name="symbol" queryTableFieldId="1" dataDxfId="76"/>
    <tableColumn id="2" uniqueName="2" name="Number" queryTableFieldId="2"/>
    <tableColumn id="3" uniqueName="3" name="BuyPrice" queryTableFieldId="3" dataDxfId="75" dataCellStyle="Currency"/>
    <tableColumn id="4" uniqueName="4" name="BuyDate" queryTableFieldId="4" dataDxfId="74"/>
    <tableColumn id="5" uniqueName="5" name="Price" queryTableFieldId="5" dataDxfId="73" dataCellStyle="Currency"/>
    <tableColumn id="6" uniqueName="6" name="CalculatedPrice" queryTableFieldId="6" dataDxfId="72" dataCellStyle="Currency"/>
    <tableColumn id="7" uniqueName="7" name="AnnualizedGrowth" queryTableFieldId="7" dataDxfId="71"/>
    <tableColumn id="8" uniqueName="8" name="AbsoluteGrowth" queryTableFieldId="8" dataDxfId="70"/>
    <tableColumn id="9" uniqueName="9" name="Profit" queryTableFieldId="9" dataDxfId="69"/>
    <tableColumn id="10" uniqueName="10" name="Delta" queryTableFieldId="10" dataDxfId="68"/>
    <tableColumn id="11" uniqueName="11" name="BEP" queryTableFieldId="11" dataDxfId="67"/>
    <tableColumn id="12" uniqueName="12" name="oddsBEP" queryTableFieldId="12" dataDxfId="66" dataCellStyle="Percent"/>
    <tableColumn id="13" uniqueName="13" name="Decay" queryTableFieldId="13" dataDxfId="65" dataCellStyle="Percent"/>
    <tableColumn id="18" uniqueName="18" name="Price Ratio" queryTableFieldId="18" dataDxfId="64" dataCellStyle="Percent">
      <calculatedColumnFormula>Table_USStocks.accdb_113[[#This Row],[Price]]/Table_USStocks.accdb_113[[#This Row],[CalculatedPrice]]</calculatedColumnFormula>
    </tableColumn>
    <tableColumn id="14" uniqueName="14" name="Remarks" queryTableFieldId="14"/>
    <tableColumn id="15" uniqueName="15" name="ExcercisePositionValue" queryTableFieldId="15"/>
    <tableColumn id="16" uniqueName="16" name="CostBasis" queryTableFieldId="16" dataDxfId="63"/>
    <tableColumn id="17" uniqueName="17" name="Commission" queryTableFieldId="17"/>
  </tableColumns>
  <tableStyleInfo name="TableStyleMedium2" showFirstColumn="0" showLastColumn="0" showRowStripes="1" showColumnStripes="0"/>
</table>
</file>

<file path=xl/tables/table5.xml><?xml version="1.0" encoding="utf-8"?>
<table xmlns="http://schemas.openxmlformats.org/spreadsheetml/2006/main" id="13" name="Table_USStocks.accdb_214" displayName="Table_USStocks.accdb_214" ref="A67:J72" tableType="queryTable" totalsRowShown="0">
  <autoFilter ref="A67:J72"/>
  <sortState ref="A68:J72">
    <sortCondition descending="1" ref="H69:H74"/>
  </sortState>
  <tableColumns count="10">
    <tableColumn id="1" uniqueName="1" name="symbol" queryTableFieldId="1"/>
    <tableColumn id="2" uniqueName="2" name="Number" queryTableFieldId="2"/>
    <tableColumn id="3" uniqueName="3" name="BuyPrice" queryTableFieldId="3"/>
    <tableColumn id="4" uniqueName="4" name="BuyDate" queryTableFieldId="4" dataDxfId="81"/>
    <tableColumn id="5" uniqueName="5" name="NAV" queryTableFieldId="5"/>
    <tableColumn id="6" uniqueName="6" name="LastUpdated" queryTableFieldId="6" dataDxfId="80"/>
    <tableColumn id="7" uniqueName="7" name="AnnualizedGrowth" queryTableFieldId="7" dataDxfId="79"/>
    <tableColumn id="8" uniqueName="8" name="AbsoluteGrowth" queryTableFieldId="8" dataDxfId="78"/>
    <tableColumn id="9" uniqueName="9" name="Profit" queryTableFieldId="9" dataDxfId="77"/>
    <tableColumn id="10" uniqueName="10" name="TargetNAV" queryTableFieldId="10"/>
  </tableColumns>
  <tableStyleInfo name="TableStyleMedium2" showFirstColumn="0" showLastColumn="0" showRowStripes="1" showColumnStripes="0"/>
</table>
</file>

<file path=xl/tables/table6.xml><?xml version="1.0" encoding="utf-8"?>
<table xmlns="http://schemas.openxmlformats.org/spreadsheetml/2006/main" id="6" name="Table_USStocks.accdb7" displayName="Table_USStocks.accdb7" ref="A1:G55" tableType="queryTable" totalsRowShown="0">
  <autoFilter ref="A1:G55"/>
  <sortState ref="A2:G55">
    <sortCondition ref="F1:F42"/>
  </sortState>
  <tableColumns count="7">
    <tableColumn id="1" uniqueName="1" name="Symbol" queryTableFieldId="1"/>
    <tableColumn id="2" uniqueName="2" name="Shares" queryTableFieldId="2"/>
    <tableColumn id="3" uniqueName="3" name="BuyPrice" queryTableFieldId="3"/>
    <tableColumn id="4" uniqueName="4" name="BuyDate" queryTableFieldId="4" dataDxfId="48"/>
    <tableColumn id="5" uniqueName="5" name="SellPrice" queryTableFieldId="5"/>
    <tableColumn id="6" uniqueName="6" name="SellDate" queryTableFieldId="6" dataDxfId="47"/>
    <tableColumn id="7" uniqueName="7" name="Profit" queryTableFieldId="7" dataDxfId="46">
      <calculatedColumnFormula>Table_USStocks.accdb7[[#This Row],[Shares]]*(Table_USStocks.accdb7[[#This Row],[SellPrice]]-Table_USStocks.accdb7[[#This Row],[BuyPrice]])</calculatedColumnFormula>
    </tableColumn>
  </tableColumns>
  <tableStyleInfo name="TableStyleLight18" showFirstColumn="0" showLastColumn="0" showRowStripes="1" showColumnStripes="0"/>
</table>
</file>

<file path=xl/tables/table7.xml><?xml version="1.0" encoding="utf-8"?>
<table xmlns="http://schemas.openxmlformats.org/spreadsheetml/2006/main" id="1" name="Table_USStocks.accdb_12" displayName="Table_USStocks.accdb_12" ref="A14:V506" tableType="queryTable" totalsRowShown="0" tableBorderDxfId="152">
  <autoFilter ref="A14:V506"/>
  <sortState ref="A15:V506">
    <sortCondition ref="A5:A268"/>
  </sortState>
  <tableColumns count="22">
    <tableColumn id="1" uniqueName="1" name="Symbol" queryTableFieldId="1" dataDxfId="45"/>
    <tableColumn id="26" uniqueName="26" name="Options" queryTableFieldId="26" dataDxfId="44"/>
    <tableColumn id="31" uniqueName="31" name="LastUpdated" queryTableFieldId="31" dataDxfId="43"/>
    <tableColumn id="2" uniqueName="2" name="TxID" queryTableFieldId="44" dataDxfId="42"/>
    <tableColumn id="3" uniqueName="3" name="Shares" queryTableFieldId="45" dataDxfId="41"/>
    <tableColumn id="4" uniqueName="4" name="BuyPrice" queryTableFieldId="46" dataDxfId="40"/>
    <tableColumn id="5" uniqueName="5" name="BuyDate" queryTableFieldId="47" dataDxfId="39"/>
    <tableColumn id="6" uniqueName="6" name="SellPrice" queryTableFieldId="48" dataDxfId="38"/>
    <tableColumn id="7" uniqueName="7" name="SellDate" queryTableFieldId="49" dataDxfId="37"/>
    <tableColumn id="8" uniqueName="8" name="AnnualizedGrowth" queryTableFieldId="50" dataDxfId="36"/>
    <tableColumn id="9" uniqueName="9" name="AbsoluteGrowth" queryTableFieldId="51" dataDxfId="35"/>
    <tableColumn id="10" uniqueName="10" name="Profit" queryTableFieldId="52" dataDxfId="34"/>
    <tableColumn id="11" uniqueName="11" name="Commission" queryTableFieldId="53" dataDxfId="33"/>
    <tableColumn id="12" uniqueName="12" name="Type" queryTableFieldId="54" dataDxfId="32"/>
    <tableColumn id="13" uniqueName="13" name="CostBasis" queryTableFieldId="55" dataDxfId="31"/>
    <tableColumn id="14" uniqueName="14" name="ExcercisePositionValue" queryTableFieldId="56" dataDxfId="30"/>
    <tableColumn id="15" uniqueName="15" name="BlockedValue" queryTableFieldId="57" dataDxfId="29"/>
    <tableColumn id="16" uniqueName="16" name="HighDate" queryTableFieldId="58" dataDxfId="28"/>
    <tableColumn id="17" uniqueName="17" name="LowDate" queryTableFieldId="59" dataDxfId="27"/>
    <tableColumn id="18" uniqueName="18" name="Remarks" queryTableFieldId="60" dataDxfId="26"/>
    <tableColumn id="19" uniqueName="19" name="Asset" queryTableFieldId="61" dataDxfId="25"/>
    <tableColumn id="20" uniqueName="20" name="AssetType" queryTableFieldId="62" dataDxfId="24"/>
  </tableColumns>
  <tableStyleInfo name="TableStyleMedium2" showFirstColumn="0" showLastColumn="0" showRowStripes="1" showColumnStripes="0"/>
</table>
</file>

<file path=xl/tables/table8.xml><?xml version="1.0" encoding="utf-8"?>
<table xmlns="http://schemas.openxmlformats.org/spreadsheetml/2006/main" id="2" name="Table_USStocks.accdb3" displayName="Table_USStocks.accdb3" ref="A1:L15" tableType="queryTable" totalsRowCount="1">
  <autoFilter ref="A1:L14"/>
  <tableColumns count="12">
    <tableColumn id="1" uniqueName="1" name="Description" queryTableFieldId="1"/>
    <tableColumn id="2" uniqueName="2" name="SellDate" queryTableFieldId="2" dataDxfId="20" totalsRowDxfId="21"/>
    <tableColumn id="3" uniqueName="3" name="SaleProceeds" queryTableFieldId="3"/>
    <tableColumn id="4" uniqueName="4" name="DateAcquired" queryTableFieldId="4" dataDxfId="19" totalsRowDxfId="22"/>
    <tableColumn id="5" uniqueName="5" name="CostBasis" queryTableFieldId="5"/>
    <tableColumn id="6" uniqueName="6" name="Profit" totalsRowFunction="sum" queryTableFieldId="6" dataDxfId="18" totalsRowDxfId="23"/>
    <tableColumn id="7" uniqueName="7" name="Commission" queryTableFieldId="7"/>
    <tableColumn id="8" uniqueName="8" name="Shares" queryTableFieldId="8"/>
    <tableColumn id="9" uniqueName="9" name="BuyPrice" queryTableFieldId="9"/>
    <tableColumn id="10" uniqueName="10" name="SellPrice" queryTableFieldId="10"/>
    <tableColumn id="11" uniqueName="11" name="type" queryTableFieldId="11"/>
    <tableColumn id="12" uniqueName="12" name="options" queryTableFieldId="12"/>
  </tableColumns>
  <tableStyleInfo name="TableStyleMedium2" showFirstColumn="0" showLastColumn="0" showRowStripes="1" showColumnStripes="0"/>
</table>
</file>

<file path=xl/tables/table9.xml><?xml version="1.0" encoding="utf-8"?>
<table xmlns="http://schemas.openxmlformats.org/spreadsheetml/2006/main" id="7" name="Table_USStocks.accdb8" displayName="Table_USStocks.accdb8" ref="A1:L35" tableType="queryTable" totalsRowCount="1">
  <autoFilter ref="A1:L34"/>
  <tableColumns count="12">
    <tableColumn id="1" uniqueName="1" name="Description" queryTableFieldId="1"/>
    <tableColumn id="2" uniqueName="2" name="SellDate" queryTableFieldId="2" dataDxfId="14" totalsRowDxfId="15"/>
    <tableColumn id="3" uniqueName="3" name="SaleProceeds" queryTableFieldId="3"/>
    <tableColumn id="4" uniqueName="4" name="DateAcquired" queryTableFieldId="4" dataDxfId="13" totalsRowDxfId="16"/>
    <tableColumn id="5" uniqueName="5" name="CostBasis" queryTableFieldId="5"/>
    <tableColumn id="6" uniqueName="6" name="Profit" totalsRowFunction="sum" queryTableFieldId="6" dataDxfId="12" totalsRowDxfId="17"/>
    <tableColumn id="7" uniqueName="7" name="Commission" queryTableFieldId="7"/>
    <tableColumn id="8" uniqueName="8" name="Shares" queryTableFieldId="8"/>
    <tableColumn id="9" uniqueName="9" name="BuyPrice" queryTableFieldId="9"/>
    <tableColumn id="10" uniqueName="10" name="SellPrice" queryTableFieldId="10"/>
    <tableColumn id="11" uniqueName="11" name="type" queryTableFieldId="11"/>
    <tableColumn id="12" uniqueName="12" name="options"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service@hdfclife.com" TargetMode="Externa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abSelected="1" zoomScaleNormal="100" workbookViewId="0">
      <selection activeCell="A22" sqref="A22"/>
    </sheetView>
  </sheetViews>
  <sheetFormatPr defaultRowHeight="12.75"/>
  <cols>
    <col min="1" max="1" width="11.42578125" customWidth="1"/>
    <col min="2" max="2" width="10.28515625" customWidth="1"/>
    <col min="3" max="3" width="11.140625" customWidth="1"/>
    <col min="4" max="4" width="10.5703125" customWidth="1"/>
    <col min="5" max="5" width="12.5703125" customWidth="1"/>
    <col min="6" max="6" width="13.85546875" customWidth="1"/>
    <col min="7" max="7" width="20.42578125" customWidth="1"/>
    <col min="8" max="8" width="17.85546875" customWidth="1"/>
    <col min="9" max="9" width="10.7109375" customWidth="1"/>
    <col min="10" max="10" width="13.140625" customWidth="1"/>
    <col min="11" max="11" width="9.7109375" customWidth="1"/>
    <col min="12" max="12" width="10.140625" bestFit="1" customWidth="1"/>
  </cols>
  <sheetData>
    <row r="1" spans="1:15">
      <c r="A1" t="s">
        <v>295</v>
      </c>
      <c r="B1" t="s">
        <v>314</v>
      </c>
      <c r="C1" t="s">
        <v>315</v>
      </c>
      <c r="D1" t="s">
        <v>316</v>
      </c>
      <c r="E1" t="s">
        <v>317</v>
      </c>
      <c r="F1" t="s">
        <v>318</v>
      </c>
      <c r="G1" t="s">
        <v>120</v>
      </c>
      <c r="H1" t="s">
        <v>121</v>
      </c>
      <c r="I1" t="s">
        <v>122</v>
      </c>
      <c r="J1" s="272" t="s">
        <v>899</v>
      </c>
      <c r="K1" s="272" t="s">
        <v>900</v>
      </c>
    </row>
    <row r="2" spans="1:15">
      <c r="A2" s="272" t="s">
        <v>928</v>
      </c>
      <c r="B2">
        <v>1000</v>
      </c>
      <c r="C2" s="277">
        <v>16.8</v>
      </c>
      <c r="D2" s="57">
        <v>41600</v>
      </c>
      <c r="E2" s="277">
        <v>37.549999999999997</v>
      </c>
      <c r="F2" s="57">
        <v>42209</v>
      </c>
      <c r="G2" s="267">
        <v>48.284126563707169</v>
      </c>
      <c r="H2" s="267">
        <v>123.51190476190472</v>
      </c>
      <c r="I2" s="577">
        <v>20750</v>
      </c>
      <c r="J2" s="571">
        <f>Table_USStocks.accdb[[#This Row],[number]]*Table_USStocks.accdb[[#This Row],[closeprice]]</f>
        <v>37550</v>
      </c>
      <c r="K2" s="290">
        <f>Table_USStocks.accdb[[#This Row],[MKT Value]]/$G$29</f>
        <v>1.1220528552905278E-2</v>
      </c>
    </row>
    <row r="3" spans="1:15">
      <c r="A3" t="s">
        <v>499</v>
      </c>
      <c r="B3">
        <v>50</v>
      </c>
      <c r="C3" s="277">
        <v>211.05</v>
      </c>
      <c r="D3" s="57">
        <v>40938</v>
      </c>
      <c r="E3" s="277">
        <v>952.65</v>
      </c>
      <c r="F3" s="57">
        <v>42209</v>
      </c>
      <c r="G3" s="267">
        <v>43.315800274120768</v>
      </c>
      <c r="H3" s="267">
        <v>351.38592750533041</v>
      </c>
      <c r="I3" s="577">
        <v>37080</v>
      </c>
      <c r="J3" s="571">
        <f>Table_USStocks.accdb[[#This Row],[number]]*Table_USStocks.accdb[[#This Row],[closeprice]]</f>
        <v>47632.5</v>
      </c>
      <c r="K3" s="290">
        <f>Table_USStocks.accdb[[#This Row],[MKT Value]]/$G$29</f>
        <v>1.4233337584454343E-2</v>
      </c>
    </row>
    <row r="4" spans="1:15">
      <c r="A4" t="s">
        <v>955</v>
      </c>
      <c r="B4">
        <v>120</v>
      </c>
      <c r="C4" s="277">
        <v>790.47</v>
      </c>
      <c r="D4" s="57">
        <v>41802</v>
      </c>
      <c r="E4" s="277">
        <v>1087.5999999999999</v>
      </c>
      <c r="F4" s="57">
        <v>42209</v>
      </c>
      <c r="G4" s="267">
        <v>28.617166519648801</v>
      </c>
      <c r="H4" s="267">
        <v>37.589029311675318</v>
      </c>
      <c r="I4" s="577">
        <v>35655.599999999999</v>
      </c>
      <c r="J4" s="571">
        <f>Table_USStocks.accdb[[#This Row],[number]]*Table_USStocks.accdb[[#This Row],[closeprice]]</f>
        <v>130511.99999999999</v>
      </c>
      <c r="K4" s="290">
        <f>Table_USStocks.accdb[[#This Row],[MKT Value]]/$G$29</f>
        <v>3.8999031224947356E-2</v>
      </c>
    </row>
    <row r="5" spans="1:15">
      <c r="A5" t="s">
        <v>299</v>
      </c>
      <c r="B5">
        <v>100</v>
      </c>
      <c r="C5" s="277">
        <v>121</v>
      </c>
      <c r="D5" s="57">
        <v>39492</v>
      </c>
      <c r="E5" s="277">
        <v>689.95</v>
      </c>
      <c r="F5" s="57">
        <v>42209</v>
      </c>
      <c r="G5" s="267">
        <v>23.394787693089111</v>
      </c>
      <c r="H5" s="267">
        <v>470.20661157024801</v>
      </c>
      <c r="I5" s="577">
        <v>56895</v>
      </c>
      <c r="J5" s="571">
        <f>Table_USStocks.accdb[[#This Row],[number]]*Table_USStocks.accdb[[#This Row],[closeprice]]</f>
        <v>68995</v>
      </c>
      <c r="K5" s="290">
        <f>Table_USStocks.accdb[[#This Row],[MKT Value]]/$G$29</f>
        <v>2.0616787416982679E-2</v>
      </c>
    </row>
    <row r="6" spans="1:15">
      <c r="A6" t="s">
        <v>304</v>
      </c>
      <c r="B6">
        <v>400</v>
      </c>
      <c r="C6" s="277">
        <v>319.08749999999998</v>
      </c>
      <c r="D6" s="57">
        <v>38569</v>
      </c>
      <c r="E6" s="277">
        <v>2505.15</v>
      </c>
      <c r="F6" s="57">
        <v>42209</v>
      </c>
      <c r="G6" s="267">
        <v>20.662996269904177</v>
      </c>
      <c r="H6" s="267">
        <v>685.09813139029268</v>
      </c>
      <c r="I6" s="577">
        <v>874425</v>
      </c>
      <c r="J6" s="571">
        <f>Table_USStocks.accdb[[#This Row],[number]]*Table_USStocks.accdb[[#This Row],[closeprice]]</f>
        <v>1002060</v>
      </c>
      <c r="K6" s="290">
        <f>Table_USStocks.accdb[[#This Row],[MKT Value]]/$G$29</f>
        <v>0.2994312341338019</v>
      </c>
    </row>
    <row r="7" spans="1:15">
      <c r="A7" t="s">
        <v>303</v>
      </c>
      <c r="B7">
        <v>50</v>
      </c>
      <c r="C7" s="277">
        <v>250</v>
      </c>
      <c r="D7" s="57">
        <v>39735</v>
      </c>
      <c r="E7" s="277">
        <v>879.65</v>
      </c>
      <c r="F7" s="57">
        <v>42209</v>
      </c>
      <c r="G7" s="267">
        <v>18.560754319980809</v>
      </c>
      <c r="H7" s="267">
        <v>251.86</v>
      </c>
      <c r="I7" s="577">
        <v>31482.5</v>
      </c>
      <c r="J7" s="571">
        <f>Table_USStocks.accdb[[#This Row],[number]]*Table_USStocks.accdb[[#This Row],[closeprice]]</f>
        <v>43982.5</v>
      </c>
      <c r="K7" s="291">
        <f>Table_USStocks.accdb[[#This Row],[MKT Value]]/$G$29</f>
        <v>1.3142660374917611E-2</v>
      </c>
    </row>
    <row r="8" spans="1:15">
      <c r="A8" t="s">
        <v>306</v>
      </c>
      <c r="B8">
        <v>37</v>
      </c>
      <c r="C8" s="277">
        <v>224.32</v>
      </c>
      <c r="D8" s="57">
        <v>39492</v>
      </c>
      <c r="E8" s="277">
        <v>566.75</v>
      </c>
      <c r="F8" s="57">
        <v>42209</v>
      </c>
      <c r="G8" s="267">
        <v>12.455755162835633</v>
      </c>
      <c r="H8" s="267">
        <v>152.6524607703281</v>
      </c>
      <c r="I8" s="577">
        <v>12669.91</v>
      </c>
      <c r="J8" s="571">
        <f>Table_USStocks.accdb[[#This Row],[number]]*Table_USStocks.accdb[[#This Row],[closeprice]]</f>
        <v>20969.75</v>
      </c>
      <c r="K8" s="290">
        <f>Table_USStocks.accdb[[#This Row],[MKT Value]]/$G$29</f>
        <v>6.2660899766254444E-3</v>
      </c>
    </row>
    <row r="9" spans="1:15">
      <c r="A9" t="s">
        <v>302</v>
      </c>
      <c r="B9">
        <v>40</v>
      </c>
      <c r="C9" s="277">
        <v>352.255</v>
      </c>
      <c r="D9" s="57">
        <v>38569</v>
      </c>
      <c r="E9" s="277">
        <v>1025.05</v>
      </c>
      <c r="F9" s="57">
        <v>42209</v>
      </c>
      <c r="G9" s="267">
        <v>10.710757799199373</v>
      </c>
      <c r="H9" s="267">
        <v>190.99657918269435</v>
      </c>
      <c r="I9" s="577">
        <v>26911.8</v>
      </c>
      <c r="J9" s="571">
        <f>Table_USStocks.accdb[[#This Row],[number]]*Table_USStocks.accdb[[#This Row],[closeprice]]</f>
        <v>41002</v>
      </c>
      <c r="K9" s="290">
        <f>Table_USStocks.accdb[[#This Row],[MKT Value]]/$G$29</f>
        <v>1.2252040259020564E-2</v>
      </c>
    </row>
    <row r="10" spans="1:15">
      <c r="A10" t="s">
        <v>301</v>
      </c>
      <c r="B10">
        <v>300</v>
      </c>
      <c r="C10" s="277">
        <v>174.66669999999999</v>
      </c>
      <c r="D10" s="57">
        <v>38637</v>
      </c>
      <c r="E10" s="277">
        <v>282.85000000000002</v>
      </c>
      <c r="F10" s="57">
        <v>42209</v>
      </c>
      <c r="G10" s="267">
        <v>4.9256314217033283</v>
      </c>
      <c r="H10" s="267">
        <v>61.936991996757278</v>
      </c>
      <c r="I10" s="577">
        <v>32454.99</v>
      </c>
      <c r="J10" s="571">
        <f>Table_USStocks.accdb[[#This Row],[number]]*Table_USStocks.accdb[[#This Row],[closeprice]]</f>
        <v>84855</v>
      </c>
      <c r="K10" s="290">
        <f>Table_USStocks.accdb[[#This Row],[MKT Value]]/$G$29</f>
        <v>2.5356004004175162E-2</v>
      </c>
      <c r="O10" s="561"/>
    </row>
    <row r="11" spans="1:15">
      <c r="A11" t="s">
        <v>305</v>
      </c>
      <c r="B11">
        <v>20</v>
      </c>
      <c r="C11" s="277">
        <v>713.9</v>
      </c>
      <c r="D11" s="57">
        <v>39471</v>
      </c>
      <c r="E11" s="277">
        <v>265.05</v>
      </c>
      <c r="F11" s="57">
        <v>42209</v>
      </c>
      <c r="G11" s="267">
        <v>-13.213405528397107</v>
      </c>
      <c r="H11" s="267">
        <v>-62.872951393752629</v>
      </c>
      <c r="I11" s="577">
        <v>-8977</v>
      </c>
      <c r="J11" s="571">
        <f>Table_USStocks.accdb[[#This Row],[number]]*Table_USStocks.accdb[[#This Row],[closeprice]]</f>
        <v>5301</v>
      </c>
      <c r="K11" s="290">
        <f>Table_USStocks.accdb[[#This Row],[MKT Value]]/$G$29</f>
        <v>1.5840218870559486E-3</v>
      </c>
    </row>
    <row r="12" spans="1:15">
      <c r="C12" s="597"/>
      <c r="D12" s="57"/>
      <c r="E12" s="597"/>
      <c r="F12" s="57"/>
      <c r="G12" s="267"/>
      <c r="H12" s="267"/>
      <c r="I12" s="596">
        <f>SUBTOTAL(109,Table_USStocks.accdb[Profit])</f>
        <v>1119347.8</v>
      </c>
      <c r="J12" s="570">
        <f>SUBTOTAL(109,Table_USStocks.accdb[MKT Value])</f>
        <v>1482859.75</v>
      </c>
    </row>
    <row r="13" spans="1:15">
      <c r="A13" s="21"/>
      <c r="B13" s="21"/>
      <c r="C13" s="446"/>
      <c r="D13" s="262"/>
      <c r="E13" s="446"/>
      <c r="F13" s="262"/>
      <c r="G13" s="270"/>
      <c r="H13" s="270"/>
      <c r="I13" s="446"/>
      <c r="J13" s="76"/>
      <c r="K13" s="290"/>
    </row>
    <row r="14" spans="1:15">
      <c r="E14" s="57"/>
      <c r="G14" s="57"/>
      <c r="H14" s="57"/>
    </row>
    <row r="15" spans="1:15">
      <c r="E15" s="57"/>
      <c r="G15" s="57"/>
      <c r="H15" s="57"/>
    </row>
    <row r="16" spans="1:15">
      <c r="A16" s="57" t="s">
        <v>295</v>
      </c>
      <c r="B16" s="57" t="s">
        <v>314</v>
      </c>
      <c r="C16" s="57" t="s">
        <v>315</v>
      </c>
      <c r="D16" s="57" t="s">
        <v>316</v>
      </c>
      <c r="E16" s="57" t="s">
        <v>71</v>
      </c>
      <c r="F16" s="57" t="s">
        <v>318</v>
      </c>
      <c r="G16" s="57" t="s">
        <v>120</v>
      </c>
      <c r="H16" s="57" t="s">
        <v>121</v>
      </c>
      <c r="I16" s="57" t="s">
        <v>122</v>
      </c>
      <c r="J16" s="560" t="s">
        <v>899</v>
      </c>
      <c r="K16" s="560" t="s">
        <v>900</v>
      </c>
    </row>
    <row r="17" spans="1:16">
      <c r="A17" s="57" t="s">
        <v>1043</v>
      </c>
      <c r="B17">
        <v>174.483</v>
      </c>
      <c r="C17" s="277">
        <v>152.1542</v>
      </c>
      <c r="D17" s="57">
        <v>42186</v>
      </c>
      <c r="E17" s="277">
        <v>156.739</v>
      </c>
      <c r="F17" s="57">
        <v>42209</v>
      </c>
      <c r="G17" s="267">
        <v>47.112805560681799</v>
      </c>
      <c r="H17" s="267">
        <v>3.0132589175980691</v>
      </c>
      <c r="I17" s="577">
        <v>799.96969999999999</v>
      </c>
      <c r="J17" s="559">
        <f>Table_USStocks.accdb_1[[#This Row],[number]]*Table_USStocks.accdb_1[[#This Row],[NAV]]</f>
        <v>27348.290937000002</v>
      </c>
      <c r="K17" s="290">
        <f>Table_USStocks.accdb_1[[#This Row],[MKT Value]]/$G$29</f>
        <v>8.172097984867354E-3</v>
      </c>
    </row>
    <row r="18" spans="1:16">
      <c r="A18" s="57" t="s">
        <v>1034</v>
      </c>
      <c r="B18">
        <v>62.487000000000002</v>
      </c>
      <c r="C18" s="277">
        <v>798.57140000000004</v>
      </c>
      <c r="D18" s="57">
        <v>42143</v>
      </c>
      <c r="E18" s="277">
        <v>846.44910000000004</v>
      </c>
      <c r="F18" s="57">
        <v>42209</v>
      </c>
      <c r="G18" s="267">
        <v>32.200570156860778</v>
      </c>
      <c r="H18" s="267">
        <v>5.9954188191563089</v>
      </c>
      <c r="I18" s="577">
        <v>2991.7338</v>
      </c>
      <c r="J18" s="559">
        <f>Table_USStocks.accdb_1[[#This Row],[number]]*Table_USStocks.accdb_1[[#This Row],[NAV]]</f>
        <v>52892.064911700007</v>
      </c>
      <c r="K18" s="290">
        <f>Table_USStocks.accdb_1[[#This Row],[MKT Value]]/$G$29</f>
        <v>1.5804978017679074E-2</v>
      </c>
    </row>
    <row r="19" spans="1:16">
      <c r="A19" s="57" t="s">
        <v>322</v>
      </c>
      <c r="B19">
        <v>948.76700000000005</v>
      </c>
      <c r="C19" s="277">
        <v>79.05</v>
      </c>
      <c r="D19" s="57">
        <v>40756</v>
      </c>
      <c r="E19" s="277">
        <v>160.9</v>
      </c>
      <c r="F19" s="57">
        <v>42209</v>
      </c>
      <c r="G19" s="267">
        <v>17.85315959911512</v>
      </c>
      <c r="H19" s="267">
        <v>103.54206198608478</v>
      </c>
      <c r="I19" s="577">
        <v>77656.578999999998</v>
      </c>
      <c r="J19" s="559">
        <f>Table_USStocks.accdb_1[[#This Row],[number]]*Table_USStocks.accdb_1[[#This Row],[NAV]]</f>
        <v>152656.6103</v>
      </c>
      <c r="K19" s="290">
        <f>Table_USStocks.accdb_1[[#This Row],[MKT Value]]/$G$29</f>
        <v>4.5616187873791847E-2</v>
      </c>
    </row>
    <row r="20" spans="1:16">
      <c r="A20" s="560" t="s">
        <v>1017</v>
      </c>
      <c r="B20">
        <v>34655.252370000002</v>
      </c>
      <c r="C20" s="277">
        <v>7.69</v>
      </c>
      <c r="D20" s="57">
        <v>37803</v>
      </c>
      <c r="E20" s="277">
        <v>29.314699999999998</v>
      </c>
      <c r="F20" s="57">
        <v>42155</v>
      </c>
      <c r="G20" s="267">
        <v>11.223148766309381</v>
      </c>
      <c r="H20" s="267">
        <v>281.2054616384915</v>
      </c>
      <c r="I20" s="577">
        <v>749409.43590000004</v>
      </c>
      <c r="J20" s="559">
        <f>Table_USStocks.accdb_1[[#This Row],[number]]*Table_USStocks.accdb_1[[#This Row],[NAV]]</f>
        <v>1015908.3266508389</v>
      </c>
      <c r="K20" s="290">
        <f>Table_USStocks.accdb_1[[#This Row],[MKT Value]]/$G$29</f>
        <v>0.30356933119360746</v>
      </c>
    </row>
    <row r="21" spans="1:16">
      <c r="A21" s="57" t="s">
        <v>326</v>
      </c>
      <c r="B21">
        <v>1490.78</v>
      </c>
      <c r="C21" s="277">
        <v>6.7079000000000004</v>
      </c>
      <c r="D21" s="57">
        <v>39807</v>
      </c>
      <c r="E21" s="277">
        <v>13.678000000000001</v>
      </c>
      <c r="F21" s="57">
        <v>42209</v>
      </c>
      <c r="G21" s="267">
        <v>10.831466461294228</v>
      </c>
      <c r="H21" s="267">
        <v>103.90882392402986</v>
      </c>
      <c r="I21" s="577">
        <v>10390.885700000001</v>
      </c>
      <c r="J21" s="559">
        <f>Table_USStocks.accdb_1[[#This Row],[number]]*Table_USStocks.accdb_1[[#This Row],[NAV]]</f>
        <v>20390.88884</v>
      </c>
      <c r="K21" s="290">
        <f>Table_USStocks.accdb_1[[#This Row],[MKT Value]]/$G$29</f>
        <v>6.0931171890369522E-3</v>
      </c>
    </row>
    <row r="22" spans="1:16">
      <c r="A22" s="57" t="s">
        <v>1019</v>
      </c>
      <c r="B22">
        <v>2234.942</v>
      </c>
      <c r="C22" s="277">
        <v>22.327200000000001</v>
      </c>
      <c r="D22" s="57">
        <v>42090</v>
      </c>
      <c r="E22" s="277">
        <v>22.919599999999999</v>
      </c>
      <c r="F22" s="57">
        <v>42209</v>
      </c>
      <c r="G22" s="267">
        <v>8.0320776005345564</v>
      </c>
      <c r="H22" s="267">
        <v>2.6532659715503861</v>
      </c>
      <c r="I22" s="577">
        <v>1323.9795999999999</v>
      </c>
      <c r="J22" s="559">
        <f>Table_USStocks.accdb_1[[#This Row],[number]]*Table_USStocks.accdb_1[[#This Row],[NAV]]</f>
        <v>51223.976663199996</v>
      </c>
      <c r="K22" s="290">
        <f>Table_USStocks.accdb_1[[#This Row],[MKT Value]]/$G$29</f>
        <v>1.5306527103669483E-2</v>
      </c>
      <c r="N22" s="568"/>
    </row>
    <row r="23" spans="1:16">
      <c r="A23" s="57" t="s">
        <v>461</v>
      </c>
      <c r="B23">
        <v>41776.1</v>
      </c>
      <c r="C23" s="277">
        <v>11.9686</v>
      </c>
      <c r="D23" s="57">
        <v>40755</v>
      </c>
      <c r="E23" s="277">
        <v>13.004200000000001</v>
      </c>
      <c r="F23" s="57">
        <v>42213</v>
      </c>
      <c r="G23" s="267">
        <v>2.0774915924235571</v>
      </c>
      <c r="H23" s="267">
        <v>8.6526410774860931</v>
      </c>
      <c r="I23" s="577">
        <v>43263.3292</v>
      </c>
      <c r="J23" s="559">
        <f>Table_USStocks.accdb_1[[#This Row],[number]]*Table_USStocks.accdb_1[[#This Row],[NAV]]</f>
        <v>543264.75962000003</v>
      </c>
      <c r="K23" s="290">
        <f>Table_USStocks.accdb_1[[#This Row],[MKT Value]]/$G$29</f>
        <v>0.16233602522246157</v>
      </c>
      <c r="P23" s="567"/>
    </row>
    <row r="24" spans="1:16">
      <c r="A24" s="262"/>
      <c r="B24" s="21"/>
      <c r="C24" s="446"/>
      <c r="D24" s="262"/>
      <c r="E24" s="446"/>
      <c r="F24" s="262"/>
      <c r="G24" s="270"/>
      <c r="H24" s="270"/>
      <c r="I24" s="596">
        <f>SUBTOTAL(109,Table_USStocks.accdb_1[Profit])</f>
        <v>885835.9129</v>
      </c>
      <c r="J24" s="570">
        <f>SUBTOTAL(109,Table_USStocks.accdb_1[MKT Value])</f>
        <v>1863684.9179227389</v>
      </c>
    </row>
    <row r="25" spans="1:16">
      <c r="A25" s="21"/>
      <c r="B25" s="21"/>
      <c r="C25" s="446"/>
      <c r="D25" s="262"/>
      <c r="E25" s="446"/>
      <c r="F25" s="262"/>
      <c r="G25" s="270"/>
      <c r="H25" s="270"/>
      <c r="I25" s="446"/>
      <c r="J25" s="76"/>
      <c r="K25" s="290"/>
    </row>
    <row r="26" spans="1:16">
      <c r="A26" s="21"/>
      <c r="B26" s="21"/>
      <c r="C26" s="446"/>
      <c r="D26" s="262"/>
      <c r="E26" s="446"/>
      <c r="F26" s="262"/>
      <c r="G26" s="270"/>
      <c r="H26" s="270"/>
      <c r="I26" s="446"/>
      <c r="J26" s="76"/>
      <c r="K26" s="290"/>
    </row>
    <row r="27" spans="1:16" ht="21" thickBot="1">
      <c r="B27" s="278"/>
      <c r="C27" s="13"/>
      <c r="D27" s="57">
        <v>37803</v>
      </c>
      <c r="F27" s="285">
        <f ca="1">NOW()</f>
        <v>42212.941284490742</v>
      </c>
      <c r="J27" s="76"/>
      <c r="K27" s="290"/>
      <c r="M27" s="574"/>
    </row>
    <row r="28" spans="1:16" ht="13.5" thickBot="1">
      <c r="A28" s="279" t="s">
        <v>234</v>
      </c>
      <c r="B28" s="280" t="e">
        <f>G28/(SUMPRODUCT(#REF!,#REF!)+SUMPRODUCT(#REF!,#REF!))</f>
        <v>#REF!</v>
      </c>
      <c r="C28" s="281"/>
      <c r="D28" s="282" t="s">
        <v>319</v>
      </c>
      <c r="E28" s="283">
        <f ca="1">365/(F27-D27)*LN(G29/(SUMPRODUCT(Table_USStocks.accdb[number],Table_USStocks.accdb[buyprice])+SUMPRODUCT(Table_USStocks.accdb_1[number],Table_USStocks.accdb_1[buyprice])))</f>
        <v>7.5669698313526518E-2</v>
      </c>
      <c r="G28" s="284">
        <f>I24+I12</f>
        <v>2005183.7129000002</v>
      </c>
      <c r="H28" s="283">
        <f>LN(G29/(SUMPRODUCT(Table_USStocks.accdb[number],Table_USStocks.accdb[buyprice])+SUMPRODUCT(Table_USStocks.accdb_1[number],Table_USStocks.accdb_1[buyprice])))</f>
        <v>0.91424363445967138</v>
      </c>
      <c r="J28" s="76"/>
      <c r="K28" s="290"/>
    </row>
    <row r="29" spans="1:16">
      <c r="C29" s="13"/>
      <c r="G29" s="284">
        <f>SUMPRODUCT(Table_USStocks.accdb[number],Table_USStocks.accdb[closeprice])+SUMPRODUCT(Table_USStocks.accdb_1[number],Table_USStocks.accdb_1[NAV])</f>
        <v>3346544.6679227389</v>
      </c>
      <c r="J29" s="76"/>
      <c r="K29" s="277"/>
    </row>
    <row r="30" spans="1:16">
      <c r="K30" s="496"/>
    </row>
    <row r="32" spans="1:16">
      <c r="I32" s="319"/>
    </row>
    <row r="33" spans="2:12">
      <c r="G33" s="76"/>
      <c r="H33" s="319"/>
      <c r="I33" s="604"/>
      <c r="J33" s="319"/>
    </row>
    <row r="34" spans="2:12" ht="13.5" thickBot="1"/>
    <row r="35" spans="2:12">
      <c r="B35" s="324" t="s">
        <v>337</v>
      </c>
      <c r="C35" s="325"/>
      <c r="D35" s="325"/>
      <c r="E35" s="325"/>
      <c r="F35" s="325"/>
      <c r="G35" s="326"/>
      <c r="I35" s="441"/>
    </row>
    <row r="36" spans="2:12">
      <c r="B36" s="327" t="s">
        <v>332</v>
      </c>
      <c r="C36" s="328"/>
      <c r="D36" s="328"/>
      <c r="E36" s="328"/>
      <c r="F36" s="329" t="s">
        <v>338</v>
      </c>
      <c r="G36" s="330"/>
      <c r="I36" s="442"/>
    </row>
    <row r="37" spans="2:12">
      <c r="B37" s="327" t="s">
        <v>333</v>
      </c>
      <c r="C37" s="328"/>
      <c r="D37" s="328"/>
      <c r="E37" s="328"/>
      <c r="F37" s="329" t="s">
        <v>339</v>
      </c>
      <c r="G37" s="330"/>
    </row>
    <row r="38" spans="2:12">
      <c r="B38" s="327" t="s">
        <v>334</v>
      </c>
      <c r="C38" s="328"/>
      <c r="D38" s="328"/>
      <c r="E38" s="328"/>
      <c r="F38" s="331" t="s">
        <v>340</v>
      </c>
      <c r="G38" s="330"/>
    </row>
    <row r="39" spans="2:12">
      <c r="B39" s="327" t="s">
        <v>335</v>
      </c>
      <c r="C39" s="328"/>
      <c r="D39" s="328"/>
      <c r="E39" s="328"/>
      <c r="F39" s="328"/>
      <c r="G39" s="330"/>
    </row>
    <row r="40" spans="2:12">
      <c r="B40" s="327" t="s">
        <v>336</v>
      </c>
      <c r="C40" s="328"/>
      <c r="D40" s="328"/>
      <c r="E40" s="328"/>
      <c r="F40" s="328"/>
      <c r="G40" s="330"/>
    </row>
    <row r="41" spans="2:12" ht="13.5" thickBot="1">
      <c r="B41" s="332" t="s">
        <v>497</v>
      </c>
      <c r="C41" s="333" t="s">
        <v>498</v>
      </c>
      <c r="D41" s="333"/>
      <c r="E41" s="333"/>
      <c r="F41" s="333"/>
      <c r="G41" s="334"/>
      <c r="J41" s="442"/>
      <c r="K41" s="443"/>
    </row>
    <row r="42" spans="2:12">
      <c r="J42" s="445"/>
      <c r="K42" s="444"/>
    </row>
    <row r="48" spans="2:12">
      <c r="L48" s="286"/>
    </row>
    <row r="51" spans="12:12">
      <c r="L51" s="443"/>
    </row>
    <row r="52" spans="12:12">
      <c r="L52" s="443"/>
    </row>
  </sheetData>
  <conditionalFormatting sqref="E28">
    <cfRule type="cellIs" dxfId="109" priority="8" stopIfTrue="1" operator="lessThan">
      <formula>0.1</formula>
    </cfRule>
  </conditionalFormatting>
  <conditionalFormatting sqref="J2:J13 J18:J29">
    <cfRule type="cellIs" dxfId="108" priority="7" operator="greaterThan">
      <formula>0.1</formula>
    </cfRule>
  </conditionalFormatting>
  <conditionalFormatting sqref="I2:I12 I17:I24">
    <cfRule type="cellIs" dxfId="107" priority="5" operator="lessThan">
      <formula>0</formula>
    </cfRule>
  </conditionalFormatting>
  <conditionalFormatting sqref="H28">
    <cfRule type="cellIs" dxfId="106" priority="3" stopIfTrue="1" operator="lessThan">
      <formula>0.1</formula>
    </cfRule>
  </conditionalFormatting>
  <conditionalFormatting sqref="J17">
    <cfRule type="cellIs" dxfId="105" priority="2" operator="greaterThan">
      <formula>0.1</formula>
    </cfRule>
  </conditionalFormatting>
  <hyperlinks>
    <hyperlink ref="F38" r:id="rId1" display="mailto:service@hdfclife.com"/>
  </hyperlinks>
  <pageMargins left="0.7" right="0.7" top="0.75" bottom="0.75" header="0.3" footer="0.3"/>
  <pageSetup orientation="landscape"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41"/>
  <sheetViews>
    <sheetView topLeftCell="A78" zoomScale="90" zoomScaleNormal="90" workbookViewId="0">
      <selection activeCell="F90" sqref="F90"/>
    </sheetView>
  </sheetViews>
  <sheetFormatPr defaultRowHeight="12.75"/>
  <cols>
    <col min="1" max="1" width="20.140625" bestFit="1" customWidth="1"/>
    <col min="2" max="2" width="14.85546875" customWidth="1"/>
    <col min="3" max="3" width="11.42578125" customWidth="1"/>
    <col min="4" max="4" width="10.85546875" customWidth="1"/>
    <col min="5" max="5" width="11.5703125" customWidth="1"/>
    <col min="6" max="6" width="11" customWidth="1"/>
    <col min="7" max="7" width="10.42578125" customWidth="1"/>
    <col min="8" max="8" width="9" style="361" customWidth="1"/>
    <col min="9" max="9" width="14" customWidth="1"/>
    <col min="10" max="10" width="7.42578125" customWidth="1"/>
    <col min="11" max="11" width="16.140625" customWidth="1"/>
    <col min="12" max="12" width="11.85546875" customWidth="1"/>
    <col min="13" max="13" width="17.42578125" style="26" customWidth="1"/>
    <col min="14" max="14" width="16" style="433" customWidth="1"/>
    <col min="15" max="15" width="11.5703125" customWidth="1"/>
    <col min="16" max="16" width="11.28515625" customWidth="1"/>
    <col min="17" max="17" width="11.140625" customWidth="1"/>
    <col min="18" max="18" width="14.5703125" customWidth="1"/>
    <col min="19" max="19" width="8" customWidth="1"/>
    <col min="20" max="20" width="12.42578125" customWidth="1"/>
    <col min="21" max="21" width="22.42578125" customWidth="1"/>
    <col min="22" max="22" width="9.5703125" customWidth="1"/>
    <col min="23" max="23" width="8" customWidth="1"/>
    <col min="24" max="24" width="12.42578125" customWidth="1"/>
    <col min="25" max="25" width="8" customWidth="1"/>
    <col min="26" max="26" width="12.42578125" customWidth="1"/>
    <col min="27" max="27" width="12.85546875" customWidth="1"/>
    <col min="28" max="28" width="15.42578125" customWidth="1"/>
  </cols>
  <sheetData>
    <row r="1" spans="1:18" s="263" customFormat="1">
      <c r="A1" s="412" t="s">
        <v>208</v>
      </c>
      <c r="B1" s="412" t="s">
        <v>281</v>
      </c>
      <c r="C1" s="412" t="s">
        <v>517</v>
      </c>
      <c r="D1" s="413" t="s">
        <v>518</v>
      </c>
      <c r="E1" s="412" t="s">
        <v>282</v>
      </c>
      <c r="F1" s="413" t="s">
        <v>95</v>
      </c>
      <c r="G1" s="414" t="s">
        <v>280</v>
      </c>
      <c r="H1" s="415" t="s">
        <v>122</v>
      </c>
      <c r="I1" s="387" t="s">
        <v>102</v>
      </c>
      <c r="J1" s="412" t="s">
        <v>519</v>
      </c>
      <c r="K1" s="412" t="s">
        <v>520</v>
      </c>
      <c r="L1" s="416" t="s">
        <v>313</v>
      </c>
      <c r="M1" s="419" t="s">
        <v>144</v>
      </c>
      <c r="N1" s="432" t="s">
        <v>659</v>
      </c>
      <c r="O1" s="342"/>
      <c r="P1" s="342"/>
      <c r="R1" s="342"/>
    </row>
    <row r="2" spans="1:18">
      <c r="A2" s="349" t="s">
        <v>546</v>
      </c>
      <c r="B2" s="350">
        <v>40820</v>
      </c>
      <c r="C2" s="351">
        <v>6400</v>
      </c>
      <c r="D2" s="350">
        <v>40808</v>
      </c>
      <c r="E2" s="351">
        <v>4017.4</v>
      </c>
      <c r="F2" s="351">
        <v>40</v>
      </c>
      <c r="G2" s="352">
        <v>64</v>
      </c>
      <c r="H2" s="358">
        <v>2382.6</v>
      </c>
      <c r="I2" s="353">
        <v>17.399999999999999</v>
      </c>
      <c r="J2" s="349" t="s">
        <v>258</v>
      </c>
      <c r="K2" s="349" t="s">
        <v>381</v>
      </c>
      <c r="L2" s="354">
        <v>100</v>
      </c>
      <c r="M2" s="420"/>
      <c r="N2" s="432" t="s">
        <v>661</v>
      </c>
      <c r="O2" s="57"/>
      <c r="P2" s="57"/>
      <c r="R2" s="57"/>
    </row>
    <row r="3" spans="1:18">
      <c r="A3" s="349" t="s">
        <v>547</v>
      </c>
      <c r="B3" s="350">
        <v>40546</v>
      </c>
      <c r="C3" s="351">
        <v>3325</v>
      </c>
      <c r="D3" s="350">
        <v>40092</v>
      </c>
      <c r="E3" s="351">
        <v>1889.85</v>
      </c>
      <c r="F3" s="351">
        <v>188.19</v>
      </c>
      <c r="G3" s="352">
        <v>332.5</v>
      </c>
      <c r="H3" s="358">
        <v>1435.15</v>
      </c>
      <c r="I3" s="353">
        <v>7.95</v>
      </c>
      <c r="J3" s="349" t="s">
        <v>145</v>
      </c>
      <c r="K3" s="349"/>
      <c r="L3" s="354">
        <v>10</v>
      </c>
      <c r="M3" s="420"/>
      <c r="N3" s="432" t="s">
        <v>661</v>
      </c>
      <c r="O3" s="57"/>
      <c r="P3" s="57"/>
      <c r="R3" s="57"/>
    </row>
    <row r="4" spans="1:18">
      <c r="A4" s="349" t="s">
        <v>548</v>
      </c>
      <c r="B4" s="350">
        <v>40583</v>
      </c>
      <c r="C4" s="351">
        <v>5340</v>
      </c>
      <c r="D4" s="350">
        <v>40092</v>
      </c>
      <c r="E4" s="351">
        <v>2830.8</v>
      </c>
      <c r="F4" s="351">
        <v>188.19</v>
      </c>
      <c r="G4" s="352">
        <v>356</v>
      </c>
      <c r="H4" s="358">
        <v>2509.1999999999998</v>
      </c>
      <c r="I4" s="367">
        <v>7.95</v>
      </c>
      <c r="J4" s="349" t="s">
        <v>145</v>
      </c>
      <c r="K4" s="349"/>
      <c r="L4" s="354">
        <v>15</v>
      </c>
      <c r="M4" s="420"/>
      <c r="N4" s="432" t="s">
        <v>661</v>
      </c>
      <c r="O4" s="57"/>
      <c r="P4" s="57"/>
      <c r="R4" s="57"/>
    </row>
    <row r="5" spans="1:18">
      <c r="A5" s="349" t="s">
        <v>549</v>
      </c>
      <c r="B5" s="350">
        <v>40891</v>
      </c>
      <c r="C5" s="351">
        <v>610</v>
      </c>
      <c r="D5" s="350">
        <v>40878</v>
      </c>
      <c r="E5" s="351">
        <v>117.4</v>
      </c>
      <c r="F5" s="351">
        <v>1</v>
      </c>
      <c r="G5" s="352">
        <v>6.1</v>
      </c>
      <c r="H5" s="358">
        <v>492.6</v>
      </c>
      <c r="I5" s="353">
        <v>17.399999999999999</v>
      </c>
      <c r="J5" s="349" t="s">
        <v>15</v>
      </c>
      <c r="K5" s="349" t="s">
        <v>456</v>
      </c>
      <c r="L5" s="354">
        <v>100</v>
      </c>
      <c r="M5" s="420"/>
      <c r="N5" s="432" t="s">
        <v>661</v>
      </c>
      <c r="O5" s="57"/>
      <c r="P5" s="57"/>
      <c r="R5" s="57"/>
    </row>
    <row r="6" spans="1:18">
      <c r="A6" s="349" t="s">
        <v>549</v>
      </c>
      <c r="B6" s="350">
        <v>40868</v>
      </c>
      <c r="C6" s="351">
        <v>570</v>
      </c>
      <c r="D6" s="350">
        <v>40843</v>
      </c>
      <c r="E6" s="351">
        <v>107.4</v>
      </c>
      <c r="F6" s="351">
        <v>0.9</v>
      </c>
      <c r="G6" s="352">
        <v>5.7</v>
      </c>
      <c r="H6" s="358">
        <v>462.6</v>
      </c>
      <c r="I6" s="367">
        <v>17.399999999999999</v>
      </c>
      <c r="J6" s="349" t="s">
        <v>15</v>
      </c>
      <c r="K6" s="349" t="s">
        <v>411</v>
      </c>
      <c r="L6" s="354">
        <v>100</v>
      </c>
      <c r="M6" s="420"/>
      <c r="N6" s="432" t="s">
        <v>661</v>
      </c>
      <c r="O6" s="57"/>
      <c r="P6" s="57"/>
      <c r="R6" s="57"/>
    </row>
    <row r="7" spans="1:18" ht="25.5">
      <c r="A7" s="391" t="s">
        <v>550</v>
      </c>
      <c r="B7" s="392">
        <v>40620</v>
      </c>
      <c r="C7" s="393">
        <v>138</v>
      </c>
      <c r="D7" s="392">
        <v>40504</v>
      </c>
      <c r="E7" s="393">
        <v>34.11</v>
      </c>
      <c r="F7" s="393">
        <v>0.05</v>
      </c>
      <c r="G7" s="394">
        <v>0.46</v>
      </c>
      <c r="H7" s="395">
        <v>103.89</v>
      </c>
      <c r="I7" s="399">
        <v>20.399999999999999</v>
      </c>
      <c r="J7" s="391" t="s">
        <v>15</v>
      </c>
      <c r="K7" s="391" t="s">
        <v>14</v>
      </c>
      <c r="L7" s="397">
        <v>300</v>
      </c>
      <c r="M7" s="421" t="s">
        <v>637</v>
      </c>
      <c r="N7" s="432" t="s">
        <v>664</v>
      </c>
      <c r="O7" s="57"/>
      <c r="P7" s="57"/>
      <c r="R7" s="57"/>
    </row>
    <row r="8" spans="1:18" ht="25.5">
      <c r="A8" s="391" t="s">
        <v>550</v>
      </c>
      <c r="B8" s="392">
        <v>40712</v>
      </c>
      <c r="C8" s="393">
        <v>135</v>
      </c>
      <c r="D8" s="392">
        <v>40623</v>
      </c>
      <c r="E8" s="393">
        <v>26.4</v>
      </c>
      <c r="F8" s="393">
        <v>0.02</v>
      </c>
      <c r="G8" s="394">
        <v>0.45</v>
      </c>
      <c r="H8" s="395">
        <v>108.6</v>
      </c>
      <c r="I8" s="396">
        <v>20.399999999999999</v>
      </c>
      <c r="J8" s="391" t="s">
        <v>15</v>
      </c>
      <c r="K8" s="391" t="s">
        <v>285</v>
      </c>
      <c r="L8" s="397">
        <v>300</v>
      </c>
      <c r="M8" s="421" t="s">
        <v>637</v>
      </c>
      <c r="N8" s="432" t="s">
        <v>663</v>
      </c>
      <c r="O8" s="57"/>
      <c r="P8" s="57"/>
      <c r="R8" s="57"/>
    </row>
    <row r="9" spans="1:18">
      <c r="A9" s="349" t="s">
        <v>551</v>
      </c>
      <c r="B9" s="350">
        <v>40907</v>
      </c>
      <c r="C9" s="351">
        <v>87.5</v>
      </c>
      <c r="D9" s="350">
        <v>40204</v>
      </c>
      <c r="E9" s="351">
        <v>4382.95</v>
      </c>
      <c r="F9" s="351">
        <v>12.5</v>
      </c>
      <c r="G9" s="352">
        <v>0.25</v>
      </c>
      <c r="H9" s="358">
        <v>-4295.45</v>
      </c>
      <c r="I9" s="353">
        <v>7.95</v>
      </c>
      <c r="J9" s="349" t="s">
        <v>145</v>
      </c>
      <c r="K9" s="349" t="s">
        <v>382</v>
      </c>
      <c r="L9" s="354">
        <v>350</v>
      </c>
      <c r="M9" s="420"/>
      <c r="N9" s="432">
        <v>-4307</v>
      </c>
      <c r="O9" s="57"/>
      <c r="P9" s="57"/>
      <c r="R9" s="57"/>
    </row>
    <row r="10" spans="1:18">
      <c r="A10" s="349" t="s">
        <v>552</v>
      </c>
      <c r="B10" s="350">
        <v>40864</v>
      </c>
      <c r="C10" s="351">
        <v>140</v>
      </c>
      <c r="D10" s="350">
        <v>40813</v>
      </c>
      <c r="E10" s="351">
        <v>218.9</v>
      </c>
      <c r="F10" s="351">
        <v>1</v>
      </c>
      <c r="G10" s="352">
        <v>0.7</v>
      </c>
      <c r="H10" s="358">
        <v>-78.900000000000006</v>
      </c>
      <c r="I10" s="353">
        <v>18.899999999999999</v>
      </c>
      <c r="J10" s="349" t="s">
        <v>15</v>
      </c>
      <c r="K10" s="349" t="s">
        <v>408</v>
      </c>
      <c r="L10" s="354">
        <v>200</v>
      </c>
      <c r="M10" s="420"/>
      <c r="N10" s="432" t="s">
        <v>661</v>
      </c>
      <c r="O10" s="57"/>
      <c r="P10" s="57"/>
      <c r="R10" s="57"/>
    </row>
    <row r="11" spans="1:18">
      <c r="A11" s="349" t="s">
        <v>553</v>
      </c>
      <c r="B11" s="350">
        <v>40884</v>
      </c>
      <c r="C11" s="351">
        <v>1250</v>
      </c>
      <c r="D11" s="350">
        <v>40870</v>
      </c>
      <c r="E11" s="351">
        <v>780.9</v>
      </c>
      <c r="F11" s="351">
        <v>0.75</v>
      </c>
      <c r="G11" s="352">
        <v>1.25</v>
      </c>
      <c r="H11" s="358">
        <v>469.1</v>
      </c>
      <c r="I11" s="390">
        <v>30.9</v>
      </c>
      <c r="J11" s="349" t="s">
        <v>278</v>
      </c>
      <c r="K11" s="349" t="s">
        <v>448</v>
      </c>
      <c r="L11" s="354">
        <v>1000</v>
      </c>
      <c r="M11" s="420"/>
      <c r="N11" s="432" t="s">
        <v>661</v>
      </c>
      <c r="O11" s="57"/>
      <c r="P11" s="57"/>
      <c r="R11" s="57"/>
    </row>
    <row r="12" spans="1:18">
      <c r="A12" s="349" t="s">
        <v>552</v>
      </c>
      <c r="B12" s="350">
        <v>40890</v>
      </c>
      <c r="C12" s="351">
        <v>2000</v>
      </c>
      <c r="D12" s="350">
        <v>40809</v>
      </c>
      <c r="E12" s="351">
        <v>2617.9499999999998</v>
      </c>
      <c r="F12" s="351">
        <v>13.05</v>
      </c>
      <c r="G12" s="352">
        <v>10</v>
      </c>
      <c r="H12" s="358">
        <v>-617.95000000000005</v>
      </c>
      <c r="I12" s="353">
        <v>7.95</v>
      </c>
      <c r="J12" s="349" t="s">
        <v>145</v>
      </c>
      <c r="K12" s="349" t="s">
        <v>127</v>
      </c>
      <c r="L12" s="354">
        <v>200</v>
      </c>
      <c r="N12" s="432" t="s">
        <v>661</v>
      </c>
      <c r="O12" s="57"/>
      <c r="P12" s="57"/>
      <c r="R12" s="57"/>
    </row>
    <row r="13" spans="1:18">
      <c r="A13" s="349" t="s">
        <v>552</v>
      </c>
      <c r="B13" s="350">
        <v>40890</v>
      </c>
      <c r="C13" s="351">
        <v>1100</v>
      </c>
      <c r="D13" s="350">
        <v>40878</v>
      </c>
      <c r="E13" s="351">
        <v>29.45</v>
      </c>
      <c r="F13" s="351">
        <v>0</v>
      </c>
      <c r="G13" s="352">
        <v>5.5</v>
      </c>
      <c r="H13" s="358">
        <v>1070.55</v>
      </c>
      <c r="I13" s="355">
        <v>29.45</v>
      </c>
      <c r="J13" s="349" t="s">
        <v>404</v>
      </c>
      <c r="K13" s="349" t="s">
        <v>458</v>
      </c>
      <c r="L13" s="354">
        <v>200</v>
      </c>
      <c r="N13" s="432" t="s">
        <v>661</v>
      </c>
      <c r="O13" s="57"/>
      <c r="P13" s="57"/>
      <c r="R13" s="57"/>
    </row>
    <row r="14" spans="1:18">
      <c r="A14" s="349" t="s">
        <v>554</v>
      </c>
      <c r="B14" s="350">
        <v>40891</v>
      </c>
      <c r="C14" s="351">
        <v>550</v>
      </c>
      <c r="D14" s="350">
        <v>40805</v>
      </c>
      <c r="E14" s="351">
        <v>118.9</v>
      </c>
      <c r="F14" s="351">
        <v>0.5</v>
      </c>
      <c r="G14" s="352">
        <v>2.75</v>
      </c>
      <c r="H14" s="358">
        <v>431.1</v>
      </c>
      <c r="I14" s="355">
        <v>18.899999999999999</v>
      </c>
      <c r="J14" s="349" t="s">
        <v>15</v>
      </c>
      <c r="K14" s="349" t="s">
        <v>375</v>
      </c>
      <c r="L14" s="354">
        <v>200</v>
      </c>
      <c r="M14" s="420"/>
      <c r="N14" s="432" t="s">
        <v>661</v>
      </c>
      <c r="O14" s="57"/>
      <c r="P14" s="57"/>
      <c r="R14" s="57"/>
    </row>
    <row r="15" spans="1:18">
      <c r="A15" t="s">
        <v>555</v>
      </c>
      <c r="B15" s="57">
        <v>40712</v>
      </c>
      <c r="C15" s="319">
        <v>620</v>
      </c>
      <c r="D15" s="57">
        <v>40654</v>
      </c>
      <c r="E15" s="319">
        <v>29.45</v>
      </c>
      <c r="F15" s="319">
        <v>0</v>
      </c>
      <c r="G15" s="267">
        <v>3.1</v>
      </c>
      <c r="H15" s="357">
        <v>590.54999999999995</v>
      </c>
      <c r="I15" s="237">
        <v>29.45</v>
      </c>
      <c r="J15" t="s">
        <v>404</v>
      </c>
      <c r="K15" t="s">
        <v>274</v>
      </c>
      <c r="L15" s="289">
        <v>200</v>
      </c>
      <c r="N15" s="432" t="s">
        <v>666</v>
      </c>
      <c r="O15" s="57"/>
      <c r="P15" s="57"/>
      <c r="R15" s="57"/>
    </row>
    <row r="16" spans="1:18" ht="25.5">
      <c r="A16" s="391" t="s">
        <v>542</v>
      </c>
      <c r="B16" s="392">
        <v>40620</v>
      </c>
      <c r="C16" s="393">
        <v>225</v>
      </c>
      <c r="D16" s="392">
        <v>40548</v>
      </c>
      <c r="E16" s="393">
        <v>14.7</v>
      </c>
      <c r="F16" s="393">
        <v>0</v>
      </c>
      <c r="G16" s="394">
        <v>0.25</v>
      </c>
      <c r="H16" s="395">
        <v>210.3</v>
      </c>
      <c r="I16" s="400">
        <v>14.7</v>
      </c>
      <c r="J16" s="391" t="s">
        <v>403</v>
      </c>
      <c r="K16" s="391" t="s">
        <v>18</v>
      </c>
      <c r="L16" s="397">
        <v>900</v>
      </c>
      <c r="M16" s="421" t="s">
        <v>638</v>
      </c>
      <c r="N16" s="432" t="s">
        <v>665</v>
      </c>
      <c r="O16" s="57"/>
      <c r="P16" s="57"/>
      <c r="R16" s="57"/>
    </row>
    <row r="17" spans="1:18">
      <c r="A17" s="276" t="s">
        <v>556</v>
      </c>
      <c r="B17" s="383">
        <v>40664</v>
      </c>
      <c r="C17" s="384">
        <v>2170</v>
      </c>
      <c r="D17" s="383">
        <v>40654</v>
      </c>
      <c r="E17" s="384">
        <v>33.200000000000003</v>
      </c>
      <c r="F17" s="384">
        <v>0</v>
      </c>
      <c r="G17" s="385">
        <v>3.1</v>
      </c>
      <c r="H17" s="386">
        <v>2136.8000000000002</v>
      </c>
      <c r="I17" s="387">
        <v>33.200000000000003</v>
      </c>
      <c r="J17" s="276" t="s">
        <v>404</v>
      </c>
      <c r="K17" s="276" t="s">
        <v>274</v>
      </c>
      <c r="L17" s="388">
        <v>700</v>
      </c>
      <c r="M17" s="422" t="s">
        <v>653</v>
      </c>
      <c r="N17" s="432" t="s">
        <v>661</v>
      </c>
      <c r="O17" s="57"/>
      <c r="P17" s="57"/>
      <c r="R17" s="57"/>
    </row>
    <row r="18" spans="1:18">
      <c r="A18" s="276" t="s">
        <v>556</v>
      </c>
      <c r="B18" s="383">
        <v>40664</v>
      </c>
      <c r="C18" s="384">
        <v>700</v>
      </c>
      <c r="D18" s="383">
        <v>40319</v>
      </c>
      <c r="E18" s="384">
        <v>1757.95</v>
      </c>
      <c r="F18" s="384">
        <v>2.5</v>
      </c>
      <c r="G18" s="385">
        <v>1</v>
      </c>
      <c r="H18" s="386">
        <v>-1057.95</v>
      </c>
      <c r="I18" s="387">
        <v>7.95</v>
      </c>
      <c r="J18" s="276" t="s">
        <v>145</v>
      </c>
      <c r="K18" s="276"/>
      <c r="L18" s="388">
        <v>700</v>
      </c>
      <c r="M18" s="423"/>
      <c r="N18" s="432" t="s">
        <v>661</v>
      </c>
      <c r="O18" s="57"/>
      <c r="P18" s="57"/>
      <c r="R18" s="57"/>
    </row>
    <row r="19" spans="1:18">
      <c r="A19" s="349" t="s">
        <v>557</v>
      </c>
      <c r="B19" s="350">
        <v>40838</v>
      </c>
      <c r="C19" s="351">
        <v>98</v>
      </c>
      <c r="D19" s="350">
        <v>40822</v>
      </c>
      <c r="E19" s="351">
        <v>13.2</v>
      </c>
      <c r="F19" s="351">
        <v>0</v>
      </c>
      <c r="G19" s="352">
        <v>0.14000000000000001</v>
      </c>
      <c r="H19" s="358">
        <v>84.8</v>
      </c>
      <c r="I19" s="355">
        <v>13.2</v>
      </c>
      <c r="J19" s="349" t="s">
        <v>403</v>
      </c>
      <c r="K19" s="349" t="s">
        <v>397</v>
      </c>
      <c r="L19" s="354">
        <v>700</v>
      </c>
      <c r="M19" s="420"/>
      <c r="N19" s="432" t="s">
        <v>661</v>
      </c>
      <c r="O19" s="57"/>
      <c r="P19" s="57"/>
      <c r="R19" s="57"/>
    </row>
    <row r="20" spans="1:18">
      <c r="A20" s="349" t="s">
        <v>557</v>
      </c>
      <c r="B20" s="350">
        <v>40890</v>
      </c>
      <c r="C20" s="351">
        <v>945</v>
      </c>
      <c r="D20" s="350">
        <v>40877</v>
      </c>
      <c r="E20" s="351">
        <v>1006.4</v>
      </c>
      <c r="F20" s="351">
        <v>1.4</v>
      </c>
      <c r="G20" s="352">
        <v>1.35</v>
      </c>
      <c r="H20" s="358">
        <v>-61.4</v>
      </c>
      <c r="I20" s="390">
        <v>26.4</v>
      </c>
      <c r="J20" s="349" t="s">
        <v>15</v>
      </c>
      <c r="K20" s="349" t="s">
        <v>454</v>
      </c>
      <c r="L20" s="354">
        <v>700</v>
      </c>
      <c r="M20" s="420"/>
      <c r="N20" s="432" t="s">
        <v>661</v>
      </c>
      <c r="O20" s="57"/>
      <c r="P20" s="57"/>
      <c r="R20" s="57"/>
    </row>
    <row r="21" spans="1:18">
      <c r="A21" s="349" t="s">
        <v>557</v>
      </c>
      <c r="B21" s="350">
        <v>40869</v>
      </c>
      <c r="C21" s="351">
        <v>658</v>
      </c>
      <c r="D21" s="350">
        <v>40843</v>
      </c>
      <c r="E21" s="351">
        <v>166.4</v>
      </c>
      <c r="F21" s="351">
        <v>0.2</v>
      </c>
      <c r="G21" s="352">
        <v>0.94</v>
      </c>
      <c r="H21" s="358">
        <v>491.6</v>
      </c>
      <c r="I21" s="390">
        <v>26.4</v>
      </c>
      <c r="J21" s="349" t="s">
        <v>15</v>
      </c>
      <c r="K21" s="349" t="s">
        <v>412</v>
      </c>
      <c r="L21" s="354">
        <v>700</v>
      </c>
      <c r="M21" s="420"/>
      <c r="N21" s="432" t="s">
        <v>661</v>
      </c>
      <c r="O21" s="57"/>
      <c r="P21" s="57"/>
      <c r="R21" s="57"/>
    </row>
    <row r="22" spans="1:18">
      <c r="A22" s="349" t="s">
        <v>558</v>
      </c>
      <c r="B22" s="350">
        <v>40820</v>
      </c>
      <c r="C22" s="351">
        <v>5</v>
      </c>
      <c r="D22" s="350">
        <v>40793</v>
      </c>
      <c r="E22" s="351">
        <v>545.45000000000005</v>
      </c>
      <c r="F22" s="351">
        <v>0.1</v>
      </c>
      <c r="G22" s="352">
        <v>0</v>
      </c>
      <c r="H22" s="358">
        <v>-540.45000000000005</v>
      </c>
      <c r="I22" s="353">
        <v>45.45</v>
      </c>
      <c r="J22" s="349" t="s">
        <v>405</v>
      </c>
      <c r="K22" s="349" t="s">
        <v>359</v>
      </c>
      <c r="L22" s="354">
        <v>5000</v>
      </c>
      <c r="M22" s="420"/>
      <c r="N22" s="432" t="s">
        <v>661</v>
      </c>
      <c r="O22" s="57"/>
      <c r="P22" s="57"/>
      <c r="R22" s="57"/>
    </row>
    <row r="23" spans="1:18">
      <c r="A23" s="349" t="s">
        <v>559</v>
      </c>
      <c r="B23" s="350">
        <v>40857</v>
      </c>
      <c r="C23" s="351">
        <v>550</v>
      </c>
      <c r="D23" s="350">
        <v>40829</v>
      </c>
      <c r="E23" s="351">
        <v>423.4</v>
      </c>
      <c r="F23" s="351">
        <v>0.8</v>
      </c>
      <c r="G23" s="352">
        <v>1.1000000000000001</v>
      </c>
      <c r="H23" s="358">
        <v>126.6</v>
      </c>
      <c r="I23" s="401">
        <v>23.4</v>
      </c>
      <c r="J23" s="349" t="s">
        <v>15</v>
      </c>
      <c r="K23" s="349" t="s">
        <v>402</v>
      </c>
      <c r="L23" s="354">
        <v>500</v>
      </c>
      <c r="M23" s="420"/>
      <c r="N23" s="432" t="s">
        <v>661</v>
      </c>
      <c r="O23" s="57"/>
      <c r="P23" s="57"/>
      <c r="R23" s="57"/>
    </row>
    <row r="24" spans="1:18">
      <c r="A24" s="349" t="s">
        <v>560</v>
      </c>
      <c r="B24" s="350">
        <v>40648</v>
      </c>
      <c r="C24" s="351">
        <v>12000</v>
      </c>
      <c r="D24" s="350">
        <v>40088</v>
      </c>
      <c r="E24" s="351">
        <v>9639.9500000000007</v>
      </c>
      <c r="F24" s="351">
        <v>12.04</v>
      </c>
      <c r="G24" s="352">
        <v>15</v>
      </c>
      <c r="H24" s="358">
        <v>2360.0500000000002</v>
      </c>
      <c r="I24" s="353">
        <v>7.95</v>
      </c>
      <c r="J24" s="349" t="s">
        <v>145</v>
      </c>
      <c r="K24" s="349"/>
      <c r="L24" s="354">
        <v>800</v>
      </c>
      <c r="M24" s="420"/>
      <c r="N24" s="432" t="s">
        <v>667</v>
      </c>
      <c r="O24" s="57"/>
      <c r="P24" s="57"/>
      <c r="R24" s="57"/>
    </row>
    <row r="25" spans="1:18" ht="25.5">
      <c r="A25" s="391" t="s">
        <v>561</v>
      </c>
      <c r="B25" s="392">
        <v>40712</v>
      </c>
      <c r="C25" s="393">
        <v>360</v>
      </c>
      <c r="D25" s="392">
        <v>40549</v>
      </c>
      <c r="E25" s="393">
        <v>47.4</v>
      </c>
      <c r="F25" s="393">
        <v>0.02</v>
      </c>
      <c r="G25" s="394">
        <v>0.4</v>
      </c>
      <c r="H25" s="395">
        <v>312.60000000000002</v>
      </c>
      <c r="I25" s="400">
        <v>29.4</v>
      </c>
      <c r="J25" s="391" t="s">
        <v>15</v>
      </c>
      <c r="K25" s="391" t="s">
        <v>287</v>
      </c>
      <c r="L25" s="397">
        <v>900</v>
      </c>
      <c r="M25" s="421" t="s">
        <v>639</v>
      </c>
      <c r="N25" s="432" t="s">
        <v>662</v>
      </c>
      <c r="O25" s="57"/>
      <c r="P25" s="57"/>
      <c r="R25" s="57"/>
    </row>
    <row r="26" spans="1:18">
      <c r="A26" s="349" t="s">
        <v>561</v>
      </c>
      <c r="B26" s="350">
        <v>40802</v>
      </c>
      <c r="C26" s="351">
        <v>2700</v>
      </c>
      <c r="D26" s="350">
        <v>40305</v>
      </c>
      <c r="E26" s="351">
        <v>4957.95</v>
      </c>
      <c r="F26" s="351">
        <v>5.5</v>
      </c>
      <c r="G26" s="352">
        <v>3</v>
      </c>
      <c r="H26" s="358">
        <v>-2257.9499999999998</v>
      </c>
      <c r="I26" s="353">
        <v>7.95</v>
      </c>
      <c r="J26" s="349" t="s">
        <v>145</v>
      </c>
      <c r="K26" s="349"/>
      <c r="L26" s="354">
        <v>900</v>
      </c>
      <c r="M26" s="420"/>
      <c r="N26" s="432" t="s">
        <v>662</v>
      </c>
      <c r="O26" s="57"/>
      <c r="P26" s="57"/>
      <c r="R26" s="57"/>
    </row>
    <row r="27" spans="1:18">
      <c r="A27" s="349" t="s">
        <v>561</v>
      </c>
      <c r="B27" s="350">
        <v>40774</v>
      </c>
      <c r="C27" s="351">
        <v>585</v>
      </c>
      <c r="D27" s="350">
        <v>40721</v>
      </c>
      <c r="E27" s="351">
        <v>14.7</v>
      </c>
      <c r="F27" s="351">
        <v>0</v>
      </c>
      <c r="G27" s="352">
        <v>0.65</v>
      </c>
      <c r="H27" s="358">
        <v>570.29999999999995</v>
      </c>
      <c r="I27" s="366">
        <v>14.7</v>
      </c>
      <c r="J27" s="349" t="s">
        <v>403</v>
      </c>
      <c r="K27" s="349" t="s">
        <v>330</v>
      </c>
      <c r="L27" s="354">
        <v>900</v>
      </c>
      <c r="M27" s="420"/>
      <c r="N27" s="432" t="s">
        <v>661</v>
      </c>
      <c r="O27" s="57"/>
      <c r="P27" s="57"/>
      <c r="R27" s="57"/>
    </row>
    <row r="28" spans="1:18">
      <c r="A28" s="349" t="s">
        <v>561</v>
      </c>
      <c r="B28" s="350">
        <v>40802</v>
      </c>
      <c r="C28" s="351">
        <v>360</v>
      </c>
      <c r="D28" s="350">
        <v>40784</v>
      </c>
      <c r="E28" s="351">
        <v>34.700000000000003</v>
      </c>
      <c r="F28" s="351">
        <v>0</v>
      </c>
      <c r="G28" s="352">
        <v>0.4</v>
      </c>
      <c r="H28" s="358">
        <v>325.3</v>
      </c>
      <c r="I28" s="417">
        <v>34.700000000000003</v>
      </c>
      <c r="J28" s="349" t="s">
        <v>404</v>
      </c>
      <c r="K28" s="349" t="s">
        <v>368</v>
      </c>
      <c r="L28" s="354">
        <v>900</v>
      </c>
      <c r="M28" s="420"/>
      <c r="N28" s="432" t="s">
        <v>661</v>
      </c>
      <c r="O28" s="57"/>
      <c r="P28" s="57"/>
      <c r="R28" s="57"/>
    </row>
    <row r="29" spans="1:18">
      <c r="A29" s="349" t="s">
        <v>562</v>
      </c>
      <c r="B29" s="350">
        <v>40866</v>
      </c>
      <c r="C29" s="351">
        <v>400</v>
      </c>
      <c r="D29" s="350">
        <v>40837</v>
      </c>
      <c r="E29" s="351">
        <v>11.7</v>
      </c>
      <c r="F29" s="351">
        <v>0</v>
      </c>
      <c r="G29" s="352">
        <v>0.8</v>
      </c>
      <c r="H29" s="358">
        <v>388.3</v>
      </c>
      <c r="I29" s="401">
        <v>11.7</v>
      </c>
      <c r="J29" s="349" t="s">
        <v>403</v>
      </c>
      <c r="K29" s="349" t="s">
        <v>393</v>
      </c>
      <c r="L29" s="354">
        <v>500</v>
      </c>
      <c r="M29" s="420"/>
      <c r="N29" s="432" t="s">
        <v>661</v>
      </c>
      <c r="O29" s="57"/>
      <c r="P29" s="57"/>
      <c r="R29" s="57"/>
    </row>
    <row r="30" spans="1:18">
      <c r="A30" s="349" t="s">
        <v>562</v>
      </c>
      <c r="B30" s="350">
        <v>40835</v>
      </c>
      <c r="C30" s="351">
        <v>1000</v>
      </c>
      <c r="D30" s="350">
        <v>40786</v>
      </c>
      <c r="E30" s="351">
        <v>1273.4000000000001</v>
      </c>
      <c r="F30" s="351">
        <v>2.5</v>
      </c>
      <c r="G30" s="352">
        <v>2</v>
      </c>
      <c r="H30" s="358">
        <v>-273.39999999999998</v>
      </c>
      <c r="I30" s="389">
        <v>23.4</v>
      </c>
      <c r="J30" s="349" t="s">
        <v>15</v>
      </c>
      <c r="K30" s="349" t="s">
        <v>366</v>
      </c>
      <c r="L30" s="354">
        <v>500</v>
      </c>
      <c r="M30" s="420"/>
      <c r="N30" s="432" t="s">
        <v>661</v>
      </c>
      <c r="O30" s="57"/>
      <c r="P30" s="57"/>
      <c r="R30" s="57"/>
    </row>
    <row r="31" spans="1:18">
      <c r="A31" s="349" t="s">
        <v>563</v>
      </c>
      <c r="B31" s="350">
        <v>40838</v>
      </c>
      <c r="C31" s="351">
        <v>160</v>
      </c>
      <c r="D31" s="350">
        <v>40694</v>
      </c>
      <c r="E31" s="351">
        <v>10.95</v>
      </c>
      <c r="F31" s="351">
        <v>0</v>
      </c>
      <c r="G31" s="352">
        <v>0.4</v>
      </c>
      <c r="H31" s="358">
        <v>149.05000000000001</v>
      </c>
      <c r="I31" s="401">
        <v>10.95</v>
      </c>
      <c r="J31" s="349" t="s">
        <v>403</v>
      </c>
      <c r="K31" s="349" t="s">
        <v>394</v>
      </c>
      <c r="L31" s="354">
        <v>400</v>
      </c>
      <c r="M31" s="420"/>
      <c r="N31" s="432" t="s">
        <v>662</v>
      </c>
      <c r="O31" s="57"/>
      <c r="P31" s="57"/>
      <c r="R31" s="57"/>
    </row>
    <row r="32" spans="1:18">
      <c r="A32" s="349" t="s">
        <v>564</v>
      </c>
      <c r="B32" s="350">
        <v>40838</v>
      </c>
      <c r="C32" s="351">
        <v>160</v>
      </c>
      <c r="D32" s="350">
        <v>40704</v>
      </c>
      <c r="E32" s="351">
        <v>13.95</v>
      </c>
      <c r="F32" s="351">
        <v>0</v>
      </c>
      <c r="G32" s="352">
        <v>0.2</v>
      </c>
      <c r="H32" s="358">
        <v>146.05000000000001</v>
      </c>
      <c r="I32" s="401">
        <v>13.95</v>
      </c>
      <c r="J32" s="349" t="s">
        <v>403</v>
      </c>
      <c r="K32" s="349" t="s">
        <v>395</v>
      </c>
      <c r="L32" s="354">
        <v>800</v>
      </c>
      <c r="M32" s="420"/>
      <c r="N32" s="432" t="s">
        <v>668</v>
      </c>
      <c r="O32" s="57"/>
      <c r="P32" s="57"/>
      <c r="R32" s="57"/>
    </row>
    <row r="33" spans="1:18">
      <c r="A33" s="349" t="s">
        <v>564</v>
      </c>
      <c r="B33" s="350">
        <v>40906</v>
      </c>
      <c r="C33" s="351">
        <v>520</v>
      </c>
      <c r="D33" s="350">
        <v>40199</v>
      </c>
      <c r="E33" s="351">
        <v>4807.95</v>
      </c>
      <c r="F33" s="351">
        <v>6</v>
      </c>
      <c r="G33" s="352">
        <v>0.65</v>
      </c>
      <c r="H33" s="358">
        <v>-4287.95</v>
      </c>
      <c r="I33" s="355">
        <v>7.95</v>
      </c>
      <c r="J33" s="349" t="s">
        <v>145</v>
      </c>
      <c r="K33" s="349" t="s">
        <v>30</v>
      </c>
      <c r="L33" s="354">
        <v>800</v>
      </c>
      <c r="M33" s="420"/>
      <c r="N33" s="432" t="s">
        <v>668</v>
      </c>
      <c r="O33" s="57"/>
      <c r="P33" s="57"/>
      <c r="R33" s="57"/>
    </row>
    <row r="34" spans="1:18">
      <c r="A34" s="349" t="s">
        <v>565</v>
      </c>
      <c r="B34" s="350">
        <v>40838</v>
      </c>
      <c r="C34" s="351">
        <v>2300</v>
      </c>
      <c r="D34" s="350">
        <v>40809</v>
      </c>
      <c r="E34" s="351">
        <v>3296.95</v>
      </c>
      <c r="F34" s="351">
        <v>32.89</v>
      </c>
      <c r="G34" s="352">
        <v>23</v>
      </c>
      <c r="H34" s="358">
        <v>-996.95</v>
      </c>
      <c r="I34" s="366">
        <v>7.95</v>
      </c>
      <c r="J34" s="349" t="s">
        <v>145</v>
      </c>
      <c r="K34" s="349" t="s">
        <v>65</v>
      </c>
      <c r="L34" s="354">
        <v>100</v>
      </c>
      <c r="N34" s="432" t="s">
        <v>670</v>
      </c>
      <c r="O34" s="57"/>
      <c r="P34" s="57"/>
      <c r="R34" s="57"/>
    </row>
    <row r="35" spans="1:18">
      <c r="A35" s="349" t="s">
        <v>565</v>
      </c>
      <c r="B35" s="350">
        <v>40838</v>
      </c>
      <c r="C35" s="351">
        <v>1170</v>
      </c>
      <c r="D35" s="350">
        <v>40828</v>
      </c>
      <c r="E35" s="351">
        <v>28.7</v>
      </c>
      <c r="F35" s="351">
        <v>0</v>
      </c>
      <c r="G35" s="352">
        <v>11.7</v>
      </c>
      <c r="H35" s="358">
        <v>1141.3</v>
      </c>
      <c r="I35" s="367">
        <v>28.7</v>
      </c>
      <c r="J35" s="349" t="s">
        <v>404</v>
      </c>
      <c r="K35" s="349" t="s">
        <v>398</v>
      </c>
      <c r="L35" s="354">
        <v>100</v>
      </c>
      <c r="N35" s="432" t="s">
        <v>669</v>
      </c>
      <c r="O35" s="57"/>
      <c r="P35" s="57"/>
      <c r="R35" s="57"/>
    </row>
    <row r="36" spans="1:18">
      <c r="A36" s="349" t="s">
        <v>566</v>
      </c>
      <c r="B36" s="350">
        <v>40894</v>
      </c>
      <c r="C36" s="351">
        <v>330</v>
      </c>
      <c r="D36" s="350">
        <v>40875</v>
      </c>
      <c r="E36" s="351">
        <v>8.6999999999999993</v>
      </c>
      <c r="F36" s="351">
        <v>0</v>
      </c>
      <c r="G36" s="352">
        <v>3.3</v>
      </c>
      <c r="H36" s="358">
        <v>321.3</v>
      </c>
      <c r="I36" s="401">
        <v>8.6999999999999993</v>
      </c>
      <c r="J36" s="349" t="s">
        <v>403</v>
      </c>
      <c r="K36" s="349" t="s">
        <v>449</v>
      </c>
      <c r="L36" s="354">
        <v>100</v>
      </c>
      <c r="M36" s="420"/>
      <c r="N36" s="432" t="s">
        <v>661</v>
      </c>
      <c r="O36" s="57"/>
      <c r="P36" s="57"/>
      <c r="R36" s="57"/>
    </row>
    <row r="37" spans="1:18">
      <c r="A37" s="349" t="s">
        <v>567</v>
      </c>
      <c r="B37" s="350">
        <v>40801</v>
      </c>
      <c r="C37" s="351">
        <v>2000</v>
      </c>
      <c r="D37" s="350">
        <v>40764</v>
      </c>
      <c r="E37" s="351">
        <v>1250.9000000000001</v>
      </c>
      <c r="F37" s="351">
        <v>1.22</v>
      </c>
      <c r="G37" s="352">
        <v>2</v>
      </c>
      <c r="H37" s="358">
        <v>749.1</v>
      </c>
      <c r="I37" s="353">
        <v>30.9</v>
      </c>
      <c r="J37" s="349" t="s">
        <v>278</v>
      </c>
      <c r="K37" s="349" t="s">
        <v>342</v>
      </c>
      <c r="L37" s="354">
        <v>1000</v>
      </c>
      <c r="M37" s="424"/>
      <c r="N37" s="432" t="s">
        <v>661</v>
      </c>
      <c r="O37" s="57"/>
      <c r="P37" s="57"/>
      <c r="R37" s="57"/>
    </row>
    <row r="38" spans="1:18">
      <c r="A38" s="349" t="s">
        <v>568</v>
      </c>
      <c r="B38" s="350">
        <v>40877</v>
      </c>
      <c r="C38" s="351">
        <v>2325</v>
      </c>
      <c r="D38" s="350">
        <v>40869</v>
      </c>
      <c r="E38" s="351">
        <v>1723.4</v>
      </c>
      <c r="F38" s="351">
        <v>3.4</v>
      </c>
      <c r="G38" s="352">
        <v>4.6500000000000004</v>
      </c>
      <c r="H38" s="358">
        <v>601.6</v>
      </c>
      <c r="I38" s="390">
        <v>23.4</v>
      </c>
      <c r="J38" s="349" t="s">
        <v>278</v>
      </c>
      <c r="K38" s="349" t="s">
        <v>446</v>
      </c>
      <c r="L38" s="354">
        <v>500</v>
      </c>
      <c r="M38" s="420"/>
      <c r="N38" s="432" t="s">
        <v>661</v>
      </c>
      <c r="O38" s="57"/>
      <c r="P38" s="57"/>
      <c r="R38" s="57"/>
    </row>
    <row r="39" spans="1:18">
      <c r="A39" s="349" t="s">
        <v>569</v>
      </c>
      <c r="B39" s="350">
        <v>40592</v>
      </c>
      <c r="C39" s="351">
        <v>375</v>
      </c>
      <c r="D39" s="350">
        <v>40504</v>
      </c>
      <c r="E39" s="351">
        <v>11.7</v>
      </c>
      <c r="F39" s="351">
        <v>0</v>
      </c>
      <c r="G39" s="352">
        <v>0.75</v>
      </c>
      <c r="H39" s="358">
        <v>363.3</v>
      </c>
      <c r="I39" s="353">
        <v>11.7</v>
      </c>
      <c r="J39" s="349" t="s">
        <v>403</v>
      </c>
      <c r="K39" s="349" t="s">
        <v>239</v>
      </c>
      <c r="L39" s="354">
        <v>500</v>
      </c>
      <c r="M39" s="420"/>
      <c r="N39" s="432" t="s">
        <v>661</v>
      </c>
      <c r="O39" s="57"/>
      <c r="P39" s="57"/>
      <c r="R39" s="57"/>
    </row>
    <row r="40" spans="1:18" ht="25.5">
      <c r="A40" s="373" t="s">
        <v>570</v>
      </c>
      <c r="B40" s="374">
        <v>40739</v>
      </c>
      <c r="C40" s="375">
        <v>100</v>
      </c>
      <c r="D40" s="374">
        <v>40714</v>
      </c>
      <c r="E40" s="375">
        <v>28.7</v>
      </c>
      <c r="F40" s="375">
        <v>0</v>
      </c>
      <c r="G40" s="376">
        <v>1</v>
      </c>
      <c r="H40" s="377">
        <v>71.3</v>
      </c>
      <c r="I40" s="378">
        <v>28.7</v>
      </c>
      <c r="J40" s="373" t="s">
        <v>404</v>
      </c>
      <c r="K40" s="373" t="s">
        <v>308</v>
      </c>
      <c r="L40" s="379">
        <v>100</v>
      </c>
      <c r="M40" s="425" t="s">
        <v>635</v>
      </c>
      <c r="N40" s="432"/>
      <c r="O40" s="57"/>
      <c r="P40" s="57"/>
      <c r="R40" s="57"/>
    </row>
    <row r="41" spans="1:18" ht="25.5">
      <c r="A41" s="373" t="s">
        <v>570</v>
      </c>
      <c r="B41" s="374">
        <v>40739</v>
      </c>
      <c r="C41" s="375">
        <v>700</v>
      </c>
      <c r="D41" s="374">
        <v>40694</v>
      </c>
      <c r="E41" s="375">
        <v>982.95</v>
      </c>
      <c r="F41" s="375">
        <v>9.75</v>
      </c>
      <c r="G41" s="376">
        <v>7</v>
      </c>
      <c r="H41" s="377">
        <v>-282.95</v>
      </c>
      <c r="I41" s="378">
        <v>7.95</v>
      </c>
      <c r="J41" s="373" t="s">
        <v>145</v>
      </c>
      <c r="K41" s="373"/>
      <c r="L41" s="379">
        <v>100</v>
      </c>
      <c r="M41" s="425" t="s">
        <v>635</v>
      </c>
      <c r="N41" s="432"/>
      <c r="O41" s="57"/>
      <c r="P41" s="57"/>
      <c r="R41" s="57"/>
    </row>
    <row r="42" spans="1:18">
      <c r="A42" s="349" t="s">
        <v>570</v>
      </c>
      <c r="B42" s="350">
        <v>40894</v>
      </c>
      <c r="C42" s="351">
        <v>60</v>
      </c>
      <c r="D42" s="350">
        <v>40864</v>
      </c>
      <c r="E42" s="351">
        <v>8.6999999999999993</v>
      </c>
      <c r="F42" s="351">
        <v>0</v>
      </c>
      <c r="G42" s="352">
        <v>0.6</v>
      </c>
      <c r="H42" s="358">
        <v>51.3</v>
      </c>
      <c r="I42" s="355">
        <v>8.6999999999999993</v>
      </c>
      <c r="J42" s="349" t="s">
        <v>403</v>
      </c>
      <c r="K42" s="349" t="s">
        <v>442</v>
      </c>
      <c r="L42" s="354">
        <v>100</v>
      </c>
      <c r="M42" s="420"/>
      <c r="N42" s="432" t="s">
        <v>661</v>
      </c>
      <c r="O42" s="57"/>
      <c r="P42" s="57"/>
      <c r="R42" s="57"/>
    </row>
    <row r="43" spans="1:18">
      <c r="A43" t="s">
        <v>569</v>
      </c>
      <c r="B43" s="57">
        <v>40648</v>
      </c>
      <c r="C43" s="319">
        <v>475</v>
      </c>
      <c r="D43" s="57">
        <v>40604</v>
      </c>
      <c r="E43" s="319">
        <v>11.7</v>
      </c>
      <c r="F43" s="319">
        <v>0</v>
      </c>
      <c r="G43" s="267">
        <v>0.95</v>
      </c>
      <c r="H43" s="357">
        <v>463.3</v>
      </c>
      <c r="I43" s="301">
        <v>11.7</v>
      </c>
      <c r="J43" t="s">
        <v>403</v>
      </c>
      <c r="K43" t="s">
        <v>249</v>
      </c>
      <c r="L43" s="289">
        <v>500</v>
      </c>
      <c r="N43" s="432" t="s">
        <v>668</v>
      </c>
      <c r="O43" s="57"/>
      <c r="P43" s="57"/>
      <c r="R43" s="57"/>
    </row>
    <row r="44" spans="1:18">
      <c r="A44" t="s">
        <v>569</v>
      </c>
      <c r="B44" s="57">
        <v>40648</v>
      </c>
      <c r="C44" s="319">
        <v>6000</v>
      </c>
      <c r="D44" s="57">
        <v>40190</v>
      </c>
      <c r="E44" s="319">
        <v>8865</v>
      </c>
      <c r="F44" s="319">
        <v>17.71</v>
      </c>
      <c r="G44" s="267">
        <v>12</v>
      </c>
      <c r="H44" s="357">
        <v>-2865</v>
      </c>
      <c r="I44" s="237">
        <v>7.95</v>
      </c>
      <c r="J44" t="s">
        <v>145</v>
      </c>
      <c r="L44" s="289">
        <v>500</v>
      </c>
      <c r="N44" s="432" t="s">
        <v>668</v>
      </c>
      <c r="O44" s="57"/>
      <c r="P44" s="57"/>
      <c r="R44" s="57"/>
    </row>
    <row r="45" spans="1:18">
      <c r="A45" s="349" t="s">
        <v>571</v>
      </c>
      <c r="B45" s="350">
        <v>40866</v>
      </c>
      <c r="C45" s="351">
        <v>2250</v>
      </c>
      <c r="D45" s="350">
        <v>40664</v>
      </c>
      <c r="E45" s="351">
        <v>15.45</v>
      </c>
      <c r="F45" s="351">
        <v>0</v>
      </c>
      <c r="G45" s="352">
        <v>2.25</v>
      </c>
      <c r="H45" s="358">
        <v>2234.5500000000002</v>
      </c>
      <c r="I45" s="353">
        <v>15.45</v>
      </c>
      <c r="J45" s="349" t="s">
        <v>403</v>
      </c>
      <c r="K45" s="349" t="s">
        <v>413</v>
      </c>
      <c r="L45" s="354">
        <v>1000</v>
      </c>
      <c r="M45" s="420"/>
      <c r="N45" s="432" t="s">
        <v>668</v>
      </c>
      <c r="O45" s="57"/>
      <c r="P45" s="57"/>
      <c r="R45" s="57"/>
    </row>
    <row r="46" spans="1:18">
      <c r="A46" s="368" t="s">
        <v>572</v>
      </c>
      <c r="B46" s="369">
        <v>40838</v>
      </c>
      <c r="C46" s="370">
        <v>1650</v>
      </c>
      <c r="D46" s="369">
        <v>40837</v>
      </c>
      <c r="E46" s="370">
        <v>28.7</v>
      </c>
      <c r="F46" s="370">
        <v>0</v>
      </c>
      <c r="G46" s="371">
        <v>16.5</v>
      </c>
      <c r="H46" s="372">
        <v>1621.3</v>
      </c>
      <c r="I46" s="381">
        <v>28.7</v>
      </c>
      <c r="J46" s="368" t="s">
        <v>404</v>
      </c>
      <c r="K46" s="368" t="s">
        <v>399</v>
      </c>
      <c r="L46" s="382">
        <v>100</v>
      </c>
      <c r="M46" s="426"/>
      <c r="N46" s="432" t="s">
        <v>668</v>
      </c>
      <c r="O46" s="57"/>
      <c r="P46" s="57"/>
      <c r="R46" s="57"/>
    </row>
    <row r="47" spans="1:18">
      <c r="A47" s="368" t="s">
        <v>573</v>
      </c>
      <c r="B47" s="369">
        <v>40838</v>
      </c>
      <c r="C47" s="370">
        <v>2550</v>
      </c>
      <c r="D47" s="369">
        <v>40809</v>
      </c>
      <c r="E47" s="370">
        <v>3884.57</v>
      </c>
      <c r="F47" s="370">
        <v>38.01</v>
      </c>
      <c r="G47" s="371">
        <v>25</v>
      </c>
      <c r="H47" s="372">
        <v>-1334.57</v>
      </c>
      <c r="I47" s="381">
        <v>7.95</v>
      </c>
      <c r="J47" s="368" t="s">
        <v>145</v>
      </c>
      <c r="K47" s="368" t="s">
        <v>237</v>
      </c>
      <c r="L47" s="382">
        <v>102</v>
      </c>
      <c r="M47" s="426"/>
      <c r="N47" s="432" t="s">
        <v>668</v>
      </c>
      <c r="O47" s="57"/>
      <c r="P47" s="57"/>
      <c r="R47" s="57"/>
    </row>
    <row r="48" spans="1:18">
      <c r="A48" s="343" t="s">
        <v>574</v>
      </c>
      <c r="B48" s="344">
        <v>40843</v>
      </c>
      <c r="C48" s="345">
        <v>89</v>
      </c>
      <c r="D48" s="344">
        <v>40809</v>
      </c>
      <c r="E48" s="345">
        <v>83.96</v>
      </c>
      <c r="F48" s="345">
        <v>38.01</v>
      </c>
      <c r="G48" s="346">
        <v>44.5</v>
      </c>
      <c r="H48" s="380">
        <v>5.04</v>
      </c>
      <c r="I48" s="347">
        <v>7.95</v>
      </c>
      <c r="J48" s="343" t="s">
        <v>145</v>
      </c>
      <c r="K48" s="343" t="s">
        <v>237</v>
      </c>
      <c r="L48" s="348">
        <v>2</v>
      </c>
      <c r="M48" s="427"/>
      <c r="N48" s="432" t="s">
        <v>668</v>
      </c>
      <c r="O48" s="57"/>
      <c r="P48" s="57"/>
      <c r="R48" s="57"/>
    </row>
    <row r="49" spans="1:18">
      <c r="A49" s="349" t="s">
        <v>575</v>
      </c>
      <c r="B49" s="350">
        <v>40802</v>
      </c>
      <c r="C49" s="351">
        <v>490</v>
      </c>
      <c r="D49" s="350">
        <v>40696</v>
      </c>
      <c r="E49" s="351">
        <v>28.7</v>
      </c>
      <c r="F49" s="351">
        <v>0</v>
      </c>
      <c r="G49" s="352">
        <v>4.9000000000000004</v>
      </c>
      <c r="H49" s="358">
        <v>461.3</v>
      </c>
      <c r="I49" s="353">
        <v>28.7</v>
      </c>
      <c r="J49" s="349" t="s">
        <v>404</v>
      </c>
      <c r="K49" s="349" t="s">
        <v>369</v>
      </c>
      <c r="L49" s="354">
        <v>100</v>
      </c>
      <c r="M49" s="420"/>
      <c r="N49" s="432" t="s">
        <v>671</v>
      </c>
      <c r="O49" s="57"/>
      <c r="P49" s="57"/>
      <c r="R49" s="57"/>
    </row>
    <row r="50" spans="1:18">
      <c r="A50" s="349" t="s">
        <v>575</v>
      </c>
      <c r="B50" s="350">
        <v>40802</v>
      </c>
      <c r="C50" s="351">
        <v>3000</v>
      </c>
      <c r="D50" s="350">
        <v>40694</v>
      </c>
      <c r="E50" s="351">
        <v>3307.95</v>
      </c>
      <c r="F50" s="351">
        <v>33</v>
      </c>
      <c r="G50" s="352">
        <v>30</v>
      </c>
      <c r="H50" s="358">
        <v>-307.95</v>
      </c>
      <c r="I50" s="353">
        <v>7.95</v>
      </c>
      <c r="J50" s="349" t="s">
        <v>145</v>
      </c>
      <c r="K50" s="349"/>
      <c r="L50" s="354">
        <v>100</v>
      </c>
      <c r="M50" s="420"/>
      <c r="N50" s="432" t="s">
        <v>671</v>
      </c>
      <c r="O50" s="57"/>
      <c r="P50" s="57"/>
      <c r="R50" s="57"/>
    </row>
    <row r="51" spans="1:18">
      <c r="A51" s="349" t="s">
        <v>576</v>
      </c>
      <c r="B51" s="350">
        <v>40838</v>
      </c>
      <c r="C51" s="351">
        <v>320</v>
      </c>
      <c r="D51" s="350">
        <v>40814</v>
      </c>
      <c r="E51" s="351">
        <v>29.45</v>
      </c>
      <c r="F51" s="351">
        <v>0</v>
      </c>
      <c r="G51" s="352">
        <v>1.6</v>
      </c>
      <c r="H51" s="358">
        <v>290.55</v>
      </c>
      <c r="I51" s="389">
        <v>29.45</v>
      </c>
      <c r="J51" s="349" t="s">
        <v>404</v>
      </c>
      <c r="K51" s="349" t="s">
        <v>390</v>
      </c>
      <c r="L51" s="354">
        <v>200</v>
      </c>
      <c r="M51" s="420"/>
      <c r="N51" s="432" t="s">
        <v>671</v>
      </c>
      <c r="O51" s="57"/>
      <c r="P51" s="57"/>
      <c r="R51" s="57"/>
    </row>
    <row r="52" spans="1:18">
      <c r="A52" s="349" t="s">
        <v>576</v>
      </c>
      <c r="B52" s="350">
        <v>40838</v>
      </c>
      <c r="C52" s="351">
        <v>3600</v>
      </c>
      <c r="D52" s="350">
        <v>40812</v>
      </c>
      <c r="E52" s="351">
        <v>3921.95</v>
      </c>
      <c r="F52" s="351">
        <v>19.57</v>
      </c>
      <c r="G52" s="352">
        <v>18</v>
      </c>
      <c r="H52" s="358">
        <v>-321.95</v>
      </c>
      <c r="I52" s="353">
        <v>7.95</v>
      </c>
      <c r="J52" s="349" t="s">
        <v>145</v>
      </c>
      <c r="K52" s="349" t="s">
        <v>378</v>
      </c>
      <c r="L52" s="354">
        <v>200</v>
      </c>
      <c r="M52" s="420"/>
      <c r="N52" s="432" t="s">
        <v>671</v>
      </c>
      <c r="O52" s="57"/>
      <c r="P52" s="57"/>
      <c r="R52" s="57"/>
    </row>
    <row r="53" spans="1:18">
      <c r="A53" s="391" t="s">
        <v>577</v>
      </c>
      <c r="B53" s="392">
        <v>40843</v>
      </c>
      <c r="C53" s="393">
        <v>570</v>
      </c>
      <c r="D53" s="392">
        <v>40769</v>
      </c>
      <c r="E53" s="393">
        <v>1227.4000000000001</v>
      </c>
      <c r="F53" s="393">
        <v>12.1</v>
      </c>
      <c r="G53" s="394">
        <v>5.7</v>
      </c>
      <c r="H53" s="395">
        <v>-657.4</v>
      </c>
      <c r="I53" s="396">
        <v>17.399999999999999</v>
      </c>
      <c r="J53" s="391" t="s">
        <v>278</v>
      </c>
      <c r="K53" s="391" t="s">
        <v>374</v>
      </c>
      <c r="L53" s="397">
        <v>100</v>
      </c>
      <c r="M53" s="421" t="s">
        <v>640</v>
      </c>
      <c r="N53" s="432" t="s">
        <v>671</v>
      </c>
      <c r="O53" s="57"/>
      <c r="P53" s="57"/>
      <c r="R53" s="57"/>
    </row>
    <row r="54" spans="1:18">
      <c r="A54" s="349" t="s">
        <v>578</v>
      </c>
      <c r="B54" s="350">
        <v>40546</v>
      </c>
      <c r="C54" s="351">
        <v>4239.34</v>
      </c>
      <c r="D54" s="350">
        <v>40417</v>
      </c>
      <c r="E54" s="351">
        <v>3157.95</v>
      </c>
      <c r="F54" s="351">
        <v>450</v>
      </c>
      <c r="G54" s="352">
        <v>605.62</v>
      </c>
      <c r="H54" s="358">
        <v>1081.3900000000001</v>
      </c>
      <c r="I54" s="353">
        <v>7.95</v>
      </c>
      <c r="J54" s="349" t="s">
        <v>145</v>
      </c>
      <c r="K54" s="349"/>
      <c r="L54" s="354">
        <v>7</v>
      </c>
      <c r="M54" s="420"/>
      <c r="N54" s="432" t="s">
        <v>671</v>
      </c>
      <c r="O54" s="57"/>
      <c r="P54" s="57"/>
      <c r="R54" s="57"/>
    </row>
    <row r="55" spans="1:18">
      <c r="A55" s="349" t="s">
        <v>577</v>
      </c>
      <c r="B55" s="350">
        <v>40878</v>
      </c>
      <c r="C55" s="351">
        <v>4900</v>
      </c>
      <c r="D55" s="350">
        <v>40869</v>
      </c>
      <c r="E55" s="351">
        <v>4017.4</v>
      </c>
      <c r="F55" s="351">
        <v>40</v>
      </c>
      <c r="G55" s="352">
        <v>49</v>
      </c>
      <c r="H55" s="358">
        <v>882.6</v>
      </c>
      <c r="I55" s="353">
        <v>17.399999999999999</v>
      </c>
      <c r="J55" s="349" t="s">
        <v>278</v>
      </c>
      <c r="K55" s="349" t="s">
        <v>444</v>
      </c>
      <c r="L55" s="354">
        <v>100</v>
      </c>
      <c r="M55" s="420"/>
      <c r="N55" s="432" t="s">
        <v>671</v>
      </c>
      <c r="O55" s="57"/>
      <c r="P55" s="57"/>
      <c r="R55" s="57"/>
    </row>
    <row r="56" spans="1:18">
      <c r="A56" s="349" t="s">
        <v>579</v>
      </c>
      <c r="B56" s="350">
        <v>40739</v>
      </c>
      <c r="C56" s="351">
        <v>13660</v>
      </c>
      <c r="D56" s="350">
        <v>40648</v>
      </c>
      <c r="E56" s="351">
        <v>8218.9</v>
      </c>
      <c r="F56" s="351">
        <v>41</v>
      </c>
      <c r="G56" s="352">
        <v>68.3</v>
      </c>
      <c r="H56" s="358">
        <v>5441.1</v>
      </c>
      <c r="I56" s="353">
        <v>18.899999999999999</v>
      </c>
      <c r="J56" s="349" t="s">
        <v>278</v>
      </c>
      <c r="K56" s="349" t="s">
        <v>294</v>
      </c>
      <c r="L56" s="354">
        <v>200</v>
      </c>
      <c r="M56" s="420"/>
      <c r="N56" s="432" t="s">
        <v>671</v>
      </c>
      <c r="O56" s="57"/>
      <c r="P56" s="57"/>
      <c r="R56" s="57"/>
    </row>
    <row r="57" spans="1:18">
      <c r="A57" s="349" t="s">
        <v>580</v>
      </c>
      <c r="B57" s="350">
        <v>40564</v>
      </c>
      <c r="C57" s="351">
        <v>14720</v>
      </c>
      <c r="D57" s="350">
        <v>40417</v>
      </c>
      <c r="E57" s="351">
        <v>10357.950000000001</v>
      </c>
      <c r="F57" s="351">
        <v>450</v>
      </c>
      <c r="G57" s="352">
        <v>640</v>
      </c>
      <c r="H57" s="358">
        <v>4362.05</v>
      </c>
      <c r="I57" s="389">
        <v>7.95</v>
      </c>
      <c r="J57" s="349" t="s">
        <v>145</v>
      </c>
      <c r="K57" s="349"/>
      <c r="L57" s="354">
        <v>23</v>
      </c>
      <c r="M57" s="420"/>
      <c r="N57" s="432" t="s">
        <v>671</v>
      </c>
      <c r="O57" s="57"/>
      <c r="P57" s="57"/>
      <c r="R57" s="57"/>
    </row>
    <row r="58" spans="1:18">
      <c r="A58" s="391" t="s">
        <v>579</v>
      </c>
      <c r="B58" s="392">
        <v>40875</v>
      </c>
      <c r="C58" s="393">
        <v>100</v>
      </c>
      <c r="D58" s="392">
        <v>40769</v>
      </c>
      <c r="E58" s="393">
        <v>2438.9</v>
      </c>
      <c r="F58" s="393">
        <v>12.1</v>
      </c>
      <c r="G58" s="394">
        <v>0.5</v>
      </c>
      <c r="H58" s="395">
        <v>-2338.9</v>
      </c>
      <c r="I58" s="402">
        <v>18.899999999999999</v>
      </c>
      <c r="J58" s="391" t="s">
        <v>278</v>
      </c>
      <c r="K58" s="391" t="s">
        <v>374</v>
      </c>
      <c r="L58" s="397">
        <v>200</v>
      </c>
      <c r="M58" s="421" t="s">
        <v>642</v>
      </c>
      <c r="N58" s="432" t="s">
        <v>671</v>
      </c>
      <c r="O58" s="57"/>
      <c r="P58" s="57"/>
      <c r="R58" s="57"/>
    </row>
    <row r="59" spans="1:18">
      <c r="A59" s="349" t="s">
        <v>577</v>
      </c>
      <c r="B59" s="350">
        <v>40785</v>
      </c>
      <c r="C59" s="351">
        <v>7590</v>
      </c>
      <c r="D59" s="350">
        <v>40773</v>
      </c>
      <c r="E59" s="351">
        <v>5557.4</v>
      </c>
      <c r="F59" s="351">
        <v>55.4</v>
      </c>
      <c r="G59" s="352">
        <v>75.900000000000006</v>
      </c>
      <c r="H59" s="358">
        <v>2032.6</v>
      </c>
      <c r="I59" s="353">
        <v>17.399999999999999</v>
      </c>
      <c r="J59" s="349" t="s">
        <v>278</v>
      </c>
      <c r="K59" s="349" t="s">
        <v>331</v>
      </c>
      <c r="L59" s="354">
        <v>100</v>
      </c>
      <c r="M59" s="420"/>
      <c r="N59" s="432" t="s">
        <v>671</v>
      </c>
      <c r="O59" s="57"/>
      <c r="P59" s="57"/>
      <c r="R59" s="57"/>
    </row>
    <row r="60" spans="1:18">
      <c r="A60" s="391" t="s">
        <v>579</v>
      </c>
      <c r="B60" s="392">
        <v>40854</v>
      </c>
      <c r="C60" s="393">
        <v>1080</v>
      </c>
      <c r="D60" s="392">
        <v>40769</v>
      </c>
      <c r="E60" s="393">
        <v>2438.9</v>
      </c>
      <c r="F60" s="393">
        <v>12.1</v>
      </c>
      <c r="G60" s="394">
        <v>5.4</v>
      </c>
      <c r="H60" s="395">
        <v>-1358.9</v>
      </c>
      <c r="I60" s="396">
        <v>18.899999999999999</v>
      </c>
      <c r="J60" s="391" t="s">
        <v>278</v>
      </c>
      <c r="K60" s="391" t="s">
        <v>374</v>
      </c>
      <c r="L60" s="397">
        <v>200</v>
      </c>
      <c r="M60" s="421" t="s">
        <v>641</v>
      </c>
      <c r="N60" s="432" t="s">
        <v>671</v>
      </c>
      <c r="O60" s="57"/>
      <c r="P60" s="57"/>
      <c r="R60" s="57"/>
    </row>
    <row r="61" spans="1:18">
      <c r="A61" s="349" t="s">
        <v>581</v>
      </c>
      <c r="B61" s="350">
        <v>40717</v>
      </c>
      <c r="C61" s="351">
        <v>29580</v>
      </c>
      <c r="D61" s="350">
        <v>40630</v>
      </c>
      <c r="E61" s="351">
        <v>29407.95</v>
      </c>
      <c r="F61" s="351">
        <v>29.4</v>
      </c>
      <c r="G61" s="352">
        <v>29.58</v>
      </c>
      <c r="H61" s="358">
        <v>172.05</v>
      </c>
      <c r="I61" s="355">
        <v>7.95</v>
      </c>
      <c r="J61" s="349" t="s">
        <v>145</v>
      </c>
      <c r="K61" s="349"/>
      <c r="L61" s="354">
        <v>1000</v>
      </c>
      <c r="M61" s="420"/>
      <c r="N61" s="432" t="s">
        <v>661</v>
      </c>
      <c r="O61" s="57"/>
      <c r="P61" s="57"/>
      <c r="R61" s="57"/>
    </row>
    <row r="62" spans="1:18">
      <c r="A62" s="391" t="s">
        <v>581</v>
      </c>
      <c r="B62" s="392">
        <v>40684</v>
      </c>
      <c r="C62" s="393">
        <v>300</v>
      </c>
      <c r="D62" s="392">
        <v>40633</v>
      </c>
      <c r="E62" s="393">
        <v>52.9</v>
      </c>
      <c r="F62" s="393">
        <v>0.02</v>
      </c>
      <c r="G62" s="394">
        <v>0.3</v>
      </c>
      <c r="H62" s="395">
        <v>247.1</v>
      </c>
      <c r="I62" s="403">
        <v>30.9</v>
      </c>
      <c r="J62" s="391" t="s">
        <v>15</v>
      </c>
      <c r="K62" s="391" t="s">
        <v>49</v>
      </c>
      <c r="L62" s="397">
        <v>1000</v>
      </c>
      <c r="M62" s="421" t="s">
        <v>643</v>
      </c>
      <c r="N62" s="432" t="s">
        <v>661</v>
      </c>
      <c r="O62" s="57"/>
      <c r="P62" s="57"/>
      <c r="R62" s="57"/>
    </row>
    <row r="63" spans="1:18">
      <c r="A63" s="349" t="s">
        <v>582</v>
      </c>
      <c r="B63" s="350">
        <v>40894</v>
      </c>
      <c r="C63" s="351">
        <v>120</v>
      </c>
      <c r="D63" s="350">
        <v>40862</v>
      </c>
      <c r="E63" s="351">
        <v>9.4499999999999993</v>
      </c>
      <c r="F63" s="351">
        <v>0</v>
      </c>
      <c r="G63" s="352">
        <v>0.6</v>
      </c>
      <c r="H63" s="358">
        <v>110.55</v>
      </c>
      <c r="I63" s="353">
        <v>9.4499999999999993</v>
      </c>
      <c r="J63" s="349" t="s">
        <v>403</v>
      </c>
      <c r="K63" s="349" t="s">
        <v>440</v>
      </c>
      <c r="L63" s="354">
        <v>200</v>
      </c>
      <c r="M63" s="420"/>
      <c r="N63" s="432" t="s">
        <v>661</v>
      </c>
      <c r="O63" s="57"/>
      <c r="P63" s="57"/>
      <c r="R63" s="57"/>
    </row>
    <row r="64" spans="1:18">
      <c r="A64" s="349" t="s">
        <v>583</v>
      </c>
      <c r="B64" s="350">
        <v>40886</v>
      </c>
      <c r="C64" s="351">
        <v>2625</v>
      </c>
      <c r="D64" s="350">
        <v>40869</v>
      </c>
      <c r="E64" s="351">
        <v>2120.4</v>
      </c>
      <c r="F64" s="351">
        <v>7</v>
      </c>
      <c r="G64" s="352">
        <v>8.75</v>
      </c>
      <c r="H64" s="358">
        <v>504.6</v>
      </c>
      <c r="I64" s="401">
        <v>20.399999999999999</v>
      </c>
      <c r="J64" s="349" t="s">
        <v>278</v>
      </c>
      <c r="K64" s="349" t="s">
        <v>447</v>
      </c>
      <c r="L64" s="354">
        <v>300</v>
      </c>
      <c r="M64" s="420"/>
      <c r="N64" s="432" t="s">
        <v>661</v>
      </c>
      <c r="O64" s="57"/>
      <c r="P64" s="57"/>
      <c r="R64" s="57"/>
    </row>
    <row r="65" spans="1:26">
      <c r="A65" s="349" t="s">
        <v>584</v>
      </c>
      <c r="B65" s="350">
        <v>40769</v>
      </c>
      <c r="C65" s="351">
        <v>1100</v>
      </c>
      <c r="D65" s="350">
        <v>40764</v>
      </c>
      <c r="E65" s="351">
        <v>545.9</v>
      </c>
      <c r="F65" s="351">
        <v>0.25</v>
      </c>
      <c r="G65" s="352">
        <v>0.55000000000000004</v>
      </c>
      <c r="H65" s="358">
        <v>554.1</v>
      </c>
      <c r="I65" s="353">
        <v>45.9</v>
      </c>
      <c r="J65" s="349" t="s">
        <v>278</v>
      </c>
      <c r="K65" s="349" t="s">
        <v>329</v>
      </c>
      <c r="L65" s="354">
        <v>2000</v>
      </c>
      <c r="M65" s="420"/>
      <c r="N65" s="432" t="s">
        <v>661</v>
      </c>
      <c r="O65" s="57"/>
      <c r="P65" s="57"/>
      <c r="R65" s="57"/>
    </row>
    <row r="66" spans="1:26">
      <c r="A66" s="349" t="s">
        <v>585</v>
      </c>
      <c r="B66" s="350">
        <v>40900</v>
      </c>
      <c r="C66" s="351">
        <v>1300</v>
      </c>
      <c r="D66" s="350">
        <v>40899</v>
      </c>
      <c r="E66" s="351">
        <v>28.7</v>
      </c>
      <c r="F66" s="351">
        <v>0</v>
      </c>
      <c r="G66" s="352">
        <v>13</v>
      </c>
      <c r="H66" s="358">
        <v>1271.3</v>
      </c>
      <c r="I66" s="409">
        <v>28.7</v>
      </c>
      <c r="J66" s="349" t="s">
        <v>404</v>
      </c>
      <c r="K66" s="349" t="s">
        <v>468</v>
      </c>
      <c r="L66" s="354">
        <v>100</v>
      </c>
      <c r="M66" s="420"/>
      <c r="N66" s="432" t="s">
        <v>661</v>
      </c>
      <c r="O66" s="57"/>
      <c r="P66" s="57"/>
      <c r="R66" s="57"/>
    </row>
    <row r="67" spans="1:26">
      <c r="A67" s="349" t="s">
        <v>585</v>
      </c>
      <c r="B67" s="350">
        <v>40866</v>
      </c>
      <c r="C67" s="351">
        <v>160</v>
      </c>
      <c r="D67" s="350">
        <v>40814</v>
      </c>
      <c r="E67" s="351">
        <v>8.6999999999999993</v>
      </c>
      <c r="F67" s="351">
        <v>0</v>
      </c>
      <c r="G67" s="352">
        <v>1.6</v>
      </c>
      <c r="H67" s="358">
        <v>151.30000000000001</v>
      </c>
      <c r="I67" s="353">
        <v>8.6999999999999993</v>
      </c>
      <c r="J67" s="349" t="s">
        <v>403</v>
      </c>
      <c r="K67" s="349" t="s">
        <v>406</v>
      </c>
      <c r="L67" s="354">
        <v>100</v>
      </c>
      <c r="M67" s="420"/>
      <c r="N67" s="432" t="s">
        <v>661</v>
      </c>
      <c r="O67" s="57"/>
      <c r="P67" s="57"/>
      <c r="R67" s="57"/>
    </row>
    <row r="68" spans="1:26">
      <c r="A68" s="349" t="s">
        <v>585</v>
      </c>
      <c r="B68" s="350">
        <v>40900</v>
      </c>
      <c r="C68" s="351">
        <v>3000</v>
      </c>
      <c r="D68" s="350">
        <v>40808</v>
      </c>
      <c r="E68" s="351">
        <v>4737.95</v>
      </c>
      <c r="F68" s="351">
        <v>47.3</v>
      </c>
      <c r="G68" s="352">
        <v>30</v>
      </c>
      <c r="H68" s="358">
        <v>-1737.95</v>
      </c>
      <c r="I68" s="353">
        <v>7.95</v>
      </c>
      <c r="J68" s="349" t="s">
        <v>145</v>
      </c>
      <c r="K68" s="349" t="s">
        <v>379</v>
      </c>
      <c r="L68" s="354">
        <v>100</v>
      </c>
      <c r="M68" s="420"/>
      <c r="N68" s="432" t="s">
        <v>661</v>
      </c>
      <c r="O68" s="57"/>
      <c r="P68" s="57"/>
      <c r="R68" s="57"/>
    </row>
    <row r="69" spans="1:26">
      <c r="A69" s="349" t="s">
        <v>586</v>
      </c>
      <c r="B69" s="350">
        <v>40816</v>
      </c>
      <c r="C69" s="351">
        <v>320</v>
      </c>
      <c r="D69" s="350">
        <v>40695</v>
      </c>
      <c r="E69" s="351">
        <v>1800.9</v>
      </c>
      <c r="F69" s="351">
        <v>1.77</v>
      </c>
      <c r="G69" s="352">
        <v>0.32</v>
      </c>
      <c r="H69" s="358">
        <v>-1480.9</v>
      </c>
      <c r="I69" s="401">
        <v>30.9</v>
      </c>
      <c r="J69" s="349" t="s">
        <v>278</v>
      </c>
      <c r="K69" s="349" t="s">
        <v>361</v>
      </c>
      <c r="L69" s="354">
        <v>1000</v>
      </c>
      <c r="M69" s="420"/>
      <c r="N69" s="432" t="s">
        <v>661</v>
      </c>
      <c r="O69" s="57"/>
      <c r="P69" s="57"/>
      <c r="R69" s="57"/>
    </row>
    <row r="70" spans="1:26">
      <c r="A70" s="391" t="s">
        <v>587</v>
      </c>
      <c r="B70" s="392">
        <v>40647</v>
      </c>
      <c r="C70" s="393">
        <v>2980</v>
      </c>
      <c r="D70" s="392">
        <v>40645</v>
      </c>
      <c r="E70" s="393">
        <v>2433.3000000000002</v>
      </c>
      <c r="F70" s="393">
        <v>2.4</v>
      </c>
      <c r="G70" s="394">
        <v>2.98</v>
      </c>
      <c r="H70" s="395">
        <v>546.70000000000005</v>
      </c>
      <c r="I70" s="403">
        <v>30.9</v>
      </c>
      <c r="J70" s="391" t="s">
        <v>258</v>
      </c>
      <c r="K70" s="391" t="s">
        <v>197</v>
      </c>
      <c r="L70" s="397">
        <v>1000</v>
      </c>
      <c r="M70" s="421" t="s">
        <v>673</v>
      </c>
      <c r="N70" s="432" t="s">
        <v>662</v>
      </c>
      <c r="O70" s="57"/>
      <c r="P70" s="57"/>
      <c r="R70" s="57"/>
    </row>
    <row r="71" spans="1:26" ht="25.5">
      <c r="A71" s="276" t="s">
        <v>588</v>
      </c>
      <c r="B71" s="383">
        <v>40694</v>
      </c>
      <c r="C71" s="384">
        <v>2750</v>
      </c>
      <c r="D71" s="383">
        <v>40105</v>
      </c>
      <c r="E71" s="384">
        <v>1107.95</v>
      </c>
      <c r="F71" s="384">
        <v>2.2000000000000002</v>
      </c>
      <c r="G71" s="385">
        <v>5.5</v>
      </c>
      <c r="H71" s="386">
        <v>1642.05</v>
      </c>
      <c r="I71" s="387">
        <v>7.95</v>
      </c>
      <c r="J71" s="276" t="s">
        <v>145</v>
      </c>
      <c r="K71" s="276"/>
      <c r="L71" s="388">
        <v>500</v>
      </c>
      <c r="M71" s="419" t="s">
        <v>652</v>
      </c>
      <c r="N71" s="432" t="s">
        <v>660</v>
      </c>
      <c r="O71" s="57"/>
      <c r="P71" s="57"/>
      <c r="R71" s="57"/>
    </row>
    <row r="72" spans="1:26">
      <c r="A72" s="349" t="s">
        <v>589</v>
      </c>
      <c r="B72" s="350">
        <v>40743</v>
      </c>
      <c r="C72" s="351">
        <v>1755</v>
      </c>
      <c r="D72" s="350">
        <v>40715</v>
      </c>
      <c r="E72" s="351">
        <v>34.700000000000003</v>
      </c>
      <c r="F72" s="351">
        <v>0</v>
      </c>
      <c r="G72" s="352">
        <v>1.95</v>
      </c>
      <c r="H72" s="358">
        <v>1720.3</v>
      </c>
      <c r="I72" s="353">
        <v>34.700000000000003</v>
      </c>
      <c r="J72" s="349" t="s">
        <v>404</v>
      </c>
      <c r="K72" s="349" t="s">
        <v>293</v>
      </c>
      <c r="L72" s="354">
        <v>900</v>
      </c>
      <c r="M72" s="420"/>
      <c r="N72" s="432" t="s">
        <v>661</v>
      </c>
      <c r="O72" s="57"/>
      <c r="P72" s="57"/>
      <c r="R72" s="57"/>
    </row>
    <row r="73" spans="1:26">
      <c r="A73" s="349" t="s">
        <v>589</v>
      </c>
      <c r="B73" s="350">
        <v>40743</v>
      </c>
      <c r="C73" s="351">
        <v>4500</v>
      </c>
      <c r="D73" s="350">
        <v>40616</v>
      </c>
      <c r="E73" s="351">
        <v>8107.95</v>
      </c>
      <c r="F73" s="351">
        <v>9</v>
      </c>
      <c r="G73" s="352">
        <v>5</v>
      </c>
      <c r="H73" s="358">
        <v>-3607.95</v>
      </c>
      <c r="I73" s="389">
        <v>7.95</v>
      </c>
      <c r="J73" s="349" t="s">
        <v>145</v>
      </c>
      <c r="K73" s="349"/>
      <c r="L73" s="354">
        <v>900</v>
      </c>
      <c r="M73" s="420"/>
      <c r="N73" s="432" t="s">
        <v>661</v>
      </c>
      <c r="O73" s="57"/>
      <c r="P73" s="57"/>
      <c r="R73" s="57"/>
      <c r="W73" s="21"/>
      <c r="X73" s="21"/>
      <c r="Y73" s="21"/>
      <c r="Z73" s="21"/>
    </row>
    <row r="74" spans="1:26">
      <c r="A74" s="349" t="s">
        <v>589</v>
      </c>
      <c r="B74" s="350">
        <v>40712</v>
      </c>
      <c r="C74" s="351">
        <v>585</v>
      </c>
      <c r="D74" s="350">
        <v>40688</v>
      </c>
      <c r="E74" s="351">
        <v>14.7</v>
      </c>
      <c r="F74" s="351">
        <v>0</v>
      </c>
      <c r="G74" s="352">
        <v>0.65</v>
      </c>
      <c r="H74" s="358">
        <v>570.29999999999995</v>
      </c>
      <c r="I74" s="404">
        <v>14.7</v>
      </c>
      <c r="J74" s="349" t="s">
        <v>403</v>
      </c>
      <c r="K74" s="349" t="s">
        <v>289</v>
      </c>
      <c r="L74" s="354">
        <v>900</v>
      </c>
      <c r="M74" s="420"/>
      <c r="N74" s="432" t="s">
        <v>668</v>
      </c>
      <c r="O74" s="57"/>
      <c r="P74" s="57"/>
      <c r="R74" s="57"/>
      <c r="W74" s="21"/>
      <c r="X74" s="21"/>
      <c r="Y74" s="21"/>
      <c r="Z74" s="21"/>
    </row>
    <row r="75" spans="1:26">
      <c r="A75" s="391" t="s">
        <v>589</v>
      </c>
      <c r="B75" s="392">
        <v>40684</v>
      </c>
      <c r="C75" s="393">
        <v>810</v>
      </c>
      <c r="D75" s="392">
        <v>40623</v>
      </c>
      <c r="E75" s="393">
        <v>50.1</v>
      </c>
      <c r="F75" s="393">
        <v>0.02</v>
      </c>
      <c r="G75" s="394">
        <v>0.9</v>
      </c>
      <c r="H75" s="395">
        <v>759.9</v>
      </c>
      <c r="I75" s="400">
        <v>29.4</v>
      </c>
      <c r="J75" s="391" t="s">
        <v>15</v>
      </c>
      <c r="K75" s="391" t="s">
        <v>176</v>
      </c>
      <c r="L75" s="397">
        <v>900</v>
      </c>
      <c r="M75" s="421" t="s">
        <v>644</v>
      </c>
      <c r="N75" s="432" t="s">
        <v>671</v>
      </c>
      <c r="O75" s="57"/>
      <c r="P75" s="57"/>
      <c r="R75" s="57"/>
    </row>
    <row r="76" spans="1:26">
      <c r="A76" s="391" t="s">
        <v>589</v>
      </c>
      <c r="B76" s="392">
        <v>40596</v>
      </c>
      <c r="C76" s="393">
        <v>5490</v>
      </c>
      <c r="D76" s="392">
        <v>40562</v>
      </c>
      <c r="E76" s="393">
        <v>5000.6400000000003</v>
      </c>
      <c r="F76" s="393">
        <v>5.52</v>
      </c>
      <c r="G76" s="394">
        <v>6.1</v>
      </c>
      <c r="H76" s="395">
        <v>489.36</v>
      </c>
      <c r="I76" s="405">
        <v>29.4</v>
      </c>
      <c r="J76" s="391" t="s">
        <v>278</v>
      </c>
      <c r="K76" s="391" t="s">
        <v>191</v>
      </c>
      <c r="L76" s="397">
        <v>900</v>
      </c>
      <c r="M76" s="421" t="s">
        <v>645</v>
      </c>
      <c r="N76" s="432" t="s">
        <v>671</v>
      </c>
      <c r="O76" s="57"/>
      <c r="P76" s="57"/>
      <c r="R76" s="57"/>
    </row>
    <row r="77" spans="1:26">
      <c r="A77" s="349" t="s">
        <v>590</v>
      </c>
      <c r="B77" s="350">
        <v>40676</v>
      </c>
      <c r="C77" s="351">
        <v>1700</v>
      </c>
      <c r="D77" s="350">
        <v>40553</v>
      </c>
      <c r="E77" s="351">
        <v>1689.6</v>
      </c>
      <c r="F77" s="351">
        <v>3.33</v>
      </c>
      <c r="G77" s="352">
        <v>3.4</v>
      </c>
      <c r="H77" s="358">
        <v>10.4</v>
      </c>
      <c r="I77" s="353">
        <v>23.4</v>
      </c>
      <c r="J77" s="349" t="s">
        <v>258</v>
      </c>
      <c r="K77" s="349" t="s">
        <v>175</v>
      </c>
      <c r="L77" s="354">
        <v>500</v>
      </c>
      <c r="M77" s="420"/>
      <c r="N77" s="432" t="s">
        <v>661</v>
      </c>
      <c r="O77" s="57"/>
      <c r="P77" s="57"/>
      <c r="R77" s="57"/>
    </row>
    <row r="78" spans="1:26">
      <c r="A78" s="349" t="s">
        <v>591</v>
      </c>
      <c r="B78" s="350">
        <v>40882</v>
      </c>
      <c r="C78" s="351">
        <v>2377.04</v>
      </c>
      <c r="D78" s="350">
        <v>40870</v>
      </c>
      <c r="E78" s="351">
        <v>1968.95</v>
      </c>
      <c r="F78" s="351">
        <v>19.61</v>
      </c>
      <c r="G78" s="352">
        <v>23.77</v>
      </c>
      <c r="H78" s="358">
        <v>408.09</v>
      </c>
      <c r="I78" s="353">
        <v>7.95</v>
      </c>
      <c r="J78" s="349" t="s">
        <v>145</v>
      </c>
      <c r="K78" s="349" t="s">
        <v>422</v>
      </c>
      <c r="L78" s="354">
        <v>100</v>
      </c>
      <c r="M78" s="420"/>
      <c r="N78" s="432"/>
      <c r="O78" s="57"/>
      <c r="P78" s="57"/>
      <c r="R78" s="57"/>
    </row>
    <row r="79" spans="1:26">
      <c r="A79" s="276" t="s">
        <v>592</v>
      </c>
      <c r="B79" s="383">
        <v>40840</v>
      </c>
      <c r="C79" s="384">
        <v>17726.82</v>
      </c>
      <c r="D79" s="383">
        <v>40102</v>
      </c>
      <c r="E79" s="384">
        <v>15004.94</v>
      </c>
      <c r="F79" s="384">
        <v>22.3</v>
      </c>
      <c r="G79" s="385">
        <v>26.34</v>
      </c>
      <c r="H79" s="386">
        <v>2721.88</v>
      </c>
      <c r="I79" s="410">
        <v>0</v>
      </c>
      <c r="J79" s="276" t="s">
        <v>320</v>
      </c>
      <c r="K79" s="276" t="s">
        <v>203</v>
      </c>
      <c r="L79" s="388">
        <v>673</v>
      </c>
      <c r="M79" s="422" t="s">
        <v>658</v>
      </c>
      <c r="N79" s="432">
        <v>1099</v>
      </c>
      <c r="O79" s="57"/>
      <c r="P79" s="57"/>
      <c r="R79" s="57"/>
    </row>
    <row r="80" spans="1:26">
      <c r="A80" t="s">
        <v>593</v>
      </c>
      <c r="B80" s="57">
        <v>40744</v>
      </c>
      <c r="C80" s="319">
        <v>10368.799999999999</v>
      </c>
      <c r="D80" s="57">
        <v>40618</v>
      </c>
      <c r="E80" s="319">
        <v>9994.4</v>
      </c>
      <c r="F80" s="319">
        <v>19.22</v>
      </c>
      <c r="G80" s="267">
        <v>19.940000000000001</v>
      </c>
      <c r="H80" s="357">
        <v>374.4</v>
      </c>
      <c r="I80" s="311">
        <v>0</v>
      </c>
      <c r="J80" t="s">
        <v>320</v>
      </c>
      <c r="L80" s="289">
        <v>520</v>
      </c>
      <c r="N80" s="432" t="s">
        <v>674</v>
      </c>
      <c r="O80" s="57"/>
      <c r="P80" s="57"/>
      <c r="R80" s="57"/>
    </row>
    <row r="81" spans="1:24">
      <c r="A81" t="s">
        <v>594</v>
      </c>
      <c r="B81" s="57">
        <v>40900</v>
      </c>
      <c r="C81" s="319">
        <v>4741.4399999999996</v>
      </c>
      <c r="D81" s="57">
        <v>40102</v>
      </c>
      <c r="E81" s="319">
        <v>4992.66</v>
      </c>
      <c r="F81" s="319">
        <v>18.91</v>
      </c>
      <c r="G81" s="267">
        <v>17.96</v>
      </c>
      <c r="H81" s="357">
        <v>-251.22</v>
      </c>
      <c r="I81" s="335">
        <v>0</v>
      </c>
      <c r="J81" t="s">
        <v>320</v>
      </c>
      <c r="K81" t="s">
        <v>158</v>
      </c>
      <c r="L81" s="289">
        <v>264</v>
      </c>
      <c r="N81" s="432" t="s">
        <v>662</v>
      </c>
      <c r="O81" s="57"/>
      <c r="P81" s="57"/>
      <c r="R81" s="57"/>
    </row>
    <row r="82" spans="1:24">
      <c r="A82" s="349" t="s">
        <v>595</v>
      </c>
      <c r="B82" s="350">
        <v>40866</v>
      </c>
      <c r="C82" s="351">
        <v>300</v>
      </c>
      <c r="D82" s="350">
        <v>40843</v>
      </c>
      <c r="E82" s="351">
        <v>8.6999999999999993</v>
      </c>
      <c r="F82" s="351">
        <v>0</v>
      </c>
      <c r="G82" s="352">
        <v>3</v>
      </c>
      <c r="H82" s="358">
        <v>291.3</v>
      </c>
      <c r="I82" s="406">
        <v>8.6999999999999993</v>
      </c>
      <c r="J82" s="349" t="s">
        <v>403</v>
      </c>
      <c r="K82" s="349" t="s">
        <v>409</v>
      </c>
      <c r="L82" s="354">
        <v>100</v>
      </c>
      <c r="M82" s="420"/>
      <c r="N82" s="432" t="s">
        <v>661</v>
      </c>
      <c r="O82" s="57"/>
      <c r="P82" s="57"/>
      <c r="R82" s="57"/>
    </row>
    <row r="83" spans="1:24">
      <c r="A83" s="349" t="s">
        <v>596</v>
      </c>
      <c r="B83" s="350">
        <v>40838</v>
      </c>
      <c r="C83" s="351">
        <v>4000</v>
      </c>
      <c r="D83" s="350">
        <v>40809</v>
      </c>
      <c r="E83" s="351">
        <v>8697.9500000000007</v>
      </c>
      <c r="F83" s="351">
        <v>86.9</v>
      </c>
      <c r="G83" s="352">
        <v>40</v>
      </c>
      <c r="H83" s="358">
        <v>-4697.95</v>
      </c>
      <c r="I83" s="390">
        <v>7.95</v>
      </c>
      <c r="J83" s="349" t="s">
        <v>145</v>
      </c>
      <c r="K83" s="349" t="s">
        <v>6</v>
      </c>
      <c r="L83" s="354">
        <v>100</v>
      </c>
      <c r="M83" s="420"/>
      <c r="N83" s="432" t="s">
        <v>661</v>
      </c>
      <c r="O83" s="57"/>
      <c r="P83" s="57"/>
      <c r="R83" s="57"/>
      <c r="W83" s="21"/>
      <c r="X83" s="21"/>
    </row>
    <row r="84" spans="1:24">
      <c r="A84" s="349" t="s">
        <v>596</v>
      </c>
      <c r="B84" s="350">
        <v>40838</v>
      </c>
      <c r="C84" s="351">
        <v>5000</v>
      </c>
      <c r="D84" s="350">
        <v>40827</v>
      </c>
      <c r="E84" s="351">
        <v>28.7</v>
      </c>
      <c r="F84" s="351">
        <v>0</v>
      </c>
      <c r="G84" s="352">
        <v>50</v>
      </c>
      <c r="H84" s="358">
        <v>4971.3</v>
      </c>
      <c r="I84" s="353">
        <v>28.7</v>
      </c>
      <c r="J84" s="349" t="s">
        <v>404</v>
      </c>
      <c r="K84" s="349" t="s">
        <v>386</v>
      </c>
      <c r="L84" s="354">
        <v>100</v>
      </c>
      <c r="M84" s="420"/>
      <c r="N84" s="432" t="s">
        <v>661</v>
      </c>
      <c r="O84" s="57"/>
      <c r="P84" s="57"/>
      <c r="R84" s="57"/>
      <c r="W84" s="21"/>
      <c r="X84" s="21"/>
    </row>
    <row r="85" spans="1:24">
      <c r="A85" t="s">
        <v>597</v>
      </c>
      <c r="B85" s="57">
        <v>40739</v>
      </c>
      <c r="C85" s="319">
        <v>210</v>
      </c>
      <c r="D85" s="57">
        <v>40664</v>
      </c>
      <c r="E85" s="319">
        <v>10.199999999999999</v>
      </c>
      <c r="F85" s="319">
        <v>0</v>
      </c>
      <c r="G85" s="267">
        <v>0.7</v>
      </c>
      <c r="H85" s="357">
        <v>199.8</v>
      </c>
      <c r="I85" s="309">
        <v>10.199999999999999</v>
      </c>
      <c r="J85" t="s">
        <v>403</v>
      </c>
      <c r="K85" t="s">
        <v>310</v>
      </c>
      <c r="L85" s="289">
        <v>300</v>
      </c>
      <c r="N85" s="432" t="s">
        <v>668</v>
      </c>
      <c r="O85" s="57"/>
      <c r="P85" s="57"/>
      <c r="R85" s="57"/>
    </row>
    <row r="86" spans="1:24">
      <c r="A86" s="349" t="s">
        <v>598</v>
      </c>
      <c r="B86" s="350">
        <v>40889</v>
      </c>
      <c r="C86" s="351">
        <v>400</v>
      </c>
      <c r="D86" s="350">
        <v>40813</v>
      </c>
      <c r="E86" s="351">
        <v>145.9</v>
      </c>
      <c r="F86" s="351">
        <v>0.05</v>
      </c>
      <c r="G86" s="352">
        <v>0.2</v>
      </c>
      <c r="H86" s="358">
        <v>254.1</v>
      </c>
      <c r="I86" s="353">
        <v>45.9</v>
      </c>
      <c r="J86" s="349" t="s">
        <v>15</v>
      </c>
      <c r="K86" s="349" t="s">
        <v>387</v>
      </c>
      <c r="L86" s="354">
        <v>2000</v>
      </c>
      <c r="M86" s="420"/>
      <c r="N86" s="432" t="s">
        <v>668</v>
      </c>
      <c r="O86" s="57"/>
      <c r="P86" s="57"/>
      <c r="R86" s="57"/>
    </row>
    <row r="87" spans="1:24">
      <c r="A87" s="349" t="s">
        <v>598</v>
      </c>
      <c r="B87" s="350">
        <v>40808</v>
      </c>
      <c r="C87" s="351">
        <v>1100</v>
      </c>
      <c r="D87" s="350">
        <v>40783</v>
      </c>
      <c r="E87" s="351">
        <v>1045.9000000000001</v>
      </c>
      <c r="F87" s="351">
        <v>0.5</v>
      </c>
      <c r="G87" s="352">
        <v>0.55000000000000004</v>
      </c>
      <c r="H87" s="358">
        <v>54.1</v>
      </c>
      <c r="I87" s="366">
        <v>45.9</v>
      </c>
      <c r="J87" s="349" t="s">
        <v>15</v>
      </c>
      <c r="K87" s="349" t="s">
        <v>367</v>
      </c>
      <c r="L87" s="354">
        <v>2000</v>
      </c>
      <c r="M87" s="420"/>
      <c r="N87" s="432" t="s">
        <v>668</v>
      </c>
      <c r="O87" s="57"/>
      <c r="P87" s="57"/>
      <c r="R87" s="57"/>
    </row>
    <row r="88" spans="1:24">
      <c r="A88" t="s">
        <v>599</v>
      </c>
      <c r="B88" s="57">
        <v>40739</v>
      </c>
      <c r="C88" s="319">
        <v>4590</v>
      </c>
      <c r="D88" s="57">
        <v>40652</v>
      </c>
      <c r="E88" s="319">
        <v>20.7</v>
      </c>
      <c r="F88" s="319">
        <v>0</v>
      </c>
      <c r="G88" s="267">
        <v>2.7</v>
      </c>
      <c r="H88" s="357">
        <v>4569.3</v>
      </c>
      <c r="I88" s="312">
        <v>20.7</v>
      </c>
      <c r="J88" t="s">
        <v>403</v>
      </c>
      <c r="K88" t="s">
        <v>310</v>
      </c>
      <c r="L88" s="289">
        <v>1700</v>
      </c>
      <c r="N88" s="432" t="s">
        <v>668</v>
      </c>
      <c r="O88" s="57"/>
      <c r="P88" s="57"/>
      <c r="R88" s="57"/>
    </row>
    <row r="89" spans="1:24">
      <c r="A89" s="349" t="s">
        <v>600</v>
      </c>
      <c r="B89" s="350">
        <v>40877</v>
      </c>
      <c r="C89" s="351">
        <v>1160</v>
      </c>
      <c r="D89" s="350">
        <v>40858</v>
      </c>
      <c r="E89" s="351">
        <v>1078.9000000000001</v>
      </c>
      <c r="F89" s="351">
        <v>5.3</v>
      </c>
      <c r="G89" s="352">
        <v>5.8</v>
      </c>
      <c r="H89" s="358">
        <v>81.099999999999994</v>
      </c>
      <c r="I89" s="353">
        <v>18.899999999999999</v>
      </c>
      <c r="J89" s="349" t="s">
        <v>278</v>
      </c>
      <c r="K89" s="349" t="s">
        <v>437</v>
      </c>
      <c r="L89" s="354">
        <v>200</v>
      </c>
      <c r="M89" s="420"/>
      <c r="N89" s="432" t="s">
        <v>661</v>
      </c>
      <c r="O89" s="57"/>
      <c r="P89" s="57"/>
      <c r="R89" s="57"/>
    </row>
    <row r="90" spans="1:24">
      <c r="A90" s="349" t="s">
        <v>601</v>
      </c>
      <c r="B90" s="350">
        <v>40739</v>
      </c>
      <c r="C90" s="351">
        <v>1250</v>
      </c>
      <c r="D90" s="350">
        <v>40715</v>
      </c>
      <c r="E90" s="351">
        <v>31.7</v>
      </c>
      <c r="F90" s="351">
        <v>0</v>
      </c>
      <c r="G90" s="352">
        <v>2.5</v>
      </c>
      <c r="H90" s="358">
        <v>1218.3</v>
      </c>
      <c r="I90" s="366">
        <v>31.7</v>
      </c>
      <c r="J90" s="349" t="s">
        <v>404</v>
      </c>
      <c r="K90" s="349" t="s">
        <v>309</v>
      </c>
      <c r="L90" s="354">
        <v>500</v>
      </c>
      <c r="M90" s="420"/>
      <c r="N90" s="432" t="s">
        <v>671</v>
      </c>
      <c r="O90" s="57"/>
      <c r="P90" s="57"/>
      <c r="R90" s="57"/>
    </row>
    <row r="91" spans="1:24">
      <c r="A91" s="349" t="s">
        <v>601</v>
      </c>
      <c r="B91" s="350">
        <v>40739</v>
      </c>
      <c r="C91" s="351">
        <v>7500</v>
      </c>
      <c r="D91" s="350">
        <v>40305</v>
      </c>
      <c r="E91" s="351">
        <v>10507.95</v>
      </c>
      <c r="F91" s="351">
        <v>21</v>
      </c>
      <c r="G91" s="352">
        <v>15</v>
      </c>
      <c r="H91" s="358">
        <v>-3007.95</v>
      </c>
      <c r="I91" s="366">
        <v>7.95</v>
      </c>
      <c r="J91" s="349" t="s">
        <v>145</v>
      </c>
      <c r="K91" s="349"/>
      <c r="L91" s="354">
        <v>500</v>
      </c>
      <c r="M91" s="420"/>
      <c r="N91" s="432" t="s">
        <v>671</v>
      </c>
      <c r="O91" s="57"/>
      <c r="P91" s="57"/>
      <c r="R91" s="57"/>
    </row>
    <row r="92" spans="1:24">
      <c r="A92" t="s">
        <v>602</v>
      </c>
      <c r="B92" s="57">
        <v>40613</v>
      </c>
      <c r="C92" s="319">
        <v>175.5</v>
      </c>
      <c r="D92" s="57">
        <v>40203</v>
      </c>
      <c r="E92" s="319">
        <v>257.95</v>
      </c>
      <c r="F92" s="319">
        <v>5</v>
      </c>
      <c r="G92" s="267">
        <v>3.51</v>
      </c>
      <c r="H92" s="357">
        <v>-82.45</v>
      </c>
      <c r="I92" s="309">
        <v>7.95</v>
      </c>
      <c r="J92" t="s">
        <v>145</v>
      </c>
      <c r="L92" s="289">
        <v>50</v>
      </c>
      <c r="N92" s="432" t="s">
        <v>674</v>
      </c>
      <c r="O92" s="57"/>
      <c r="P92" s="57"/>
      <c r="R92" s="57"/>
    </row>
    <row r="93" spans="1:24">
      <c r="A93" s="349" t="s">
        <v>603</v>
      </c>
      <c r="B93" s="350">
        <v>40878</v>
      </c>
      <c r="C93" s="351">
        <v>1280</v>
      </c>
      <c r="D93" s="350">
        <v>40869</v>
      </c>
      <c r="E93" s="351">
        <v>985.9</v>
      </c>
      <c r="F93" s="351">
        <v>2.41</v>
      </c>
      <c r="G93" s="352">
        <v>3.2</v>
      </c>
      <c r="H93" s="358">
        <v>294.10000000000002</v>
      </c>
      <c r="I93" s="353">
        <v>21.9</v>
      </c>
      <c r="J93" s="349" t="s">
        <v>278</v>
      </c>
      <c r="K93" s="349" t="s">
        <v>445</v>
      </c>
      <c r="L93" s="354">
        <v>400</v>
      </c>
      <c r="M93" s="420"/>
      <c r="N93" s="432" t="s">
        <v>671</v>
      </c>
      <c r="O93" s="57"/>
      <c r="P93" s="57"/>
      <c r="R93" s="57"/>
    </row>
    <row r="94" spans="1:24">
      <c r="A94" s="349" t="s">
        <v>604</v>
      </c>
      <c r="B94" s="350">
        <v>40838</v>
      </c>
      <c r="C94" s="351">
        <v>89</v>
      </c>
      <c r="D94" s="350">
        <v>40822</v>
      </c>
      <c r="E94" s="351">
        <v>28.7</v>
      </c>
      <c r="F94" s="351">
        <v>0</v>
      </c>
      <c r="G94" s="352">
        <v>0.89</v>
      </c>
      <c r="H94" s="358">
        <v>60.3</v>
      </c>
      <c r="I94" s="353">
        <v>28.7</v>
      </c>
      <c r="J94" s="349" t="s">
        <v>404</v>
      </c>
      <c r="K94" s="349" t="s">
        <v>384</v>
      </c>
      <c r="L94" s="354">
        <v>100</v>
      </c>
      <c r="M94" s="420"/>
      <c r="N94" s="432" t="s">
        <v>671</v>
      </c>
      <c r="O94" s="57"/>
      <c r="P94" s="57"/>
      <c r="R94" s="57"/>
    </row>
    <row r="95" spans="1:24">
      <c r="A95" s="349" t="s">
        <v>604</v>
      </c>
      <c r="B95" s="350">
        <v>40838</v>
      </c>
      <c r="C95" s="351">
        <v>3000</v>
      </c>
      <c r="D95" s="350">
        <v>40808</v>
      </c>
      <c r="E95" s="351">
        <v>2876.66</v>
      </c>
      <c r="F95" s="351">
        <v>28.69</v>
      </c>
      <c r="G95" s="352">
        <v>30</v>
      </c>
      <c r="H95" s="358">
        <v>123.34</v>
      </c>
      <c r="I95" s="353">
        <v>7.95</v>
      </c>
      <c r="J95" s="349" t="s">
        <v>145</v>
      </c>
      <c r="K95" s="349" t="s">
        <v>192</v>
      </c>
      <c r="L95" s="354">
        <v>100</v>
      </c>
      <c r="M95" s="420"/>
      <c r="N95" s="432" t="s">
        <v>671</v>
      </c>
      <c r="O95" s="57"/>
      <c r="P95" s="57"/>
      <c r="R95" s="57"/>
    </row>
    <row r="96" spans="1:24">
      <c r="A96" s="391" t="s">
        <v>605</v>
      </c>
      <c r="B96" s="350">
        <v>40712</v>
      </c>
      <c r="C96" s="391">
        <v>287</v>
      </c>
      <c r="D96" s="350">
        <v>40497</v>
      </c>
      <c r="E96" s="391">
        <v>19.399999999999999</v>
      </c>
      <c r="F96" s="391">
        <v>0.02</v>
      </c>
      <c r="G96" s="391">
        <v>2.87</v>
      </c>
      <c r="H96" s="391">
        <v>267.60000000000002</v>
      </c>
      <c r="I96" s="391">
        <v>17.399999999999999</v>
      </c>
      <c r="J96" s="391" t="s">
        <v>15</v>
      </c>
      <c r="K96" s="391" t="s">
        <v>291</v>
      </c>
      <c r="L96" s="391">
        <v>100</v>
      </c>
      <c r="M96" s="421" t="s">
        <v>646</v>
      </c>
      <c r="N96" s="432" t="s">
        <v>671</v>
      </c>
      <c r="O96" s="57"/>
      <c r="P96" s="57"/>
      <c r="R96" s="57"/>
    </row>
    <row r="97" spans="1:18">
      <c r="A97" s="349" t="s">
        <v>605</v>
      </c>
      <c r="B97" s="350">
        <v>40868</v>
      </c>
      <c r="C97" s="351">
        <v>165</v>
      </c>
      <c r="D97" s="350">
        <v>40840</v>
      </c>
      <c r="E97" s="351">
        <v>27.4</v>
      </c>
      <c r="F97" s="351">
        <v>0.1</v>
      </c>
      <c r="G97" s="352">
        <v>1.65</v>
      </c>
      <c r="H97" s="358">
        <v>137.6</v>
      </c>
      <c r="I97" s="353">
        <v>17.399999999999999</v>
      </c>
      <c r="J97" s="349" t="s">
        <v>15</v>
      </c>
      <c r="K97" s="349" t="s">
        <v>401</v>
      </c>
      <c r="L97" s="354">
        <v>100</v>
      </c>
      <c r="M97" s="420"/>
      <c r="N97" s="432" t="s">
        <v>671</v>
      </c>
      <c r="O97" s="57"/>
      <c r="P97" s="57"/>
      <c r="R97" s="57"/>
    </row>
    <row r="98" spans="1:18">
      <c r="A98" t="s">
        <v>605</v>
      </c>
      <c r="B98" s="57">
        <v>40774</v>
      </c>
      <c r="C98" s="319">
        <v>450</v>
      </c>
      <c r="D98" s="57">
        <v>40714</v>
      </c>
      <c r="E98" s="319">
        <v>28.7</v>
      </c>
      <c r="F98" s="319">
        <v>0</v>
      </c>
      <c r="G98" s="267">
        <v>4.5</v>
      </c>
      <c r="H98" s="357">
        <v>421.3</v>
      </c>
      <c r="I98" s="237">
        <v>28.7</v>
      </c>
      <c r="J98" t="s">
        <v>404</v>
      </c>
      <c r="K98" t="s">
        <v>327</v>
      </c>
      <c r="L98" s="289">
        <v>100</v>
      </c>
      <c r="N98" s="432" t="s">
        <v>671</v>
      </c>
      <c r="O98" s="57"/>
      <c r="P98" s="57"/>
      <c r="R98" s="57"/>
    </row>
    <row r="99" spans="1:18">
      <c r="A99" s="349" t="s">
        <v>605</v>
      </c>
      <c r="B99" s="350">
        <v>40838</v>
      </c>
      <c r="C99" s="351">
        <v>50</v>
      </c>
      <c r="D99" s="350">
        <v>40813</v>
      </c>
      <c r="E99" s="351">
        <v>8.6999999999999993</v>
      </c>
      <c r="F99" s="351">
        <v>0</v>
      </c>
      <c r="G99" s="352">
        <v>0.5</v>
      </c>
      <c r="H99" s="358">
        <v>41.3</v>
      </c>
      <c r="I99" s="353">
        <v>8.6999999999999993</v>
      </c>
      <c r="J99" s="349" t="s">
        <v>403</v>
      </c>
      <c r="K99" s="349" t="s">
        <v>396</v>
      </c>
      <c r="L99" s="354">
        <v>100</v>
      </c>
      <c r="M99" s="420"/>
      <c r="N99" s="432" t="s">
        <v>671</v>
      </c>
      <c r="O99" s="57"/>
      <c r="P99" s="57"/>
      <c r="R99" s="57"/>
    </row>
    <row r="100" spans="1:18">
      <c r="A100" t="s">
        <v>605</v>
      </c>
      <c r="B100" s="57">
        <v>40774</v>
      </c>
      <c r="C100" s="319">
        <v>2500</v>
      </c>
      <c r="D100" s="57">
        <v>40085</v>
      </c>
      <c r="E100" s="319">
        <v>6714.95</v>
      </c>
      <c r="F100" s="319">
        <v>67.069999999999993</v>
      </c>
      <c r="G100" s="267">
        <v>25</v>
      </c>
      <c r="H100" s="357">
        <v>-4214.95</v>
      </c>
      <c r="I100" s="303">
        <v>7.95</v>
      </c>
      <c r="J100" t="s">
        <v>145</v>
      </c>
      <c r="K100" t="s">
        <v>263</v>
      </c>
      <c r="L100" s="289">
        <v>100</v>
      </c>
      <c r="N100" s="432" t="s">
        <v>671</v>
      </c>
      <c r="O100" s="57"/>
      <c r="P100" s="57"/>
      <c r="R100" s="57"/>
    </row>
    <row r="101" spans="1:18">
      <c r="A101" s="349" t="s">
        <v>606</v>
      </c>
      <c r="B101" s="350">
        <v>40892</v>
      </c>
      <c r="C101" s="351">
        <v>20</v>
      </c>
      <c r="D101" s="350">
        <v>40685</v>
      </c>
      <c r="E101" s="351">
        <v>1222.95</v>
      </c>
      <c r="F101" s="351">
        <v>0.6</v>
      </c>
      <c r="G101" s="352">
        <v>0.01</v>
      </c>
      <c r="H101" s="358">
        <v>-1202.95</v>
      </c>
      <c r="I101" s="353">
        <v>22.95</v>
      </c>
      <c r="J101" s="349" t="s">
        <v>405</v>
      </c>
      <c r="K101" s="349" t="s">
        <v>364</v>
      </c>
      <c r="L101" s="354">
        <v>2000</v>
      </c>
      <c r="M101" s="420"/>
      <c r="N101" s="432" t="s">
        <v>668</v>
      </c>
      <c r="O101" s="57"/>
      <c r="P101" s="57"/>
      <c r="R101" s="57"/>
    </row>
    <row r="102" spans="1:18">
      <c r="A102" s="349" t="s">
        <v>607</v>
      </c>
      <c r="B102" s="350">
        <v>40866</v>
      </c>
      <c r="C102" s="351">
        <v>200</v>
      </c>
      <c r="D102" s="350">
        <v>40854</v>
      </c>
      <c r="E102" s="351">
        <v>11.7</v>
      </c>
      <c r="F102" s="351">
        <v>0</v>
      </c>
      <c r="G102" s="352">
        <v>0.4</v>
      </c>
      <c r="H102" s="358">
        <v>188.3</v>
      </c>
      <c r="I102" s="389">
        <v>11.7</v>
      </c>
      <c r="J102" s="349" t="s">
        <v>403</v>
      </c>
      <c r="K102" s="349" t="s">
        <v>431</v>
      </c>
      <c r="L102" s="354">
        <v>500</v>
      </c>
      <c r="M102" s="420"/>
      <c r="N102" s="432" t="s">
        <v>671</v>
      </c>
      <c r="O102" s="57"/>
      <c r="P102" s="57"/>
      <c r="R102" s="57"/>
    </row>
    <row r="103" spans="1:18">
      <c r="A103" s="349" t="s">
        <v>608</v>
      </c>
      <c r="B103" s="350">
        <v>40838</v>
      </c>
      <c r="C103" s="351">
        <v>500</v>
      </c>
      <c r="D103" s="350">
        <v>40784</v>
      </c>
      <c r="E103" s="351">
        <v>15.45</v>
      </c>
      <c r="F103" s="351">
        <v>0</v>
      </c>
      <c r="G103" s="352">
        <v>0.5</v>
      </c>
      <c r="H103" s="358">
        <v>484.55</v>
      </c>
      <c r="I103" s="353">
        <v>15.45</v>
      </c>
      <c r="J103" s="349" t="s">
        <v>403</v>
      </c>
      <c r="K103" s="349" t="s">
        <v>363</v>
      </c>
      <c r="L103" s="354">
        <v>1000</v>
      </c>
      <c r="M103" s="420"/>
      <c r="N103" s="432" t="s">
        <v>672</v>
      </c>
      <c r="O103" s="57"/>
      <c r="P103" s="57"/>
      <c r="R103" s="57"/>
    </row>
    <row r="104" spans="1:18">
      <c r="A104" s="349" t="s">
        <v>608</v>
      </c>
      <c r="B104" s="350">
        <v>40889</v>
      </c>
      <c r="C104" s="351">
        <v>200</v>
      </c>
      <c r="D104" s="350">
        <v>40847</v>
      </c>
      <c r="E104" s="351">
        <v>80.900000000000006</v>
      </c>
      <c r="F104" s="351">
        <v>0.05</v>
      </c>
      <c r="G104" s="352">
        <v>0.2</v>
      </c>
      <c r="H104" s="358">
        <v>119.1</v>
      </c>
      <c r="I104" s="389">
        <v>30.9</v>
      </c>
      <c r="J104" s="349" t="s">
        <v>15</v>
      </c>
      <c r="K104" s="349" t="s">
        <v>418</v>
      </c>
      <c r="L104" s="354">
        <v>1000</v>
      </c>
      <c r="M104" s="420"/>
      <c r="N104" s="432" t="s">
        <v>671</v>
      </c>
      <c r="O104" s="57"/>
      <c r="P104" s="57"/>
      <c r="R104" s="57"/>
    </row>
    <row r="105" spans="1:18">
      <c r="A105" s="349" t="s">
        <v>609</v>
      </c>
      <c r="B105" s="350">
        <v>40848</v>
      </c>
      <c r="C105" s="351">
        <v>6600</v>
      </c>
      <c r="D105" s="350">
        <v>40843</v>
      </c>
      <c r="E105" s="351">
        <v>5675.83</v>
      </c>
      <c r="F105" s="351">
        <v>56.68</v>
      </c>
      <c r="G105" s="352">
        <v>66</v>
      </c>
      <c r="H105" s="358">
        <v>924.17</v>
      </c>
      <c r="I105" s="389">
        <v>7.95</v>
      </c>
      <c r="J105" s="349" t="s">
        <v>145</v>
      </c>
      <c r="K105" s="349" t="s">
        <v>414</v>
      </c>
      <c r="L105" s="354">
        <v>100</v>
      </c>
      <c r="M105" s="420"/>
      <c r="N105" s="432" t="s">
        <v>668</v>
      </c>
      <c r="O105" s="57"/>
      <c r="P105" s="57"/>
      <c r="R105" s="57"/>
    </row>
    <row r="106" spans="1:18">
      <c r="A106" s="349" t="s">
        <v>609</v>
      </c>
      <c r="B106" s="350">
        <v>40863</v>
      </c>
      <c r="C106" s="351">
        <v>6600</v>
      </c>
      <c r="D106" s="350">
        <v>40848</v>
      </c>
      <c r="E106" s="351">
        <v>6307.95</v>
      </c>
      <c r="F106" s="351">
        <v>63</v>
      </c>
      <c r="G106" s="352">
        <v>66</v>
      </c>
      <c r="H106" s="358">
        <v>292.05</v>
      </c>
      <c r="I106" s="404">
        <v>7.95</v>
      </c>
      <c r="J106" s="349" t="s">
        <v>145</v>
      </c>
      <c r="K106" s="349" t="s">
        <v>414</v>
      </c>
      <c r="L106" s="354">
        <v>100</v>
      </c>
      <c r="M106" s="420"/>
      <c r="N106" s="432" t="s">
        <v>668</v>
      </c>
      <c r="O106" s="57"/>
      <c r="P106" s="57"/>
      <c r="R106" s="57"/>
    </row>
    <row r="107" spans="1:18">
      <c r="A107" s="349" t="s">
        <v>610</v>
      </c>
      <c r="B107" s="350">
        <v>40787</v>
      </c>
      <c r="C107" s="351">
        <v>9500</v>
      </c>
      <c r="D107" s="350">
        <v>40672</v>
      </c>
      <c r="E107" s="351">
        <v>7180.9</v>
      </c>
      <c r="F107" s="351">
        <v>7.15</v>
      </c>
      <c r="G107" s="352">
        <v>9.5</v>
      </c>
      <c r="H107" s="358">
        <v>2319.1</v>
      </c>
      <c r="I107" s="353">
        <v>30.9</v>
      </c>
      <c r="J107" s="349" t="s">
        <v>278</v>
      </c>
      <c r="K107" s="349" t="s">
        <v>341</v>
      </c>
      <c r="L107" s="354">
        <v>1000</v>
      </c>
      <c r="M107" s="420"/>
      <c r="N107" s="432"/>
      <c r="O107" s="57"/>
      <c r="P107" s="57"/>
      <c r="R107" s="57"/>
    </row>
    <row r="108" spans="1:18">
      <c r="A108" s="349" t="s">
        <v>611</v>
      </c>
      <c r="B108" s="350">
        <v>40773</v>
      </c>
      <c r="C108" s="351">
        <v>3000</v>
      </c>
      <c r="D108" s="350">
        <v>40675</v>
      </c>
      <c r="E108" s="351">
        <v>1790.9</v>
      </c>
      <c r="F108" s="351">
        <v>0.34</v>
      </c>
      <c r="G108" s="352">
        <v>0.6</v>
      </c>
      <c r="H108" s="358">
        <v>1209.0999999999999</v>
      </c>
      <c r="I108" s="353">
        <v>90.9</v>
      </c>
      <c r="J108" s="349" t="s">
        <v>278</v>
      </c>
      <c r="K108" s="349" t="s">
        <v>328</v>
      </c>
      <c r="L108" s="354">
        <v>5000</v>
      </c>
      <c r="M108" s="420"/>
      <c r="N108" s="432" t="s">
        <v>675</v>
      </c>
      <c r="O108" s="57"/>
      <c r="P108" s="57"/>
      <c r="R108" s="57"/>
    </row>
    <row r="109" spans="1:18">
      <c r="A109" s="349" t="s">
        <v>612</v>
      </c>
      <c r="B109" s="350">
        <v>40678</v>
      </c>
      <c r="C109" s="351">
        <v>3950</v>
      </c>
      <c r="D109" s="350">
        <v>40660</v>
      </c>
      <c r="E109" s="351">
        <v>3530.9</v>
      </c>
      <c r="F109" s="351">
        <v>3.5</v>
      </c>
      <c r="G109" s="352">
        <v>3.95</v>
      </c>
      <c r="H109" s="358">
        <v>419.1</v>
      </c>
      <c r="I109" s="406">
        <v>30.9</v>
      </c>
      <c r="J109" s="349" t="s">
        <v>258</v>
      </c>
      <c r="K109" s="349" t="s">
        <v>279</v>
      </c>
      <c r="L109" s="354">
        <v>1000</v>
      </c>
      <c r="M109" s="420"/>
      <c r="N109" s="432" t="s">
        <v>675</v>
      </c>
      <c r="O109" s="57"/>
      <c r="P109" s="57"/>
      <c r="R109" s="57"/>
    </row>
    <row r="110" spans="1:18">
      <c r="A110" s="349" t="s">
        <v>613</v>
      </c>
      <c r="B110" s="350">
        <v>40864</v>
      </c>
      <c r="C110" s="351">
        <v>3200</v>
      </c>
      <c r="D110" s="350">
        <v>40862</v>
      </c>
      <c r="E110" s="351">
        <v>2857.95</v>
      </c>
      <c r="F110" s="351">
        <v>14.25</v>
      </c>
      <c r="G110" s="352">
        <v>16</v>
      </c>
      <c r="H110" s="358">
        <v>342.05</v>
      </c>
      <c r="I110" s="355">
        <v>7.95</v>
      </c>
      <c r="J110" s="349" t="s">
        <v>145</v>
      </c>
      <c r="K110" s="349" t="s">
        <v>427</v>
      </c>
      <c r="L110" s="354">
        <v>200</v>
      </c>
      <c r="M110" s="420"/>
      <c r="N110" s="432" t="s">
        <v>675</v>
      </c>
      <c r="O110" s="57"/>
      <c r="P110" s="57"/>
      <c r="R110" s="57"/>
    </row>
    <row r="111" spans="1:18">
      <c r="A111" s="349" t="s">
        <v>614</v>
      </c>
      <c r="B111" s="350">
        <v>40866</v>
      </c>
      <c r="C111" s="351">
        <v>100</v>
      </c>
      <c r="D111" s="350">
        <v>40854</v>
      </c>
      <c r="E111" s="351">
        <v>8.6999999999999993</v>
      </c>
      <c r="F111" s="351">
        <v>0</v>
      </c>
      <c r="G111" s="352">
        <v>1</v>
      </c>
      <c r="H111" s="358">
        <v>91.3</v>
      </c>
      <c r="I111" s="353">
        <v>8.6999999999999993</v>
      </c>
      <c r="J111" s="349" t="s">
        <v>403</v>
      </c>
      <c r="K111" s="349" t="s">
        <v>432</v>
      </c>
      <c r="L111" s="354">
        <v>100</v>
      </c>
      <c r="M111" s="424"/>
      <c r="N111" s="432" t="s">
        <v>661</v>
      </c>
      <c r="O111" s="57"/>
      <c r="P111" s="57"/>
      <c r="R111" s="57"/>
    </row>
    <row r="112" spans="1:18">
      <c r="A112" s="391" t="s">
        <v>615</v>
      </c>
      <c r="B112" s="392">
        <v>40838</v>
      </c>
      <c r="C112" s="393">
        <v>540</v>
      </c>
      <c r="D112" s="392">
        <v>40784</v>
      </c>
      <c r="E112" s="393">
        <v>30.95</v>
      </c>
      <c r="F112" s="393">
        <v>0</v>
      </c>
      <c r="G112" s="394">
        <v>1.35</v>
      </c>
      <c r="H112" s="395">
        <v>509.05</v>
      </c>
      <c r="I112" s="396">
        <v>30.95</v>
      </c>
      <c r="J112" s="391" t="s">
        <v>404</v>
      </c>
      <c r="K112" s="391" t="s">
        <v>358</v>
      </c>
      <c r="L112" s="397">
        <v>400</v>
      </c>
      <c r="M112" s="421" t="s">
        <v>636</v>
      </c>
      <c r="N112" s="432" t="s">
        <v>671</v>
      </c>
      <c r="O112" s="57"/>
      <c r="P112" s="57"/>
      <c r="R112" s="57"/>
    </row>
    <row r="113" spans="1:18">
      <c r="A113" s="391" t="s">
        <v>616</v>
      </c>
      <c r="B113" s="392">
        <v>40838</v>
      </c>
      <c r="C113" s="393">
        <v>4848</v>
      </c>
      <c r="D113" s="392">
        <v>40757</v>
      </c>
      <c r="E113" s="393">
        <v>6014.42</v>
      </c>
      <c r="F113" s="393">
        <v>14.87</v>
      </c>
      <c r="G113" s="394">
        <v>12</v>
      </c>
      <c r="H113" s="395">
        <v>-1166.42</v>
      </c>
      <c r="I113" s="398">
        <v>7.95</v>
      </c>
      <c r="J113" s="391" t="s">
        <v>145</v>
      </c>
      <c r="K113" s="391" t="s">
        <v>130</v>
      </c>
      <c r="L113" s="397">
        <v>404</v>
      </c>
      <c r="M113" s="421" t="s">
        <v>657</v>
      </c>
      <c r="N113" s="432" t="s">
        <v>671</v>
      </c>
      <c r="O113" s="57"/>
      <c r="P113" s="57"/>
      <c r="R113" s="57"/>
    </row>
    <row r="114" spans="1:18">
      <c r="A114" s="349" t="s">
        <v>617</v>
      </c>
      <c r="B114" s="350">
        <v>40678</v>
      </c>
      <c r="C114" s="351">
        <v>2450</v>
      </c>
      <c r="D114" s="350">
        <v>40659</v>
      </c>
      <c r="E114" s="351">
        <v>2273.4</v>
      </c>
      <c r="F114" s="351">
        <v>4.5</v>
      </c>
      <c r="G114" s="352">
        <v>4.9000000000000004</v>
      </c>
      <c r="H114" s="358">
        <v>176.6</v>
      </c>
      <c r="I114" s="353">
        <v>23.4</v>
      </c>
      <c r="J114" s="349" t="s">
        <v>258</v>
      </c>
      <c r="K114" s="349" t="s">
        <v>277</v>
      </c>
      <c r="L114" s="354">
        <v>500</v>
      </c>
      <c r="M114" s="420"/>
      <c r="N114" s="432" t="s">
        <v>668</v>
      </c>
      <c r="O114" s="57"/>
      <c r="P114" s="57"/>
      <c r="R114" s="57"/>
    </row>
    <row r="115" spans="1:18">
      <c r="A115" s="349" t="s">
        <v>618</v>
      </c>
      <c r="B115" s="350">
        <v>40866</v>
      </c>
      <c r="C115" s="351">
        <v>1700</v>
      </c>
      <c r="D115" s="350">
        <v>40743</v>
      </c>
      <c r="E115" s="351">
        <v>11.7</v>
      </c>
      <c r="F115" s="351">
        <v>0</v>
      </c>
      <c r="G115" s="352">
        <v>3.4</v>
      </c>
      <c r="H115" s="358">
        <v>1688.3</v>
      </c>
      <c r="I115" s="401">
        <v>11.7</v>
      </c>
      <c r="J115" s="349" t="s">
        <v>403</v>
      </c>
      <c r="K115" s="349" t="s">
        <v>356</v>
      </c>
      <c r="L115" s="354">
        <v>500</v>
      </c>
      <c r="M115" s="420"/>
      <c r="N115" s="432" t="s">
        <v>661</v>
      </c>
      <c r="O115" s="57"/>
      <c r="P115" s="57"/>
      <c r="R115" s="57"/>
    </row>
    <row r="116" spans="1:18">
      <c r="A116" s="349" t="s">
        <v>618</v>
      </c>
      <c r="B116" s="350">
        <v>40893</v>
      </c>
      <c r="C116" s="351">
        <v>225</v>
      </c>
      <c r="D116" s="350">
        <v>40877</v>
      </c>
      <c r="E116" s="351">
        <v>298.39999999999998</v>
      </c>
      <c r="F116" s="351">
        <v>0.55000000000000004</v>
      </c>
      <c r="G116" s="352">
        <v>0.45</v>
      </c>
      <c r="H116" s="358">
        <v>-73.400000000000006</v>
      </c>
      <c r="I116" s="353">
        <v>23.4</v>
      </c>
      <c r="J116" s="349" t="s">
        <v>15</v>
      </c>
      <c r="K116" s="349" t="s">
        <v>455</v>
      </c>
      <c r="L116" s="354">
        <v>500</v>
      </c>
      <c r="M116" s="420"/>
      <c r="N116" s="432" t="s">
        <v>661</v>
      </c>
      <c r="O116" s="57"/>
      <c r="P116" s="57"/>
      <c r="R116" s="57"/>
    </row>
    <row r="117" spans="1:18">
      <c r="A117" s="349" t="s">
        <v>619</v>
      </c>
      <c r="B117" s="350">
        <v>40848</v>
      </c>
      <c r="C117" s="351">
        <v>4418</v>
      </c>
      <c r="D117" s="350">
        <v>40843</v>
      </c>
      <c r="E117" s="351">
        <v>3947.95</v>
      </c>
      <c r="F117" s="351">
        <v>39.4</v>
      </c>
      <c r="G117" s="352">
        <v>44.18</v>
      </c>
      <c r="H117" s="358">
        <v>470.05</v>
      </c>
      <c r="I117" s="411">
        <v>7.95</v>
      </c>
      <c r="J117" s="349" t="s">
        <v>145</v>
      </c>
      <c r="K117" s="349" t="s">
        <v>372</v>
      </c>
      <c r="L117" s="354">
        <v>100</v>
      </c>
      <c r="M117" s="420"/>
      <c r="N117" s="432"/>
      <c r="O117" s="57"/>
      <c r="P117" s="57"/>
      <c r="R117" s="57"/>
    </row>
    <row r="118" spans="1:18">
      <c r="A118" s="349" t="s">
        <v>619</v>
      </c>
      <c r="B118" s="350">
        <v>40808</v>
      </c>
      <c r="C118" s="351">
        <v>5919.4</v>
      </c>
      <c r="D118" s="350">
        <v>40807</v>
      </c>
      <c r="E118" s="351">
        <v>5307.95</v>
      </c>
      <c r="F118" s="351">
        <v>53</v>
      </c>
      <c r="G118" s="352">
        <v>59.19</v>
      </c>
      <c r="H118" s="358">
        <v>611.45000000000005</v>
      </c>
      <c r="I118" s="390">
        <v>7.95</v>
      </c>
      <c r="J118" s="349" t="s">
        <v>145</v>
      </c>
      <c r="K118" s="349" t="s">
        <v>372</v>
      </c>
      <c r="L118" s="354">
        <v>100</v>
      </c>
      <c r="M118" s="420"/>
      <c r="N118" s="432" t="s">
        <v>676</v>
      </c>
      <c r="O118" s="57"/>
      <c r="P118" s="57"/>
      <c r="R118" s="57"/>
    </row>
    <row r="119" spans="1:18">
      <c r="A119" s="349" t="s">
        <v>619</v>
      </c>
      <c r="B119" s="350">
        <v>40848</v>
      </c>
      <c r="C119" s="351">
        <v>4418</v>
      </c>
      <c r="D119" s="350">
        <v>40840</v>
      </c>
      <c r="E119" s="351">
        <v>4282.95</v>
      </c>
      <c r="F119" s="351">
        <v>42.75</v>
      </c>
      <c r="G119" s="352">
        <v>44.18</v>
      </c>
      <c r="H119" s="358">
        <v>135.05000000000001</v>
      </c>
      <c r="I119" s="366">
        <v>7.95</v>
      </c>
      <c r="J119" s="349" t="s">
        <v>145</v>
      </c>
      <c r="K119" s="349" t="s">
        <v>372</v>
      </c>
      <c r="L119" s="354">
        <v>100</v>
      </c>
      <c r="M119" s="420"/>
      <c r="N119" s="432"/>
      <c r="O119" s="57"/>
      <c r="P119" s="57"/>
      <c r="R119" s="57"/>
    </row>
    <row r="120" spans="1:18">
      <c r="A120" s="349" t="s">
        <v>619</v>
      </c>
      <c r="B120" s="350">
        <v>40856</v>
      </c>
      <c r="C120" s="351">
        <v>4301</v>
      </c>
      <c r="D120" s="350">
        <v>40850</v>
      </c>
      <c r="E120" s="351">
        <v>4007.95</v>
      </c>
      <c r="F120" s="351">
        <v>40</v>
      </c>
      <c r="G120" s="352">
        <v>43.01</v>
      </c>
      <c r="H120" s="358">
        <v>293.05</v>
      </c>
      <c r="I120" s="355">
        <v>7.95</v>
      </c>
      <c r="J120" s="349" t="s">
        <v>145</v>
      </c>
      <c r="K120" s="349" t="s">
        <v>372</v>
      </c>
      <c r="L120" s="354">
        <v>100</v>
      </c>
      <c r="M120" s="420"/>
      <c r="N120" s="432" t="s">
        <v>677</v>
      </c>
      <c r="O120" s="57"/>
      <c r="P120" s="57"/>
      <c r="R120" s="57"/>
    </row>
    <row r="121" spans="1:18">
      <c r="A121" s="349" t="s">
        <v>620</v>
      </c>
      <c r="B121" s="350">
        <v>40850</v>
      </c>
      <c r="C121" s="351">
        <v>3650</v>
      </c>
      <c r="D121" s="350">
        <v>40848</v>
      </c>
      <c r="E121" s="351">
        <v>3307.95</v>
      </c>
      <c r="F121" s="351">
        <v>33</v>
      </c>
      <c r="G121" s="352">
        <v>36.5</v>
      </c>
      <c r="H121" s="358">
        <v>342.05</v>
      </c>
      <c r="I121" s="390">
        <v>7.95</v>
      </c>
      <c r="J121" s="349" t="s">
        <v>145</v>
      </c>
      <c r="K121" s="349" t="s">
        <v>420</v>
      </c>
      <c r="L121" s="354">
        <v>100</v>
      </c>
      <c r="M121" s="420"/>
      <c r="N121" s="432" t="s">
        <v>678</v>
      </c>
      <c r="O121" s="57"/>
      <c r="P121" s="57"/>
      <c r="R121" s="57"/>
    </row>
    <row r="122" spans="1:18">
      <c r="A122" s="349" t="s">
        <v>621</v>
      </c>
      <c r="B122" s="350">
        <v>40802</v>
      </c>
      <c r="C122" s="351">
        <v>1350</v>
      </c>
      <c r="D122" s="350">
        <v>40784</v>
      </c>
      <c r="E122" s="351">
        <v>31.7</v>
      </c>
      <c r="F122" s="351">
        <v>0</v>
      </c>
      <c r="G122" s="352">
        <v>2.7</v>
      </c>
      <c r="H122" s="358">
        <v>1318.3</v>
      </c>
      <c r="I122" s="366">
        <v>31.7</v>
      </c>
      <c r="J122" s="349" t="s">
        <v>404</v>
      </c>
      <c r="K122" s="349" t="s">
        <v>370</v>
      </c>
      <c r="L122" s="354">
        <v>500</v>
      </c>
      <c r="M122" s="420"/>
      <c r="N122" s="432" t="s">
        <v>661</v>
      </c>
      <c r="O122" s="57"/>
      <c r="P122" s="57"/>
      <c r="R122" s="57"/>
    </row>
    <row r="123" spans="1:18">
      <c r="A123" s="349" t="s">
        <v>621</v>
      </c>
      <c r="B123" s="350">
        <v>40802</v>
      </c>
      <c r="C123" s="351">
        <v>5000</v>
      </c>
      <c r="D123" s="350">
        <v>40764</v>
      </c>
      <c r="E123" s="351">
        <v>8757.9500000000007</v>
      </c>
      <c r="F123" s="351">
        <v>17.5</v>
      </c>
      <c r="G123" s="352">
        <v>10</v>
      </c>
      <c r="H123" s="358">
        <v>-3757.95</v>
      </c>
      <c r="I123" s="366">
        <v>7.95</v>
      </c>
      <c r="J123" s="349" t="s">
        <v>145</v>
      </c>
      <c r="K123" s="349"/>
      <c r="L123" s="354">
        <v>500</v>
      </c>
      <c r="M123" s="420"/>
      <c r="N123" s="432" t="s">
        <v>661</v>
      </c>
      <c r="O123" s="57"/>
      <c r="P123" s="57"/>
      <c r="R123" s="57"/>
    </row>
    <row r="124" spans="1:18">
      <c r="A124" s="349" t="s">
        <v>622</v>
      </c>
      <c r="B124" s="350">
        <v>40866</v>
      </c>
      <c r="C124" s="351">
        <v>130</v>
      </c>
      <c r="D124" s="350">
        <v>40844</v>
      </c>
      <c r="E124" s="351">
        <v>8.6999999999999993</v>
      </c>
      <c r="F124" s="351">
        <v>0</v>
      </c>
      <c r="G124" s="352">
        <v>1.3</v>
      </c>
      <c r="H124" s="358">
        <v>121.3</v>
      </c>
      <c r="I124" s="353">
        <v>8.6999999999999993</v>
      </c>
      <c r="J124" s="349" t="s">
        <v>403</v>
      </c>
      <c r="K124" s="349" t="s">
        <v>416</v>
      </c>
      <c r="L124" s="354">
        <v>100</v>
      </c>
      <c r="M124" s="420"/>
      <c r="N124" s="432" t="s">
        <v>661</v>
      </c>
      <c r="O124" s="57"/>
      <c r="P124" s="57"/>
      <c r="R124" s="57"/>
    </row>
    <row r="125" spans="1:18">
      <c r="A125" s="349" t="s">
        <v>623</v>
      </c>
      <c r="B125" s="350">
        <v>40894</v>
      </c>
      <c r="C125" s="351">
        <v>100</v>
      </c>
      <c r="D125" s="350">
        <v>40877</v>
      </c>
      <c r="E125" s="351">
        <v>10.95</v>
      </c>
      <c r="F125" s="351">
        <v>0</v>
      </c>
      <c r="G125" s="352">
        <v>0.25</v>
      </c>
      <c r="H125" s="358">
        <v>89.05</v>
      </c>
      <c r="I125" s="353">
        <v>10.95</v>
      </c>
      <c r="J125" s="349" t="s">
        <v>403</v>
      </c>
      <c r="K125" s="349" t="s">
        <v>452</v>
      </c>
      <c r="L125" s="354">
        <v>400</v>
      </c>
      <c r="M125" s="420"/>
      <c r="N125" s="432" t="s">
        <v>661</v>
      </c>
      <c r="O125" s="57"/>
      <c r="P125" s="57"/>
      <c r="R125" s="57"/>
    </row>
    <row r="126" spans="1:18">
      <c r="A126" s="349" t="s">
        <v>623</v>
      </c>
      <c r="B126" s="350">
        <v>40620</v>
      </c>
      <c r="C126" s="351">
        <v>120</v>
      </c>
      <c r="D126" s="350">
        <v>40504</v>
      </c>
      <c r="E126" s="351">
        <v>10.95</v>
      </c>
      <c r="F126" s="351">
        <v>0</v>
      </c>
      <c r="G126" s="352">
        <v>0.3</v>
      </c>
      <c r="H126" s="358">
        <v>109.05</v>
      </c>
      <c r="I126" s="353">
        <v>10.95</v>
      </c>
      <c r="J126" s="349" t="s">
        <v>403</v>
      </c>
      <c r="K126" s="349" t="s">
        <v>16</v>
      </c>
      <c r="L126" s="354">
        <v>400</v>
      </c>
      <c r="M126" s="420"/>
      <c r="N126" s="432" t="s">
        <v>671</v>
      </c>
      <c r="O126" s="57"/>
      <c r="P126" s="57"/>
      <c r="R126" s="57"/>
    </row>
    <row r="127" spans="1:18">
      <c r="A127" s="391" t="s">
        <v>623</v>
      </c>
      <c r="B127" s="392">
        <v>40712</v>
      </c>
      <c r="C127" s="393">
        <v>220</v>
      </c>
      <c r="D127" s="392">
        <v>40623</v>
      </c>
      <c r="E127" s="393">
        <v>29.9</v>
      </c>
      <c r="F127" s="393">
        <v>0.02</v>
      </c>
      <c r="G127" s="394">
        <v>0.55000000000000004</v>
      </c>
      <c r="H127" s="395">
        <v>190.1</v>
      </c>
      <c r="I127" s="396">
        <v>21.9</v>
      </c>
      <c r="J127" s="391" t="s">
        <v>15</v>
      </c>
      <c r="K127" s="391" t="s">
        <v>286</v>
      </c>
      <c r="L127" s="397">
        <v>400</v>
      </c>
      <c r="M127" s="421" t="s">
        <v>647</v>
      </c>
      <c r="N127" s="432" t="s">
        <v>671</v>
      </c>
      <c r="O127" s="57"/>
      <c r="P127" s="57"/>
      <c r="R127" s="57"/>
    </row>
    <row r="128" spans="1:18">
      <c r="A128" s="349" t="s">
        <v>623</v>
      </c>
      <c r="B128" s="350">
        <v>40868</v>
      </c>
      <c r="C128" s="351">
        <v>700</v>
      </c>
      <c r="D128" s="350">
        <v>40729</v>
      </c>
      <c r="E128" s="351">
        <v>61.9</v>
      </c>
      <c r="F128" s="351">
        <v>0.1</v>
      </c>
      <c r="G128" s="352">
        <v>1.75</v>
      </c>
      <c r="H128" s="358">
        <v>638.1</v>
      </c>
      <c r="I128" s="353">
        <v>21.9</v>
      </c>
      <c r="J128" s="349" t="s">
        <v>15</v>
      </c>
      <c r="K128" s="349" t="s">
        <v>360</v>
      </c>
      <c r="L128" s="354">
        <v>400</v>
      </c>
      <c r="M128" s="420"/>
      <c r="N128" s="432" t="s">
        <v>661</v>
      </c>
      <c r="O128" s="57"/>
      <c r="P128" s="57"/>
      <c r="R128" s="57"/>
    </row>
    <row r="129" spans="1:18">
      <c r="A129" s="349" t="s">
        <v>624</v>
      </c>
      <c r="B129" s="350">
        <v>40739</v>
      </c>
      <c r="C129" s="351">
        <v>125</v>
      </c>
      <c r="D129" s="350">
        <v>40564</v>
      </c>
      <c r="E129" s="351">
        <v>8.6999999999999993</v>
      </c>
      <c r="F129" s="351">
        <v>0</v>
      </c>
      <c r="G129" s="352">
        <v>1.25</v>
      </c>
      <c r="H129" s="358">
        <v>116.3</v>
      </c>
      <c r="I129" s="407">
        <v>8.6999999999999993</v>
      </c>
      <c r="J129" s="349" t="s">
        <v>403</v>
      </c>
      <c r="K129" s="349" t="s">
        <v>311</v>
      </c>
      <c r="L129" s="354">
        <v>100</v>
      </c>
      <c r="M129" s="420"/>
      <c r="N129" s="432" t="s">
        <v>661</v>
      </c>
      <c r="O129" s="57"/>
      <c r="P129" s="57"/>
      <c r="R129" s="57"/>
    </row>
    <row r="130" spans="1:18">
      <c r="A130" s="349" t="s">
        <v>625</v>
      </c>
      <c r="B130" s="350">
        <v>40907</v>
      </c>
      <c r="C130" s="351">
        <v>97.2</v>
      </c>
      <c r="D130" s="350">
        <v>40200</v>
      </c>
      <c r="E130" s="351">
        <v>1387.95</v>
      </c>
      <c r="F130" s="351">
        <v>11.5</v>
      </c>
      <c r="G130" s="352">
        <v>0.81</v>
      </c>
      <c r="H130" s="358">
        <v>-1290.75</v>
      </c>
      <c r="I130" s="353">
        <v>7.95</v>
      </c>
      <c r="J130" s="349" t="s">
        <v>145</v>
      </c>
      <c r="K130" s="349" t="s">
        <v>383</v>
      </c>
      <c r="L130" s="354">
        <v>120</v>
      </c>
      <c r="M130" s="420"/>
      <c r="N130" s="432" t="s">
        <v>679</v>
      </c>
      <c r="O130" s="57"/>
      <c r="P130" s="57"/>
      <c r="R130" s="57"/>
    </row>
    <row r="131" spans="1:18">
      <c r="A131" s="349" t="s">
        <v>626</v>
      </c>
      <c r="B131" s="350">
        <v>40862</v>
      </c>
      <c r="C131" s="351">
        <v>175</v>
      </c>
      <c r="D131" s="350">
        <v>40805</v>
      </c>
      <c r="E131" s="351">
        <v>11.7</v>
      </c>
      <c r="F131" s="351">
        <v>0</v>
      </c>
      <c r="G131" s="352">
        <v>0.35</v>
      </c>
      <c r="H131" s="358">
        <v>163.30000000000001</v>
      </c>
      <c r="I131" s="353">
        <v>11.7</v>
      </c>
      <c r="J131" s="349" t="s">
        <v>403</v>
      </c>
      <c r="K131" s="349" t="s">
        <v>373</v>
      </c>
      <c r="L131" s="354">
        <v>500</v>
      </c>
      <c r="M131" s="420"/>
      <c r="N131" s="432"/>
      <c r="O131" s="57"/>
      <c r="P131" s="57"/>
      <c r="R131" s="57"/>
    </row>
    <row r="132" spans="1:18">
      <c r="A132" s="368" t="s">
        <v>627</v>
      </c>
      <c r="B132" s="369">
        <v>40905</v>
      </c>
      <c r="C132" s="370">
        <v>3300</v>
      </c>
      <c r="D132" s="369">
        <v>40804</v>
      </c>
      <c r="E132" s="370">
        <v>3769.95</v>
      </c>
      <c r="F132" s="370">
        <v>12.54</v>
      </c>
      <c r="G132" s="371">
        <v>11</v>
      </c>
      <c r="H132" s="372">
        <v>-469.95</v>
      </c>
      <c r="I132" s="418">
        <v>7.95</v>
      </c>
      <c r="J132" s="368" t="s">
        <v>145</v>
      </c>
      <c r="K132" s="368" t="s">
        <v>10</v>
      </c>
      <c r="L132" s="382">
        <v>300</v>
      </c>
      <c r="M132" s="425" t="s">
        <v>656</v>
      </c>
      <c r="N132" s="432" t="s">
        <v>671</v>
      </c>
      <c r="O132" s="57"/>
      <c r="P132" s="57"/>
      <c r="R132" s="57"/>
    </row>
    <row r="133" spans="1:18">
      <c r="A133" s="368" t="s">
        <v>627</v>
      </c>
      <c r="B133" s="369">
        <v>40905</v>
      </c>
      <c r="C133" s="370">
        <v>240</v>
      </c>
      <c r="D133" s="369">
        <v>40897</v>
      </c>
      <c r="E133" s="370">
        <v>30.2</v>
      </c>
      <c r="F133" s="370">
        <v>0</v>
      </c>
      <c r="G133" s="371">
        <v>0.8</v>
      </c>
      <c r="H133" s="372">
        <v>209.8</v>
      </c>
      <c r="I133" s="418">
        <v>30.2</v>
      </c>
      <c r="J133" s="368" t="s">
        <v>404</v>
      </c>
      <c r="K133" s="368" t="s">
        <v>464</v>
      </c>
      <c r="L133" s="382">
        <v>300</v>
      </c>
      <c r="M133" s="425" t="s">
        <v>636</v>
      </c>
      <c r="N133" s="432" t="s">
        <v>671</v>
      </c>
      <c r="O133" s="57"/>
      <c r="P133" s="57"/>
      <c r="R133" s="57"/>
    </row>
    <row r="134" spans="1:18">
      <c r="A134" s="349" t="s">
        <v>628</v>
      </c>
      <c r="B134" s="350">
        <v>40894</v>
      </c>
      <c r="C134" s="351">
        <v>260</v>
      </c>
      <c r="D134" s="350">
        <v>40877</v>
      </c>
      <c r="E134" s="351">
        <v>8.6999999999999993</v>
      </c>
      <c r="F134" s="351">
        <v>0</v>
      </c>
      <c r="G134" s="352">
        <v>2.6</v>
      </c>
      <c r="H134" s="358">
        <v>251.3</v>
      </c>
      <c r="I134" s="407">
        <v>8.6999999999999993</v>
      </c>
      <c r="J134" s="349" t="s">
        <v>403</v>
      </c>
      <c r="K134" s="349" t="s">
        <v>453</v>
      </c>
      <c r="L134" s="354">
        <v>100</v>
      </c>
      <c r="M134" s="420"/>
      <c r="N134" s="432" t="s">
        <v>661</v>
      </c>
      <c r="O134" s="57"/>
      <c r="P134" s="57"/>
      <c r="R134" s="57"/>
    </row>
    <row r="135" spans="1:18">
      <c r="A135" s="349" t="s">
        <v>628</v>
      </c>
      <c r="B135" s="350">
        <v>40834</v>
      </c>
      <c r="C135" s="351">
        <v>495</v>
      </c>
      <c r="D135" s="350">
        <v>40808</v>
      </c>
      <c r="E135" s="351">
        <v>737.4</v>
      </c>
      <c r="F135" s="351">
        <v>7.2</v>
      </c>
      <c r="G135" s="352">
        <v>4.95</v>
      </c>
      <c r="H135" s="358">
        <v>-242.4</v>
      </c>
      <c r="I135" s="353">
        <v>17.399999999999999</v>
      </c>
      <c r="J135" s="349" t="s">
        <v>15</v>
      </c>
      <c r="K135" s="349" t="s">
        <v>389</v>
      </c>
      <c r="L135" s="354">
        <v>100</v>
      </c>
      <c r="M135" s="420"/>
      <c r="N135" s="432" t="s">
        <v>661</v>
      </c>
      <c r="O135" s="57"/>
      <c r="P135" s="57"/>
      <c r="R135" s="57"/>
    </row>
    <row r="136" spans="1:18">
      <c r="A136" s="373" t="s">
        <v>628</v>
      </c>
      <c r="B136" s="374">
        <v>40878</v>
      </c>
      <c r="C136" s="375">
        <v>725</v>
      </c>
      <c r="D136" s="374">
        <v>40798</v>
      </c>
      <c r="E136" s="375">
        <v>1607.4</v>
      </c>
      <c r="F136" s="375">
        <v>15.9</v>
      </c>
      <c r="G136" s="376">
        <v>7.25</v>
      </c>
      <c r="H136" s="377">
        <v>-882.4</v>
      </c>
      <c r="I136" s="408">
        <v>17.399999999999999</v>
      </c>
      <c r="J136" s="373" t="s">
        <v>278</v>
      </c>
      <c r="K136" s="373" t="s">
        <v>357</v>
      </c>
      <c r="L136" s="379">
        <v>100</v>
      </c>
      <c r="M136" s="428" t="s">
        <v>648</v>
      </c>
      <c r="N136" s="432" t="s">
        <v>671</v>
      </c>
      <c r="O136" s="57"/>
      <c r="P136" s="57"/>
      <c r="R136" s="57"/>
    </row>
    <row r="137" spans="1:18">
      <c r="A137" s="349" t="s">
        <v>629</v>
      </c>
      <c r="B137" s="350">
        <v>40712</v>
      </c>
      <c r="C137" s="351">
        <v>300</v>
      </c>
      <c r="D137" s="350">
        <v>40687</v>
      </c>
      <c r="E137" s="351">
        <v>15.45</v>
      </c>
      <c r="F137" s="351">
        <v>0</v>
      </c>
      <c r="G137" s="352">
        <v>0.3</v>
      </c>
      <c r="H137" s="358">
        <v>284.55</v>
      </c>
      <c r="I137" s="355">
        <v>15.45</v>
      </c>
      <c r="J137" s="349" t="s">
        <v>403</v>
      </c>
      <c r="K137" s="349" t="s">
        <v>288</v>
      </c>
      <c r="L137" s="354">
        <v>1000</v>
      </c>
      <c r="M137" s="420"/>
      <c r="N137" s="432" t="s">
        <v>680</v>
      </c>
      <c r="O137" s="57"/>
      <c r="P137" s="57"/>
      <c r="R137" s="57"/>
    </row>
    <row r="138" spans="1:18">
      <c r="A138" s="349" t="s">
        <v>629</v>
      </c>
      <c r="B138" s="350">
        <v>40866</v>
      </c>
      <c r="C138" s="351">
        <v>300</v>
      </c>
      <c r="D138" s="350">
        <v>40822</v>
      </c>
      <c r="E138" s="351">
        <v>15.45</v>
      </c>
      <c r="F138" s="351">
        <v>0</v>
      </c>
      <c r="G138" s="352">
        <v>0.3</v>
      </c>
      <c r="H138" s="358">
        <v>284.55</v>
      </c>
      <c r="I138" s="355">
        <v>15.45</v>
      </c>
      <c r="J138" s="349" t="s">
        <v>403</v>
      </c>
      <c r="K138" s="349" t="s">
        <v>407</v>
      </c>
      <c r="L138" s="354">
        <v>1000</v>
      </c>
      <c r="M138" s="420"/>
      <c r="N138" s="432" t="s">
        <v>661</v>
      </c>
      <c r="O138" s="57"/>
      <c r="P138" s="57"/>
      <c r="R138" s="57"/>
    </row>
    <row r="139" spans="1:18">
      <c r="A139" s="349" t="s">
        <v>629</v>
      </c>
      <c r="B139" s="350">
        <v>40802</v>
      </c>
      <c r="C139" s="351">
        <v>650</v>
      </c>
      <c r="D139" s="350">
        <v>40715</v>
      </c>
      <c r="E139" s="351">
        <v>15.45</v>
      </c>
      <c r="F139" s="351">
        <v>0</v>
      </c>
      <c r="G139" s="352">
        <v>0.65</v>
      </c>
      <c r="H139" s="358">
        <v>634.54999999999995</v>
      </c>
      <c r="I139" s="401">
        <v>15.45</v>
      </c>
      <c r="J139" s="349" t="s">
        <v>403</v>
      </c>
      <c r="K139" s="349" t="s">
        <v>371</v>
      </c>
      <c r="L139" s="354">
        <v>1000</v>
      </c>
      <c r="M139" s="420"/>
      <c r="N139" s="432" t="s">
        <v>661</v>
      </c>
      <c r="O139" s="57"/>
      <c r="P139" s="57"/>
      <c r="R139" s="57"/>
    </row>
    <row r="140" spans="1:18">
      <c r="A140" s="391" t="s">
        <v>630</v>
      </c>
      <c r="B140" s="392">
        <v>40623</v>
      </c>
      <c r="C140" s="393">
        <v>4050</v>
      </c>
      <c r="D140" s="392">
        <v>40620</v>
      </c>
      <c r="E140" s="393">
        <v>3703.3</v>
      </c>
      <c r="F140" s="393">
        <v>3.67</v>
      </c>
      <c r="G140" s="394">
        <v>4.05</v>
      </c>
      <c r="H140" s="395">
        <v>346.7</v>
      </c>
      <c r="I140" s="405">
        <v>30.9</v>
      </c>
      <c r="J140" s="391" t="s">
        <v>278</v>
      </c>
      <c r="K140" s="391" t="s">
        <v>225</v>
      </c>
      <c r="L140" s="397">
        <v>1000</v>
      </c>
      <c r="M140" s="421" t="s">
        <v>649</v>
      </c>
      <c r="N140" s="432" t="s">
        <v>671</v>
      </c>
      <c r="O140" s="57"/>
      <c r="P140" s="57"/>
      <c r="R140" s="57"/>
    </row>
    <row r="141" spans="1:18">
      <c r="A141" s="349" t="s">
        <v>631</v>
      </c>
      <c r="B141" s="350">
        <v>40644</v>
      </c>
      <c r="C141" s="351">
        <v>5000</v>
      </c>
      <c r="D141" s="350">
        <v>40632</v>
      </c>
      <c r="E141" s="351">
        <v>4789.6000000000004</v>
      </c>
      <c r="F141" s="351">
        <v>9.5299999999999994</v>
      </c>
      <c r="G141" s="352">
        <v>10</v>
      </c>
      <c r="H141" s="358">
        <v>210.4</v>
      </c>
      <c r="I141" s="355">
        <v>23.4</v>
      </c>
      <c r="J141" s="349" t="s">
        <v>258</v>
      </c>
      <c r="K141" s="349" t="s">
        <v>246</v>
      </c>
      <c r="L141" s="354">
        <v>500</v>
      </c>
      <c r="M141" s="420"/>
      <c r="N141" s="432" t="s">
        <v>671</v>
      </c>
      <c r="O141" s="57"/>
      <c r="P141" s="57"/>
      <c r="R141" s="57"/>
    </row>
    <row r="142" spans="1:18">
      <c r="A142" s="391" t="s">
        <v>632</v>
      </c>
      <c r="B142" s="392">
        <v>40584</v>
      </c>
      <c r="C142" s="393">
        <v>1800</v>
      </c>
      <c r="D142" s="392">
        <v>40539</v>
      </c>
      <c r="E142" s="393">
        <v>1514.6</v>
      </c>
      <c r="F142" s="393">
        <v>2.98</v>
      </c>
      <c r="G142" s="394">
        <v>3.6</v>
      </c>
      <c r="H142" s="395">
        <v>285.39999999999998</v>
      </c>
      <c r="I142" s="396">
        <v>23.4</v>
      </c>
      <c r="J142" s="391" t="s">
        <v>258</v>
      </c>
      <c r="K142" s="391" t="s">
        <v>43</v>
      </c>
      <c r="L142" s="397">
        <v>500</v>
      </c>
      <c r="M142" s="421" t="s">
        <v>650</v>
      </c>
      <c r="N142" s="432" t="s">
        <v>671</v>
      </c>
      <c r="O142" s="57"/>
      <c r="P142" s="57"/>
      <c r="R142" s="57"/>
    </row>
    <row r="143" spans="1:18">
      <c r="A143" s="391" t="s">
        <v>633</v>
      </c>
      <c r="B143" s="392">
        <v>40619</v>
      </c>
      <c r="C143" s="393">
        <v>2320</v>
      </c>
      <c r="D143" s="392">
        <v>40539</v>
      </c>
      <c r="E143" s="393">
        <v>1876.86</v>
      </c>
      <c r="F143" s="393">
        <v>4.6399999999999997</v>
      </c>
      <c r="G143" s="394">
        <v>5.8</v>
      </c>
      <c r="H143" s="395">
        <v>443.14</v>
      </c>
      <c r="I143" s="396">
        <v>21.9</v>
      </c>
      <c r="J143" s="391" t="s">
        <v>258</v>
      </c>
      <c r="K143" s="391" t="s">
        <v>17</v>
      </c>
      <c r="L143" s="397">
        <v>400</v>
      </c>
      <c r="M143" s="421" t="s">
        <v>651</v>
      </c>
      <c r="N143" s="432" t="s">
        <v>671</v>
      </c>
      <c r="O143" s="57"/>
      <c r="P143" s="57"/>
      <c r="R143" s="57"/>
    </row>
    <row r="144" spans="1:18">
      <c r="A144" s="349" t="s">
        <v>634</v>
      </c>
      <c r="B144" s="350">
        <v>40565</v>
      </c>
      <c r="C144" s="351">
        <v>315</v>
      </c>
      <c r="D144" s="350">
        <v>40504</v>
      </c>
      <c r="E144" s="351">
        <v>14.7</v>
      </c>
      <c r="F144" s="351">
        <v>0</v>
      </c>
      <c r="G144" s="352">
        <v>0.35</v>
      </c>
      <c r="H144" s="358">
        <v>300.3</v>
      </c>
      <c r="I144" s="353">
        <v>14.7</v>
      </c>
      <c r="J144" s="349" t="s">
        <v>403</v>
      </c>
      <c r="K144" s="349" t="s">
        <v>28</v>
      </c>
      <c r="L144" s="354">
        <v>900</v>
      </c>
      <c r="M144" s="420"/>
      <c r="N144" s="432" t="s">
        <v>681</v>
      </c>
      <c r="O144" s="57"/>
      <c r="P144" s="57"/>
      <c r="R144" s="57"/>
    </row>
    <row r="145" spans="1:18">
      <c r="A145" s="349" t="s">
        <v>634</v>
      </c>
      <c r="B145" s="350">
        <v>40864</v>
      </c>
      <c r="C145" s="351">
        <v>225</v>
      </c>
      <c r="D145" s="350">
        <v>40829</v>
      </c>
      <c r="E145" s="351">
        <v>119.4</v>
      </c>
      <c r="F145" s="351">
        <v>0.1</v>
      </c>
      <c r="G145" s="352">
        <v>0.25</v>
      </c>
      <c r="H145" s="358">
        <v>105.6</v>
      </c>
      <c r="I145" s="353">
        <v>29.4</v>
      </c>
      <c r="J145" s="349" t="s">
        <v>15</v>
      </c>
      <c r="K145" s="349" t="s">
        <v>388</v>
      </c>
      <c r="L145" s="354">
        <v>900</v>
      </c>
      <c r="M145" s="420"/>
      <c r="N145" s="432" t="s">
        <v>661</v>
      </c>
      <c r="O145" s="57"/>
      <c r="P145" s="57"/>
      <c r="R145" s="57"/>
    </row>
    <row r="146" spans="1:18">
      <c r="A146" s="349" t="s">
        <v>634</v>
      </c>
      <c r="B146" s="350">
        <v>40813</v>
      </c>
      <c r="C146" s="351">
        <v>765</v>
      </c>
      <c r="D146" s="350">
        <v>40714</v>
      </c>
      <c r="E146" s="351">
        <v>254.4</v>
      </c>
      <c r="F146" s="351">
        <v>0.25</v>
      </c>
      <c r="G146" s="352">
        <v>0.85</v>
      </c>
      <c r="H146" s="358">
        <v>510.6</v>
      </c>
      <c r="I146" s="353">
        <v>29.4</v>
      </c>
      <c r="J146" s="349" t="s">
        <v>15</v>
      </c>
      <c r="K146" s="349" t="s">
        <v>365</v>
      </c>
      <c r="L146" s="354">
        <v>900</v>
      </c>
      <c r="M146" s="420"/>
      <c r="N146" s="432" t="s">
        <v>661</v>
      </c>
      <c r="O146" s="57"/>
      <c r="P146" s="57"/>
      <c r="R146" s="57"/>
    </row>
    <row r="147" spans="1:18">
      <c r="A147" s="349" t="s">
        <v>634</v>
      </c>
      <c r="B147" s="350">
        <v>40906</v>
      </c>
      <c r="C147" s="351">
        <v>675</v>
      </c>
      <c r="D147" s="350">
        <v>40889</v>
      </c>
      <c r="E147" s="351">
        <v>119.4</v>
      </c>
      <c r="F147" s="351">
        <v>0.1</v>
      </c>
      <c r="G147" s="352">
        <v>0.75</v>
      </c>
      <c r="H147" s="358">
        <v>555.6</v>
      </c>
      <c r="I147" s="353">
        <v>29.4</v>
      </c>
      <c r="J147" s="349" t="s">
        <v>15</v>
      </c>
      <c r="K147" s="349" t="s">
        <v>463</v>
      </c>
      <c r="L147" s="354">
        <v>900</v>
      </c>
      <c r="M147" s="420"/>
      <c r="N147" s="432" t="s">
        <v>661</v>
      </c>
      <c r="O147" s="57"/>
      <c r="P147" s="57"/>
      <c r="R147" s="57"/>
    </row>
    <row r="148" spans="1:18">
      <c r="A148" s="349" t="s">
        <v>634</v>
      </c>
      <c r="B148" s="350">
        <v>40712</v>
      </c>
      <c r="C148" s="351">
        <v>540</v>
      </c>
      <c r="D148" s="350">
        <v>40672</v>
      </c>
      <c r="E148" s="351">
        <v>14.7</v>
      </c>
      <c r="F148" s="351">
        <v>0</v>
      </c>
      <c r="G148" s="352">
        <v>0.6</v>
      </c>
      <c r="H148" s="358">
        <v>525.29999999999995</v>
      </c>
      <c r="I148" s="355">
        <v>14.7</v>
      </c>
      <c r="J148" s="349" t="s">
        <v>403</v>
      </c>
      <c r="K148" s="349" t="s">
        <v>284</v>
      </c>
      <c r="L148" s="354">
        <v>900</v>
      </c>
      <c r="M148" s="420"/>
      <c r="N148" s="432" t="s">
        <v>675</v>
      </c>
      <c r="O148" s="57"/>
      <c r="P148" s="57"/>
      <c r="R148" s="57"/>
    </row>
    <row r="149" spans="1:18">
      <c r="D149" s="57"/>
      <c r="F149" s="57"/>
      <c r="G149" s="267"/>
      <c r="H149" s="356">
        <f>SUM(H2:H148)</f>
        <v>30976.08999999996</v>
      </c>
      <c r="I149" s="335"/>
      <c r="L149" s="289"/>
      <c r="O149" s="57"/>
      <c r="P149" s="57"/>
      <c r="R149" s="57"/>
    </row>
    <row r="150" spans="1:18">
      <c r="D150" s="57"/>
      <c r="F150" s="57"/>
      <c r="G150" s="267"/>
      <c r="H150" s="357"/>
      <c r="I150" s="335"/>
      <c r="L150" s="289"/>
      <c r="O150" s="57"/>
      <c r="P150" s="57"/>
      <c r="R150" s="57"/>
    </row>
    <row r="151" spans="1:18" ht="13.5" thickBot="1">
      <c r="D151" s="57"/>
      <c r="F151" s="57"/>
      <c r="G151" s="267"/>
      <c r="H151" s="357"/>
      <c r="I151" s="237"/>
      <c r="L151" s="289"/>
      <c r="O151" s="57"/>
      <c r="P151" s="57"/>
      <c r="R151" s="57"/>
    </row>
    <row r="152" spans="1:18" ht="13.5" thickBot="1">
      <c r="D152" s="57"/>
      <c r="E152" s="437" t="s">
        <v>753</v>
      </c>
      <c r="F152" s="438">
        <f>COUNTIF(H2:H148,"&gt;0")/COUNT(H2:H148)</f>
        <v>0.76870748299319724</v>
      </c>
      <c r="G152" s="267"/>
      <c r="H152" s="357"/>
      <c r="I152" s="237"/>
      <c r="L152" s="289"/>
      <c r="O152" s="57"/>
      <c r="P152" s="57"/>
      <c r="R152" s="57"/>
    </row>
    <row r="153" spans="1:18">
      <c r="D153" s="57"/>
      <c r="F153" s="57"/>
      <c r="G153" s="267"/>
      <c r="H153" s="357"/>
      <c r="I153" s="300"/>
      <c r="L153" s="289"/>
      <c r="O153" s="57"/>
      <c r="P153" s="57"/>
      <c r="R153" s="57"/>
    </row>
    <row r="154" spans="1:18">
      <c r="D154" s="57"/>
      <c r="F154" s="57"/>
      <c r="G154" s="267"/>
      <c r="H154" s="357"/>
      <c r="I154" s="323"/>
      <c r="L154" s="289"/>
      <c r="O154" s="57"/>
      <c r="P154" s="57"/>
      <c r="R154" s="57"/>
    </row>
    <row r="155" spans="1:18">
      <c r="D155" s="57"/>
      <c r="F155" s="57"/>
      <c r="G155" s="267"/>
      <c r="H155" s="357"/>
      <c r="I155" s="308"/>
      <c r="L155" s="289"/>
      <c r="O155" s="57"/>
      <c r="P155" s="57"/>
      <c r="R155" s="57"/>
    </row>
    <row r="156" spans="1:18">
      <c r="D156" s="57"/>
      <c r="F156" s="57"/>
      <c r="G156" s="267"/>
      <c r="H156" s="357"/>
      <c r="I156" s="303"/>
      <c r="L156" s="289"/>
      <c r="O156" s="57"/>
      <c r="P156" s="57"/>
      <c r="R156" s="57"/>
    </row>
    <row r="157" spans="1:18">
      <c r="D157" s="57"/>
      <c r="F157" s="57"/>
      <c r="G157" s="267"/>
      <c r="H157" s="357"/>
      <c r="I157" s="237"/>
      <c r="L157" s="289"/>
      <c r="O157" s="57"/>
      <c r="P157" s="57"/>
      <c r="R157" s="57"/>
    </row>
    <row r="158" spans="1:18">
      <c r="D158" s="57"/>
      <c r="F158" s="57"/>
      <c r="G158" s="267"/>
      <c r="H158" s="357"/>
      <c r="I158" s="303"/>
      <c r="L158" s="289"/>
      <c r="O158" s="57"/>
      <c r="P158" s="57"/>
      <c r="R158" s="57"/>
    </row>
    <row r="159" spans="1:18">
      <c r="D159" s="57"/>
      <c r="F159" s="57"/>
      <c r="G159" s="267"/>
      <c r="H159" s="357"/>
      <c r="I159" s="310"/>
      <c r="L159" s="289"/>
      <c r="O159" s="57"/>
      <c r="P159" s="57"/>
      <c r="R159" s="57"/>
    </row>
    <row r="160" spans="1:18">
      <c r="D160" s="57"/>
      <c r="F160" s="57"/>
      <c r="G160" s="267"/>
      <c r="H160" s="357"/>
      <c r="I160" s="309"/>
      <c r="L160" s="289"/>
      <c r="O160" s="57"/>
      <c r="P160" s="57"/>
      <c r="R160" s="57"/>
    </row>
    <row r="161" spans="4:18">
      <c r="D161" s="57"/>
      <c r="F161" s="57"/>
      <c r="G161" s="267"/>
      <c r="H161" s="357"/>
      <c r="I161" s="237"/>
      <c r="L161" s="289"/>
      <c r="O161" s="57"/>
      <c r="P161" s="57"/>
      <c r="R161" s="57"/>
    </row>
    <row r="162" spans="4:18">
      <c r="D162" s="57"/>
      <c r="F162" s="57"/>
      <c r="G162" s="267"/>
      <c r="H162" s="357"/>
      <c r="I162" s="237"/>
      <c r="L162" s="289"/>
      <c r="O162" s="57"/>
      <c r="P162" s="57"/>
      <c r="R162" s="57"/>
    </row>
    <row r="163" spans="4:18">
      <c r="D163" s="57"/>
      <c r="F163" s="57"/>
      <c r="G163" s="267"/>
      <c r="H163" s="357"/>
      <c r="I163" s="237"/>
      <c r="L163" s="289"/>
      <c r="O163" s="57"/>
      <c r="P163" s="57"/>
      <c r="R163" s="57"/>
    </row>
    <row r="164" spans="4:18">
      <c r="D164" s="57"/>
      <c r="F164" s="57"/>
      <c r="G164" s="267"/>
      <c r="H164" s="357"/>
      <c r="I164" s="301"/>
      <c r="L164" s="289"/>
      <c r="O164" s="57"/>
      <c r="P164" s="57"/>
      <c r="R164" s="57"/>
    </row>
    <row r="165" spans="4:18">
      <c r="D165" s="57"/>
      <c r="F165" s="57"/>
      <c r="G165" s="267"/>
      <c r="H165" s="357"/>
      <c r="I165" s="303"/>
      <c r="L165" s="289"/>
      <c r="O165" s="57"/>
      <c r="P165" s="57"/>
      <c r="R165" s="57"/>
    </row>
    <row r="166" spans="4:18">
      <c r="D166" s="57"/>
      <c r="F166" s="57"/>
      <c r="G166" s="267"/>
      <c r="H166" s="357"/>
      <c r="I166" s="335"/>
      <c r="L166" s="289"/>
      <c r="O166" s="57"/>
      <c r="P166" s="57"/>
      <c r="R166" s="57"/>
    </row>
    <row r="167" spans="4:18">
      <c r="D167" s="57"/>
      <c r="F167" s="57"/>
      <c r="G167" s="267"/>
      <c r="H167" s="357"/>
      <c r="I167" s="335"/>
      <c r="L167" s="289"/>
      <c r="O167" s="57"/>
      <c r="P167" s="57"/>
      <c r="R167" s="57"/>
    </row>
    <row r="168" spans="4:18">
      <c r="D168" s="57"/>
      <c r="F168" s="57"/>
      <c r="G168" s="267"/>
      <c r="H168" s="357"/>
      <c r="I168" s="237"/>
      <c r="L168" s="289"/>
      <c r="O168" s="57"/>
      <c r="P168" s="57"/>
      <c r="R168" s="57"/>
    </row>
    <row r="169" spans="4:18">
      <c r="D169" s="57"/>
      <c r="F169" s="57"/>
      <c r="G169" s="267"/>
      <c r="H169" s="357"/>
      <c r="I169" s="323"/>
      <c r="L169" s="289"/>
      <c r="O169" s="57"/>
      <c r="P169" s="57"/>
      <c r="R169" s="57"/>
    </row>
    <row r="170" spans="4:18">
      <c r="D170" s="57"/>
      <c r="F170" s="57"/>
      <c r="G170" s="267"/>
      <c r="H170" s="357"/>
      <c r="I170" s="237"/>
      <c r="L170" s="289"/>
      <c r="O170" s="57"/>
      <c r="P170" s="57"/>
      <c r="R170" s="57"/>
    </row>
    <row r="171" spans="4:18">
      <c r="D171" s="57"/>
      <c r="F171" s="57"/>
      <c r="G171" s="267"/>
      <c r="H171" s="357"/>
      <c r="I171" s="335"/>
      <c r="L171" s="289"/>
      <c r="O171" s="57"/>
      <c r="P171" s="57"/>
      <c r="R171" s="57"/>
    </row>
    <row r="172" spans="4:18">
      <c r="D172" s="57"/>
      <c r="F172" s="57"/>
      <c r="G172" s="267"/>
      <c r="H172" s="357"/>
      <c r="I172" s="335"/>
      <c r="L172" s="289"/>
      <c r="O172" s="57"/>
      <c r="P172" s="57"/>
      <c r="R172" s="57"/>
    </row>
    <row r="173" spans="4:18">
      <c r="D173" s="57"/>
      <c r="F173" s="57"/>
      <c r="G173" s="267"/>
      <c r="H173" s="357"/>
      <c r="I173" s="335"/>
      <c r="L173" s="289"/>
      <c r="O173" s="57"/>
      <c r="P173" s="57"/>
      <c r="R173" s="57"/>
    </row>
    <row r="174" spans="4:18">
      <c r="D174" s="57"/>
      <c r="F174" s="57"/>
      <c r="G174" s="267"/>
      <c r="H174" s="357"/>
      <c r="I174" s="237"/>
      <c r="L174" s="289"/>
      <c r="O174" s="57"/>
      <c r="P174" s="57"/>
      <c r="R174" s="57"/>
    </row>
    <row r="175" spans="4:18">
      <c r="D175" s="57"/>
      <c r="F175" s="57"/>
      <c r="G175" s="267"/>
      <c r="H175" s="357"/>
      <c r="I175" s="237"/>
      <c r="L175" s="289"/>
      <c r="O175" s="57"/>
      <c r="P175" s="57"/>
      <c r="R175" s="57"/>
    </row>
    <row r="176" spans="4:18">
      <c r="D176" s="57"/>
      <c r="F176" s="57"/>
      <c r="G176" s="267"/>
      <c r="H176" s="357"/>
      <c r="I176" s="303"/>
      <c r="L176" s="289"/>
      <c r="O176" s="57"/>
      <c r="P176" s="57"/>
      <c r="R176" s="57"/>
    </row>
    <row r="177" spans="4:18">
      <c r="D177" s="57"/>
      <c r="F177" s="57"/>
      <c r="G177" s="267"/>
      <c r="H177" s="357"/>
      <c r="I177" s="237"/>
      <c r="L177" s="289"/>
      <c r="O177" s="57"/>
      <c r="P177" s="57"/>
      <c r="R177" s="57"/>
    </row>
    <row r="178" spans="4:18">
      <c r="D178" s="57"/>
      <c r="F178" s="57"/>
      <c r="G178" s="267"/>
      <c r="H178" s="357"/>
      <c r="I178" s="237"/>
      <c r="L178" s="289"/>
      <c r="O178" s="57"/>
      <c r="P178" s="57"/>
      <c r="R178" s="57"/>
    </row>
    <row r="179" spans="4:18">
      <c r="D179" s="57"/>
      <c r="F179" s="57"/>
      <c r="G179" s="267"/>
      <c r="H179" s="357"/>
      <c r="I179" s="237"/>
      <c r="L179" s="289"/>
      <c r="O179" s="57"/>
      <c r="P179" s="57"/>
      <c r="R179" s="57"/>
    </row>
    <row r="180" spans="4:18">
      <c r="D180" s="57"/>
      <c r="F180" s="57"/>
      <c r="G180" s="267"/>
      <c r="H180" s="357"/>
      <c r="I180" s="237"/>
      <c r="L180" s="289"/>
      <c r="O180" s="57"/>
      <c r="P180" s="57"/>
      <c r="R180" s="57"/>
    </row>
    <row r="181" spans="4:18">
      <c r="D181" s="57"/>
      <c r="F181" s="57"/>
      <c r="G181" s="267"/>
      <c r="H181" s="357"/>
      <c r="I181" s="237"/>
      <c r="L181" s="289"/>
      <c r="O181" s="57"/>
      <c r="P181" s="57"/>
      <c r="R181" s="57"/>
    </row>
    <row r="182" spans="4:18">
      <c r="D182" s="57"/>
      <c r="F182" s="57"/>
      <c r="G182" s="267"/>
      <c r="H182" s="357"/>
      <c r="I182" s="237"/>
      <c r="L182" s="289"/>
      <c r="O182" s="57"/>
      <c r="P182" s="57"/>
      <c r="R182" s="57"/>
    </row>
    <row r="183" spans="4:18">
      <c r="D183" s="57"/>
      <c r="F183" s="57"/>
      <c r="G183" s="267"/>
      <c r="H183" s="357"/>
      <c r="I183" s="237"/>
      <c r="L183" s="289"/>
      <c r="O183" s="57"/>
      <c r="P183" s="57"/>
      <c r="R183" s="57"/>
    </row>
    <row r="184" spans="4:18">
      <c r="D184" s="57"/>
      <c r="F184" s="57"/>
      <c r="G184" s="267"/>
      <c r="H184" s="357"/>
      <c r="I184" s="237"/>
      <c r="L184" s="289"/>
      <c r="O184" s="57"/>
      <c r="P184" s="57"/>
      <c r="R184" s="57"/>
    </row>
    <row r="185" spans="4:18">
      <c r="D185" s="57"/>
      <c r="F185" s="57"/>
      <c r="G185" s="267"/>
      <c r="H185" s="357"/>
      <c r="I185" s="237"/>
      <c r="L185" s="289"/>
      <c r="O185" s="57"/>
      <c r="P185" s="57"/>
      <c r="R185" s="57"/>
    </row>
    <row r="186" spans="4:18">
      <c r="D186" s="57"/>
      <c r="F186" s="57"/>
      <c r="G186" s="267"/>
      <c r="H186" s="357"/>
      <c r="I186" s="308"/>
      <c r="L186" s="289"/>
      <c r="O186" s="57"/>
      <c r="P186" s="57"/>
      <c r="R186" s="57"/>
    </row>
    <row r="187" spans="4:18">
      <c r="D187" s="57"/>
      <c r="F187" s="57"/>
      <c r="G187" s="267"/>
      <c r="H187" s="357"/>
      <c r="I187" s="308"/>
      <c r="L187" s="289"/>
      <c r="O187" s="57"/>
      <c r="P187" s="57"/>
      <c r="R187" s="57"/>
    </row>
    <row r="188" spans="4:18">
      <c r="D188" s="57"/>
      <c r="F188" s="57"/>
      <c r="G188" s="267"/>
      <c r="H188" s="357"/>
      <c r="I188" s="237"/>
      <c r="L188" s="289"/>
      <c r="O188" s="57"/>
      <c r="P188" s="57"/>
      <c r="R188" s="57"/>
    </row>
    <row r="189" spans="4:18">
      <c r="D189" s="57"/>
      <c r="F189" s="57"/>
      <c r="G189" s="267"/>
      <c r="H189" s="357"/>
      <c r="I189" s="303"/>
      <c r="L189" s="289"/>
      <c r="O189" s="57"/>
      <c r="P189" s="57"/>
      <c r="R189" s="57"/>
    </row>
    <row r="190" spans="4:18">
      <c r="D190" s="57"/>
      <c r="F190" s="57"/>
      <c r="G190" s="267"/>
      <c r="H190" s="357"/>
      <c r="I190" s="323"/>
      <c r="L190" s="289"/>
      <c r="O190" s="57"/>
      <c r="P190" s="57"/>
      <c r="R190" s="57"/>
    </row>
    <row r="191" spans="4:18">
      <c r="D191" s="57"/>
      <c r="F191" s="57"/>
      <c r="G191" s="267"/>
      <c r="H191" s="357"/>
      <c r="I191" s="323"/>
      <c r="L191" s="289"/>
      <c r="O191" s="57"/>
      <c r="P191" s="57"/>
      <c r="R191" s="57"/>
    </row>
    <row r="192" spans="4:18">
      <c r="D192" s="57"/>
      <c r="F192" s="57"/>
      <c r="G192" s="267"/>
      <c r="H192" s="357"/>
      <c r="I192" s="308"/>
      <c r="L192" s="289"/>
      <c r="O192" s="57"/>
      <c r="P192" s="57"/>
      <c r="R192" s="57"/>
    </row>
    <row r="193" spans="4:18">
      <c r="D193" s="57"/>
      <c r="F193" s="57"/>
      <c r="G193" s="267"/>
      <c r="H193" s="357"/>
      <c r="I193" s="237"/>
      <c r="L193" s="289"/>
      <c r="O193" s="57"/>
      <c r="P193" s="57"/>
      <c r="R193" s="57"/>
    </row>
    <row r="194" spans="4:18">
      <c r="D194" s="57"/>
      <c r="F194" s="57"/>
      <c r="G194" s="267"/>
      <c r="H194" s="357"/>
      <c r="I194" s="237"/>
      <c r="L194" s="289"/>
      <c r="O194" s="57"/>
      <c r="P194" s="57"/>
      <c r="R194" s="57"/>
    </row>
    <row r="195" spans="4:18">
      <c r="D195" s="57"/>
      <c r="F195" s="57"/>
      <c r="G195" s="267"/>
      <c r="H195" s="357"/>
      <c r="I195" s="237"/>
      <c r="L195" s="289"/>
      <c r="O195" s="57"/>
      <c r="P195" s="57"/>
      <c r="R195" s="57"/>
    </row>
    <row r="196" spans="4:18">
      <c r="D196" s="57"/>
      <c r="F196" s="57"/>
      <c r="G196" s="267"/>
      <c r="H196" s="357"/>
      <c r="I196" s="237"/>
      <c r="L196" s="289"/>
      <c r="O196" s="57"/>
      <c r="P196" s="57"/>
      <c r="R196" s="57"/>
    </row>
    <row r="197" spans="4:18">
      <c r="D197" s="57"/>
      <c r="F197" s="57"/>
      <c r="G197" s="267"/>
      <c r="H197" s="357"/>
      <c r="I197" s="237"/>
      <c r="L197" s="289"/>
      <c r="O197" s="57"/>
      <c r="P197" s="57"/>
      <c r="R197" s="57"/>
    </row>
    <row r="198" spans="4:18">
      <c r="D198" s="57"/>
      <c r="F198" s="57"/>
      <c r="G198" s="267"/>
      <c r="H198" s="357"/>
      <c r="I198" s="323"/>
      <c r="L198" s="289"/>
      <c r="O198" s="57"/>
      <c r="P198" s="57"/>
      <c r="R198" s="57"/>
    </row>
    <row r="199" spans="4:18">
      <c r="D199" s="57"/>
      <c r="F199" s="57"/>
      <c r="G199" s="267"/>
      <c r="H199" s="357"/>
      <c r="I199" s="237"/>
      <c r="L199" s="289"/>
      <c r="O199" s="57"/>
      <c r="P199" s="57"/>
      <c r="R199" s="57"/>
    </row>
    <row r="200" spans="4:18">
      <c r="D200" s="57"/>
      <c r="F200" s="57"/>
      <c r="G200" s="267"/>
      <c r="H200" s="357"/>
      <c r="I200" s="237"/>
      <c r="L200" s="289"/>
      <c r="O200" s="57"/>
      <c r="P200" s="57"/>
      <c r="R200" s="57"/>
    </row>
    <row r="201" spans="4:18">
      <c r="D201" s="57"/>
      <c r="F201" s="57"/>
      <c r="G201" s="267"/>
      <c r="H201" s="357"/>
      <c r="I201" s="237"/>
      <c r="L201" s="289"/>
      <c r="O201" s="57"/>
      <c r="P201" s="57"/>
      <c r="R201" s="57"/>
    </row>
    <row r="202" spans="4:18">
      <c r="D202" s="57"/>
      <c r="F202" s="57"/>
      <c r="G202" s="267"/>
      <c r="H202" s="357"/>
      <c r="I202" s="237"/>
      <c r="L202" s="289"/>
      <c r="O202" s="57"/>
      <c r="P202" s="57"/>
      <c r="R202" s="57"/>
    </row>
    <row r="203" spans="4:18">
      <c r="D203" s="57"/>
      <c r="F203" s="57"/>
      <c r="G203" s="267"/>
      <c r="H203" s="357"/>
      <c r="I203" s="237"/>
      <c r="L203" s="289"/>
      <c r="O203" s="57"/>
      <c r="P203" s="57"/>
      <c r="R203" s="57"/>
    </row>
    <row r="204" spans="4:18">
      <c r="D204" s="57"/>
      <c r="F204" s="57"/>
      <c r="G204" s="267"/>
      <c r="H204" s="357"/>
      <c r="I204" s="309"/>
      <c r="L204" s="289"/>
      <c r="O204" s="57"/>
      <c r="P204" s="57"/>
      <c r="R204" s="57"/>
    </row>
    <row r="205" spans="4:18">
      <c r="D205" s="57"/>
      <c r="F205" s="57"/>
      <c r="G205" s="267"/>
      <c r="H205" s="357"/>
      <c r="I205" s="323"/>
      <c r="L205" s="289"/>
      <c r="O205" s="57"/>
      <c r="P205" s="57"/>
      <c r="R205" s="57"/>
    </row>
    <row r="206" spans="4:18">
      <c r="D206" s="57"/>
      <c r="F206" s="57"/>
      <c r="G206" s="267"/>
      <c r="H206" s="357"/>
      <c r="I206" s="308"/>
      <c r="L206" s="289"/>
      <c r="O206" s="57"/>
      <c r="P206" s="57"/>
      <c r="R206" s="57"/>
    </row>
    <row r="207" spans="4:18">
      <c r="D207" s="57"/>
      <c r="F207" s="57"/>
      <c r="G207" s="267"/>
      <c r="H207" s="357"/>
      <c r="I207" s="237"/>
      <c r="L207" s="289"/>
      <c r="O207" s="57"/>
      <c r="P207" s="57"/>
      <c r="R207" s="57"/>
    </row>
    <row r="208" spans="4:18">
      <c r="D208" s="57"/>
      <c r="F208" s="57"/>
      <c r="G208" s="267"/>
      <c r="H208" s="357"/>
      <c r="I208" s="312"/>
      <c r="L208" s="289"/>
      <c r="O208" s="57"/>
      <c r="P208" s="57"/>
      <c r="R208" s="57"/>
    </row>
    <row r="209" spans="1:22">
      <c r="D209" s="57"/>
      <c r="F209" s="57"/>
      <c r="G209" s="267"/>
      <c r="H209" s="357"/>
      <c r="I209" s="237"/>
      <c r="L209" s="289"/>
      <c r="O209" s="57"/>
      <c r="P209" s="57"/>
      <c r="R209" s="57"/>
    </row>
    <row r="210" spans="1:22">
      <c r="D210" s="57"/>
      <c r="F210" s="57"/>
      <c r="G210" s="267"/>
      <c r="H210" s="357"/>
      <c r="I210" s="323"/>
      <c r="L210" s="289"/>
      <c r="O210" s="57"/>
      <c r="P210" s="57"/>
      <c r="R210" s="57"/>
    </row>
    <row r="211" spans="1:22">
      <c r="D211" s="57"/>
      <c r="F211" s="57"/>
      <c r="G211" s="267"/>
      <c r="H211" s="357"/>
      <c r="I211" s="237"/>
      <c r="L211" s="289"/>
      <c r="O211" s="57"/>
      <c r="P211" s="57"/>
      <c r="R211" s="57"/>
    </row>
    <row r="212" spans="1:22">
      <c r="D212" s="57"/>
      <c r="F212" s="57"/>
      <c r="G212" s="267"/>
      <c r="H212" s="357"/>
      <c r="I212" s="308"/>
      <c r="L212" s="289"/>
      <c r="O212" s="57"/>
      <c r="P212" s="57"/>
      <c r="R212" s="57"/>
    </row>
    <row r="213" spans="1:22">
      <c r="D213" s="57"/>
      <c r="F213" s="57"/>
      <c r="G213" s="267"/>
      <c r="H213" s="357"/>
      <c r="I213" s="308"/>
      <c r="L213" s="289"/>
      <c r="O213" s="57"/>
      <c r="P213" s="57"/>
      <c r="R213" s="57"/>
    </row>
    <row r="214" spans="1:22">
      <c r="D214" s="57"/>
      <c r="F214" s="57"/>
      <c r="G214" s="267"/>
      <c r="H214" s="357"/>
      <c r="I214" s="237"/>
      <c r="L214" s="289"/>
      <c r="O214" s="57"/>
      <c r="P214" s="57"/>
      <c r="R214" s="57"/>
    </row>
    <row r="215" spans="1:22">
      <c r="D215" s="57"/>
      <c r="F215" s="57"/>
      <c r="G215" s="267"/>
      <c r="H215" s="357"/>
      <c r="I215" s="237"/>
      <c r="L215" s="289"/>
      <c r="O215" s="57"/>
      <c r="P215" s="57"/>
      <c r="R215" s="57"/>
    </row>
    <row r="216" spans="1:22">
      <c r="D216" s="57"/>
      <c r="F216" s="57"/>
      <c r="G216" s="267"/>
      <c r="H216" s="357"/>
      <c r="I216" s="237"/>
      <c r="L216" s="289"/>
      <c r="O216" s="57"/>
      <c r="P216" s="57"/>
      <c r="R216" s="57"/>
    </row>
    <row r="217" spans="1:22">
      <c r="D217" s="57"/>
      <c r="F217" s="57"/>
      <c r="G217" s="267"/>
      <c r="H217" s="357"/>
      <c r="I217" s="237"/>
      <c r="L217" s="289"/>
      <c r="O217" s="57"/>
      <c r="P217" s="57"/>
      <c r="R217" s="57"/>
    </row>
    <row r="218" spans="1:22">
      <c r="A218" s="21"/>
      <c r="B218" s="21"/>
      <c r="C218" s="21"/>
      <c r="D218" s="262"/>
      <c r="E218" s="21"/>
      <c r="F218" s="262"/>
      <c r="G218" s="21"/>
      <c r="H218" s="359"/>
      <c r="I218" s="269"/>
      <c r="J218" s="21"/>
      <c r="K218" s="21"/>
      <c r="L218" s="21"/>
      <c r="M218" s="429"/>
      <c r="N218" s="434"/>
      <c r="O218" s="21"/>
      <c r="P218" s="21"/>
      <c r="Q218" s="21"/>
      <c r="R218" s="21"/>
      <c r="S218" s="21"/>
      <c r="T218" s="21"/>
      <c r="U218" s="21"/>
      <c r="V218" s="21"/>
    </row>
    <row r="219" spans="1:22">
      <c r="A219" s="275"/>
      <c r="B219" s="304"/>
      <c r="C219" s="21"/>
      <c r="D219" s="21"/>
      <c r="E219" s="21"/>
      <c r="F219" s="262"/>
      <c r="G219" s="21"/>
      <c r="H219" s="360"/>
      <c r="I219" s="21"/>
      <c r="J219" s="21"/>
      <c r="K219" s="269"/>
      <c r="L219" s="21"/>
      <c r="M219" s="429"/>
      <c r="N219" s="434"/>
      <c r="O219" s="21"/>
      <c r="P219" s="21"/>
      <c r="Q219" s="21"/>
      <c r="R219" s="21"/>
      <c r="S219" s="21"/>
      <c r="T219" s="21"/>
      <c r="U219" s="21"/>
      <c r="V219" s="21"/>
    </row>
    <row r="220" spans="1:22" ht="13.5" thickBot="1">
      <c r="A220" s="21"/>
      <c r="B220" s="21"/>
      <c r="C220" s="21"/>
      <c r="D220" s="21"/>
      <c r="E220" s="21"/>
      <c r="F220" s="262"/>
      <c r="G220" s="21"/>
      <c r="H220" s="360"/>
      <c r="I220" s="21"/>
      <c r="J220" s="21"/>
      <c r="K220" s="269"/>
      <c r="L220" s="21"/>
      <c r="M220" s="429"/>
      <c r="N220" s="434"/>
      <c r="O220" s="21"/>
      <c r="P220" s="21"/>
      <c r="Q220" s="21"/>
      <c r="R220" s="21"/>
      <c r="S220" s="21"/>
      <c r="T220" s="21"/>
      <c r="U220" s="21"/>
      <c r="V220" s="21"/>
    </row>
    <row r="221" spans="1:22" ht="13.5" thickBot="1">
      <c r="A221" s="224"/>
      <c r="B221" s="225"/>
      <c r="C221" s="225"/>
      <c r="D221" s="226"/>
      <c r="E221" s="225"/>
      <c r="F221" s="226"/>
      <c r="G221" s="227"/>
      <c r="I221" s="287"/>
    </row>
    <row r="222" spans="1:22" ht="13.5" thickBot="1">
      <c r="A222" s="228"/>
      <c r="B222" s="229"/>
      <c r="C222" s="143"/>
      <c r="D222" s="115"/>
      <c r="E222" s="143"/>
      <c r="F222" s="115"/>
      <c r="G222" s="322"/>
      <c r="I222" s="287"/>
      <c r="J222" s="272"/>
    </row>
    <row r="223" spans="1:22" ht="13.5" thickBot="1">
      <c r="C223" s="143"/>
      <c r="E223" s="143"/>
      <c r="G223" s="298"/>
      <c r="I223" s="321"/>
      <c r="J223" s="263"/>
    </row>
    <row r="224" spans="1:22">
      <c r="I224" s="9"/>
    </row>
    <row r="225" spans="1:16">
      <c r="A225" s="60"/>
      <c r="I225" s="9"/>
      <c r="J225" s="60"/>
    </row>
    <row r="226" spans="1:16">
      <c r="I226" s="272"/>
      <c r="J226" s="236"/>
    </row>
    <row r="227" spans="1:16">
      <c r="A227" s="57"/>
      <c r="F227" s="236"/>
      <c r="H227" s="362"/>
      <c r="I227" s="272"/>
      <c r="J227" s="236"/>
    </row>
    <row r="228" spans="1:16">
      <c r="A228" s="57"/>
      <c r="F228" s="236"/>
      <c r="H228" s="363"/>
      <c r="I228" s="272"/>
      <c r="J228" s="236"/>
      <c r="K228" s="298"/>
    </row>
    <row r="229" spans="1:16">
      <c r="A229" s="57"/>
      <c r="F229" s="236"/>
      <c r="H229" s="363"/>
      <c r="I229" s="272"/>
      <c r="J229" s="236"/>
    </row>
    <row r="230" spans="1:16">
      <c r="A230" s="57"/>
      <c r="F230" s="236"/>
      <c r="H230" s="363"/>
      <c r="I230" s="263"/>
      <c r="J230" s="237"/>
      <c r="K230" s="298"/>
    </row>
    <row r="231" spans="1:16">
      <c r="A231" s="57"/>
      <c r="F231" s="236"/>
      <c r="I231" s="314"/>
      <c r="J231" s="315"/>
      <c r="K231" s="316"/>
      <c r="L231" s="317"/>
      <c r="M231" s="430"/>
      <c r="N231" s="435"/>
      <c r="O231" s="317"/>
      <c r="P231" s="317"/>
    </row>
    <row r="232" spans="1:16">
      <c r="A232" s="57"/>
      <c r="F232" s="236"/>
      <c r="I232" s="272"/>
      <c r="J232" s="236"/>
      <c r="L232" s="313"/>
      <c r="M232" s="431"/>
      <c r="N232" s="436"/>
    </row>
    <row r="233" spans="1:16">
      <c r="B233" s="263"/>
      <c r="F233" s="237"/>
      <c r="G233" s="244"/>
      <c r="H233" s="364"/>
      <c r="I233" s="299"/>
      <c r="J233" s="236"/>
      <c r="L233" s="313"/>
      <c r="M233" s="431"/>
      <c r="N233" s="436"/>
    </row>
    <row r="234" spans="1:16">
      <c r="A234" s="60"/>
      <c r="F234" s="236"/>
      <c r="I234" s="299"/>
      <c r="J234" s="236"/>
      <c r="L234" s="313"/>
      <c r="M234" s="431"/>
      <c r="N234" s="436"/>
    </row>
    <row r="235" spans="1:16">
      <c r="F235" s="236"/>
      <c r="I235" s="299"/>
      <c r="J235" s="236"/>
      <c r="L235" s="313"/>
      <c r="M235" s="431"/>
      <c r="N235" s="436"/>
    </row>
    <row r="236" spans="1:16">
      <c r="F236" s="237"/>
      <c r="H236" s="365"/>
      <c r="I236" s="263"/>
      <c r="J236" s="237"/>
      <c r="L236" s="313"/>
      <c r="M236" s="431"/>
      <c r="N236" s="436"/>
    </row>
    <row r="237" spans="1:16">
      <c r="B237" s="298"/>
      <c r="C237" s="298"/>
      <c r="I237" s="273"/>
      <c r="J237" s="274"/>
    </row>
    <row r="238" spans="1:16">
      <c r="I238" s="320"/>
    </row>
    <row r="239" spans="1:16">
      <c r="I239" s="318"/>
      <c r="J239" s="319"/>
    </row>
    <row r="240" spans="1:16">
      <c r="I240" s="318"/>
      <c r="J240" s="319"/>
    </row>
    <row r="241" spans="9:10" customFormat="1">
      <c r="I241" s="273"/>
      <c r="J241" s="274"/>
    </row>
  </sheetData>
  <conditionalFormatting sqref="C222:C223 E222:E223">
    <cfRule type="cellIs" dxfId="88" priority="3" stopIfTrue="1" operator="lessThan">
      <formula>0.1</formula>
    </cfRule>
  </conditionalFormatting>
  <conditionalFormatting sqref="I1:I95 I97:I217">
    <cfRule type="cellIs" dxfId="87" priority="1" operator="lessThan">
      <formula>0</formula>
    </cfRule>
    <cfRule type="cellIs" dxfId="86" priority="2" operator="lessThan">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E11" sqref="E11"/>
    </sheetView>
  </sheetViews>
  <sheetFormatPr defaultRowHeight="12.75"/>
  <cols>
    <col min="1" max="1" width="21.7109375" customWidth="1"/>
    <col min="2" max="2" width="10" bestFit="1" customWidth="1"/>
    <col min="3" max="3" width="12.85546875" bestFit="1" customWidth="1"/>
    <col min="4" max="4" width="13.28515625" bestFit="1" customWidth="1"/>
    <col min="5" max="5" width="10.140625" bestFit="1" customWidth="1"/>
    <col min="6" max="6" width="10.5703125" bestFit="1" customWidth="1"/>
    <col min="13" max="13" width="21.85546875" customWidth="1"/>
  </cols>
  <sheetData>
    <row r="1" spans="1:13" ht="15">
      <c r="A1" s="336" t="s">
        <v>208</v>
      </c>
      <c r="B1" s="336" t="s">
        <v>281</v>
      </c>
      <c r="C1" s="336" t="s">
        <v>517</v>
      </c>
      <c r="D1" s="336" t="s">
        <v>518</v>
      </c>
      <c r="E1" s="336" t="s">
        <v>282</v>
      </c>
      <c r="F1" s="336" t="s">
        <v>122</v>
      </c>
      <c r="G1" s="336" t="s">
        <v>102</v>
      </c>
      <c r="H1" s="336" t="s">
        <v>313</v>
      </c>
      <c r="I1" s="336" t="s">
        <v>95</v>
      </c>
      <c r="J1" s="336" t="s">
        <v>280</v>
      </c>
      <c r="K1" s="336" t="s">
        <v>519</v>
      </c>
      <c r="L1" s="336" t="s">
        <v>520</v>
      </c>
      <c r="M1" s="341" t="s">
        <v>144</v>
      </c>
    </row>
    <row r="2" spans="1:13" ht="15">
      <c r="A2" s="337" t="s">
        <v>521</v>
      </c>
      <c r="B2" s="338">
        <v>40184</v>
      </c>
      <c r="C2" s="339">
        <v>18000</v>
      </c>
      <c r="D2" s="338">
        <v>40087</v>
      </c>
      <c r="E2" s="339">
        <v>9466.9500000000007</v>
      </c>
      <c r="F2" s="339">
        <v>8533.0499999999993</v>
      </c>
      <c r="G2" s="339">
        <v>7.95</v>
      </c>
      <c r="H2" s="340">
        <v>900</v>
      </c>
      <c r="I2" s="339">
        <v>10.51</v>
      </c>
      <c r="J2" s="339">
        <v>20</v>
      </c>
      <c r="K2" s="337" t="s">
        <v>145</v>
      </c>
      <c r="L2" s="337" t="s">
        <v>522</v>
      </c>
      <c r="M2" s="272" t="s">
        <v>545</v>
      </c>
    </row>
    <row r="3" spans="1:13" ht="15">
      <c r="A3" s="337" t="s">
        <v>523</v>
      </c>
      <c r="B3" s="338">
        <v>40184</v>
      </c>
      <c r="C3" s="339">
        <v>6300</v>
      </c>
      <c r="D3" s="338">
        <v>40115</v>
      </c>
      <c r="E3" s="339">
        <v>4645.95</v>
      </c>
      <c r="F3" s="339">
        <v>1654.05</v>
      </c>
      <c r="G3" s="339">
        <v>7.95</v>
      </c>
      <c r="H3" s="340">
        <v>300</v>
      </c>
      <c r="I3" s="339">
        <v>15.46</v>
      </c>
      <c r="J3" s="339">
        <v>21</v>
      </c>
      <c r="K3" s="337" t="s">
        <v>145</v>
      </c>
      <c r="L3" s="337" t="s">
        <v>522</v>
      </c>
      <c r="M3" s="272" t="s">
        <v>545</v>
      </c>
    </row>
    <row r="4" spans="1:13" ht="15">
      <c r="A4" s="337" t="s">
        <v>524</v>
      </c>
      <c r="B4" s="338">
        <v>40226</v>
      </c>
      <c r="C4" s="339">
        <v>4635</v>
      </c>
      <c r="D4" s="338">
        <v>40099</v>
      </c>
      <c r="E4" s="339">
        <v>4282.95</v>
      </c>
      <c r="F4" s="339">
        <v>352.05</v>
      </c>
      <c r="G4" s="339">
        <v>7.95</v>
      </c>
      <c r="H4" s="340">
        <v>900</v>
      </c>
      <c r="I4" s="339">
        <v>4.75</v>
      </c>
      <c r="J4" s="339">
        <v>5.15</v>
      </c>
      <c r="K4" s="337" t="s">
        <v>145</v>
      </c>
      <c r="L4" s="337" t="s">
        <v>522</v>
      </c>
    </row>
    <row r="5" spans="1:13" ht="15">
      <c r="A5" s="337" t="s">
        <v>525</v>
      </c>
      <c r="B5" s="338">
        <v>40238</v>
      </c>
      <c r="C5" s="339">
        <v>5400</v>
      </c>
      <c r="D5" s="338">
        <v>40200</v>
      </c>
      <c r="E5" s="339">
        <v>4807.95</v>
      </c>
      <c r="F5" s="339">
        <v>592.04999999999995</v>
      </c>
      <c r="G5" s="339">
        <v>7.95</v>
      </c>
      <c r="H5" s="340">
        <v>150</v>
      </c>
      <c r="I5" s="339">
        <v>32</v>
      </c>
      <c r="J5" s="339">
        <v>36</v>
      </c>
      <c r="K5" s="337" t="s">
        <v>145</v>
      </c>
      <c r="L5" s="337" t="s">
        <v>522</v>
      </c>
    </row>
    <row r="6" spans="1:13" ht="15">
      <c r="A6" s="337" t="s">
        <v>526</v>
      </c>
      <c r="B6" s="338">
        <v>40242</v>
      </c>
      <c r="C6" s="339">
        <v>5411</v>
      </c>
      <c r="D6" s="338">
        <v>40106</v>
      </c>
      <c r="E6" s="339">
        <v>5197.95</v>
      </c>
      <c r="F6" s="339">
        <v>213.05</v>
      </c>
      <c r="G6" s="339">
        <v>7.95</v>
      </c>
      <c r="H6" s="340">
        <v>100</v>
      </c>
      <c r="I6" s="339">
        <v>51.9</v>
      </c>
      <c r="J6" s="339">
        <v>54.11</v>
      </c>
      <c r="K6" s="337" t="s">
        <v>145</v>
      </c>
      <c r="L6" s="337" t="s">
        <v>522</v>
      </c>
    </row>
    <row r="7" spans="1:13" ht="15">
      <c r="A7" s="337" t="s">
        <v>527</v>
      </c>
      <c r="B7" s="338">
        <v>40246</v>
      </c>
      <c r="C7" s="339">
        <v>11685</v>
      </c>
      <c r="D7" s="338">
        <v>40113</v>
      </c>
      <c r="E7" s="339">
        <v>10062.75</v>
      </c>
      <c r="F7" s="339">
        <v>1622.25</v>
      </c>
      <c r="G7" s="339">
        <v>7.95</v>
      </c>
      <c r="H7" s="340">
        <v>285</v>
      </c>
      <c r="I7" s="339">
        <v>35.28</v>
      </c>
      <c r="J7" s="339">
        <v>41</v>
      </c>
      <c r="K7" s="337" t="s">
        <v>145</v>
      </c>
      <c r="L7" s="337" t="s">
        <v>522</v>
      </c>
    </row>
    <row r="8" spans="1:13" ht="15">
      <c r="A8" s="337" t="s">
        <v>528</v>
      </c>
      <c r="B8" s="338">
        <v>40246</v>
      </c>
      <c r="C8" s="339">
        <v>6620</v>
      </c>
      <c r="D8" s="338">
        <v>40199</v>
      </c>
      <c r="E8" s="339">
        <v>5207.95</v>
      </c>
      <c r="F8" s="339">
        <v>1412.05</v>
      </c>
      <c r="G8" s="339">
        <v>7.95</v>
      </c>
      <c r="H8" s="340">
        <v>200</v>
      </c>
      <c r="I8" s="339">
        <v>26</v>
      </c>
      <c r="J8" s="339">
        <v>33.1</v>
      </c>
      <c r="K8" s="337" t="s">
        <v>145</v>
      </c>
      <c r="L8" s="337" t="s">
        <v>522</v>
      </c>
    </row>
    <row r="9" spans="1:13" ht="15">
      <c r="A9" s="337" t="s">
        <v>529</v>
      </c>
      <c r="B9" s="338">
        <v>40254</v>
      </c>
      <c r="C9" s="339">
        <v>6000</v>
      </c>
      <c r="D9" s="338">
        <v>40177</v>
      </c>
      <c r="E9" s="339">
        <v>4987.95</v>
      </c>
      <c r="F9" s="339">
        <v>1012.05</v>
      </c>
      <c r="G9" s="339">
        <v>7.95</v>
      </c>
      <c r="H9" s="340">
        <v>300</v>
      </c>
      <c r="I9" s="339">
        <v>16.600000000000001</v>
      </c>
      <c r="J9" s="339">
        <v>20</v>
      </c>
      <c r="K9" s="337" t="s">
        <v>145</v>
      </c>
      <c r="L9" s="337" t="s">
        <v>522</v>
      </c>
    </row>
    <row r="10" spans="1:13" ht="15">
      <c r="A10" s="337" t="s">
        <v>528</v>
      </c>
      <c r="B10" s="338">
        <v>40254</v>
      </c>
      <c r="C10" s="339">
        <v>6618</v>
      </c>
      <c r="D10" s="338">
        <v>40199</v>
      </c>
      <c r="E10" s="339">
        <v>5207.95</v>
      </c>
      <c r="F10" s="339">
        <v>1410.05</v>
      </c>
      <c r="G10" s="339">
        <v>7.95</v>
      </c>
      <c r="H10" s="340">
        <v>200</v>
      </c>
      <c r="I10" s="339">
        <v>26</v>
      </c>
      <c r="J10" s="339">
        <v>33.090000000000003</v>
      </c>
      <c r="K10" s="337" t="s">
        <v>145</v>
      </c>
      <c r="L10" s="337" t="s">
        <v>522</v>
      </c>
    </row>
    <row r="11" spans="1:13" ht="15">
      <c r="A11" s="337" t="s">
        <v>530</v>
      </c>
      <c r="B11" s="338">
        <v>40260</v>
      </c>
      <c r="C11" s="339">
        <v>9000</v>
      </c>
      <c r="D11" s="338">
        <v>40093</v>
      </c>
      <c r="E11" s="339">
        <v>7675.95</v>
      </c>
      <c r="F11" s="339">
        <v>1324.05</v>
      </c>
      <c r="G11" s="339">
        <v>7.95</v>
      </c>
      <c r="H11" s="340">
        <v>900</v>
      </c>
      <c r="I11" s="339">
        <v>8.52</v>
      </c>
      <c r="J11" s="339">
        <v>10</v>
      </c>
      <c r="K11" s="337" t="s">
        <v>145</v>
      </c>
      <c r="L11" s="337" t="s">
        <v>522</v>
      </c>
    </row>
    <row r="12" spans="1:13" ht="15">
      <c r="A12" s="337" t="s">
        <v>531</v>
      </c>
      <c r="B12" s="338">
        <v>40260</v>
      </c>
      <c r="C12" s="339">
        <v>5641.5</v>
      </c>
      <c r="D12" s="338">
        <v>40092</v>
      </c>
      <c r="E12" s="339">
        <v>4712.7</v>
      </c>
      <c r="F12" s="339">
        <v>928.8</v>
      </c>
      <c r="G12" s="339">
        <v>7.95</v>
      </c>
      <c r="H12" s="340">
        <v>25</v>
      </c>
      <c r="I12" s="339">
        <v>188.19</v>
      </c>
      <c r="J12" s="339">
        <v>225.66</v>
      </c>
      <c r="K12" s="337" t="s">
        <v>145</v>
      </c>
      <c r="L12" s="337" t="s">
        <v>522</v>
      </c>
    </row>
    <row r="13" spans="1:13" ht="15">
      <c r="A13" s="337" t="s">
        <v>532</v>
      </c>
      <c r="B13" s="338">
        <v>40273</v>
      </c>
      <c r="C13" s="339">
        <v>2730</v>
      </c>
      <c r="D13" s="338">
        <v>40162</v>
      </c>
      <c r="E13" s="339">
        <v>2302.9499999999998</v>
      </c>
      <c r="F13" s="339">
        <v>427.05</v>
      </c>
      <c r="G13" s="339">
        <v>7.95</v>
      </c>
      <c r="H13" s="340">
        <v>150</v>
      </c>
      <c r="I13" s="339">
        <v>15.3</v>
      </c>
      <c r="J13" s="339">
        <v>18.2</v>
      </c>
      <c r="K13" s="337" t="s">
        <v>145</v>
      </c>
      <c r="L13" s="337" t="s">
        <v>522</v>
      </c>
    </row>
    <row r="14" spans="1:13" ht="15">
      <c r="A14" s="337" t="s">
        <v>533</v>
      </c>
      <c r="B14" s="338">
        <v>40297</v>
      </c>
      <c r="C14" s="339">
        <v>7500</v>
      </c>
      <c r="D14" s="338">
        <v>40199</v>
      </c>
      <c r="E14" s="339">
        <v>6382.95</v>
      </c>
      <c r="F14" s="339">
        <v>1117.05</v>
      </c>
      <c r="G14" s="339">
        <v>7.95</v>
      </c>
      <c r="H14" s="340">
        <v>150</v>
      </c>
      <c r="I14" s="339">
        <v>42.5</v>
      </c>
      <c r="J14" s="339">
        <v>50</v>
      </c>
      <c r="K14" s="337" t="s">
        <v>145</v>
      </c>
      <c r="L14" s="337" t="s">
        <v>522</v>
      </c>
    </row>
    <row r="15" spans="1:13" ht="15">
      <c r="A15" s="337" t="s">
        <v>534</v>
      </c>
      <c r="B15" s="338">
        <v>40372</v>
      </c>
      <c r="C15" s="339">
        <v>140</v>
      </c>
      <c r="D15" s="338">
        <v>40099</v>
      </c>
      <c r="E15" s="339">
        <v>90.388000000000005</v>
      </c>
      <c r="F15" s="339">
        <v>49.612000000000002</v>
      </c>
      <c r="G15" s="339">
        <v>7.95</v>
      </c>
      <c r="H15" s="340">
        <v>10</v>
      </c>
      <c r="I15" s="339">
        <v>8.2438000000000002</v>
      </c>
      <c r="J15" s="339">
        <v>14</v>
      </c>
      <c r="K15" s="337" t="s">
        <v>145</v>
      </c>
      <c r="L15" s="337" t="s">
        <v>522</v>
      </c>
    </row>
    <row r="16" spans="1:13" ht="15">
      <c r="A16" s="337" t="s">
        <v>535</v>
      </c>
      <c r="B16" s="338">
        <v>40382</v>
      </c>
      <c r="C16" s="339">
        <v>14000</v>
      </c>
      <c r="D16" s="338">
        <v>40312</v>
      </c>
      <c r="E16" s="339">
        <v>12007.95</v>
      </c>
      <c r="F16" s="339">
        <v>1992.05</v>
      </c>
      <c r="G16" s="339">
        <v>7.95</v>
      </c>
      <c r="H16" s="340">
        <v>100</v>
      </c>
      <c r="I16" s="339">
        <v>120</v>
      </c>
      <c r="J16" s="339">
        <v>140</v>
      </c>
      <c r="K16" s="337" t="s">
        <v>145</v>
      </c>
      <c r="L16" s="337" t="s">
        <v>522</v>
      </c>
    </row>
    <row r="17" spans="1:12" ht="15">
      <c r="A17" s="337" t="s">
        <v>536</v>
      </c>
      <c r="B17" s="338">
        <v>40450</v>
      </c>
      <c r="C17" s="339">
        <v>7000</v>
      </c>
      <c r="D17" s="338">
        <v>40305</v>
      </c>
      <c r="E17" s="339">
        <v>6757.95</v>
      </c>
      <c r="F17" s="339">
        <v>242.05</v>
      </c>
      <c r="G17" s="339">
        <v>7.95</v>
      </c>
      <c r="H17" s="340">
        <v>500</v>
      </c>
      <c r="I17" s="339">
        <v>13.5</v>
      </c>
      <c r="J17" s="339">
        <v>14</v>
      </c>
      <c r="K17" s="337" t="s">
        <v>145</v>
      </c>
      <c r="L17" s="337" t="s">
        <v>522</v>
      </c>
    </row>
    <row r="18" spans="1:12" ht="15">
      <c r="A18" s="337" t="s">
        <v>537</v>
      </c>
      <c r="B18" s="338">
        <v>40471</v>
      </c>
      <c r="C18" s="339">
        <v>12300</v>
      </c>
      <c r="D18" s="338">
        <v>40086</v>
      </c>
      <c r="E18" s="339">
        <v>9817.9500000000007</v>
      </c>
      <c r="F18" s="339">
        <v>2482.0500000000002</v>
      </c>
      <c r="G18" s="339">
        <v>7.95</v>
      </c>
      <c r="H18" s="340">
        <v>20</v>
      </c>
      <c r="I18" s="339">
        <v>490.5</v>
      </c>
      <c r="J18" s="339">
        <v>615</v>
      </c>
      <c r="K18" s="337" t="s">
        <v>145</v>
      </c>
      <c r="L18" s="337" t="s">
        <v>522</v>
      </c>
    </row>
    <row r="19" spans="1:12" ht="15">
      <c r="A19" s="337" t="s">
        <v>538</v>
      </c>
      <c r="B19" s="338">
        <v>40477</v>
      </c>
      <c r="C19" s="339">
        <v>8850</v>
      </c>
      <c r="D19" s="338">
        <v>40315</v>
      </c>
      <c r="E19" s="339">
        <v>8572.9500000000007</v>
      </c>
      <c r="F19" s="339">
        <v>277.05</v>
      </c>
      <c r="G19" s="339">
        <v>7.95</v>
      </c>
      <c r="H19" s="340">
        <v>300</v>
      </c>
      <c r="I19" s="339">
        <v>28.55</v>
      </c>
      <c r="J19" s="339">
        <v>29.5</v>
      </c>
      <c r="K19" s="337" t="s">
        <v>145</v>
      </c>
      <c r="L19" s="337" t="s">
        <v>522</v>
      </c>
    </row>
    <row r="20" spans="1:12" ht="15">
      <c r="A20" s="337" t="s">
        <v>539</v>
      </c>
      <c r="B20" s="338">
        <v>40477</v>
      </c>
      <c r="C20" s="339">
        <v>2363.5</v>
      </c>
      <c r="D20" s="338">
        <v>40199</v>
      </c>
      <c r="E20" s="339">
        <v>2132.9499999999998</v>
      </c>
      <c r="F20" s="339">
        <v>230.55</v>
      </c>
      <c r="G20" s="339">
        <v>7.95</v>
      </c>
      <c r="H20" s="340">
        <v>50</v>
      </c>
      <c r="I20" s="339">
        <v>42.5</v>
      </c>
      <c r="J20" s="339">
        <v>47.27</v>
      </c>
      <c r="K20" s="337" t="s">
        <v>145</v>
      </c>
      <c r="L20" s="337" t="s">
        <v>522</v>
      </c>
    </row>
    <row r="21" spans="1:12" ht="15">
      <c r="A21" s="337" t="s">
        <v>540</v>
      </c>
      <c r="B21" s="338">
        <v>40483</v>
      </c>
      <c r="C21" s="339">
        <v>55.75</v>
      </c>
      <c r="D21" s="338">
        <v>40200</v>
      </c>
      <c r="E21" s="339">
        <v>41.7</v>
      </c>
      <c r="F21" s="339">
        <v>14.05</v>
      </c>
      <c r="G21" s="339">
        <v>7.95</v>
      </c>
      <c r="H21" s="340">
        <v>25</v>
      </c>
      <c r="I21" s="339">
        <v>1.35</v>
      </c>
      <c r="J21" s="339">
        <v>2.23</v>
      </c>
      <c r="K21" s="337" t="s">
        <v>145</v>
      </c>
      <c r="L21" s="337" t="s">
        <v>522</v>
      </c>
    </row>
    <row r="22" spans="1:12" ht="15">
      <c r="A22" s="337" t="s">
        <v>541</v>
      </c>
      <c r="B22" s="338">
        <v>40486</v>
      </c>
      <c r="C22" s="339">
        <v>11275</v>
      </c>
      <c r="D22" s="338">
        <v>40106</v>
      </c>
      <c r="E22" s="339">
        <v>10466.0455</v>
      </c>
      <c r="F22" s="339">
        <v>808.95450000000005</v>
      </c>
      <c r="G22" s="339">
        <v>7.95</v>
      </c>
      <c r="H22" s="340">
        <v>205</v>
      </c>
      <c r="I22" s="339">
        <v>51.015099999999997</v>
      </c>
      <c r="J22" s="339">
        <v>55</v>
      </c>
      <c r="K22" s="337" t="s">
        <v>145</v>
      </c>
      <c r="L22" s="337" t="s">
        <v>522</v>
      </c>
    </row>
    <row r="23" spans="1:12" ht="45">
      <c r="A23" s="337" t="s">
        <v>542</v>
      </c>
      <c r="B23" s="338">
        <v>40529</v>
      </c>
      <c r="C23" s="339">
        <v>90</v>
      </c>
      <c r="D23" s="338">
        <v>40494</v>
      </c>
      <c r="E23" s="339">
        <v>14.7</v>
      </c>
      <c r="F23" s="339">
        <v>75.3</v>
      </c>
      <c r="G23" s="339">
        <v>14.7</v>
      </c>
      <c r="H23" s="340">
        <v>900</v>
      </c>
      <c r="I23" s="339">
        <v>0</v>
      </c>
      <c r="J23" s="339">
        <v>0.1</v>
      </c>
      <c r="K23" s="337" t="s">
        <v>403</v>
      </c>
      <c r="L23" s="337" t="s">
        <v>238</v>
      </c>
    </row>
    <row r="24" spans="1:12" ht="15">
      <c r="A24" s="337" t="s">
        <v>543</v>
      </c>
      <c r="B24" s="338">
        <v>40533</v>
      </c>
      <c r="C24" s="339">
        <v>3000</v>
      </c>
      <c r="D24" s="338">
        <v>40077</v>
      </c>
      <c r="E24" s="339">
        <v>6327.95</v>
      </c>
      <c r="F24" s="339">
        <v>-3327.95</v>
      </c>
      <c r="G24" s="339">
        <v>7.95</v>
      </c>
      <c r="H24" s="340">
        <v>1000</v>
      </c>
      <c r="I24" s="339">
        <v>6.32</v>
      </c>
      <c r="J24" s="339">
        <v>3</v>
      </c>
      <c r="K24" s="337" t="s">
        <v>145</v>
      </c>
      <c r="L24" s="337" t="s">
        <v>522</v>
      </c>
    </row>
    <row r="25" spans="1:12" ht="15">
      <c r="A25" s="337" t="s">
        <v>544</v>
      </c>
      <c r="B25" s="338">
        <v>40541</v>
      </c>
      <c r="C25" s="339">
        <v>1200</v>
      </c>
      <c r="D25" s="338">
        <v>40315</v>
      </c>
      <c r="E25" s="339">
        <v>4057.95</v>
      </c>
      <c r="F25" s="339">
        <v>-2857.95</v>
      </c>
      <c r="G25" s="339">
        <v>7.95</v>
      </c>
      <c r="H25" s="340">
        <v>300</v>
      </c>
      <c r="I25" s="339">
        <v>13.5</v>
      </c>
      <c r="J25" s="339">
        <v>4</v>
      </c>
      <c r="K25" s="337" t="s">
        <v>145</v>
      </c>
      <c r="L25" s="337" t="s">
        <v>522</v>
      </c>
    </row>
    <row r="26" spans="1:12" ht="13.5" thickBot="1"/>
    <row r="27" spans="1:12" ht="13.5" thickBot="1">
      <c r="D27" s="437" t="s">
        <v>753</v>
      </c>
      <c r="E27" s="438">
        <f>COUNTIF(F2:F25,"&gt;0")/COUNT(F2:F25)</f>
        <v>0.91666666666666663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445"/>
  <sheetViews>
    <sheetView topLeftCell="A16" zoomScaleNormal="100" workbookViewId="0">
      <selection activeCell="P22" sqref="P22"/>
    </sheetView>
  </sheetViews>
  <sheetFormatPr defaultRowHeight="12.75"/>
  <cols>
    <col min="2" max="2" width="8.5703125" customWidth="1"/>
    <col min="3" max="3" width="6.28515625" customWidth="1"/>
    <col min="4" max="4" width="12.5703125" bestFit="1" customWidth="1"/>
    <col min="5" max="5" width="16.28515625" customWidth="1"/>
    <col min="6" max="6" width="12.140625" bestFit="1" customWidth="1"/>
    <col min="8" max="8" width="13.85546875" customWidth="1"/>
    <col min="9" max="9" width="13.85546875" bestFit="1" customWidth="1"/>
    <col min="10" max="10" width="11.7109375" bestFit="1" customWidth="1"/>
    <col min="14" max="14" width="36.42578125" customWidth="1"/>
    <col min="15" max="15" width="30.5703125" customWidth="1"/>
    <col min="16" max="16" width="24.5703125" customWidth="1"/>
  </cols>
  <sheetData>
    <row r="2" spans="2:23">
      <c r="B2" s="60" t="s">
        <v>77</v>
      </c>
    </row>
    <row r="3" spans="2:23">
      <c r="B3" s="7" t="s">
        <v>207</v>
      </c>
    </row>
    <row r="4" spans="2:23">
      <c r="B4" s="7" t="s">
        <v>170</v>
      </c>
    </row>
    <row r="5" spans="2:23">
      <c r="B5" s="7" t="s">
        <v>168</v>
      </c>
    </row>
    <row r="6" spans="2:23">
      <c r="B6" s="7" t="s">
        <v>262</v>
      </c>
    </row>
    <row r="7" spans="2:23">
      <c r="B7" s="7" t="s">
        <v>91</v>
      </c>
    </row>
    <row r="8" spans="2:23">
      <c r="B8" s="7" t="s">
        <v>173</v>
      </c>
    </row>
    <row r="9" spans="2:23">
      <c r="B9" s="7" t="s">
        <v>70</v>
      </c>
    </row>
    <row r="10" spans="2:23">
      <c r="B10" s="7" t="s">
        <v>36</v>
      </c>
    </row>
    <row r="11" spans="2:23" ht="13.5" thickBot="1"/>
    <row r="12" spans="2:23" ht="36.75" customHeight="1">
      <c r="B12" s="168" t="s">
        <v>198</v>
      </c>
      <c r="C12" s="169"/>
      <c r="D12" s="170"/>
      <c r="E12" s="170"/>
      <c r="F12" s="170"/>
      <c r="G12" s="170"/>
      <c r="H12" s="170"/>
      <c r="N12" s="92" t="s">
        <v>352</v>
      </c>
      <c r="O12" s="95"/>
      <c r="P12" s="26"/>
      <c r="Q12" s="26"/>
      <c r="R12" s="26"/>
      <c r="S12" s="26"/>
      <c r="T12" s="26"/>
      <c r="U12" s="26"/>
      <c r="V12" s="26"/>
      <c r="W12" s="26"/>
    </row>
    <row r="13" spans="2:23" ht="35.25" customHeight="1">
      <c r="B13" s="171" t="s">
        <v>3</v>
      </c>
      <c r="C13" s="172"/>
      <c r="D13" s="173"/>
      <c r="E13" s="174"/>
      <c r="F13" s="175"/>
      <c r="G13" s="176"/>
      <c r="H13" s="174"/>
      <c r="I13" s="29"/>
      <c r="J13" s="3"/>
      <c r="K13" s="40"/>
      <c r="L13" s="3"/>
      <c r="N13" s="96" t="s">
        <v>150</v>
      </c>
      <c r="O13" s="97" t="s">
        <v>12</v>
      </c>
      <c r="P13" s="26"/>
      <c r="Q13" s="26"/>
      <c r="R13" s="26"/>
      <c r="S13" s="26"/>
      <c r="T13" s="26"/>
      <c r="U13" s="26"/>
      <c r="V13" s="26"/>
      <c r="W13" s="26"/>
    </row>
    <row r="14" spans="2:23" ht="51">
      <c r="B14" s="171" t="s">
        <v>4</v>
      </c>
      <c r="C14" s="172"/>
      <c r="D14" s="177"/>
      <c r="E14" s="178"/>
      <c r="F14" s="178"/>
      <c r="G14" s="179"/>
      <c r="H14" s="180"/>
      <c r="I14" s="30"/>
      <c r="J14" s="22"/>
      <c r="K14" s="43"/>
      <c r="L14" s="46"/>
      <c r="N14" s="96" t="s">
        <v>25</v>
      </c>
      <c r="O14" s="295" t="s">
        <v>353</v>
      </c>
      <c r="P14" s="26"/>
      <c r="Q14" s="26"/>
      <c r="R14" s="26"/>
      <c r="S14" s="26"/>
      <c r="T14" s="26"/>
      <c r="U14" s="26"/>
      <c r="V14" s="26"/>
      <c r="W14" s="26"/>
    </row>
    <row r="15" spans="2:23" ht="38.25">
      <c r="B15" s="171" t="s">
        <v>273</v>
      </c>
      <c r="C15" s="172"/>
      <c r="D15" s="177"/>
      <c r="E15" s="178"/>
      <c r="F15" s="178"/>
      <c r="G15" s="179"/>
      <c r="H15" s="180"/>
      <c r="I15" s="30"/>
      <c r="J15" s="22"/>
      <c r="K15" s="41"/>
      <c r="L15" s="46"/>
      <c r="N15" s="96" t="s">
        <v>136</v>
      </c>
      <c r="O15" s="97"/>
      <c r="P15" s="26"/>
      <c r="Q15" s="26"/>
      <c r="R15" s="26"/>
      <c r="S15" s="26"/>
      <c r="T15" s="26"/>
      <c r="U15" s="26"/>
      <c r="V15" s="26"/>
      <c r="W15" s="26"/>
    </row>
    <row r="16" spans="2:23" ht="51">
      <c r="B16" s="171" t="s">
        <v>267</v>
      </c>
      <c r="C16" s="172"/>
      <c r="D16" s="177"/>
      <c r="E16" s="178"/>
      <c r="F16" s="178"/>
      <c r="G16" s="179"/>
      <c r="H16" s="180"/>
      <c r="I16" s="30"/>
      <c r="J16" s="22"/>
      <c r="K16" s="41"/>
      <c r="L16" s="46"/>
      <c r="N16" s="96" t="s">
        <v>55</v>
      </c>
      <c r="O16" s="97"/>
      <c r="P16" s="26"/>
      <c r="Q16" s="26"/>
      <c r="R16" s="26"/>
      <c r="S16" s="26"/>
      <c r="T16" s="26"/>
      <c r="U16" s="26"/>
      <c r="V16" s="26"/>
      <c r="W16" s="26"/>
    </row>
    <row r="17" spans="2:23" ht="25.5">
      <c r="B17" s="171" t="s">
        <v>268</v>
      </c>
      <c r="C17" s="172"/>
      <c r="D17" s="177"/>
      <c r="E17" s="178"/>
      <c r="F17" s="178"/>
      <c r="G17" s="179"/>
      <c r="H17" s="180"/>
      <c r="I17" s="30"/>
      <c r="J17" s="22"/>
      <c r="K17" s="42"/>
      <c r="L17" s="46"/>
      <c r="N17" s="96" t="s">
        <v>75</v>
      </c>
      <c r="O17" s="97"/>
      <c r="P17" s="26"/>
      <c r="Q17" s="26"/>
      <c r="R17" s="26"/>
      <c r="S17" s="26"/>
      <c r="T17" s="26"/>
      <c r="U17" s="26"/>
      <c r="V17" s="26"/>
      <c r="W17" s="26"/>
    </row>
    <row r="18" spans="2:23" ht="24" customHeight="1" thickBot="1">
      <c r="B18" s="181" t="s">
        <v>269</v>
      </c>
      <c r="C18" s="182"/>
      <c r="D18" s="177"/>
      <c r="E18" s="178"/>
      <c r="F18" s="178"/>
      <c r="G18" s="179"/>
      <c r="H18" s="180"/>
      <c r="I18" s="30"/>
      <c r="J18" s="22"/>
      <c r="K18" s="42"/>
      <c r="L18" s="46"/>
      <c r="N18" s="98" t="s">
        <v>76</v>
      </c>
      <c r="O18" s="99" t="s">
        <v>149</v>
      </c>
      <c r="P18" s="26"/>
      <c r="Q18" s="26"/>
      <c r="R18" s="26"/>
      <c r="S18" s="26"/>
      <c r="T18" s="26"/>
      <c r="U18" s="26"/>
      <c r="V18" s="26"/>
      <c r="W18" s="26"/>
    </row>
    <row r="19" spans="2:23">
      <c r="B19" s="1"/>
      <c r="C19" s="8"/>
      <c r="D19" s="17"/>
      <c r="E19" s="1"/>
      <c r="F19" s="1"/>
      <c r="G19" s="11"/>
      <c r="H19" s="20"/>
      <c r="I19" s="30"/>
      <c r="J19" s="22"/>
      <c r="K19" s="42"/>
      <c r="L19" s="46"/>
      <c r="N19" s="26"/>
      <c r="O19" s="26"/>
      <c r="P19" s="26"/>
      <c r="Q19" s="26"/>
      <c r="R19" s="26"/>
      <c r="S19" s="26"/>
      <c r="T19" s="26"/>
      <c r="U19" s="26"/>
      <c r="V19" s="26"/>
      <c r="W19" s="26"/>
    </row>
    <row r="20" spans="2:23" ht="13.5" thickBot="1">
      <c r="B20" s="52"/>
      <c r="C20" s="152"/>
      <c r="D20" s="153"/>
      <c r="E20" s="52"/>
      <c r="F20" s="52"/>
      <c r="G20" s="128"/>
      <c r="H20" s="154"/>
      <c r="I20" s="155"/>
      <c r="J20" s="156"/>
      <c r="K20" s="157"/>
      <c r="L20" s="158"/>
      <c r="O20" s="26"/>
      <c r="P20" s="26"/>
      <c r="Q20" s="26"/>
      <c r="R20" s="26"/>
      <c r="S20" s="26"/>
      <c r="T20" s="26"/>
      <c r="U20" s="26"/>
      <c r="V20" s="26"/>
      <c r="W20" s="26"/>
    </row>
    <row r="21" spans="2:23" ht="26.25" thickBot="1">
      <c r="B21" s="168" t="s">
        <v>13</v>
      </c>
      <c r="C21" s="183"/>
      <c r="D21" s="184"/>
      <c r="E21" s="185"/>
      <c r="F21" s="185"/>
      <c r="G21" s="186"/>
      <c r="H21" s="187"/>
      <c r="I21" s="188"/>
      <c r="J21" s="189"/>
      <c r="K21" s="190"/>
      <c r="L21" s="191"/>
      <c r="N21" s="294" t="s">
        <v>354</v>
      </c>
      <c r="O21" s="95"/>
      <c r="P21" s="26"/>
      <c r="Q21" s="26"/>
      <c r="R21" s="26"/>
      <c r="S21" s="26"/>
      <c r="T21" s="26"/>
      <c r="U21" s="26"/>
      <c r="V21" s="26"/>
    </row>
    <row r="22" spans="2:23">
      <c r="B22" s="192"/>
      <c r="C22" s="193"/>
      <c r="D22" s="177"/>
      <c r="E22" s="178"/>
      <c r="F22" s="178"/>
      <c r="G22" s="179"/>
      <c r="H22" s="180"/>
      <c r="I22" s="194"/>
      <c r="J22" s="195"/>
      <c r="K22" s="196"/>
      <c r="L22" s="197"/>
      <c r="N22" s="224" t="s">
        <v>343</v>
      </c>
      <c r="O22" s="97"/>
      <c r="P22" s="26"/>
      <c r="Q22" s="26"/>
      <c r="R22" s="26"/>
      <c r="S22" s="26"/>
      <c r="T22" s="26"/>
      <c r="U22" s="26"/>
      <c r="V22" s="26"/>
    </row>
    <row r="23" spans="2:23">
      <c r="B23" s="198" t="s">
        <v>231</v>
      </c>
      <c r="C23" s="199"/>
      <c r="D23" s="200"/>
      <c r="E23" s="178"/>
      <c r="F23" s="178"/>
      <c r="G23" s="179"/>
      <c r="H23" s="180"/>
      <c r="I23" s="194"/>
      <c r="J23" s="195"/>
      <c r="K23" s="196"/>
      <c r="L23" s="197"/>
      <c r="N23" s="292" t="s">
        <v>344</v>
      </c>
      <c r="O23" s="97"/>
      <c r="P23" s="26"/>
      <c r="Q23" s="26"/>
      <c r="R23" s="26"/>
      <c r="S23" s="26"/>
      <c r="T23" s="26"/>
      <c r="U23" s="26"/>
      <c r="V23" s="26"/>
    </row>
    <row r="24" spans="2:23">
      <c r="B24" s="198" t="s">
        <v>232</v>
      </c>
      <c r="C24" s="199"/>
      <c r="D24" s="200"/>
      <c r="E24" s="178"/>
      <c r="F24" s="178"/>
      <c r="G24" s="179"/>
      <c r="H24" s="180"/>
      <c r="I24" s="194"/>
      <c r="J24" s="195"/>
      <c r="K24" s="196"/>
      <c r="L24" s="197"/>
      <c r="N24" s="292" t="s">
        <v>345</v>
      </c>
      <c r="O24" s="97"/>
      <c r="P24" s="26"/>
      <c r="Q24" s="26"/>
      <c r="R24" s="26"/>
      <c r="S24" s="26"/>
      <c r="T24" s="26"/>
      <c r="U24" s="26"/>
      <c r="V24" s="26"/>
    </row>
    <row r="25" spans="2:23">
      <c r="B25" s="198" t="s">
        <v>74</v>
      </c>
      <c r="C25" s="199"/>
      <c r="D25" s="200"/>
      <c r="E25" s="178"/>
      <c r="F25" s="178"/>
      <c r="G25" s="179"/>
      <c r="H25" s="180"/>
      <c r="I25" s="194"/>
      <c r="J25" s="195"/>
      <c r="K25" s="196"/>
      <c r="L25" s="197"/>
      <c r="N25" s="292" t="s">
        <v>346</v>
      </c>
      <c r="O25" s="97"/>
      <c r="P25" s="26"/>
      <c r="Q25" s="26"/>
      <c r="R25" s="26"/>
      <c r="S25" s="26"/>
      <c r="T25" s="26"/>
      <c r="U25" s="26"/>
      <c r="V25" s="26"/>
    </row>
    <row r="26" spans="2:23">
      <c r="B26" s="198" t="s">
        <v>270</v>
      </c>
      <c r="C26" s="199"/>
      <c r="D26" s="200"/>
      <c r="E26" s="178"/>
      <c r="F26" s="178"/>
      <c r="G26" s="179"/>
      <c r="H26" s="180"/>
      <c r="I26" s="194"/>
      <c r="J26" s="201"/>
      <c r="K26" s="202"/>
      <c r="L26" s="197"/>
      <c r="N26" s="296" t="s">
        <v>355</v>
      </c>
      <c r="O26" s="97"/>
      <c r="P26" s="26"/>
      <c r="Q26" s="26"/>
      <c r="R26" s="26"/>
      <c r="S26" s="26"/>
      <c r="T26" s="26"/>
      <c r="U26" s="26"/>
      <c r="V26" s="26"/>
    </row>
    <row r="27" spans="2:23">
      <c r="B27" s="198" t="s">
        <v>78</v>
      </c>
      <c r="C27" s="199"/>
      <c r="D27" s="200"/>
      <c r="E27" s="178"/>
      <c r="F27" s="178"/>
      <c r="G27" s="179"/>
      <c r="H27" s="180"/>
      <c r="I27" s="194"/>
      <c r="J27" s="195"/>
      <c r="K27" s="196"/>
      <c r="L27" s="197"/>
      <c r="N27" s="297" t="s">
        <v>347</v>
      </c>
      <c r="O27" s="97"/>
      <c r="P27" s="26"/>
      <c r="Q27" s="26"/>
      <c r="R27" s="26"/>
      <c r="S27" s="26"/>
      <c r="T27" s="26"/>
      <c r="U27" s="26"/>
      <c r="V27" s="26"/>
    </row>
    <row r="28" spans="2:23">
      <c r="B28" s="220" t="s">
        <v>236</v>
      </c>
      <c r="C28" s="199"/>
      <c r="D28" s="200"/>
      <c r="E28" s="178"/>
      <c r="F28" s="178"/>
      <c r="G28" s="179"/>
      <c r="H28" s="180"/>
      <c r="I28" s="194"/>
      <c r="J28" s="195"/>
      <c r="K28" s="196"/>
      <c r="L28" s="197"/>
      <c r="N28" s="292" t="s">
        <v>348</v>
      </c>
      <c r="O28" s="97"/>
      <c r="P28" s="26"/>
      <c r="Q28" s="26"/>
      <c r="R28" s="26"/>
      <c r="S28" s="26"/>
      <c r="T28" s="26"/>
      <c r="U28" s="26"/>
      <c r="V28" s="26"/>
    </row>
    <row r="29" spans="2:23">
      <c r="B29" s="198" t="s">
        <v>96</v>
      </c>
      <c r="C29" s="199"/>
      <c r="D29" s="200"/>
      <c r="E29" s="178"/>
      <c r="F29" s="178"/>
      <c r="G29" s="203"/>
      <c r="H29" s="180"/>
      <c r="I29" s="194"/>
      <c r="J29" s="195"/>
      <c r="K29" s="204"/>
      <c r="L29" s="197"/>
      <c r="N29" s="297" t="s">
        <v>349</v>
      </c>
      <c r="O29" s="97"/>
      <c r="P29" s="26"/>
      <c r="Q29" s="26"/>
      <c r="R29" s="26"/>
      <c r="S29" s="26"/>
      <c r="T29" s="26"/>
      <c r="U29" s="26"/>
      <c r="V29" s="26"/>
    </row>
    <row r="30" spans="2:23" ht="13.5" thickBot="1">
      <c r="B30" s="198" t="s">
        <v>147</v>
      </c>
      <c r="C30" s="199"/>
      <c r="D30" s="200"/>
      <c r="E30" s="205"/>
      <c r="F30" s="205"/>
      <c r="G30" s="203"/>
      <c r="H30" s="180"/>
      <c r="I30" s="194"/>
      <c r="J30" s="195"/>
      <c r="K30" s="206"/>
      <c r="L30" s="197"/>
      <c r="N30" s="293" t="s">
        <v>351</v>
      </c>
      <c r="O30" s="97"/>
      <c r="P30" s="26"/>
      <c r="Q30" s="26"/>
      <c r="R30" s="26"/>
      <c r="S30" s="26"/>
      <c r="T30" s="26"/>
      <c r="U30" s="26"/>
      <c r="V30" s="26"/>
    </row>
    <row r="31" spans="2:23" ht="13.5" thickBot="1">
      <c r="B31" s="198" t="s">
        <v>148</v>
      </c>
      <c r="C31" s="199"/>
      <c r="D31" s="200"/>
      <c r="E31" s="207"/>
      <c r="F31" s="207"/>
      <c r="G31" s="203"/>
      <c r="H31" s="180"/>
      <c r="I31" s="194"/>
      <c r="J31" s="195"/>
      <c r="K31" s="208"/>
      <c r="L31" s="197"/>
      <c r="N31" s="293" t="s">
        <v>350</v>
      </c>
      <c r="O31" s="94"/>
    </row>
    <row r="32" spans="2:23">
      <c r="B32" s="198" t="s">
        <v>204</v>
      </c>
      <c r="C32" s="199"/>
      <c r="D32" s="200"/>
      <c r="E32" s="207"/>
      <c r="F32" s="207"/>
      <c r="G32" s="203"/>
      <c r="H32" s="180"/>
      <c r="I32" s="194"/>
      <c r="J32" s="201"/>
      <c r="K32" s="209"/>
      <c r="L32" s="197"/>
      <c r="O32" s="21"/>
      <c r="P32" s="93"/>
    </row>
    <row r="33" spans="2:16">
      <c r="B33" s="198" t="s">
        <v>128</v>
      </c>
      <c r="C33" s="199"/>
      <c r="D33" s="200"/>
      <c r="E33" s="207"/>
      <c r="F33" s="207"/>
      <c r="G33" s="203"/>
      <c r="H33" s="180"/>
      <c r="I33" s="194"/>
      <c r="J33" s="195"/>
      <c r="K33" s="209"/>
      <c r="L33" s="197"/>
      <c r="O33" s="21"/>
      <c r="P33" s="93"/>
    </row>
    <row r="34" spans="2:16">
      <c r="B34" s="198" t="s">
        <v>129</v>
      </c>
      <c r="C34" s="199"/>
      <c r="D34" s="200"/>
      <c r="E34" s="207"/>
      <c r="F34" s="207"/>
      <c r="G34" s="203"/>
      <c r="H34" s="180"/>
      <c r="I34" s="194"/>
      <c r="J34" s="195"/>
      <c r="K34" s="209"/>
      <c r="L34" s="197"/>
      <c r="O34" s="21"/>
      <c r="P34" s="93"/>
    </row>
    <row r="35" spans="2:16">
      <c r="B35" s="198" t="s">
        <v>89</v>
      </c>
      <c r="C35" s="199"/>
      <c r="D35" s="200"/>
      <c r="E35" s="207"/>
      <c r="F35" s="207"/>
      <c r="G35" s="203"/>
      <c r="H35" s="180"/>
      <c r="I35" s="194"/>
      <c r="J35" s="195"/>
      <c r="K35" s="209"/>
      <c r="L35" s="197"/>
      <c r="N35" s="292"/>
      <c r="O35" s="21"/>
      <c r="P35" s="93"/>
    </row>
    <row r="36" spans="2:16" ht="13.5" thickBot="1">
      <c r="B36" s="210" t="s">
        <v>143</v>
      </c>
      <c r="C36" s="211"/>
      <c r="D36" s="212"/>
      <c r="E36" s="213"/>
      <c r="F36" s="213"/>
      <c r="G36" s="214"/>
      <c r="H36" s="215"/>
      <c r="I36" s="216"/>
      <c r="J36" s="217"/>
      <c r="K36" s="218"/>
      <c r="L36" s="219"/>
      <c r="O36" s="115"/>
      <c r="P36" s="94"/>
    </row>
    <row r="37" spans="2:16">
      <c r="B37" s="80"/>
      <c r="C37" s="159"/>
      <c r="D37" s="160"/>
      <c r="E37" s="161"/>
      <c r="F37" s="161"/>
      <c r="G37" s="162"/>
      <c r="H37" s="163"/>
      <c r="I37" s="164"/>
      <c r="J37" s="165"/>
      <c r="K37" s="166"/>
      <c r="L37" s="167"/>
    </row>
    <row r="38" spans="2:16" ht="13.5" thickBot="1">
      <c r="B38" s="1"/>
      <c r="C38" s="8"/>
      <c r="D38" s="17"/>
      <c r="E38" s="32"/>
      <c r="F38" s="32"/>
      <c r="G38" s="31"/>
      <c r="H38" s="20"/>
      <c r="I38" s="30"/>
      <c r="J38" s="22"/>
      <c r="K38" s="44"/>
      <c r="L38" s="47"/>
    </row>
    <row r="39" spans="2:16">
      <c r="B39" s="1"/>
      <c r="C39" s="8"/>
      <c r="D39" s="17"/>
      <c r="E39" s="32"/>
      <c r="F39" s="32"/>
      <c r="G39" s="31"/>
      <c r="H39" s="20"/>
      <c r="I39" s="30"/>
      <c r="J39" s="22"/>
      <c r="K39" s="44"/>
      <c r="L39" s="47"/>
      <c r="N39" s="92" t="s">
        <v>163</v>
      </c>
    </row>
    <row r="40" spans="2:16">
      <c r="B40" s="1"/>
      <c r="C40" s="8"/>
      <c r="D40" s="17"/>
      <c r="E40" s="32"/>
      <c r="F40" s="32"/>
      <c r="G40" s="31"/>
      <c r="H40" s="20"/>
      <c r="I40" s="30"/>
      <c r="J40" s="22"/>
      <c r="K40" s="45"/>
      <c r="L40" s="47"/>
      <c r="N40" s="100"/>
    </row>
    <row r="41" spans="2:16">
      <c r="B41" s="1"/>
      <c r="C41" s="8"/>
      <c r="D41" s="17"/>
      <c r="E41" s="32"/>
      <c r="F41" s="32"/>
      <c r="G41" s="31"/>
      <c r="H41" s="20"/>
      <c r="I41" s="30"/>
      <c r="J41" s="33"/>
      <c r="K41" s="45"/>
      <c r="L41" s="47"/>
      <c r="N41" s="101" t="s">
        <v>231</v>
      </c>
    </row>
    <row r="42" spans="2:16">
      <c r="B42" s="1"/>
      <c r="C42" s="8"/>
      <c r="D42" s="17"/>
      <c r="E42" s="32"/>
      <c r="F42" s="32"/>
      <c r="G42" s="31"/>
      <c r="H42" s="20"/>
      <c r="I42" s="30"/>
      <c r="J42" s="22"/>
      <c r="K42" s="44"/>
      <c r="L42" s="47"/>
      <c r="N42" s="101" t="s">
        <v>232</v>
      </c>
    </row>
    <row r="43" spans="2:16" ht="13.5" thickBot="1">
      <c r="B43" s="34"/>
      <c r="C43" s="35"/>
      <c r="D43" s="48"/>
      <c r="E43" s="36"/>
      <c r="F43" s="36"/>
      <c r="G43" s="37"/>
      <c r="H43" s="49"/>
      <c r="I43" s="38"/>
      <c r="J43" s="39"/>
      <c r="K43" s="50"/>
      <c r="L43" s="51"/>
      <c r="N43" s="101" t="s">
        <v>164</v>
      </c>
    </row>
    <row r="44" spans="2:16">
      <c r="N44" s="101" t="s">
        <v>270</v>
      </c>
    </row>
    <row r="45" spans="2:16">
      <c r="N45" s="101" t="s">
        <v>78</v>
      </c>
    </row>
    <row r="46" spans="2:16">
      <c r="B46" s="102" t="s">
        <v>97</v>
      </c>
      <c r="N46" s="101" t="s">
        <v>165</v>
      </c>
    </row>
    <row r="47" spans="2:16" ht="13.5" thickBot="1">
      <c r="N47" s="101" t="s">
        <v>166</v>
      </c>
    </row>
    <row r="48" spans="2:16">
      <c r="B48" s="92" t="s">
        <v>40</v>
      </c>
      <c r="N48" s="101" t="s">
        <v>5</v>
      </c>
    </row>
    <row r="49" spans="2:15">
      <c r="B49" t="s">
        <v>153</v>
      </c>
      <c r="N49" s="101" t="s">
        <v>159</v>
      </c>
    </row>
    <row r="50" spans="2:15">
      <c r="B50" t="s">
        <v>248</v>
      </c>
      <c r="C50" s="61"/>
      <c r="D50" s="61"/>
      <c r="E50" s="61"/>
      <c r="F50" s="61"/>
      <c r="H50" s="9"/>
      <c r="I50" s="9"/>
      <c r="J50" s="9"/>
      <c r="L50" s="27"/>
      <c r="M50" s="65"/>
      <c r="N50" s="101" t="s">
        <v>204</v>
      </c>
      <c r="O50" s="13"/>
    </row>
    <row r="51" spans="2:15">
      <c r="B51" t="s">
        <v>266</v>
      </c>
      <c r="C51" s="67"/>
      <c r="D51" s="62"/>
      <c r="E51" s="62"/>
      <c r="F51" s="62"/>
      <c r="H51" s="9"/>
      <c r="I51" s="9"/>
      <c r="J51" s="9"/>
      <c r="L51" s="27"/>
      <c r="M51" s="65"/>
      <c r="N51" s="101" t="s">
        <v>128</v>
      </c>
      <c r="O51" s="13"/>
    </row>
    <row r="52" spans="2:15">
      <c r="B52" t="s">
        <v>111</v>
      </c>
      <c r="C52" s="67"/>
      <c r="D52" s="62"/>
      <c r="E52" s="62"/>
      <c r="F52" s="62"/>
      <c r="H52" s="9"/>
      <c r="I52" s="9"/>
      <c r="J52" s="9"/>
      <c r="L52" s="27"/>
      <c r="M52" s="65"/>
      <c r="N52" s="101" t="s">
        <v>160</v>
      </c>
      <c r="O52" s="13"/>
    </row>
    <row r="53" spans="2:15">
      <c r="B53" t="s">
        <v>112</v>
      </c>
      <c r="C53" s="67"/>
      <c r="D53" s="62"/>
      <c r="E53" s="62"/>
      <c r="F53" s="62"/>
      <c r="H53" s="9"/>
      <c r="I53" s="9"/>
      <c r="J53" s="9"/>
      <c r="L53" s="27"/>
      <c r="M53" s="65"/>
      <c r="N53" s="101" t="s">
        <v>123</v>
      </c>
      <c r="O53" s="13"/>
    </row>
    <row r="54" spans="2:15">
      <c r="B54" t="s">
        <v>113</v>
      </c>
      <c r="C54" s="67"/>
      <c r="D54" s="62"/>
      <c r="E54" s="62"/>
      <c r="F54" s="62"/>
      <c r="H54" s="9"/>
      <c r="I54" s="9"/>
      <c r="J54" s="9"/>
      <c r="L54" s="27"/>
      <c r="M54" s="65"/>
      <c r="N54" s="101" t="s">
        <v>39</v>
      </c>
      <c r="O54" s="13"/>
    </row>
    <row r="55" spans="2:15">
      <c r="C55" s="67"/>
      <c r="D55" s="62"/>
      <c r="E55" s="62"/>
      <c r="F55" s="62"/>
      <c r="H55" s="9"/>
      <c r="I55" s="9"/>
      <c r="J55" s="9"/>
      <c r="L55" s="27"/>
      <c r="M55" s="65"/>
      <c r="O55" s="13"/>
    </row>
    <row r="56" spans="2:15" ht="13.5" thickBot="1">
      <c r="C56" s="67"/>
      <c r="D56" s="62"/>
      <c r="E56" s="62"/>
      <c r="F56" s="62"/>
      <c r="H56" s="9"/>
      <c r="I56" s="9"/>
      <c r="J56" s="9"/>
      <c r="L56" s="27"/>
      <c r="M56" s="65"/>
      <c r="O56" s="13"/>
    </row>
    <row r="57" spans="2:15">
      <c r="B57" s="92" t="s">
        <v>98</v>
      </c>
      <c r="C57" s="67"/>
      <c r="D57" s="62"/>
      <c r="E57" s="62"/>
      <c r="F57" s="62"/>
      <c r="H57" s="9"/>
      <c r="I57" s="9"/>
      <c r="J57" s="9"/>
      <c r="L57" s="27"/>
      <c r="M57" s="65"/>
      <c r="O57" s="13"/>
    </row>
    <row r="58" spans="2:15">
      <c r="B58" t="s">
        <v>228</v>
      </c>
      <c r="C58" s="67"/>
      <c r="D58" s="62"/>
      <c r="E58" s="62"/>
      <c r="F58" s="62"/>
      <c r="H58" s="9"/>
      <c r="I58" s="9"/>
      <c r="J58" s="9"/>
      <c r="L58" s="27"/>
      <c r="M58" s="65"/>
      <c r="N58" s="103" t="s">
        <v>34</v>
      </c>
      <c r="O58" s="13"/>
    </row>
    <row r="59" spans="2:15" ht="13.5" thickBot="1">
      <c r="B59" t="s">
        <v>67</v>
      </c>
      <c r="C59" s="67"/>
      <c r="D59" s="62"/>
      <c r="E59" s="62"/>
      <c r="F59" s="62"/>
      <c r="H59" s="9"/>
      <c r="I59" s="9"/>
      <c r="J59" s="9"/>
      <c r="L59" s="27"/>
      <c r="M59" s="65"/>
      <c r="O59" s="13"/>
    </row>
    <row r="60" spans="2:15">
      <c r="B60" t="s">
        <v>68</v>
      </c>
      <c r="C60" s="67"/>
      <c r="D60" s="62"/>
      <c r="E60" s="62"/>
      <c r="F60" s="62"/>
      <c r="H60" s="9"/>
      <c r="I60" s="9"/>
      <c r="J60" s="9"/>
      <c r="L60" s="27"/>
      <c r="M60" s="65"/>
      <c r="N60" s="92" t="s">
        <v>199</v>
      </c>
      <c r="O60" s="13"/>
    </row>
    <row r="61" spans="2:15">
      <c r="B61" t="s">
        <v>69</v>
      </c>
      <c r="C61" s="67"/>
      <c r="D61" s="62"/>
      <c r="E61" s="62"/>
      <c r="F61" s="62"/>
      <c r="H61" s="9"/>
      <c r="I61" s="9"/>
      <c r="J61" s="9"/>
      <c r="L61" s="27"/>
      <c r="M61" s="65"/>
      <c r="N61" t="s">
        <v>79</v>
      </c>
      <c r="O61" s="13"/>
    </row>
    <row r="62" spans="2:15">
      <c r="B62" t="s">
        <v>104</v>
      </c>
      <c r="C62" s="67"/>
      <c r="D62" s="62"/>
      <c r="E62" s="63"/>
      <c r="F62" s="62"/>
      <c r="H62" s="9"/>
      <c r="I62" s="9"/>
      <c r="J62" s="9"/>
      <c r="L62" s="27"/>
      <c r="M62" s="65"/>
      <c r="N62" t="s">
        <v>188</v>
      </c>
      <c r="O62" s="13"/>
    </row>
    <row r="63" spans="2:15">
      <c r="B63" t="s">
        <v>253</v>
      </c>
      <c r="C63" s="67"/>
      <c r="D63" s="62"/>
      <c r="E63" s="62"/>
      <c r="F63" s="62"/>
      <c r="H63" s="9"/>
      <c r="I63" s="9"/>
      <c r="J63" s="9"/>
      <c r="L63" s="27"/>
      <c r="M63" s="65"/>
      <c r="N63" t="s">
        <v>189</v>
      </c>
      <c r="O63" s="13"/>
    </row>
    <row r="64" spans="2:15">
      <c r="C64" s="67"/>
      <c r="D64" s="62"/>
      <c r="E64" s="62"/>
      <c r="F64" s="62"/>
      <c r="H64" s="9"/>
      <c r="I64" s="9"/>
      <c r="J64" s="9"/>
      <c r="L64" s="27"/>
      <c r="M64" s="65"/>
      <c r="N64" t="s">
        <v>146</v>
      </c>
      <c r="O64" s="13"/>
    </row>
    <row r="65" spans="2:15" ht="13.5" thickBot="1">
      <c r="C65" s="67"/>
      <c r="D65" s="62"/>
      <c r="E65" s="62"/>
      <c r="F65" s="62"/>
      <c r="H65" s="9"/>
      <c r="I65" s="9"/>
      <c r="J65" s="9"/>
      <c r="L65" s="27"/>
      <c r="M65" s="65"/>
      <c r="N65" t="s">
        <v>32</v>
      </c>
      <c r="O65" s="13"/>
    </row>
    <row r="66" spans="2:15">
      <c r="B66" s="92" t="s">
        <v>254</v>
      </c>
      <c r="C66" s="67"/>
      <c r="D66" s="62"/>
      <c r="E66" s="62"/>
      <c r="F66" s="62"/>
      <c r="H66" s="9"/>
      <c r="I66" s="9"/>
      <c r="J66" s="9"/>
      <c r="L66" s="27"/>
      <c r="M66" s="65"/>
      <c r="N66" t="s">
        <v>33</v>
      </c>
      <c r="O66" s="13"/>
    </row>
    <row r="67" spans="2:15">
      <c r="B67" s="100"/>
      <c r="C67" s="67"/>
      <c r="D67" s="62"/>
      <c r="E67" s="62"/>
      <c r="F67" s="62"/>
      <c r="H67" s="9"/>
      <c r="I67" s="9"/>
      <c r="J67" s="9"/>
      <c r="L67" s="27"/>
      <c r="M67" s="65"/>
      <c r="O67" s="13"/>
    </row>
    <row r="68" spans="2:15" ht="13.5" thickBot="1">
      <c r="B68" s="101" t="s">
        <v>156</v>
      </c>
      <c r="C68" s="67"/>
      <c r="D68" s="62"/>
      <c r="E68" s="63"/>
      <c r="F68" s="62"/>
      <c r="H68" s="9"/>
      <c r="I68" s="9"/>
      <c r="J68" s="9"/>
      <c r="L68" s="27"/>
      <c r="M68" s="65"/>
      <c r="O68" s="13"/>
    </row>
    <row r="69" spans="2:15">
      <c r="B69" s="101" t="s">
        <v>232</v>
      </c>
      <c r="C69" s="67"/>
      <c r="D69" s="62"/>
      <c r="E69" s="62"/>
      <c r="F69" s="62"/>
      <c r="H69" s="9"/>
      <c r="I69" s="9"/>
      <c r="J69" s="9"/>
      <c r="L69" s="27"/>
      <c r="M69" s="65"/>
      <c r="N69" s="92" t="s">
        <v>35</v>
      </c>
      <c r="O69" s="13"/>
    </row>
    <row r="70" spans="2:15">
      <c r="B70" s="101" t="s">
        <v>74</v>
      </c>
      <c r="C70" s="67"/>
      <c r="D70" s="62"/>
      <c r="E70" s="62"/>
      <c r="F70" s="62"/>
      <c r="H70" s="9"/>
      <c r="I70" s="9"/>
      <c r="J70" s="9"/>
      <c r="L70" s="27"/>
      <c r="M70" s="65"/>
      <c r="N70" t="s">
        <v>37</v>
      </c>
      <c r="O70" s="13"/>
    </row>
    <row r="71" spans="2:15">
      <c r="B71" s="101" t="s">
        <v>270</v>
      </c>
      <c r="C71" s="67"/>
      <c r="D71" s="62"/>
      <c r="E71" s="62"/>
      <c r="F71" s="62"/>
      <c r="H71" s="9"/>
      <c r="I71" s="9"/>
      <c r="J71" s="9"/>
      <c r="L71" s="27"/>
      <c r="M71" s="65"/>
      <c r="N71" t="s">
        <v>50</v>
      </c>
      <c r="O71" s="13"/>
    </row>
    <row r="72" spans="2:15">
      <c r="B72" s="101" t="s">
        <v>78</v>
      </c>
      <c r="C72" s="67"/>
      <c r="D72" s="62"/>
      <c r="E72" s="62"/>
      <c r="F72" s="62"/>
      <c r="H72" s="9"/>
      <c r="I72" s="9"/>
      <c r="J72" s="9"/>
      <c r="L72" s="27"/>
      <c r="M72" s="65"/>
      <c r="N72" t="s">
        <v>135</v>
      </c>
      <c r="O72" s="13"/>
    </row>
    <row r="73" spans="2:15">
      <c r="B73" s="101" t="s">
        <v>27</v>
      </c>
      <c r="C73" s="67"/>
      <c r="D73" s="62"/>
      <c r="E73" s="62"/>
      <c r="F73" s="62"/>
      <c r="H73" s="9"/>
      <c r="I73" s="9"/>
      <c r="J73" s="9"/>
      <c r="L73" s="27"/>
      <c r="M73" s="65"/>
      <c r="N73" t="s">
        <v>244</v>
      </c>
      <c r="O73" s="13"/>
    </row>
    <row r="74" spans="2:15">
      <c r="B74" s="101" t="s">
        <v>166</v>
      </c>
      <c r="C74" s="67"/>
      <c r="D74" s="62"/>
      <c r="E74" s="62"/>
      <c r="F74" s="62"/>
      <c r="H74" s="9"/>
      <c r="I74" s="9"/>
      <c r="J74" s="9"/>
      <c r="L74" s="27"/>
      <c r="M74" s="65"/>
      <c r="N74" t="s">
        <v>200</v>
      </c>
      <c r="O74" s="13"/>
    </row>
    <row r="75" spans="2:15">
      <c r="B75" s="101" t="s">
        <v>5</v>
      </c>
      <c r="C75" s="67"/>
      <c r="D75" s="62"/>
      <c r="E75" s="62"/>
      <c r="F75" s="62"/>
      <c r="H75" s="9"/>
      <c r="I75" s="9"/>
      <c r="J75" s="9"/>
      <c r="L75" s="27"/>
      <c r="M75" s="65"/>
      <c r="N75" t="s">
        <v>201</v>
      </c>
      <c r="O75" s="13"/>
    </row>
    <row r="76" spans="2:15">
      <c r="B76" s="101" t="s">
        <v>131</v>
      </c>
      <c r="C76" s="67"/>
      <c r="D76" s="62"/>
      <c r="E76" s="63"/>
      <c r="F76" s="62"/>
      <c r="H76" s="9"/>
      <c r="I76" s="9"/>
      <c r="J76" s="9"/>
      <c r="L76" s="27"/>
      <c r="M76" s="65"/>
      <c r="N76" t="s">
        <v>253</v>
      </c>
      <c r="O76" s="13"/>
    </row>
    <row r="77" spans="2:15">
      <c r="B77" s="101" t="s">
        <v>204</v>
      </c>
      <c r="C77" s="67"/>
      <c r="D77" s="62"/>
      <c r="E77" s="62"/>
      <c r="F77" s="62"/>
      <c r="H77" s="9"/>
      <c r="I77" s="9"/>
      <c r="J77" s="9"/>
      <c r="L77" s="27"/>
      <c r="M77" s="65"/>
      <c r="O77" s="13"/>
    </row>
    <row r="78" spans="2:15" ht="13.5" thickBot="1">
      <c r="B78" s="101" t="s">
        <v>128</v>
      </c>
      <c r="C78" s="67"/>
      <c r="D78" s="62"/>
      <c r="E78" s="63"/>
      <c r="F78" s="62"/>
      <c r="H78" s="9"/>
      <c r="I78" s="9"/>
      <c r="J78" s="9"/>
      <c r="L78" s="27"/>
      <c r="M78" s="65"/>
      <c r="O78" s="13"/>
    </row>
    <row r="79" spans="2:15">
      <c r="B79" s="101" t="s">
        <v>129</v>
      </c>
      <c r="C79" s="67"/>
      <c r="D79" s="62"/>
      <c r="E79" s="63"/>
      <c r="F79" s="62"/>
      <c r="H79" s="9"/>
      <c r="I79" s="9"/>
      <c r="J79" s="9"/>
      <c r="L79" s="27"/>
      <c r="M79" s="65"/>
      <c r="N79" s="92" t="s">
        <v>202</v>
      </c>
      <c r="O79" s="13"/>
    </row>
    <row r="80" spans="2:15">
      <c r="B80" s="101" t="s">
        <v>186</v>
      </c>
      <c r="C80" s="67"/>
      <c r="D80" s="62"/>
      <c r="E80" s="62"/>
      <c r="F80" s="62"/>
      <c r="H80" s="9"/>
      <c r="I80" s="9"/>
      <c r="J80" s="9"/>
      <c r="L80" s="27"/>
      <c r="M80" s="65"/>
      <c r="N80" t="s">
        <v>182</v>
      </c>
      <c r="O80" s="13"/>
    </row>
    <row r="81" spans="2:15">
      <c r="B81" s="101" t="s">
        <v>222</v>
      </c>
      <c r="C81" s="67"/>
      <c r="D81" s="62"/>
      <c r="E81" s="62"/>
      <c r="F81" s="62"/>
      <c r="H81" s="9"/>
      <c r="I81" s="9"/>
      <c r="J81" s="9"/>
      <c r="L81" s="27"/>
      <c r="M81" s="65"/>
      <c r="N81" t="s">
        <v>50</v>
      </c>
      <c r="O81" s="13"/>
    </row>
    <row r="82" spans="2:15">
      <c r="C82" s="67"/>
      <c r="D82" s="62"/>
      <c r="E82" s="62"/>
      <c r="F82" s="62"/>
      <c r="H82" s="9"/>
      <c r="I82" s="9"/>
      <c r="J82" s="9"/>
      <c r="L82" s="27"/>
      <c r="M82" s="65"/>
      <c r="N82" t="s">
        <v>135</v>
      </c>
      <c r="O82" s="13"/>
    </row>
    <row r="83" spans="2:15" ht="13.5" thickBot="1">
      <c r="B83" s="77"/>
      <c r="C83" s="67"/>
      <c r="D83" s="62"/>
      <c r="E83" s="63"/>
      <c r="F83" s="62"/>
      <c r="H83" s="9"/>
      <c r="I83" s="9"/>
      <c r="J83" s="9"/>
      <c r="L83" s="27"/>
      <c r="M83" s="65"/>
      <c r="N83" t="s">
        <v>244</v>
      </c>
      <c r="O83" s="13"/>
    </row>
    <row r="84" spans="2:15">
      <c r="B84" s="92" t="s">
        <v>223</v>
      </c>
      <c r="C84" s="67"/>
      <c r="D84" s="62"/>
      <c r="E84" s="62"/>
      <c r="F84" s="62"/>
      <c r="H84" s="9"/>
      <c r="I84" s="9"/>
      <c r="J84" s="9"/>
      <c r="L84" s="27"/>
      <c r="M84" s="65"/>
      <c r="N84" t="s">
        <v>200</v>
      </c>
      <c r="O84" s="13"/>
    </row>
    <row r="85" spans="2:15">
      <c r="B85" s="100"/>
      <c r="C85" s="67"/>
      <c r="D85" s="62"/>
      <c r="E85" s="63"/>
      <c r="F85" s="62"/>
      <c r="H85" s="9"/>
      <c r="I85" s="9"/>
      <c r="J85" s="9"/>
      <c r="L85" s="27"/>
      <c r="M85" s="65"/>
      <c r="N85" t="s">
        <v>201</v>
      </c>
      <c r="O85" s="13"/>
    </row>
    <row r="86" spans="2:15">
      <c r="B86" s="101" t="s">
        <v>156</v>
      </c>
      <c r="C86" s="67"/>
      <c r="D86" s="62"/>
      <c r="E86" s="62"/>
      <c r="F86" s="62"/>
      <c r="H86" s="9"/>
      <c r="I86" s="9"/>
      <c r="J86" s="9"/>
      <c r="L86" s="27"/>
      <c r="M86" s="65"/>
      <c r="N86" t="s">
        <v>253</v>
      </c>
      <c r="O86" s="13"/>
    </row>
    <row r="87" spans="2:15">
      <c r="B87" s="101" t="s">
        <v>232</v>
      </c>
      <c r="C87" s="67"/>
      <c r="D87" s="62"/>
      <c r="E87" s="62"/>
      <c r="F87" s="62"/>
      <c r="H87" s="9"/>
      <c r="I87" s="9"/>
      <c r="J87" s="9"/>
      <c r="L87" s="27"/>
      <c r="M87" s="65"/>
      <c r="O87" s="13"/>
    </row>
    <row r="88" spans="2:15">
      <c r="B88" s="101" t="s">
        <v>164</v>
      </c>
      <c r="C88" s="67"/>
      <c r="D88" s="62"/>
      <c r="E88" s="63"/>
      <c r="F88" s="62"/>
      <c r="H88" s="9"/>
      <c r="I88" s="9"/>
      <c r="J88" s="9"/>
      <c r="L88" s="27"/>
      <c r="M88" s="65"/>
      <c r="O88" s="13"/>
    </row>
    <row r="89" spans="2:15" ht="13.5" thickBot="1">
      <c r="B89" s="101" t="s">
        <v>270</v>
      </c>
      <c r="C89" s="67"/>
      <c r="D89" s="62"/>
      <c r="E89" s="63"/>
      <c r="F89" s="62"/>
      <c r="H89" s="9"/>
      <c r="I89" s="9"/>
      <c r="J89" s="9"/>
      <c r="L89" s="27"/>
      <c r="M89" s="65"/>
      <c r="O89" s="13"/>
    </row>
    <row r="90" spans="2:15">
      <c r="B90" s="101" t="s">
        <v>78</v>
      </c>
      <c r="C90" s="67"/>
      <c r="D90" s="62"/>
      <c r="E90" s="62"/>
      <c r="F90" s="62"/>
      <c r="H90" s="9"/>
      <c r="I90" s="9"/>
      <c r="J90" s="9"/>
      <c r="L90" s="27"/>
      <c r="M90" s="65"/>
      <c r="N90" s="92" t="s">
        <v>183</v>
      </c>
      <c r="O90" s="13"/>
    </row>
    <row r="91" spans="2:15">
      <c r="B91" s="101" t="s">
        <v>224</v>
      </c>
      <c r="C91" s="67"/>
      <c r="D91" s="62"/>
      <c r="E91" s="62"/>
      <c r="F91" s="62"/>
      <c r="H91" s="9"/>
      <c r="I91" s="9"/>
      <c r="J91" s="9"/>
      <c r="L91" s="27"/>
      <c r="M91" s="65"/>
      <c r="N91" t="s">
        <v>195</v>
      </c>
      <c r="O91" s="13"/>
    </row>
    <row r="92" spans="2:15">
      <c r="B92" s="101" t="s">
        <v>96</v>
      </c>
      <c r="C92" s="67"/>
      <c r="D92" s="62"/>
      <c r="E92" s="62"/>
      <c r="F92" s="62"/>
      <c r="H92" s="9"/>
      <c r="I92" s="9"/>
      <c r="J92" s="9"/>
      <c r="L92" s="27"/>
      <c r="M92" s="65"/>
      <c r="N92" t="s">
        <v>50</v>
      </c>
      <c r="O92" s="13"/>
    </row>
    <row r="93" spans="2:15">
      <c r="B93" s="101" t="s">
        <v>230</v>
      </c>
      <c r="C93" s="67"/>
      <c r="D93" s="62"/>
      <c r="E93" s="62"/>
      <c r="F93" s="62"/>
      <c r="H93" s="9"/>
      <c r="I93" s="9"/>
      <c r="J93" s="9"/>
      <c r="L93" s="27"/>
      <c r="M93" s="65"/>
      <c r="N93" t="s">
        <v>42</v>
      </c>
      <c r="O93" s="13"/>
    </row>
    <row r="94" spans="2:15">
      <c r="B94" s="101" t="s">
        <v>99</v>
      </c>
      <c r="C94" s="67"/>
      <c r="D94" s="62"/>
      <c r="E94" s="62"/>
      <c r="F94" s="62"/>
      <c r="H94" s="9"/>
      <c r="I94" s="9"/>
      <c r="J94" s="9"/>
      <c r="L94" s="27"/>
      <c r="M94" s="65"/>
      <c r="N94" t="s">
        <v>83</v>
      </c>
      <c r="O94" s="13"/>
    </row>
    <row r="95" spans="2:15">
      <c r="B95" s="101" t="s">
        <v>204</v>
      </c>
      <c r="C95" s="67"/>
      <c r="D95" s="62"/>
      <c r="E95" s="63"/>
      <c r="F95" s="62"/>
      <c r="H95" s="9"/>
      <c r="I95" s="9"/>
      <c r="J95" s="9"/>
      <c r="L95" s="27"/>
      <c r="M95" s="65"/>
      <c r="N95" t="s">
        <v>47</v>
      </c>
      <c r="O95" s="13"/>
    </row>
    <row r="96" spans="2:15">
      <c r="B96" s="101" t="s">
        <v>128</v>
      </c>
      <c r="C96" s="67"/>
      <c r="D96" s="62"/>
      <c r="E96" s="62"/>
      <c r="F96" s="62"/>
      <c r="H96" s="9"/>
      <c r="I96" s="9"/>
      <c r="J96" s="9"/>
      <c r="L96" s="27"/>
      <c r="M96" s="65"/>
      <c r="N96" t="s">
        <v>133</v>
      </c>
      <c r="O96" s="13"/>
    </row>
    <row r="97" spans="2:18">
      <c r="B97" s="101" t="s">
        <v>160</v>
      </c>
      <c r="C97" s="67"/>
      <c r="D97" s="62"/>
      <c r="E97" s="63"/>
      <c r="F97" s="62"/>
      <c r="H97" s="9"/>
      <c r="I97" s="9"/>
      <c r="J97" s="9"/>
      <c r="L97" s="27"/>
      <c r="M97" s="65"/>
      <c r="N97" t="s">
        <v>253</v>
      </c>
      <c r="O97" s="13"/>
    </row>
    <row r="98" spans="2:18">
      <c r="B98" s="101" t="s">
        <v>38</v>
      </c>
      <c r="C98" s="67"/>
      <c r="D98" s="62"/>
      <c r="E98" s="62"/>
      <c r="F98" s="62"/>
      <c r="H98" s="9"/>
      <c r="I98" s="9"/>
      <c r="J98" s="9"/>
      <c r="L98" s="27"/>
      <c r="M98" s="65"/>
      <c r="O98" s="13"/>
    </row>
    <row r="99" spans="2:18">
      <c r="B99" s="101" t="s">
        <v>46</v>
      </c>
      <c r="C99" s="67"/>
      <c r="D99" s="62"/>
      <c r="E99" s="63"/>
      <c r="F99" s="62"/>
      <c r="H99" s="9"/>
      <c r="I99" s="9"/>
      <c r="J99" s="9"/>
      <c r="L99" s="27"/>
      <c r="M99" s="65"/>
      <c r="O99" s="13"/>
    </row>
    <row r="100" spans="2:18">
      <c r="C100" s="67"/>
      <c r="D100" s="62"/>
      <c r="E100" s="62"/>
      <c r="F100" s="62"/>
      <c r="H100" s="9"/>
      <c r="I100" s="9"/>
      <c r="J100" s="9"/>
      <c r="L100" s="27"/>
      <c r="M100" s="65"/>
      <c r="O100" s="13"/>
    </row>
    <row r="101" spans="2:18">
      <c r="C101" s="67"/>
      <c r="D101" s="62"/>
      <c r="E101" s="62"/>
      <c r="F101" s="62"/>
      <c r="H101" s="9"/>
      <c r="I101" s="9"/>
      <c r="J101" s="9"/>
      <c r="L101" s="27"/>
      <c r="M101" s="65"/>
      <c r="O101" s="13"/>
    </row>
    <row r="102" spans="2:18">
      <c r="C102" s="148"/>
      <c r="D102" s="149"/>
      <c r="E102" s="149"/>
      <c r="F102" s="149"/>
      <c r="H102" s="9"/>
      <c r="I102" s="9"/>
      <c r="J102" s="9"/>
      <c r="L102" s="27"/>
      <c r="M102" s="65"/>
      <c r="O102" s="13"/>
    </row>
    <row r="103" spans="2:18">
      <c r="H103" s="9"/>
      <c r="I103" s="9"/>
      <c r="J103" s="9"/>
      <c r="L103" s="27"/>
      <c r="M103" s="65"/>
      <c r="O103" s="13"/>
    </row>
    <row r="104" spans="2:18" ht="13.5" thickBot="1">
      <c r="H104" s="9"/>
      <c r="I104" s="9"/>
      <c r="J104" s="9"/>
      <c r="L104" s="27"/>
      <c r="M104" s="65"/>
      <c r="O104" s="13"/>
    </row>
    <row r="105" spans="2:18">
      <c r="H105" s="9"/>
      <c r="I105" s="9"/>
      <c r="J105" s="9"/>
      <c r="L105" s="27"/>
      <c r="M105" s="65"/>
      <c r="N105" s="611" t="s">
        <v>134</v>
      </c>
      <c r="O105" s="612"/>
      <c r="P105" s="612"/>
      <c r="Q105" s="612"/>
      <c r="R105" s="613"/>
    </row>
    <row r="106" spans="2:18">
      <c r="H106" s="9"/>
      <c r="I106" s="9"/>
      <c r="J106" s="9"/>
      <c r="L106" s="27"/>
      <c r="M106" s="65"/>
      <c r="N106" s="104" t="s">
        <v>31</v>
      </c>
      <c r="O106" s="105" t="s">
        <v>52</v>
      </c>
      <c r="P106" s="106" t="s">
        <v>11</v>
      </c>
      <c r="Q106" s="21"/>
      <c r="R106" s="93"/>
    </row>
    <row r="107" spans="2:18">
      <c r="H107" s="9"/>
      <c r="I107" s="9"/>
      <c r="J107" s="9"/>
      <c r="L107" s="27"/>
      <c r="M107" s="65"/>
      <c r="N107" s="107"/>
      <c r="O107" s="108"/>
      <c r="P107" s="109"/>
      <c r="Q107" s="21"/>
      <c r="R107" s="93"/>
    </row>
    <row r="108" spans="2:18" ht="38.25">
      <c r="C108" s="150"/>
      <c r="D108" s="151"/>
      <c r="E108" s="151"/>
      <c r="F108" s="151"/>
      <c r="H108" s="9"/>
      <c r="I108" s="9"/>
      <c r="J108" s="9"/>
      <c r="L108" s="27"/>
      <c r="M108" s="65"/>
      <c r="N108" s="110" t="s">
        <v>151</v>
      </c>
      <c r="O108" s="111" t="s">
        <v>53</v>
      </c>
      <c r="P108" s="112" t="s">
        <v>1</v>
      </c>
      <c r="Q108" s="21"/>
      <c r="R108" s="93"/>
    </row>
    <row r="109" spans="2:18">
      <c r="C109" s="67"/>
      <c r="D109" s="62"/>
      <c r="E109" s="62"/>
      <c r="F109" s="62"/>
      <c r="H109" s="9"/>
      <c r="I109" s="9"/>
      <c r="J109" s="9"/>
      <c r="L109" s="27"/>
      <c r="M109" s="65"/>
      <c r="N109" s="107"/>
      <c r="O109" s="108"/>
      <c r="P109" s="108"/>
      <c r="Q109" s="21"/>
      <c r="R109" s="93"/>
    </row>
    <row r="110" spans="2:18" ht="51">
      <c r="C110" s="67"/>
      <c r="D110" s="62"/>
      <c r="E110" s="63"/>
      <c r="F110" s="62"/>
      <c r="H110" s="9"/>
      <c r="I110" s="9"/>
      <c r="J110" s="9"/>
      <c r="L110" s="27"/>
      <c r="M110" s="65"/>
      <c r="N110" s="107"/>
      <c r="O110" s="111" t="s">
        <v>56</v>
      </c>
      <c r="P110" s="108"/>
      <c r="Q110" s="21"/>
      <c r="R110" s="93"/>
    </row>
    <row r="111" spans="2:18" ht="25.5">
      <c r="C111" s="67"/>
      <c r="D111" s="62"/>
      <c r="E111" s="63"/>
      <c r="F111" s="62"/>
      <c r="H111" s="9"/>
      <c r="I111" s="9"/>
      <c r="J111" s="9"/>
      <c r="L111" s="27"/>
      <c r="M111" s="65"/>
      <c r="N111" s="110" t="s">
        <v>72</v>
      </c>
      <c r="O111" s="108"/>
      <c r="P111" s="112" t="s">
        <v>1</v>
      </c>
      <c r="Q111" s="21"/>
      <c r="R111" s="93"/>
    </row>
    <row r="112" spans="2:18" ht="51">
      <c r="C112" s="67"/>
      <c r="D112" s="62"/>
      <c r="E112" s="62"/>
      <c r="F112" s="62"/>
      <c r="H112" s="9"/>
      <c r="I112" s="9"/>
      <c r="J112" s="9"/>
      <c r="L112" s="27"/>
      <c r="M112" s="65"/>
      <c r="N112" s="107"/>
      <c r="O112" s="111" t="s">
        <v>7</v>
      </c>
      <c r="P112" s="108"/>
      <c r="Q112" s="21"/>
      <c r="R112" s="93"/>
    </row>
    <row r="113" spans="3:18" ht="51">
      <c r="C113" s="67"/>
      <c r="D113" s="62"/>
      <c r="E113" s="63"/>
      <c r="F113" s="62"/>
      <c r="H113" s="9"/>
      <c r="I113" s="9"/>
      <c r="J113" s="9"/>
      <c r="L113" s="27"/>
      <c r="M113" s="65"/>
      <c r="N113" s="110" t="s">
        <v>51</v>
      </c>
      <c r="O113" s="111" t="s">
        <v>167</v>
      </c>
      <c r="P113" s="108"/>
      <c r="Q113" s="21"/>
      <c r="R113" s="93"/>
    </row>
    <row r="114" spans="3:18">
      <c r="C114" s="67"/>
      <c r="D114" s="62"/>
      <c r="E114" s="63"/>
      <c r="F114" s="62"/>
      <c r="H114" s="9"/>
      <c r="I114" s="9"/>
      <c r="J114" s="9"/>
      <c r="L114" s="27"/>
      <c r="M114" s="65"/>
      <c r="N114" s="110"/>
      <c r="O114" s="111"/>
      <c r="P114" s="112" t="s">
        <v>1</v>
      </c>
      <c r="Q114" s="21"/>
      <c r="R114" s="93"/>
    </row>
    <row r="115" spans="3:18" ht="38.25">
      <c r="C115" s="67"/>
      <c r="D115" s="62"/>
      <c r="E115" s="63"/>
      <c r="F115" s="62"/>
      <c r="H115" s="9"/>
      <c r="I115" s="9"/>
      <c r="J115" s="9"/>
      <c r="L115" s="27"/>
      <c r="M115" s="65"/>
      <c r="N115" s="110" t="s">
        <v>51</v>
      </c>
      <c r="O115" s="111"/>
      <c r="P115" s="108"/>
      <c r="Q115" s="21"/>
      <c r="R115" s="93"/>
    </row>
    <row r="116" spans="3:18">
      <c r="C116" s="67"/>
      <c r="D116" s="62"/>
      <c r="E116" s="62"/>
      <c r="F116" s="62"/>
      <c r="H116" s="9"/>
      <c r="I116" s="9"/>
      <c r="J116" s="9"/>
      <c r="L116" s="27"/>
      <c r="M116" s="65"/>
      <c r="N116" s="110"/>
      <c r="O116" s="111"/>
      <c r="P116" s="108"/>
      <c r="Q116" s="21"/>
      <c r="R116" s="93"/>
    </row>
    <row r="117" spans="3:18">
      <c r="C117" s="67"/>
      <c r="D117" s="62"/>
      <c r="E117" s="62"/>
      <c r="F117" s="62"/>
      <c r="H117" s="9"/>
      <c r="I117" s="9"/>
      <c r="J117" s="9"/>
      <c r="L117" s="27"/>
      <c r="M117" s="65"/>
      <c r="N117" s="110"/>
      <c r="O117" s="111"/>
      <c r="P117" s="112"/>
      <c r="Q117" s="21"/>
      <c r="R117" s="93"/>
    </row>
    <row r="118" spans="3:18">
      <c r="C118" s="67"/>
      <c r="D118" s="62"/>
      <c r="E118" s="62"/>
      <c r="F118" s="62"/>
      <c r="H118" s="9"/>
      <c r="I118" s="9"/>
      <c r="J118" s="9"/>
      <c r="L118" s="27"/>
      <c r="M118" s="65"/>
      <c r="N118" s="110"/>
      <c r="O118" s="111"/>
      <c r="P118" s="112"/>
      <c r="Q118" s="21"/>
      <c r="R118" s="93"/>
    </row>
    <row r="119" spans="3:18" ht="13.5" thickBot="1">
      <c r="C119" s="67"/>
      <c r="D119" s="62"/>
      <c r="E119" s="62"/>
      <c r="F119" s="62"/>
      <c r="H119" s="9"/>
      <c r="I119" s="9"/>
      <c r="J119" s="9"/>
      <c r="L119" s="27"/>
      <c r="M119" s="65"/>
      <c r="N119" s="113"/>
      <c r="O119" s="114"/>
      <c r="P119" s="114" t="s">
        <v>2</v>
      </c>
      <c r="Q119" s="115"/>
      <c r="R119" s="94"/>
    </row>
    <row r="120" spans="3:18">
      <c r="C120" s="67"/>
      <c r="D120" s="62"/>
      <c r="E120" s="62"/>
      <c r="F120" s="62"/>
      <c r="H120" s="9"/>
      <c r="I120" s="9"/>
      <c r="J120" s="9"/>
      <c r="L120" s="27"/>
      <c r="M120" s="65"/>
      <c r="O120" s="13"/>
    </row>
    <row r="121" spans="3:18">
      <c r="C121" s="67"/>
      <c r="D121" s="62"/>
      <c r="E121" s="62"/>
      <c r="F121" s="62"/>
      <c r="H121" s="9"/>
      <c r="I121" s="9"/>
      <c r="J121" s="9"/>
      <c r="L121" s="27"/>
      <c r="M121" s="65"/>
      <c r="O121" s="13"/>
    </row>
    <row r="122" spans="3:18">
      <c r="C122" s="67"/>
      <c r="D122" s="62"/>
      <c r="E122" s="62"/>
      <c r="F122" s="62"/>
      <c r="H122" s="9"/>
      <c r="I122" s="9"/>
      <c r="J122" s="9"/>
      <c r="L122" s="27"/>
      <c r="M122" s="65"/>
      <c r="O122" s="13"/>
    </row>
    <row r="123" spans="3:18">
      <c r="C123" s="67"/>
      <c r="D123" s="62"/>
      <c r="E123" s="63"/>
      <c r="F123" s="62"/>
      <c r="H123" s="9"/>
      <c r="I123" s="9"/>
      <c r="J123" s="9"/>
      <c r="L123" s="27"/>
      <c r="M123" s="65"/>
      <c r="O123" s="13"/>
    </row>
    <row r="124" spans="3:18">
      <c r="C124" s="67"/>
      <c r="D124" s="62"/>
      <c r="E124" s="63"/>
      <c r="F124" s="62"/>
      <c r="H124" s="9"/>
      <c r="I124" s="9"/>
      <c r="J124" s="9"/>
      <c r="L124" s="27"/>
      <c r="M124" s="65"/>
      <c r="O124" s="13"/>
    </row>
    <row r="125" spans="3:18">
      <c r="C125" s="67"/>
      <c r="D125" s="62"/>
      <c r="E125" s="62"/>
      <c r="F125" s="62"/>
      <c r="H125" s="9"/>
      <c r="I125" s="9"/>
      <c r="J125" s="9"/>
      <c r="L125" s="27"/>
      <c r="M125" s="65"/>
      <c r="O125" s="13"/>
    </row>
    <row r="126" spans="3:18">
      <c r="C126" s="67"/>
      <c r="D126" s="62"/>
      <c r="E126" s="63"/>
      <c r="F126" s="62"/>
      <c r="H126" s="9"/>
      <c r="I126" s="9"/>
      <c r="J126" s="9"/>
      <c r="L126" s="27"/>
      <c r="M126" s="65"/>
      <c r="O126" s="13"/>
    </row>
    <row r="127" spans="3:18">
      <c r="C127" s="67"/>
      <c r="D127" s="62"/>
      <c r="E127" s="62"/>
      <c r="F127" s="62"/>
      <c r="H127" s="9"/>
      <c r="I127" s="9"/>
      <c r="J127" s="9"/>
      <c r="L127" s="27"/>
      <c r="M127" s="65"/>
      <c r="O127" s="13"/>
    </row>
    <row r="128" spans="3:18">
      <c r="C128" s="67"/>
      <c r="D128" s="62"/>
      <c r="E128" s="62"/>
      <c r="F128" s="62"/>
      <c r="H128" s="9"/>
      <c r="I128" s="9"/>
      <c r="J128" s="9"/>
      <c r="L128" s="27"/>
      <c r="M128" s="65"/>
      <c r="O128" s="13"/>
    </row>
    <row r="129" spans="3:15">
      <c r="C129" s="67"/>
      <c r="D129" s="62"/>
      <c r="E129" s="62"/>
      <c r="F129" s="62"/>
      <c r="H129" s="9"/>
      <c r="I129" s="9"/>
      <c r="J129" s="9"/>
      <c r="L129" s="27"/>
      <c r="M129" s="65"/>
      <c r="O129" s="13"/>
    </row>
    <row r="130" spans="3:15">
      <c r="C130" s="67"/>
      <c r="D130" s="62"/>
      <c r="E130" s="62"/>
      <c r="F130" s="62"/>
      <c r="H130" s="9"/>
      <c r="I130" s="9"/>
      <c r="J130" s="9"/>
      <c r="L130" s="27"/>
      <c r="M130" s="65"/>
      <c r="O130" s="13"/>
    </row>
    <row r="131" spans="3:15">
      <c r="C131" s="67"/>
      <c r="D131" s="62"/>
      <c r="E131" s="63"/>
      <c r="F131" s="62"/>
      <c r="H131" s="9"/>
      <c r="I131" s="9"/>
      <c r="J131" s="9"/>
      <c r="L131" s="27"/>
      <c r="M131" s="65"/>
      <c r="O131" s="13"/>
    </row>
    <row r="132" spans="3:15">
      <c r="C132" s="67"/>
      <c r="D132" s="62"/>
      <c r="E132" s="62"/>
      <c r="F132" s="62"/>
      <c r="H132" s="9"/>
      <c r="I132" s="9"/>
      <c r="J132" s="9"/>
      <c r="L132" s="27"/>
      <c r="M132" s="65"/>
      <c r="O132" s="13"/>
    </row>
    <row r="133" spans="3:15">
      <c r="C133" s="67"/>
      <c r="D133" s="62"/>
      <c r="E133" s="62"/>
      <c r="F133" s="62"/>
      <c r="H133" s="9"/>
      <c r="I133" s="9"/>
      <c r="J133" s="9"/>
      <c r="L133" s="27"/>
      <c r="M133" s="65"/>
      <c r="O133" s="13"/>
    </row>
    <row r="134" spans="3:15">
      <c r="C134" s="67"/>
      <c r="D134" s="62"/>
      <c r="E134" s="62"/>
      <c r="F134" s="62"/>
      <c r="H134" s="9"/>
      <c r="I134" s="9"/>
      <c r="J134" s="9"/>
      <c r="L134" s="27"/>
      <c r="M134" s="65"/>
      <c r="O134" s="13"/>
    </row>
    <row r="135" spans="3:15">
      <c r="C135" s="67"/>
      <c r="D135" s="62"/>
      <c r="E135" s="63"/>
      <c r="F135" s="62"/>
      <c r="H135" s="9"/>
      <c r="I135" s="9"/>
      <c r="J135" s="9"/>
      <c r="L135" s="27"/>
      <c r="M135" s="65"/>
      <c r="O135" s="13"/>
    </row>
    <row r="136" spans="3:15">
      <c r="C136" s="67"/>
      <c r="D136" s="62"/>
      <c r="E136" s="62"/>
      <c r="F136" s="62"/>
      <c r="H136" s="9"/>
      <c r="I136" s="9"/>
      <c r="J136" s="9"/>
      <c r="L136" s="27"/>
      <c r="M136" s="65"/>
      <c r="O136" s="13"/>
    </row>
    <row r="137" spans="3:15">
      <c r="C137" s="67"/>
      <c r="D137" s="62"/>
      <c r="E137" s="62"/>
      <c r="F137" s="62"/>
      <c r="H137" s="9"/>
      <c r="I137" s="9"/>
      <c r="J137" s="9"/>
      <c r="L137" s="27"/>
      <c r="M137" s="65"/>
      <c r="O137" s="13"/>
    </row>
    <row r="138" spans="3:15">
      <c r="C138" s="67"/>
      <c r="D138" s="62"/>
      <c r="E138" s="62"/>
      <c r="F138" s="62"/>
      <c r="H138" s="9"/>
      <c r="I138" s="9"/>
      <c r="J138" s="9"/>
      <c r="L138" s="27"/>
      <c r="M138" s="65"/>
      <c r="O138" s="13"/>
    </row>
    <row r="139" spans="3:15">
      <c r="C139" s="67"/>
      <c r="D139" s="62"/>
      <c r="E139" s="62"/>
      <c r="F139" s="62"/>
      <c r="H139" s="9"/>
      <c r="I139" s="9"/>
      <c r="J139" s="9"/>
      <c r="L139" s="27"/>
      <c r="M139" s="65"/>
      <c r="O139" s="13"/>
    </row>
    <row r="140" spans="3:15">
      <c r="C140" s="67"/>
      <c r="D140" s="62"/>
      <c r="E140" s="63"/>
      <c r="F140" s="62"/>
      <c r="H140" s="9"/>
      <c r="I140" s="9"/>
      <c r="J140" s="9"/>
      <c r="L140" s="27"/>
      <c r="M140" s="65"/>
      <c r="O140" s="13"/>
    </row>
    <row r="141" spans="3:15">
      <c r="C141" s="67"/>
      <c r="D141" s="62"/>
      <c r="E141" s="62"/>
      <c r="F141" s="62"/>
      <c r="H141" s="9"/>
      <c r="I141" s="9"/>
      <c r="J141" s="9"/>
      <c r="L141" s="27"/>
      <c r="M141" s="65"/>
      <c r="O141" s="13"/>
    </row>
    <row r="142" spans="3:15">
      <c r="C142" s="67"/>
      <c r="D142" s="62"/>
      <c r="E142" s="63"/>
      <c r="F142" s="62"/>
      <c r="H142" s="9"/>
      <c r="I142" s="9"/>
      <c r="J142" s="9"/>
      <c r="L142" s="27"/>
      <c r="M142" s="65"/>
      <c r="O142" s="13"/>
    </row>
    <row r="143" spans="3:15">
      <c r="C143" s="67"/>
      <c r="D143" s="62"/>
      <c r="E143" s="62"/>
      <c r="F143" s="62"/>
      <c r="H143" s="9"/>
      <c r="I143" s="9"/>
      <c r="J143" s="9"/>
      <c r="L143" s="27"/>
      <c r="M143" s="65"/>
      <c r="O143" s="13"/>
    </row>
    <row r="144" spans="3:15">
      <c r="C144" s="67"/>
      <c r="D144" s="62"/>
      <c r="E144" s="62"/>
      <c r="F144" s="62"/>
      <c r="H144" s="9"/>
      <c r="I144" s="9"/>
      <c r="J144" s="9"/>
      <c r="L144" s="27"/>
      <c r="M144" s="65"/>
      <c r="O144" s="13"/>
    </row>
    <row r="145" spans="3:15">
      <c r="C145" s="67"/>
      <c r="D145" s="62"/>
      <c r="E145" s="63"/>
      <c r="F145" s="62"/>
      <c r="H145" s="9"/>
      <c r="I145" s="9"/>
      <c r="J145" s="9"/>
      <c r="L145" s="27"/>
      <c r="M145" s="65"/>
      <c r="O145" s="13"/>
    </row>
    <row r="146" spans="3:15">
      <c r="C146" s="67"/>
      <c r="D146" s="62"/>
      <c r="E146" s="63"/>
      <c r="F146" s="62"/>
      <c r="H146" s="9"/>
      <c r="I146" s="9"/>
      <c r="J146" s="9"/>
      <c r="L146" s="27"/>
      <c r="M146" s="65"/>
      <c r="O146" s="13"/>
    </row>
    <row r="147" spans="3:15">
      <c r="C147" s="67"/>
      <c r="D147" s="62"/>
      <c r="E147" s="63"/>
      <c r="F147" s="62"/>
      <c r="H147" s="9"/>
      <c r="I147" s="9"/>
      <c r="J147" s="9"/>
      <c r="L147" s="27"/>
      <c r="M147" s="65"/>
      <c r="O147" s="13"/>
    </row>
    <row r="148" spans="3:15">
      <c r="C148" s="67"/>
      <c r="D148" s="62"/>
      <c r="E148" s="62"/>
      <c r="F148" s="62"/>
      <c r="H148" s="9"/>
      <c r="I148" s="9"/>
      <c r="J148" s="9"/>
      <c r="L148" s="27"/>
      <c r="M148" s="65"/>
      <c r="O148" s="13"/>
    </row>
    <row r="149" spans="3:15">
      <c r="C149" s="67"/>
      <c r="D149" s="62"/>
      <c r="E149" s="62"/>
      <c r="F149" s="62"/>
      <c r="H149" s="9"/>
      <c r="I149" s="9"/>
      <c r="J149" s="9"/>
      <c r="L149" s="27"/>
      <c r="M149" s="65"/>
      <c r="O149" s="13"/>
    </row>
    <row r="150" spans="3:15">
      <c r="C150" s="67"/>
      <c r="D150" s="62"/>
      <c r="E150" s="63"/>
      <c r="F150" s="62"/>
      <c r="H150" s="9"/>
      <c r="I150" s="9"/>
      <c r="J150" s="9"/>
      <c r="L150" s="27"/>
      <c r="M150" s="65"/>
      <c r="O150" s="13"/>
    </row>
    <row r="151" spans="3:15">
      <c r="C151" s="67"/>
      <c r="D151" s="62"/>
      <c r="E151" s="62"/>
      <c r="F151" s="62"/>
      <c r="H151" s="9"/>
      <c r="I151" s="9"/>
      <c r="J151" s="9"/>
      <c r="L151" s="27"/>
      <c r="M151" s="65"/>
      <c r="O151" s="13"/>
    </row>
    <row r="152" spans="3:15">
      <c r="C152" s="67"/>
      <c r="D152" s="62"/>
      <c r="E152" s="63"/>
      <c r="F152" s="62"/>
      <c r="H152" s="9"/>
      <c r="I152" s="9"/>
      <c r="J152" s="9"/>
      <c r="L152" s="27"/>
      <c r="M152" s="65"/>
      <c r="O152" s="13"/>
    </row>
    <row r="153" spans="3:15">
      <c r="C153" s="67"/>
      <c r="D153" s="62"/>
      <c r="E153" s="62"/>
      <c r="F153" s="62"/>
      <c r="H153" s="9"/>
      <c r="I153" s="9"/>
      <c r="J153" s="9"/>
      <c r="L153" s="27"/>
      <c r="M153" s="65"/>
      <c r="O153" s="13"/>
    </row>
    <row r="154" spans="3:15">
      <c r="C154" s="67"/>
      <c r="D154" s="62"/>
      <c r="E154" s="63"/>
      <c r="F154" s="62"/>
      <c r="H154" s="9"/>
      <c r="I154" s="9"/>
      <c r="J154" s="9"/>
      <c r="L154" s="27"/>
      <c r="M154" s="65"/>
      <c r="O154" s="13"/>
    </row>
    <row r="155" spans="3:15">
      <c r="C155" s="67"/>
      <c r="D155" s="62"/>
      <c r="E155" s="63"/>
      <c r="F155" s="62"/>
      <c r="H155" s="9"/>
      <c r="I155" s="9"/>
      <c r="J155" s="9"/>
      <c r="L155" s="27"/>
      <c r="M155" s="65"/>
      <c r="O155" s="13"/>
    </row>
    <row r="156" spans="3:15">
      <c r="C156" s="67"/>
      <c r="D156" s="62"/>
      <c r="E156" s="62"/>
      <c r="F156" s="62"/>
      <c r="H156" s="9"/>
      <c r="I156" s="9"/>
      <c r="J156" s="9"/>
      <c r="L156" s="27"/>
      <c r="M156" s="65"/>
      <c r="O156" s="13"/>
    </row>
    <row r="157" spans="3:15">
      <c r="C157" s="67"/>
      <c r="D157" s="62"/>
      <c r="E157" s="62"/>
      <c r="F157" s="62"/>
      <c r="H157" s="9"/>
      <c r="I157" s="9"/>
      <c r="J157" s="9"/>
      <c r="L157" s="27"/>
      <c r="M157" s="65"/>
      <c r="O157" s="13"/>
    </row>
    <row r="158" spans="3:15">
      <c r="C158" s="67"/>
      <c r="D158" s="62"/>
      <c r="E158" s="63"/>
      <c r="F158" s="62"/>
      <c r="H158" s="9"/>
      <c r="I158" s="9"/>
      <c r="J158" s="9"/>
      <c r="L158" s="27"/>
      <c r="M158" s="65"/>
      <c r="O158" s="13"/>
    </row>
    <row r="159" spans="3:15">
      <c r="C159" s="67"/>
      <c r="D159" s="62"/>
      <c r="E159" s="63"/>
      <c r="F159" s="62"/>
      <c r="H159" s="9"/>
      <c r="I159" s="9"/>
      <c r="J159" s="9"/>
      <c r="L159" s="27"/>
      <c r="M159" s="65"/>
      <c r="O159" s="13"/>
    </row>
    <row r="160" spans="3:15">
      <c r="C160" s="67"/>
      <c r="D160" s="62"/>
      <c r="E160" s="62"/>
      <c r="F160" s="62"/>
      <c r="H160" s="9"/>
      <c r="I160" s="9"/>
      <c r="J160" s="9"/>
      <c r="L160" s="27"/>
      <c r="M160" s="65"/>
      <c r="O160" s="13"/>
    </row>
    <row r="161" spans="3:15">
      <c r="C161" s="67"/>
      <c r="D161" s="62"/>
      <c r="E161" s="62"/>
      <c r="F161" s="62"/>
      <c r="H161" s="9"/>
      <c r="I161" s="9"/>
      <c r="J161" s="9"/>
      <c r="L161" s="27"/>
      <c r="M161" s="65"/>
      <c r="O161" s="13"/>
    </row>
    <row r="162" spans="3:15">
      <c r="C162" s="67"/>
      <c r="D162" s="62"/>
      <c r="E162" s="62"/>
      <c r="F162" s="62"/>
      <c r="H162" s="9"/>
      <c r="I162" s="9"/>
      <c r="J162" s="9"/>
      <c r="L162" s="27"/>
      <c r="M162" s="65"/>
      <c r="O162" s="13"/>
    </row>
    <row r="163" spans="3:15">
      <c r="C163" s="67"/>
      <c r="D163" s="62"/>
      <c r="E163" s="62"/>
      <c r="F163" s="62"/>
      <c r="H163" s="9"/>
      <c r="I163" s="9"/>
      <c r="J163" s="9"/>
      <c r="L163" s="27"/>
      <c r="M163" s="65"/>
      <c r="O163" s="13"/>
    </row>
    <row r="164" spans="3:15">
      <c r="C164" s="67"/>
      <c r="D164" s="62"/>
      <c r="E164" s="63"/>
      <c r="F164" s="62"/>
      <c r="H164" s="9"/>
      <c r="I164" s="9"/>
      <c r="J164" s="9"/>
      <c r="L164" s="27"/>
      <c r="M164" s="65"/>
      <c r="O164" s="13"/>
    </row>
    <row r="165" spans="3:15">
      <c r="C165" s="67"/>
      <c r="D165" s="62"/>
      <c r="E165" s="63"/>
      <c r="F165" s="62"/>
      <c r="H165" s="9"/>
      <c r="I165" s="9"/>
      <c r="J165" s="9"/>
      <c r="L165" s="27"/>
      <c r="M165" s="65"/>
      <c r="O165" s="13"/>
    </row>
    <row r="166" spans="3:15">
      <c r="C166" s="67"/>
      <c r="D166" s="62"/>
      <c r="E166" s="63"/>
      <c r="F166" s="62"/>
      <c r="H166" s="9"/>
      <c r="I166" s="9"/>
      <c r="J166" s="9"/>
      <c r="L166" s="27"/>
      <c r="M166" s="65"/>
      <c r="O166" s="13"/>
    </row>
    <row r="167" spans="3:15">
      <c r="C167" s="67"/>
      <c r="D167" s="62"/>
      <c r="E167" s="62"/>
      <c r="F167" s="62"/>
      <c r="H167" s="9"/>
      <c r="I167" s="9"/>
      <c r="J167" s="9"/>
      <c r="L167" s="27"/>
      <c r="M167" s="65"/>
      <c r="O167" s="13"/>
    </row>
    <row r="168" spans="3:15">
      <c r="C168" s="67"/>
      <c r="D168" s="62"/>
      <c r="E168" s="62"/>
      <c r="F168" s="62"/>
      <c r="H168" s="9"/>
      <c r="I168" s="9"/>
      <c r="J168" s="9"/>
      <c r="L168" s="27"/>
      <c r="M168" s="65"/>
      <c r="O168" s="13"/>
    </row>
    <row r="169" spans="3:15">
      <c r="C169" s="67"/>
      <c r="D169" s="62"/>
      <c r="E169" s="63"/>
      <c r="F169" s="62"/>
      <c r="H169" s="9"/>
      <c r="I169" s="9"/>
      <c r="J169" s="9"/>
      <c r="L169" s="27"/>
      <c r="M169" s="65"/>
      <c r="O169" s="13"/>
    </row>
    <row r="170" spans="3:15">
      <c r="C170" s="67"/>
      <c r="D170" s="62"/>
      <c r="E170" s="62"/>
      <c r="F170" s="62"/>
      <c r="H170" s="9"/>
      <c r="I170" s="9"/>
      <c r="J170" s="9"/>
      <c r="L170" s="27"/>
      <c r="M170" s="65"/>
      <c r="O170" s="13"/>
    </row>
    <row r="171" spans="3:15">
      <c r="C171" s="67"/>
      <c r="D171" s="62"/>
      <c r="E171" s="63"/>
      <c r="F171" s="62"/>
      <c r="H171" s="9"/>
      <c r="I171" s="9"/>
      <c r="J171" s="9"/>
      <c r="L171" s="27"/>
      <c r="M171" s="65"/>
      <c r="O171" s="13"/>
    </row>
    <row r="172" spans="3:15">
      <c r="C172" s="67"/>
      <c r="D172" s="62"/>
      <c r="E172" s="62"/>
      <c r="F172" s="62"/>
      <c r="H172" s="9"/>
      <c r="I172" s="9"/>
      <c r="J172" s="9"/>
      <c r="L172" s="27"/>
      <c r="M172" s="65"/>
      <c r="O172" s="13"/>
    </row>
    <row r="173" spans="3:15">
      <c r="C173" s="67"/>
      <c r="D173" s="62"/>
      <c r="E173" s="63"/>
      <c r="F173" s="62"/>
      <c r="H173" s="9"/>
      <c r="I173" s="9"/>
      <c r="J173" s="9"/>
      <c r="L173" s="27"/>
      <c r="M173" s="65"/>
      <c r="O173" s="13"/>
    </row>
    <row r="174" spans="3:15">
      <c r="C174" s="67"/>
      <c r="D174" s="62"/>
      <c r="E174" s="63"/>
      <c r="F174" s="62"/>
      <c r="H174" s="9"/>
      <c r="I174" s="9"/>
      <c r="J174" s="9"/>
      <c r="L174" s="27"/>
      <c r="M174" s="65"/>
      <c r="O174" s="13"/>
    </row>
    <row r="175" spans="3:15">
      <c r="C175" s="67"/>
      <c r="D175" s="62"/>
      <c r="E175" s="62"/>
      <c r="F175" s="62"/>
      <c r="H175" s="9"/>
      <c r="I175" s="9"/>
      <c r="J175" s="9"/>
      <c r="L175" s="27"/>
      <c r="M175" s="65"/>
      <c r="O175" s="13"/>
    </row>
    <row r="176" spans="3:15">
      <c r="C176" s="67"/>
      <c r="D176" s="62"/>
      <c r="E176" s="63"/>
      <c r="F176" s="62"/>
      <c r="H176" s="9"/>
      <c r="I176" s="9"/>
      <c r="J176" s="9"/>
      <c r="L176" s="27"/>
      <c r="M176" s="65"/>
      <c r="O176" s="13"/>
    </row>
    <row r="177" spans="3:15">
      <c r="C177" s="67"/>
      <c r="D177" s="62"/>
      <c r="E177" s="62"/>
      <c r="F177" s="62"/>
      <c r="H177" s="9"/>
      <c r="I177" s="9"/>
      <c r="J177" s="9"/>
      <c r="L177" s="27"/>
      <c r="M177" s="65"/>
      <c r="O177" s="13"/>
    </row>
    <row r="178" spans="3:15">
      <c r="C178" s="67"/>
      <c r="D178" s="62"/>
      <c r="E178" s="62"/>
      <c r="F178" s="62"/>
      <c r="H178" s="9"/>
      <c r="I178" s="9"/>
      <c r="J178" s="9"/>
      <c r="L178" s="27"/>
      <c r="M178" s="65"/>
      <c r="O178" s="13"/>
    </row>
    <row r="179" spans="3:15">
      <c r="C179" s="67"/>
      <c r="D179" s="62"/>
      <c r="E179" s="62"/>
      <c r="F179" s="62"/>
      <c r="H179" s="9"/>
      <c r="I179" s="9"/>
      <c r="J179" s="9"/>
      <c r="L179" s="27"/>
      <c r="M179" s="65"/>
      <c r="O179" s="13"/>
    </row>
    <row r="180" spans="3:15">
      <c r="C180" s="67"/>
      <c r="D180" s="62"/>
      <c r="E180" s="62"/>
      <c r="F180" s="62"/>
      <c r="H180" s="9"/>
      <c r="I180" s="9"/>
      <c r="J180" s="9"/>
      <c r="L180" s="27"/>
      <c r="M180" s="65"/>
      <c r="O180" s="13"/>
    </row>
    <row r="181" spans="3:15">
      <c r="C181" s="67"/>
      <c r="D181" s="62"/>
      <c r="E181" s="62"/>
      <c r="F181" s="62"/>
      <c r="H181" s="9"/>
      <c r="I181" s="9"/>
      <c r="J181" s="9"/>
      <c r="L181" s="27"/>
      <c r="M181" s="65"/>
      <c r="O181" s="13"/>
    </row>
    <row r="182" spans="3:15">
      <c r="C182" s="67"/>
      <c r="D182" s="62"/>
      <c r="E182" s="62"/>
      <c r="F182" s="62"/>
      <c r="H182" s="9"/>
      <c r="I182" s="9"/>
      <c r="J182" s="9"/>
      <c r="L182" s="27"/>
      <c r="M182" s="65"/>
      <c r="O182" s="13"/>
    </row>
    <row r="183" spans="3:15">
      <c r="C183" s="67"/>
      <c r="D183" s="62"/>
      <c r="E183" s="63"/>
      <c r="F183" s="62"/>
      <c r="H183" s="9"/>
      <c r="I183" s="9"/>
      <c r="J183" s="9"/>
      <c r="L183" s="27"/>
      <c r="M183" s="65"/>
      <c r="O183" s="13"/>
    </row>
    <row r="184" spans="3:15">
      <c r="C184" s="67"/>
      <c r="D184" s="62"/>
      <c r="E184" s="62"/>
      <c r="F184" s="62"/>
      <c r="H184" s="9"/>
      <c r="I184" s="9"/>
      <c r="J184" s="9"/>
      <c r="L184" s="27"/>
      <c r="M184" s="65"/>
      <c r="O184" s="13"/>
    </row>
    <row r="185" spans="3:15">
      <c r="C185" s="67"/>
      <c r="D185" s="62"/>
      <c r="E185" s="63"/>
      <c r="F185" s="62"/>
      <c r="H185" s="9"/>
      <c r="I185" s="9"/>
      <c r="J185" s="9"/>
      <c r="L185" s="27"/>
      <c r="M185" s="65"/>
      <c r="O185" s="13"/>
    </row>
    <row r="186" spans="3:15">
      <c r="C186" s="67"/>
      <c r="D186" s="62"/>
      <c r="E186" s="62"/>
      <c r="F186" s="62"/>
      <c r="H186" s="9"/>
      <c r="I186" s="9"/>
      <c r="J186" s="9"/>
      <c r="L186" s="27"/>
      <c r="M186" s="65"/>
      <c r="O186" s="13"/>
    </row>
    <row r="187" spans="3:15">
      <c r="C187" s="67"/>
      <c r="D187" s="62"/>
      <c r="E187" s="63"/>
      <c r="F187" s="62"/>
      <c r="H187" s="9"/>
      <c r="I187" s="9"/>
      <c r="J187" s="9"/>
      <c r="L187" s="27"/>
      <c r="M187" s="65"/>
      <c r="O187" s="13"/>
    </row>
    <row r="188" spans="3:15">
      <c r="C188" s="67"/>
      <c r="D188" s="62"/>
      <c r="E188" s="63"/>
      <c r="F188" s="62"/>
      <c r="H188" s="9"/>
      <c r="I188" s="9"/>
      <c r="J188" s="9"/>
      <c r="L188" s="27"/>
      <c r="M188" s="65"/>
      <c r="O188" s="13"/>
    </row>
    <row r="189" spans="3:15">
      <c r="C189" s="67"/>
      <c r="D189" s="62"/>
      <c r="E189" s="62"/>
      <c r="F189" s="62"/>
      <c r="H189" s="9"/>
      <c r="I189" s="9"/>
      <c r="J189" s="9"/>
      <c r="L189" s="27"/>
      <c r="M189" s="65"/>
      <c r="O189" s="13"/>
    </row>
    <row r="190" spans="3:15">
      <c r="C190" s="67"/>
      <c r="D190" s="62"/>
      <c r="E190" s="62"/>
      <c r="F190" s="62"/>
      <c r="H190" s="9"/>
      <c r="I190" s="9"/>
      <c r="J190" s="9"/>
      <c r="L190" s="27"/>
      <c r="M190" s="65"/>
      <c r="O190" s="13"/>
    </row>
    <row r="191" spans="3:15">
      <c r="C191" s="67"/>
      <c r="D191" s="62"/>
      <c r="E191" s="62"/>
      <c r="F191" s="62"/>
      <c r="H191" s="9"/>
      <c r="I191" s="9"/>
      <c r="J191" s="9"/>
      <c r="L191" s="27"/>
      <c r="M191" s="65"/>
      <c r="O191" s="13"/>
    </row>
    <row r="192" spans="3:15">
      <c r="C192" s="67"/>
      <c r="D192" s="62"/>
      <c r="E192" s="62"/>
      <c r="F192" s="62"/>
      <c r="H192" s="9"/>
      <c r="I192" s="9"/>
      <c r="J192" s="9"/>
      <c r="L192" s="27"/>
      <c r="M192" s="65"/>
      <c r="O192" s="13"/>
    </row>
    <row r="193" spans="3:15">
      <c r="C193" s="67"/>
      <c r="D193" s="62"/>
      <c r="E193" s="62"/>
      <c r="F193" s="62"/>
      <c r="H193" s="9"/>
      <c r="I193" s="9"/>
      <c r="J193" s="9"/>
      <c r="L193" s="27"/>
      <c r="M193" s="65"/>
      <c r="O193" s="13"/>
    </row>
    <row r="194" spans="3:15">
      <c r="C194" s="67"/>
      <c r="D194" s="62"/>
      <c r="E194" s="62"/>
      <c r="F194" s="62"/>
      <c r="H194" s="9"/>
      <c r="I194" s="9"/>
      <c r="J194" s="9"/>
      <c r="L194" s="27"/>
      <c r="M194" s="65"/>
      <c r="O194" s="13"/>
    </row>
    <row r="195" spans="3:15">
      <c r="C195" s="67"/>
      <c r="D195" s="62"/>
      <c r="E195" s="62"/>
      <c r="F195" s="62"/>
      <c r="H195" s="9"/>
      <c r="I195" s="9"/>
      <c r="J195" s="9"/>
      <c r="L195" s="27"/>
      <c r="M195" s="65"/>
      <c r="O195" s="13"/>
    </row>
    <row r="196" spans="3:15">
      <c r="C196" s="67"/>
      <c r="D196" s="62"/>
      <c r="E196" s="62"/>
      <c r="F196" s="62"/>
      <c r="H196" s="9"/>
      <c r="I196" s="9"/>
      <c r="J196" s="9"/>
      <c r="L196" s="27"/>
      <c r="M196" s="65"/>
      <c r="O196" s="13"/>
    </row>
    <row r="197" spans="3:15">
      <c r="C197" s="67"/>
      <c r="D197" s="62"/>
      <c r="E197" s="63"/>
      <c r="F197" s="62"/>
      <c r="H197" s="9"/>
      <c r="I197" s="9"/>
      <c r="J197" s="9"/>
      <c r="L197" s="27"/>
      <c r="M197" s="65"/>
      <c r="O197" s="13"/>
    </row>
    <row r="198" spans="3:15">
      <c r="C198" s="67"/>
      <c r="D198" s="62"/>
      <c r="E198" s="62"/>
      <c r="F198" s="62"/>
      <c r="H198" s="9"/>
      <c r="I198" s="9"/>
      <c r="J198" s="9"/>
      <c r="L198" s="27"/>
      <c r="M198" s="65"/>
      <c r="O198" s="13"/>
    </row>
    <row r="199" spans="3:15">
      <c r="C199" s="67"/>
      <c r="D199" s="62"/>
      <c r="E199" s="62"/>
      <c r="F199" s="62"/>
      <c r="H199" s="9"/>
      <c r="I199" s="9"/>
      <c r="J199" s="9"/>
      <c r="L199" s="27"/>
      <c r="M199" s="65"/>
      <c r="O199" s="13"/>
    </row>
    <row r="200" spans="3:15">
      <c r="C200" s="67"/>
      <c r="D200" s="62"/>
      <c r="E200" s="62"/>
      <c r="F200" s="62"/>
      <c r="H200" s="9"/>
      <c r="I200" s="9"/>
      <c r="J200" s="9"/>
      <c r="L200" s="27"/>
      <c r="M200" s="65"/>
      <c r="O200" s="13"/>
    </row>
    <row r="201" spans="3:15">
      <c r="C201" s="67"/>
      <c r="D201" s="62"/>
      <c r="E201" s="62"/>
      <c r="F201" s="62"/>
      <c r="H201" s="9"/>
      <c r="I201" s="9"/>
      <c r="J201" s="9"/>
      <c r="L201" s="27"/>
      <c r="M201" s="65"/>
      <c r="O201" s="13"/>
    </row>
    <row r="202" spans="3:15">
      <c r="C202" s="67"/>
      <c r="D202" s="62"/>
      <c r="E202" s="63"/>
      <c r="F202" s="62"/>
      <c r="H202" s="9"/>
      <c r="I202" s="9"/>
      <c r="J202" s="9"/>
      <c r="L202" s="27"/>
      <c r="M202" s="65"/>
      <c r="O202" s="13"/>
    </row>
    <row r="203" spans="3:15">
      <c r="C203" s="67"/>
      <c r="D203" s="62"/>
      <c r="E203" s="63"/>
      <c r="F203" s="62"/>
      <c r="H203" s="9"/>
      <c r="I203" s="9"/>
      <c r="J203" s="9"/>
      <c r="L203" s="27"/>
      <c r="M203" s="65"/>
      <c r="O203" s="13"/>
    </row>
    <row r="204" spans="3:15">
      <c r="C204" s="67"/>
      <c r="D204" s="62"/>
      <c r="E204" s="62"/>
      <c r="F204" s="62"/>
      <c r="H204" s="9"/>
      <c r="I204" s="9"/>
      <c r="J204" s="9"/>
      <c r="L204" s="27"/>
      <c r="M204" s="65"/>
      <c r="O204" s="13"/>
    </row>
    <row r="205" spans="3:15">
      <c r="C205" s="67"/>
      <c r="D205" s="62"/>
      <c r="E205" s="62"/>
      <c r="F205" s="62"/>
      <c r="H205" s="9"/>
      <c r="I205" s="9"/>
      <c r="J205" s="9"/>
      <c r="L205" s="27"/>
      <c r="M205" s="65"/>
      <c r="O205" s="13"/>
    </row>
    <row r="206" spans="3:15">
      <c r="C206" s="67"/>
      <c r="D206" s="62"/>
      <c r="E206" s="62"/>
      <c r="F206" s="62"/>
      <c r="H206" s="9"/>
      <c r="I206" s="9"/>
      <c r="J206" s="9"/>
      <c r="L206" s="27"/>
      <c r="M206" s="65"/>
      <c r="O206" s="13"/>
    </row>
    <row r="207" spans="3:15">
      <c r="C207" s="67"/>
      <c r="D207" s="62"/>
      <c r="E207" s="63"/>
      <c r="F207" s="62"/>
      <c r="H207" s="9"/>
      <c r="I207" s="9"/>
      <c r="J207" s="9"/>
      <c r="L207" s="27"/>
      <c r="M207" s="65"/>
      <c r="O207" s="13"/>
    </row>
    <row r="208" spans="3:15">
      <c r="C208" s="67"/>
      <c r="D208" s="62"/>
      <c r="E208" s="62"/>
      <c r="F208" s="62"/>
      <c r="H208" s="9"/>
      <c r="I208" s="9"/>
      <c r="J208" s="9"/>
      <c r="L208" s="27"/>
      <c r="M208" s="65"/>
      <c r="O208" s="13"/>
    </row>
    <row r="209" spans="3:15">
      <c r="C209" s="67"/>
      <c r="D209" s="62"/>
      <c r="E209" s="62"/>
      <c r="F209" s="62"/>
      <c r="H209" s="9"/>
      <c r="I209" s="9"/>
      <c r="J209" s="9"/>
      <c r="L209" s="27"/>
      <c r="M209" s="65"/>
      <c r="O209" s="13"/>
    </row>
    <row r="210" spans="3:15">
      <c r="C210" s="67"/>
      <c r="D210" s="62"/>
      <c r="E210" s="62"/>
      <c r="F210" s="62"/>
      <c r="H210" s="9"/>
      <c r="I210" s="9"/>
      <c r="J210" s="9"/>
      <c r="L210" s="27"/>
      <c r="M210" s="65"/>
      <c r="O210" s="13"/>
    </row>
    <row r="211" spans="3:15">
      <c r="C211" s="67"/>
      <c r="D211" s="62"/>
      <c r="E211" s="63"/>
      <c r="F211" s="62"/>
      <c r="H211" s="9"/>
      <c r="I211" s="9"/>
      <c r="J211" s="9"/>
      <c r="L211" s="27"/>
      <c r="M211" s="65"/>
      <c r="O211" s="13"/>
    </row>
    <row r="212" spans="3:15">
      <c r="C212" s="67"/>
      <c r="D212" s="62"/>
      <c r="E212" s="63"/>
      <c r="F212" s="62"/>
      <c r="H212" s="9"/>
      <c r="I212" s="9"/>
      <c r="J212" s="9"/>
      <c r="L212" s="27"/>
      <c r="M212" s="65"/>
      <c r="O212" s="13"/>
    </row>
    <row r="213" spans="3:15">
      <c r="C213" s="67"/>
      <c r="D213" s="62"/>
      <c r="E213" s="62"/>
      <c r="F213" s="62"/>
      <c r="H213" s="9"/>
      <c r="I213" s="9"/>
      <c r="J213" s="9"/>
      <c r="L213" s="27"/>
      <c r="M213" s="65"/>
      <c r="O213" s="13"/>
    </row>
    <row r="214" spans="3:15">
      <c r="C214" s="67"/>
      <c r="D214" s="62"/>
      <c r="E214" s="63"/>
      <c r="F214" s="62"/>
      <c r="H214" s="9"/>
      <c r="I214" s="9"/>
      <c r="J214" s="9"/>
      <c r="L214" s="27"/>
      <c r="M214" s="65"/>
      <c r="O214" s="13"/>
    </row>
    <row r="215" spans="3:15">
      <c r="C215" s="67"/>
      <c r="D215" s="62"/>
      <c r="E215" s="63"/>
      <c r="F215" s="62"/>
      <c r="H215" s="9"/>
      <c r="I215" s="9"/>
      <c r="J215" s="9"/>
      <c r="L215" s="27"/>
      <c r="M215" s="65"/>
      <c r="O215" s="13"/>
    </row>
    <row r="216" spans="3:15">
      <c r="C216" s="67"/>
      <c r="D216" s="62"/>
      <c r="E216" s="63"/>
      <c r="F216" s="62"/>
      <c r="H216" s="9"/>
      <c r="I216" s="9"/>
      <c r="J216" s="9"/>
      <c r="L216" s="27"/>
      <c r="M216" s="65"/>
      <c r="O216" s="13"/>
    </row>
    <row r="217" spans="3:15">
      <c r="C217" s="67"/>
      <c r="D217" s="62"/>
      <c r="E217" s="63"/>
      <c r="F217" s="62"/>
      <c r="H217" s="9"/>
      <c r="I217" s="9"/>
      <c r="J217" s="9"/>
      <c r="L217" s="27"/>
      <c r="M217" s="65"/>
      <c r="O217" s="13"/>
    </row>
    <row r="218" spans="3:15">
      <c r="C218" s="67"/>
      <c r="D218" s="62"/>
      <c r="E218" s="62"/>
      <c r="F218" s="62"/>
      <c r="H218" s="9"/>
      <c r="I218" s="9"/>
      <c r="J218" s="9"/>
      <c r="L218" s="27"/>
      <c r="M218" s="65"/>
      <c r="O218" s="13"/>
    </row>
    <row r="219" spans="3:15">
      <c r="C219" s="67"/>
      <c r="D219" s="62"/>
      <c r="E219" s="63"/>
      <c r="F219" s="62"/>
      <c r="H219" s="9"/>
      <c r="I219" s="9"/>
      <c r="J219" s="9"/>
      <c r="L219" s="27"/>
      <c r="M219" s="65"/>
      <c r="O219" s="13"/>
    </row>
    <row r="220" spans="3:15">
      <c r="C220" s="67"/>
      <c r="D220" s="62"/>
      <c r="E220" s="62"/>
      <c r="F220" s="62"/>
      <c r="H220" s="9"/>
      <c r="I220" s="9"/>
      <c r="J220" s="9"/>
      <c r="L220" s="27"/>
      <c r="M220" s="65"/>
      <c r="O220" s="13"/>
    </row>
    <row r="221" spans="3:15">
      <c r="C221" s="67"/>
      <c r="D221" s="62"/>
      <c r="E221" s="63"/>
      <c r="F221" s="62"/>
      <c r="H221" s="9"/>
      <c r="I221" s="9"/>
      <c r="J221" s="9"/>
      <c r="L221" s="27"/>
      <c r="M221" s="65"/>
      <c r="O221" s="13"/>
    </row>
    <row r="222" spans="3:15">
      <c r="C222" s="67"/>
      <c r="D222" s="62"/>
      <c r="E222" s="63"/>
      <c r="F222" s="62"/>
      <c r="H222" s="9"/>
      <c r="I222" s="9"/>
      <c r="J222" s="9"/>
      <c r="L222" s="27"/>
      <c r="M222" s="65"/>
      <c r="O222" s="13"/>
    </row>
    <row r="223" spans="3:15">
      <c r="C223" s="67"/>
      <c r="D223" s="62"/>
      <c r="E223" s="62"/>
      <c r="F223" s="62"/>
      <c r="H223" s="9"/>
      <c r="I223" s="9"/>
      <c r="J223" s="9"/>
      <c r="L223" s="27"/>
      <c r="M223" s="65"/>
      <c r="O223" s="13"/>
    </row>
    <row r="224" spans="3:15">
      <c r="C224" s="67"/>
      <c r="D224" s="62"/>
      <c r="E224" s="63"/>
      <c r="F224" s="62"/>
      <c r="H224" s="9"/>
      <c r="I224" s="9"/>
      <c r="J224" s="9"/>
      <c r="L224" s="27"/>
      <c r="M224" s="65"/>
      <c r="O224" s="13"/>
    </row>
    <row r="225" spans="3:15">
      <c r="C225" s="67"/>
      <c r="D225" s="62"/>
      <c r="E225" s="62"/>
      <c r="F225" s="62"/>
      <c r="H225" s="9"/>
      <c r="I225" s="9"/>
      <c r="J225" s="9"/>
      <c r="L225" s="27"/>
      <c r="M225" s="65"/>
      <c r="O225" s="13"/>
    </row>
    <row r="226" spans="3:15">
      <c r="C226" s="67"/>
      <c r="D226" s="62"/>
      <c r="E226" s="62"/>
      <c r="F226" s="62"/>
      <c r="H226" s="9"/>
      <c r="I226" s="9"/>
      <c r="J226" s="9"/>
      <c r="L226" s="27"/>
      <c r="M226" s="65"/>
      <c r="O226" s="13"/>
    </row>
    <row r="227" spans="3:15">
      <c r="C227" s="67"/>
      <c r="D227" s="62"/>
      <c r="E227" s="62"/>
      <c r="F227" s="62"/>
      <c r="H227" s="9"/>
      <c r="I227" s="9"/>
      <c r="J227" s="9"/>
      <c r="L227" s="27"/>
      <c r="M227" s="65"/>
      <c r="O227" s="13"/>
    </row>
    <row r="228" spans="3:15">
      <c r="C228" s="67"/>
      <c r="D228" s="62"/>
      <c r="E228" s="62"/>
      <c r="F228" s="62"/>
      <c r="H228" s="9"/>
      <c r="I228" s="9"/>
      <c r="J228" s="9"/>
      <c r="L228" s="27"/>
      <c r="M228" s="65"/>
      <c r="O228" s="13"/>
    </row>
    <row r="229" spans="3:15">
      <c r="C229" s="67"/>
      <c r="D229" s="62"/>
      <c r="E229" s="62"/>
      <c r="F229" s="62"/>
      <c r="H229" s="9"/>
      <c r="I229" s="9"/>
      <c r="J229" s="9"/>
      <c r="L229" s="27"/>
      <c r="M229" s="65"/>
      <c r="O229" s="13"/>
    </row>
    <row r="230" spans="3:15">
      <c r="C230" s="67"/>
      <c r="D230" s="62"/>
      <c r="E230" s="63"/>
      <c r="F230" s="62"/>
      <c r="H230" s="9"/>
      <c r="I230" s="9"/>
      <c r="J230" s="9"/>
      <c r="L230" s="27"/>
      <c r="M230" s="65"/>
      <c r="O230" s="13"/>
    </row>
    <row r="231" spans="3:15">
      <c r="C231" s="67"/>
      <c r="D231" s="62"/>
      <c r="E231" s="63"/>
      <c r="F231" s="62"/>
      <c r="H231" s="9"/>
      <c r="I231" s="9"/>
      <c r="J231" s="9"/>
      <c r="L231" s="27"/>
      <c r="M231" s="65"/>
      <c r="O231" s="13"/>
    </row>
    <row r="232" spans="3:15">
      <c r="C232" s="67"/>
      <c r="D232" s="62"/>
      <c r="E232" s="63"/>
      <c r="F232" s="62"/>
      <c r="H232" s="9"/>
      <c r="I232" s="9"/>
      <c r="J232" s="9"/>
      <c r="L232" s="27"/>
      <c r="M232" s="65"/>
      <c r="O232" s="13"/>
    </row>
    <row r="233" spans="3:15">
      <c r="C233" s="67"/>
      <c r="D233" s="62"/>
      <c r="E233" s="63"/>
      <c r="F233" s="62"/>
      <c r="H233" s="9"/>
      <c r="I233" s="9"/>
      <c r="J233" s="9"/>
      <c r="L233" s="27"/>
      <c r="M233" s="65"/>
      <c r="O233" s="13"/>
    </row>
    <row r="234" spans="3:15">
      <c r="C234" s="67"/>
      <c r="D234" s="62"/>
      <c r="E234" s="62"/>
      <c r="F234" s="62"/>
      <c r="H234" s="9"/>
      <c r="I234" s="9"/>
      <c r="J234" s="9"/>
      <c r="L234" s="27"/>
      <c r="M234" s="65"/>
      <c r="O234" s="13"/>
    </row>
    <row r="235" spans="3:15">
      <c r="C235" s="67"/>
      <c r="D235" s="62"/>
      <c r="E235" s="63"/>
      <c r="F235" s="62"/>
      <c r="H235" s="9"/>
      <c r="I235" s="9"/>
      <c r="J235" s="9"/>
      <c r="L235" s="27"/>
      <c r="M235" s="65"/>
      <c r="O235" s="13"/>
    </row>
    <row r="236" spans="3:15">
      <c r="C236" s="67"/>
      <c r="D236" s="62"/>
      <c r="E236" s="63"/>
      <c r="F236" s="62"/>
      <c r="H236" s="9"/>
      <c r="I236" s="9"/>
      <c r="J236" s="9"/>
      <c r="L236" s="27"/>
      <c r="M236" s="65"/>
      <c r="O236" s="13"/>
    </row>
    <row r="237" spans="3:15">
      <c r="C237" s="67"/>
      <c r="D237" s="62"/>
      <c r="E237" s="62"/>
      <c r="F237" s="62"/>
      <c r="H237" s="9"/>
      <c r="I237" s="9"/>
      <c r="J237" s="9"/>
      <c r="L237" s="27"/>
      <c r="M237" s="65"/>
      <c r="O237" s="13"/>
    </row>
    <row r="238" spans="3:15">
      <c r="C238" s="67"/>
      <c r="D238" s="62"/>
      <c r="E238" s="62"/>
      <c r="F238" s="62"/>
      <c r="H238" s="9"/>
      <c r="I238" s="9"/>
      <c r="J238" s="9"/>
      <c r="L238" s="27"/>
      <c r="M238" s="65"/>
      <c r="O238" s="13"/>
    </row>
    <row r="239" spans="3:15">
      <c r="C239" s="67"/>
      <c r="D239" s="62"/>
      <c r="E239" s="63"/>
      <c r="F239" s="62"/>
      <c r="H239" s="9"/>
      <c r="I239" s="9"/>
      <c r="J239" s="9"/>
      <c r="L239" s="27"/>
      <c r="M239" s="65"/>
      <c r="O239" s="13"/>
    </row>
    <row r="240" spans="3:15">
      <c r="C240" s="67"/>
      <c r="D240" s="62"/>
      <c r="E240" s="62"/>
      <c r="F240" s="62"/>
      <c r="H240" s="9"/>
      <c r="I240" s="9"/>
      <c r="J240" s="9"/>
      <c r="L240" s="27"/>
      <c r="M240" s="65"/>
      <c r="O240" s="13"/>
    </row>
    <row r="241" spans="3:15">
      <c r="C241" s="67"/>
      <c r="D241" s="62"/>
      <c r="E241" s="63"/>
      <c r="F241" s="62"/>
      <c r="H241" s="9"/>
      <c r="I241" s="9"/>
      <c r="J241" s="9"/>
      <c r="L241" s="27"/>
      <c r="M241" s="65"/>
      <c r="O241" s="13"/>
    </row>
    <row r="242" spans="3:15">
      <c r="C242" s="67"/>
      <c r="D242" s="62"/>
      <c r="E242" s="63"/>
      <c r="F242" s="62"/>
      <c r="H242" s="9"/>
      <c r="I242" s="9"/>
      <c r="J242" s="9"/>
      <c r="L242" s="27"/>
      <c r="M242" s="65"/>
      <c r="O242" s="13"/>
    </row>
    <row r="243" spans="3:15">
      <c r="C243" s="67"/>
      <c r="D243" s="62"/>
      <c r="E243" s="63"/>
      <c r="F243" s="62"/>
      <c r="H243" s="9"/>
      <c r="I243" s="9"/>
      <c r="J243" s="9"/>
      <c r="L243" s="27"/>
      <c r="M243" s="65"/>
      <c r="O243" s="13"/>
    </row>
    <row r="244" spans="3:15">
      <c r="C244" s="67"/>
      <c r="D244" s="62"/>
      <c r="E244" s="62"/>
      <c r="F244" s="62"/>
      <c r="H244" s="9"/>
      <c r="I244" s="9"/>
      <c r="J244" s="9"/>
      <c r="L244" s="27"/>
      <c r="M244" s="65"/>
      <c r="O244" s="13"/>
    </row>
    <row r="245" spans="3:15">
      <c r="C245" s="67"/>
      <c r="D245" s="62"/>
      <c r="E245" s="63"/>
      <c r="F245" s="62"/>
      <c r="H245" s="9"/>
      <c r="I245" s="9"/>
      <c r="J245" s="9"/>
      <c r="L245" s="27"/>
      <c r="M245" s="65"/>
      <c r="O245" s="13"/>
    </row>
    <row r="246" spans="3:15">
      <c r="C246" s="67"/>
      <c r="D246" s="62"/>
      <c r="E246" s="62"/>
      <c r="F246" s="62"/>
      <c r="H246" s="9"/>
      <c r="I246" s="9"/>
      <c r="J246" s="9"/>
      <c r="L246" s="27"/>
      <c r="M246" s="65"/>
      <c r="O246" s="13"/>
    </row>
    <row r="247" spans="3:15">
      <c r="C247" s="67"/>
      <c r="D247" s="62"/>
      <c r="E247" s="62"/>
      <c r="F247" s="62"/>
      <c r="H247" s="9"/>
      <c r="I247" s="9"/>
      <c r="J247" s="9"/>
      <c r="L247" s="27"/>
      <c r="M247" s="65"/>
      <c r="O247" s="13"/>
    </row>
    <row r="248" spans="3:15">
      <c r="C248" s="67"/>
      <c r="D248" s="62"/>
      <c r="E248" s="62"/>
      <c r="F248" s="62"/>
      <c r="H248" s="9"/>
      <c r="I248" s="9"/>
      <c r="J248" s="9"/>
      <c r="L248" s="27"/>
      <c r="M248" s="65"/>
      <c r="O248" s="13"/>
    </row>
    <row r="249" spans="3:15">
      <c r="C249" s="67"/>
      <c r="D249" s="62"/>
      <c r="E249" s="62"/>
      <c r="F249" s="62"/>
      <c r="H249" s="9"/>
      <c r="I249" s="9"/>
      <c r="J249" s="9"/>
      <c r="L249" s="27"/>
      <c r="M249" s="65"/>
      <c r="O249" s="13"/>
    </row>
    <row r="250" spans="3:15">
      <c r="C250" s="67"/>
      <c r="D250" s="62"/>
      <c r="E250" s="62"/>
      <c r="F250" s="62"/>
      <c r="H250" s="9"/>
      <c r="I250" s="9"/>
      <c r="J250" s="9"/>
      <c r="L250" s="27"/>
      <c r="M250" s="65"/>
      <c r="O250" s="13"/>
    </row>
    <row r="251" spans="3:15">
      <c r="C251" s="67"/>
      <c r="D251" s="62"/>
      <c r="E251" s="63"/>
      <c r="F251" s="62"/>
      <c r="H251" s="9"/>
      <c r="I251" s="9"/>
      <c r="J251" s="9"/>
      <c r="L251" s="27"/>
      <c r="M251" s="65"/>
      <c r="O251" s="13"/>
    </row>
    <row r="252" spans="3:15">
      <c r="C252" s="67"/>
      <c r="D252" s="62"/>
      <c r="E252" s="63"/>
      <c r="F252" s="62"/>
      <c r="H252" s="9"/>
      <c r="I252" s="9"/>
      <c r="J252" s="9"/>
      <c r="L252" s="27"/>
      <c r="M252" s="65"/>
      <c r="O252" s="13"/>
    </row>
    <row r="253" spans="3:15">
      <c r="C253" s="67"/>
      <c r="D253" s="62"/>
      <c r="E253" s="63"/>
      <c r="F253" s="62"/>
      <c r="H253" s="9"/>
      <c r="I253" s="9"/>
      <c r="J253" s="9"/>
      <c r="L253" s="27"/>
      <c r="M253" s="65"/>
      <c r="O253" s="13"/>
    </row>
    <row r="254" spans="3:15">
      <c r="C254" s="67"/>
      <c r="D254" s="62"/>
      <c r="E254" s="62"/>
      <c r="F254" s="62"/>
      <c r="H254" s="9"/>
      <c r="I254" s="9"/>
      <c r="J254" s="9"/>
      <c r="L254" s="27"/>
      <c r="M254" s="65"/>
      <c r="O254" s="13"/>
    </row>
    <row r="255" spans="3:15">
      <c r="C255" s="67"/>
      <c r="D255" s="62"/>
      <c r="E255" s="62"/>
      <c r="F255" s="62"/>
      <c r="H255" s="9"/>
      <c r="I255" s="9"/>
      <c r="J255" s="9"/>
      <c r="L255" s="27"/>
      <c r="M255" s="65"/>
      <c r="O255" s="13"/>
    </row>
    <row r="256" spans="3:15">
      <c r="C256" s="67"/>
      <c r="D256" s="62"/>
      <c r="E256" s="63"/>
      <c r="F256" s="62"/>
      <c r="H256" s="9"/>
      <c r="I256" s="9"/>
      <c r="J256" s="9"/>
      <c r="L256" s="27"/>
      <c r="M256" s="65"/>
      <c r="O256" s="13"/>
    </row>
    <row r="257" spans="3:15">
      <c r="C257" s="67"/>
      <c r="D257" s="62"/>
      <c r="E257" s="62"/>
      <c r="F257" s="62"/>
      <c r="H257" s="9"/>
      <c r="I257" s="9"/>
      <c r="J257" s="9"/>
      <c r="L257" s="27"/>
      <c r="M257" s="65"/>
      <c r="O257" s="13"/>
    </row>
    <row r="258" spans="3:15">
      <c r="C258" s="67"/>
      <c r="D258" s="62"/>
      <c r="E258" s="63"/>
      <c r="F258" s="62"/>
      <c r="H258" s="9"/>
      <c r="I258" s="9"/>
      <c r="J258" s="9"/>
      <c r="L258" s="27"/>
      <c r="M258" s="65"/>
      <c r="O258" s="13"/>
    </row>
    <row r="259" spans="3:15">
      <c r="C259" s="67"/>
      <c r="D259" s="62"/>
      <c r="E259" s="62"/>
      <c r="F259" s="62"/>
      <c r="H259" s="9"/>
      <c r="I259" s="9"/>
      <c r="J259" s="9"/>
      <c r="L259" s="27"/>
      <c r="M259" s="65"/>
      <c r="O259" s="13"/>
    </row>
    <row r="260" spans="3:15">
      <c r="C260" s="67"/>
      <c r="D260" s="62"/>
      <c r="E260" s="62"/>
      <c r="F260" s="62"/>
      <c r="H260" s="9"/>
      <c r="I260" s="9"/>
      <c r="J260" s="9"/>
      <c r="L260" s="27"/>
      <c r="M260" s="65"/>
      <c r="O260" s="13"/>
    </row>
    <row r="261" spans="3:15">
      <c r="C261" s="67"/>
      <c r="D261" s="62"/>
      <c r="E261" s="63"/>
      <c r="F261" s="62"/>
      <c r="H261" s="9"/>
      <c r="I261" s="9"/>
      <c r="J261" s="9"/>
      <c r="L261" s="27"/>
      <c r="M261" s="65"/>
      <c r="O261" s="13"/>
    </row>
    <row r="262" spans="3:15">
      <c r="C262" s="67"/>
      <c r="D262" s="62"/>
      <c r="E262" s="63"/>
      <c r="F262" s="62"/>
      <c r="H262" s="9"/>
      <c r="I262" s="9"/>
      <c r="J262" s="9"/>
      <c r="L262" s="27"/>
      <c r="M262" s="65"/>
      <c r="O262" s="13"/>
    </row>
    <row r="263" spans="3:15">
      <c r="C263" s="67"/>
      <c r="D263" s="62"/>
      <c r="E263" s="62"/>
      <c r="F263" s="62"/>
      <c r="H263" s="9"/>
      <c r="I263" s="9"/>
      <c r="J263" s="9"/>
      <c r="L263" s="27"/>
      <c r="M263" s="65"/>
      <c r="O263" s="13"/>
    </row>
    <row r="264" spans="3:15">
      <c r="C264" s="67"/>
      <c r="D264" s="62"/>
      <c r="E264" s="62"/>
      <c r="F264" s="62"/>
      <c r="H264" s="9"/>
      <c r="I264" s="9"/>
      <c r="J264" s="9"/>
      <c r="L264" s="27"/>
      <c r="M264" s="65"/>
      <c r="O264" s="13"/>
    </row>
    <row r="265" spans="3:15">
      <c r="C265" s="67"/>
      <c r="D265" s="62"/>
      <c r="E265" s="62"/>
      <c r="F265" s="62"/>
      <c r="H265" s="9"/>
      <c r="I265" s="9"/>
      <c r="J265" s="9"/>
      <c r="L265" s="27"/>
      <c r="M265" s="65"/>
      <c r="O265" s="13"/>
    </row>
    <row r="266" spans="3:15">
      <c r="C266" s="67"/>
      <c r="D266" s="62"/>
      <c r="E266" s="62"/>
      <c r="F266" s="62"/>
      <c r="H266" s="9"/>
      <c r="I266" s="9"/>
      <c r="J266" s="9"/>
      <c r="L266" s="27"/>
      <c r="M266" s="65"/>
      <c r="O266" s="13"/>
    </row>
    <row r="267" spans="3:15">
      <c r="C267" s="67"/>
      <c r="D267" s="62"/>
      <c r="E267" s="62"/>
      <c r="F267" s="62"/>
      <c r="H267" s="9"/>
      <c r="I267" s="9"/>
      <c r="J267" s="9"/>
      <c r="L267" s="27"/>
      <c r="M267" s="65"/>
      <c r="O267" s="13"/>
    </row>
    <row r="268" spans="3:15">
      <c r="C268" s="67"/>
      <c r="D268" s="62"/>
      <c r="E268" s="62"/>
      <c r="F268" s="62"/>
      <c r="H268" s="9"/>
      <c r="I268" s="9"/>
      <c r="J268" s="9"/>
      <c r="L268" s="27"/>
      <c r="M268" s="65"/>
      <c r="O268" s="13"/>
    </row>
    <row r="269" spans="3:15">
      <c r="C269" s="67"/>
      <c r="D269" s="62"/>
      <c r="E269" s="62"/>
      <c r="F269" s="62"/>
      <c r="H269" s="9"/>
      <c r="I269" s="9"/>
      <c r="J269" s="9"/>
      <c r="L269" s="27"/>
      <c r="M269" s="65"/>
      <c r="O269" s="13"/>
    </row>
    <row r="270" spans="3:15">
      <c r="C270" s="67"/>
      <c r="D270" s="62"/>
      <c r="E270" s="63"/>
      <c r="F270" s="62"/>
      <c r="H270" s="9"/>
      <c r="I270" s="9"/>
      <c r="J270" s="9"/>
      <c r="L270" s="27"/>
      <c r="M270" s="65"/>
      <c r="O270" s="13"/>
    </row>
    <row r="271" spans="3:15">
      <c r="C271" s="67"/>
      <c r="D271" s="62"/>
      <c r="E271" s="62"/>
      <c r="F271" s="62"/>
      <c r="H271" s="9"/>
      <c r="I271" s="9"/>
      <c r="J271" s="9"/>
      <c r="L271" s="27"/>
      <c r="M271" s="65"/>
      <c r="O271" s="13"/>
    </row>
    <row r="272" spans="3:15">
      <c r="C272" s="67"/>
      <c r="D272" s="62"/>
      <c r="E272" s="62"/>
      <c r="F272" s="62"/>
      <c r="H272" s="9"/>
      <c r="I272" s="9"/>
      <c r="J272" s="9"/>
      <c r="L272" s="27"/>
      <c r="M272" s="65"/>
      <c r="O272" s="13"/>
    </row>
    <row r="273" spans="3:15">
      <c r="C273" s="67"/>
      <c r="D273" s="62"/>
      <c r="E273" s="63"/>
      <c r="F273" s="62"/>
      <c r="H273" s="9"/>
      <c r="I273" s="9"/>
      <c r="J273" s="9"/>
      <c r="L273" s="27"/>
      <c r="M273" s="65"/>
      <c r="O273" s="13"/>
    </row>
    <row r="274" spans="3:15">
      <c r="C274" s="67"/>
      <c r="D274" s="62"/>
      <c r="E274" s="63"/>
      <c r="F274" s="62"/>
      <c r="H274" s="9"/>
      <c r="I274" s="9"/>
      <c r="J274" s="9"/>
      <c r="L274" s="27"/>
      <c r="M274" s="65"/>
      <c r="O274" s="13"/>
    </row>
    <row r="275" spans="3:15">
      <c r="C275" s="67"/>
      <c r="D275" s="62"/>
      <c r="E275" s="63"/>
      <c r="F275" s="62"/>
      <c r="H275" s="9"/>
      <c r="I275" s="9"/>
      <c r="J275" s="9"/>
      <c r="L275" s="27"/>
      <c r="M275" s="65"/>
      <c r="O275" s="13"/>
    </row>
    <row r="276" spans="3:15">
      <c r="C276" s="67"/>
      <c r="D276" s="62"/>
      <c r="E276" s="63"/>
      <c r="F276" s="62"/>
      <c r="H276" s="9"/>
      <c r="I276" s="9"/>
      <c r="J276" s="9"/>
      <c r="L276" s="27"/>
      <c r="M276" s="65"/>
      <c r="O276" s="13"/>
    </row>
    <row r="277" spans="3:15">
      <c r="C277" s="67"/>
      <c r="D277" s="62"/>
      <c r="E277" s="63"/>
      <c r="F277" s="62"/>
      <c r="H277" s="9"/>
      <c r="I277" s="9"/>
      <c r="J277" s="9"/>
      <c r="L277" s="27"/>
      <c r="M277" s="65"/>
      <c r="O277" s="13"/>
    </row>
    <row r="278" spans="3:15">
      <c r="C278" s="67"/>
      <c r="D278" s="62"/>
      <c r="E278" s="63"/>
      <c r="F278" s="62"/>
      <c r="H278" s="9"/>
      <c r="I278" s="9"/>
      <c r="J278" s="9"/>
      <c r="L278" s="27"/>
      <c r="M278" s="65"/>
      <c r="O278" s="13"/>
    </row>
    <row r="279" spans="3:15">
      <c r="C279" s="67"/>
      <c r="D279" s="62"/>
      <c r="E279" s="62"/>
      <c r="F279" s="62"/>
      <c r="H279" s="9"/>
      <c r="I279" s="9"/>
      <c r="J279" s="9"/>
      <c r="L279" s="27"/>
      <c r="M279" s="65"/>
      <c r="O279" s="13"/>
    </row>
    <row r="280" spans="3:15">
      <c r="C280" s="67"/>
      <c r="D280" s="62"/>
      <c r="E280" s="62"/>
      <c r="F280" s="62"/>
      <c r="H280" s="9"/>
      <c r="I280" s="9"/>
      <c r="J280" s="9"/>
      <c r="L280" s="27"/>
      <c r="M280" s="65"/>
      <c r="O280" s="13"/>
    </row>
    <row r="281" spans="3:15">
      <c r="C281" s="67"/>
      <c r="D281" s="62"/>
      <c r="E281" s="62"/>
      <c r="F281" s="62"/>
      <c r="H281" s="9"/>
      <c r="I281" s="9"/>
      <c r="J281" s="9"/>
      <c r="L281" s="27"/>
      <c r="M281" s="65"/>
      <c r="O281" s="13"/>
    </row>
    <row r="282" spans="3:15">
      <c r="C282" s="67"/>
      <c r="D282" s="62"/>
      <c r="E282" s="62"/>
      <c r="F282" s="62"/>
      <c r="H282" s="9"/>
      <c r="I282" s="9"/>
      <c r="J282" s="9"/>
      <c r="L282" s="27"/>
      <c r="M282" s="65"/>
      <c r="O282" s="13"/>
    </row>
    <row r="283" spans="3:15">
      <c r="C283" s="67"/>
      <c r="D283" s="62"/>
      <c r="E283" s="62"/>
      <c r="F283" s="62"/>
      <c r="H283" s="9"/>
      <c r="I283" s="9"/>
      <c r="J283" s="9"/>
      <c r="L283" s="27"/>
      <c r="M283" s="65"/>
      <c r="O283" s="13"/>
    </row>
    <row r="284" spans="3:15">
      <c r="C284" s="67"/>
      <c r="D284" s="62"/>
      <c r="E284" s="62"/>
      <c r="F284" s="62"/>
      <c r="H284" s="9"/>
      <c r="I284" s="9"/>
      <c r="J284" s="9"/>
      <c r="L284" s="27"/>
      <c r="M284" s="65"/>
      <c r="O284" s="13"/>
    </row>
    <row r="285" spans="3:15">
      <c r="C285" s="67"/>
      <c r="D285" s="62"/>
      <c r="E285" s="63"/>
      <c r="F285" s="62"/>
      <c r="H285" s="9"/>
      <c r="I285" s="9"/>
      <c r="J285" s="9"/>
      <c r="L285" s="27"/>
      <c r="M285" s="65"/>
      <c r="O285" s="13"/>
    </row>
    <row r="286" spans="3:15">
      <c r="C286" s="67"/>
      <c r="D286" s="62"/>
      <c r="E286" s="62"/>
      <c r="F286" s="62"/>
      <c r="H286" s="9"/>
      <c r="I286" s="9"/>
      <c r="J286" s="9"/>
      <c r="L286" s="27"/>
      <c r="M286" s="65"/>
      <c r="O286" s="13"/>
    </row>
    <row r="287" spans="3:15">
      <c r="C287" s="67"/>
      <c r="D287" s="62"/>
      <c r="E287" s="63"/>
      <c r="F287" s="62"/>
      <c r="H287" s="9"/>
      <c r="I287" s="9"/>
      <c r="J287" s="9"/>
      <c r="L287" s="27"/>
      <c r="M287" s="65"/>
      <c r="O287" s="13"/>
    </row>
    <row r="288" spans="3:15">
      <c r="C288" s="67"/>
      <c r="D288" s="62"/>
      <c r="E288" s="62"/>
      <c r="F288" s="62"/>
      <c r="H288" s="9"/>
      <c r="I288" s="9"/>
      <c r="J288" s="9"/>
      <c r="L288" s="27"/>
      <c r="M288" s="65"/>
      <c r="O288" s="13"/>
    </row>
    <row r="289" spans="3:15">
      <c r="C289" s="67"/>
      <c r="D289" s="62"/>
      <c r="E289" s="62"/>
      <c r="F289" s="62"/>
      <c r="H289" s="9"/>
      <c r="I289" s="9"/>
      <c r="J289" s="9"/>
      <c r="L289" s="27"/>
      <c r="M289" s="65"/>
      <c r="O289" s="13"/>
    </row>
    <row r="290" spans="3:15">
      <c r="C290" s="67"/>
      <c r="D290" s="62"/>
      <c r="E290" s="63"/>
      <c r="F290" s="62"/>
      <c r="H290" s="9"/>
      <c r="I290" s="9"/>
      <c r="J290" s="9"/>
      <c r="L290" s="27"/>
      <c r="M290" s="65"/>
      <c r="O290" s="13"/>
    </row>
    <row r="291" spans="3:15">
      <c r="C291" s="67"/>
      <c r="D291" s="62"/>
      <c r="E291" s="63"/>
      <c r="F291" s="62"/>
      <c r="H291" s="9"/>
      <c r="I291" s="9"/>
      <c r="J291" s="9"/>
      <c r="L291" s="27"/>
      <c r="M291" s="65"/>
      <c r="O291" s="13"/>
    </row>
    <row r="292" spans="3:15">
      <c r="C292" s="67"/>
      <c r="D292" s="62"/>
      <c r="E292" s="62"/>
      <c r="F292" s="62"/>
      <c r="H292" s="9"/>
      <c r="I292" s="9"/>
      <c r="J292" s="9"/>
      <c r="L292" s="27"/>
      <c r="M292" s="65"/>
      <c r="O292" s="13"/>
    </row>
    <row r="293" spans="3:15">
      <c r="C293" s="67"/>
      <c r="D293" s="62"/>
      <c r="E293" s="63"/>
      <c r="F293" s="62"/>
      <c r="H293" s="9"/>
      <c r="I293" s="9"/>
      <c r="J293" s="9"/>
      <c r="L293" s="27"/>
      <c r="M293" s="65"/>
      <c r="O293" s="13"/>
    </row>
    <row r="294" spans="3:15">
      <c r="C294" s="67"/>
      <c r="D294" s="62"/>
      <c r="E294" s="62"/>
      <c r="F294" s="62"/>
      <c r="H294" s="9"/>
      <c r="I294" s="9"/>
      <c r="J294" s="9"/>
      <c r="L294" s="27"/>
      <c r="M294" s="65"/>
      <c r="O294" s="13"/>
    </row>
    <row r="295" spans="3:15">
      <c r="C295" s="67"/>
      <c r="D295" s="62"/>
      <c r="E295" s="63"/>
      <c r="F295" s="62"/>
      <c r="H295" s="9"/>
      <c r="I295" s="9"/>
      <c r="J295" s="9"/>
      <c r="L295" s="27"/>
      <c r="M295" s="65"/>
      <c r="O295" s="13"/>
    </row>
    <row r="296" spans="3:15">
      <c r="C296" s="67"/>
      <c r="D296" s="62"/>
      <c r="E296" s="63"/>
      <c r="F296" s="62"/>
      <c r="H296" s="9"/>
      <c r="I296" s="9"/>
      <c r="J296" s="9"/>
      <c r="L296" s="27"/>
      <c r="M296" s="65"/>
      <c r="O296" s="13"/>
    </row>
    <row r="297" spans="3:15">
      <c r="C297" s="67"/>
      <c r="D297" s="62"/>
      <c r="E297" s="62"/>
      <c r="F297" s="62"/>
      <c r="H297" s="9"/>
      <c r="I297" s="9"/>
      <c r="J297" s="9"/>
      <c r="L297" s="27"/>
      <c r="M297" s="65"/>
      <c r="O297" s="13"/>
    </row>
    <row r="298" spans="3:15">
      <c r="C298" s="67"/>
      <c r="D298" s="62"/>
      <c r="E298" s="63"/>
      <c r="F298" s="62"/>
      <c r="H298" s="9"/>
      <c r="I298" s="9"/>
      <c r="J298" s="9"/>
      <c r="L298" s="27"/>
      <c r="M298" s="65"/>
      <c r="O298" s="13"/>
    </row>
    <row r="299" spans="3:15">
      <c r="C299" s="67"/>
      <c r="D299" s="62"/>
      <c r="E299" s="63"/>
      <c r="F299" s="62"/>
      <c r="H299" s="9"/>
      <c r="I299" s="9"/>
      <c r="J299" s="9"/>
      <c r="L299" s="27"/>
      <c r="M299" s="65"/>
      <c r="O299" s="13"/>
    </row>
    <row r="300" spans="3:15">
      <c r="C300" s="67"/>
      <c r="D300" s="62"/>
      <c r="E300" s="62"/>
      <c r="F300" s="62"/>
      <c r="H300" s="9"/>
      <c r="I300" s="9"/>
      <c r="J300" s="9"/>
      <c r="L300" s="27"/>
      <c r="M300" s="65"/>
      <c r="O300" s="13"/>
    </row>
    <row r="301" spans="3:15">
      <c r="C301" s="67"/>
      <c r="D301" s="62"/>
      <c r="E301" s="63"/>
      <c r="F301" s="62"/>
      <c r="H301" s="9"/>
      <c r="I301" s="9"/>
      <c r="J301" s="9"/>
      <c r="L301" s="27"/>
      <c r="M301" s="65"/>
      <c r="O301" s="13"/>
    </row>
    <row r="302" spans="3:15">
      <c r="C302" s="67"/>
      <c r="D302" s="62"/>
      <c r="E302" s="62"/>
      <c r="F302" s="62"/>
      <c r="H302" s="9"/>
      <c r="I302" s="9"/>
      <c r="J302" s="9"/>
      <c r="L302" s="27"/>
      <c r="M302" s="65"/>
      <c r="O302" s="13"/>
    </row>
    <row r="303" spans="3:15">
      <c r="C303" s="67"/>
      <c r="D303" s="62"/>
      <c r="E303" s="62"/>
      <c r="F303" s="62"/>
      <c r="H303" s="9"/>
      <c r="I303" s="9"/>
      <c r="J303" s="9"/>
      <c r="L303" s="27"/>
      <c r="M303" s="65"/>
      <c r="O303" s="13"/>
    </row>
    <row r="304" spans="3:15">
      <c r="C304" s="67"/>
      <c r="D304" s="62"/>
      <c r="E304" s="62"/>
      <c r="F304" s="62"/>
      <c r="H304" s="9"/>
      <c r="I304" s="9"/>
      <c r="J304" s="9"/>
      <c r="L304" s="27"/>
      <c r="M304" s="65"/>
      <c r="O304" s="13"/>
    </row>
    <row r="305" spans="3:15">
      <c r="C305" s="67"/>
      <c r="D305" s="62"/>
      <c r="E305" s="62"/>
      <c r="F305" s="62"/>
      <c r="H305" s="9"/>
      <c r="I305" s="9"/>
      <c r="J305" s="9"/>
      <c r="L305" s="27"/>
      <c r="M305" s="65"/>
      <c r="O305" s="13"/>
    </row>
    <row r="306" spans="3:15">
      <c r="C306" s="67"/>
      <c r="D306" s="62"/>
      <c r="E306" s="62"/>
      <c r="F306" s="62"/>
      <c r="H306" s="9"/>
      <c r="I306" s="9"/>
      <c r="J306" s="9"/>
      <c r="L306" s="27"/>
      <c r="M306" s="65"/>
      <c r="O306" s="13"/>
    </row>
    <row r="307" spans="3:15">
      <c r="C307" s="67"/>
      <c r="D307" s="62"/>
      <c r="E307" s="62"/>
      <c r="F307" s="62"/>
      <c r="H307" s="9"/>
      <c r="I307" s="9"/>
      <c r="J307" s="9"/>
      <c r="L307" s="27"/>
      <c r="M307" s="65"/>
      <c r="O307" s="13"/>
    </row>
    <row r="308" spans="3:15">
      <c r="C308" s="67"/>
      <c r="D308" s="62"/>
      <c r="E308" s="63"/>
      <c r="F308" s="62"/>
      <c r="H308" s="9"/>
      <c r="I308" s="9"/>
      <c r="J308" s="9"/>
      <c r="L308" s="27"/>
      <c r="M308" s="65"/>
      <c r="O308" s="13"/>
    </row>
    <row r="309" spans="3:15">
      <c r="C309" s="67"/>
      <c r="D309" s="62"/>
      <c r="E309" s="63"/>
      <c r="F309" s="62"/>
      <c r="H309" s="9"/>
      <c r="I309" s="9"/>
      <c r="J309" s="9"/>
      <c r="L309" s="27"/>
      <c r="M309" s="65"/>
      <c r="O309" s="13"/>
    </row>
    <row r="310" spans="3:15">
      <c r="C310" s="67"/>
      <c r="D310" s="62"/>
      <c r="E310" s="63"/>
      <c r="F310" s="62"/>
      <c r="H310" s="9"/>
      <c r="I310" s="9"/>
      <c r="J310" s="9"/>
      <c r="L310" s="27"/>
      <c r="M310" s="65"/>
      <c r="O310" s="13"/>
    </row>
    <row r="311" spans="3:15">
      <c r="C311" s="67"/>
      <c r="D311" s="62"/>
      <c r="E311" s="63"/>
      <c r="F311" s="62"/>
      <c r="H311" s="9"/>
      <c r="I311" s="9"/>
      <c r="J311" s="9"/>
      <c r="L311" s="27"/>
      <c r="M311" s="65"/>
      <c r="O311" s="13"/>
    </row>
    <row r="312" spans="3:15">
      <c r="C312" s="67"/>
      <c r="D312" s="62"/>
      <c r="E312" s="62"/>
      <c r="F312" s="62"/>
      <c r="H312" s="9"/>
      <c r="I312" s="9"/>
      <c r="J312" s="9"/>
      <c r="L312" s="27"/>
      <c r="M312" s="65"/>
      <c r="O312" s="13"/>
    </row>
    <row r="313" spans="3:15">
      <c r="C313" s="67"/>
      <c r="D313" s="62"/>
      <c r="E313" s="63"/>
      <c r="F313" s="62"/>
      <c r="H313" s="9"/>
      <c r="I313" s="9"/>
      <c r="J313" s="9"/>
      <c r="L313" s="27"/>
      <c r="M313" s="65"/>
      <c r="O313" s="13"/>
    </row>
    <row r="314" spans="3:15">
      <c r="C314" s="67"/>
      <c r="D314" s="62"/>
      <c r="E314" s="63"/>
      <c r="F314" s="62"/>
      <c r="H314" s="9"/>
      <c r="I314" s="9"/>
      <c r="J314" s="9"/>
      <c r="L314" s="27"/>
      <c r="M314" s="65"/>
      <c r="O314" s="13"/>
    </row>
    <row r="315" spans="3:15">
      <c r="C315" s="67"/>
      <c r="D315" s="62"/>
      <c r="E315" s="63"/>
      <c r="F315" s="62"/>
      <c r="H315" s="9"/>
      <c r="I315" s="9"/>
      <c r="J315" s="9"/>
      <c r="L315" s="27"/>
      <c r="M315" s="65"/>
      <c r="O315" s="13"/>
    </row>
    <row r="316" spans="3:15">
      <c r="C316" s="67"/>
      <c r="D316" s="62"/>
      <c r="E316" s="63"/>
      <c r="F316" s="62"/>
      <c r="H316" s="9"/>
      <c r="I316" s="9"/>
      <c r="J316" s="9"/>
      <c r="L316" s="27"/>
      <c r="M316" s="65"/>
      <c r="O316" s="13"/>
    </row>
    <row r="317" spans="3:15">
      <c r="C317" s="67"/>
      <c r="D317" s="62"/>
      <c r="E317" s="62"/>
      <c r="F317" s="62"/>
      <c r="H317" s="9"/>
      <c r="I317" s="9"/>
      <c r="J317" s="9"/>
      <c r="L317" s="27"/>
      <c r="M317" s="65"/>
      <c r="O317" s="13"/>
    </row>
    <row r="318" spans="3:15">
      <c r="C318" s="67"/>
      <c r="D318" s="62"/>
      <c r="E318" s="62"/>
      <c r="F318" s="62"/>
      <c r="H318" s="9"/>
      <c r="I318" s="9"/>
      <c r="J318" s="9"/>
      <c r="L318" s="27"/>
      <c r="M318" s="65"/>
      <c r="O318" s="13"/>
    </row>
    <row r="319" spans="3:15">
      <c r="C319" s="67"/>
      <c r="D319" s="62"/>
      <c r="E319" s="63"/>
      <c r="F319" s="62"/>
      <c r="H319" s="9"/>
      <c r="I319" s="9"/>
      <c r="J319" s="9"/>
      <c r="L319" s="27"/>
      <c r="M319" s="65"/>
      <c r="O319" s="13"/>
    </row>
    <row r="320" spans="3:15">
      <c r="C320" s="67"/>
      <c r="D320" s="62"/>
      <c r="E320" s="62"/>
      <c r="F320" s="62"/>
      <c r="H320" s="9"/>
      <c r="I320" s="9"/>
      <c r="J320" s="9"/>
      <c r="L320" s="27"/>
      <c r="M320" s="65"/>
      <c r="O320" s="13"/>
    </row>
    <row r="321" spans="3:15">
      <c r="C321" s="67"/>
      <c r="D321" s="62"/>
      <c r="E321" s="62"/>
      <c r="F321" s="62"/>
      <c r="H321" s="9"/>
      <c r="I321" s="9"/>
      <c r="J321" s="9"/>
      <c r="L321" s="27"/>
      <c r="M321" s="65"/>
      <c r="O321" s="13"/>
    </row>
    <row r="322" spans="3:15">
      <c r="C322" s="67"/>
      <c r="D322" s="62"/>
      <c r="E322" s="62"/>
      <c r="F322" s="62"/>
      <c r="H322" s="9"/>
      <c r="I322" s="9"/>
      <c r="J322" s="9"/>
      <c r="L322" s="27"/>
      <c r="M322" s="65"/>
      <c r="O322" s="13"/>
    </row>
    <row r="323" spans="3:15">
      <c r="C323" s="67"/>
      <c r="D323" s="62"/>
      <c r="E323" s="62"/>
      <c r="F323" s="62"/>
      <c r="H323" s="9"/>
      <c r="I323" s="9"/>
      <c r="J323" s="9"/>
      <c r="L323" s="27"/>
      <c r="M323" s="65"/>
      <c r="O323" s="13"/>
    </row>
    <row r="324" spans="3:15">
      <c r="C324" s="67"/>
      <c r="D324" s="62"/>
      <c r="E324" s="62"/>
      <c r="F324" s="62"/>
      <c r="H324" s="9"/>
      <c r="I324" s="9"/>
      <c r="J324" s="9"/>
      <c r="L324" s="27"/>
      <c r="M324" s="65"/>
      <c r="O324" s="13"/>
    </row>
    <row r="325" spans="3:15">
      <c r="C325" s="67"/>
      <c r="D325" s="62"/>
      <c r="E325" s="63"/>
      <c r="F325" s="62"/>
      <c r="H325" s="9"/>
      <c r="I325" s="9"/>
      <c r="J325" s="9"/>
      <c r="L325" s="27"/>
      <c r="M325" s="65"/>
      <c r="O325" s="13"/>
    </row>
    <row r="326" spans="3:15">
      <c r="C326" s="67"/>
      <c r="D326" s="62"/>
      <c r="E326" s="63"/>
      <c r="F326" s="62"/>
      <c r="H326" s="9"/>
      <c r="I326" s="9"/>
      <c r="J326" s="9"/>
      <c r="L326" s="27"/>
      <c r="M326" s="65"/>
      <c r="O326" s="13"/>
    </row>
    <row r="327" spans="3:15">
      <c r="C327" s="67"/>
      <c r="D327" s="62"/>
      <c r="E327" s="63"/>
      <c r="F327" s="62"/>
      <c r="H327" s="9"/>
      <c r="I327" s="9"/>
      <c r="J327" s="9"/>
      <c r="L327" s="27"/>
      <c r="M327" s="65"/>
      <c r="O327" s="13"/>
    </row>
    <row r="328" spans="3:15">
      <c r="C328" s="67"/>
      <c r="D328" s="62"/>
      <c r="E328" s="62"/>
      <c r="F328" s="62"/>
      <c r="H328" s="9"/>
      <c r="I328" s="9"/>
      <c r="J328" s="9"/>
      <c r="L328" s="27"/>
      <c r="M328" s="65"/>
      <c r="O328" s="13"/>
    </row>
    <row r="329" spans="3:15">
      <c r="C329" s="67"/>
      <c r="D329" s="62"/>
      <c r="E329" s="62"/>
      <c r="F329" s="62"/>
      <c r="H329" s="9"/>
      <c r="I329" s="9"/>
      <c r="J329" s="9"/>
      <c r="L329" s="27"/>
      <c r="M329" s="65"/>
      <c r="O329" s="13"/>
    </row>
    <row r="330" spans="3:15">
      <c r="C330" s="67"/>
      <c r="D330" s="62"/>
      <c r="E330" s="63"/>
      <c r="F330" s="62"/>
      <c r="H330" s="9"/>
      <c r="I330" s="9"/>
      <c r="J330" s="9"/>
      <c r="L330" s="27"/>
      <c r="M330" s="65"/>
      <c r="O330" s="13"/>
    </row>
    <row r="331" spans="3:15">
      <c r="C331" s="67"/>
      <c r="D331" s="62"/>
      <c r="E331" s="63"/>
      <c r="F331" s="62"/>
      <c r="H331" s="9"/>
      <c r="I331" s="9"/>
      <c r="J331" s="9"/>
      <c r="L331" s="27"/>
      <c r="M331" s="65"/>
      <c r="O331" s="13"/>
    </row>
    <row r="332" spans="3:15">
      <c r="C332" s="67"/>
      <c r="D332" s="62"/>
      <c r="E332" s="63"/>
      <c r="F332" s="62"/>
      <c r="H332" s="9"/>
      <c r="I332" s="9"/>
      <c r="J332" s="9"/>
      <c r="L332" s="27"/>
      <c r="M332" s="65"/>
      <c r="O332" s="13"/>
    </row>
    <row r="333" spans="3:15">
      <c r="C333" s="67"/>
      <c r="D333" s="62"/>
      <c r="E333" s="62"/>
      <c r="F333" s="62"/>
      <c r="H333" s="9"/>
      <c r="I333" s="9"/>
      <c r="J333" s="9"/>
      <c r="L333" s="27"/>
      <c r="M333" s="65"/>
      <c r="O333" s="13"/>
    </row>
    <row r="334" spans="3:15">
      <c r="C334" s="67"/>
      <c r="D334" s="62"/>
      <c r="E334" s="63"/>
      <c r="F334" s="62"/>
      <c r="H334" s="9"/>
      <c r="I334" s="9"/>
      <c r="J334" s="9"/>
      <c r="L334" s="27"/>
      <c r="M334" s="65"/>
      <c r="O334" s="13"/>
    </row>
    <row r="335" spans="3:15">
      <c r="C335" s="67"/>
      <c r="D335" s="62"/>
      <c r="E335" s="63"/>
      <c r="F335" s="62"/>
      <c r="H335" s="9"/>
      <c r="I335" s="9"/>
      <c r="J335" s="9"/>
      <c r="L335" s="27"/>
      <c r="M335" s="65"/>
      <c r="O335" s="13"/>
    </row>
    <row r="336" spans="3:15">
      <c r="C336" s="67"/>
      <c r="D336" s="62"/>
      <c r="E336" s="62"/>
      <c r="F336" s="62"/>
      <c r="H336" s="9"/>
      <c r="I336" s="9"/>
      <c r="J336" s="9"/>
      <c r="L336" s="27"/>
      <c r="M336" s="65"/>
      <c r="O336" s="13"/>
    </row>
    <row r="337" spans="3:15">
      <c r="C337" s="67"/>
      <c r="D337" s="62"/>
      <c r="E337" s="63"/>
      <c r="F337" s="62"/>
      <c r="H337" s="9"/>
      <c r="I337" s="9"/>
      <c r="J337" s="9"/>
      <c r="L337" s="27"/>
      <c r="M337" s="65"/>
      <c r="O337" s="13"/>
    </row>
    <row r="338" spans="3:15">
      <c r="C338" s="67"/>
      <c r="D338" s="62"/>
      <c r="E338" s="63"/>
      <c r="F338" s="62"/>
      <c r="H338" s="9"/>
      <c r="I338" s="9"/>
      <c r="J338" s="9"/>
      <c r="L338" s="27"/>
      <c r="M338" s="65"/>
      <c r="O338" s="13"/>
    </row>
    <row r="339" spans="3:15">
      <c r="C339" s="67"/>
      <c r="D339" s="62"/>
      <c r="E339" s="63"/>
      <c r="F339" s="62"/>
      <c r="H339" s="9"/>
      <c r="I339" s="9"/>
      <c r="J339" s="9"/>
      <c r="L339" s="27"/>
      <c r="M339" s="65"/>
      <c r="O339" s="13"/>
    </row>
    <row r="340" spans="3:15">
      <c r="C340" s="67"/>
      <c r="D340" s="62"/>
      <c r="E340" s="63"/>
      <c r="F340" s="62"/>
      <c r="H340" s="9"/>
      <c r="I340" s="9"/>
      <c r="J340" s="9"/>
      <c r="L340" s="27"/>
      <c r="M340" s="65"/>
      <c r="O340" s="13"/>
    </row>
    <row r="341" spans="3:15">
      <c r="C341" s="67"/>
      <c r="D341" s="62"/>
      <c r="E341" s="62"/>
      <c r="F341" s="62"/>
      <c r="H341" s="9"/>
      <c r="I341" s="9"/>
      <c r="J341" s="9"/>
      <c r="L341" s="27"/>
      <c r="M341" s="65"/>
      <c r="O341" s="13"/>
    </row>
    <row r="342" spans="3:15">
      <c r="C342" s="67"/>
      <c r="D342" s="62"/>
      <c r="E342" s="62"/>
      <c r="F342" s="62"/>
      <c r="H342" s="9"/>
      <c r="I342" s="9"/>
      <c r="J342" s="9"/>
      <c r="L342" s="27"/>
      <c r="M342" s="65"/>
      <c r="O342" s="13"/>
    </row>
    <row r="343" spans="3:15">
      <c r="C343" s="67"/>
      <c r="D343" s="62"/>
      <c r="E343" s="63"/>
      <c r="F343" s="62"/>
      <c r="H343" s="9"/>
      <c r="I343" s="9"/>
      <c r="J343" s="9"/>
      <c r="L343" s="27"/>
      <c r="M343" s="65"/>
      <c r="O343" s="13"/>
    </row>
    <row r="344" spans="3:15">
      <c r="C344" s="67"/>
      <c r="D344" s="62"/>
      <c r="E344" s="62"/>
      <c r="F344" s="62"/>
      <c r="H344" s="9"/>
      <c r="I344" s="9"/>
      <c r="J344" s="9"/>
      <c r="L344" s="27"/>
      <c r="M344" s="65"/>
      <c r="O344" s="13"/>
    </row>
    <row r="345" spans="3:15">
      <c r="C345" s="67"/>
      <c r="D345" s="62"/>
      <c r="E345" s="63"/>
      <c r="F345" s="62"/>
      <c r="H345" s="9"/>
      <c r="I345" s="9"/>
      <c r="J345" s="9"/>
      <c r="L345" s="27"/>
      <c r="M345" s="65"/>
      <c r="O345" s="13"/>
    </row>
    <row r="346" spans="3:15">
      <c r="C346" s="67"/>
      <c r="D346" s="62"/>
      <c r="E346" s="63"/>
      <c r="F346" s="62"/>
      <c r="H346" s="9"/>
      <c r="I346" s="9"/>
      <c r="J346" s="9"/>
      <c r="L346" s="27"/>
      <c r="M346" s="65"/>
      <c r="O346" s="13"/>
    </row>
    <row r="347" spans="3:15">
      <c r="C347" s="67"/>
      <c r="D347" s="62"/>
      <c r="E347" s="62"/>
      <c r="F347" s="62"/>
      <c r="H347" s="9"/>
      <c r="I347" s="9"/>
      <c r="J347" s="9"/>
      <c r="L347" s="27"/>
      <c r="M347" s="65"/>
      <c r="O347" s="13"/>
    </row>
    <row r="348" spans="3:15">
      <c r="C348" s="67"/>
      <c r="D348" s="62"/>
      <c r="E348" s="62"/>
      <c r="F348" s="62"/>
      <c r="H348" s="9"/>
      <c r="I348" s="9"/>
      <c r="J348" s="9"/>
      <c r="L348" s="27"/>
      <c r="M348" s="65"/>
      <c r="O348" s="13"/>
    </row>
    <row r="349" spans="3:15">
      <c r="C349" s="67"/>
      <c r="D349" s="62"/>
      <c r="E349" s="62"/>
      <c r="F349" s="62"/>
      <c r="H349" s="9"/>
      <c r="I349" s="9"/>
      <c r="J349" s="9"/>
      <c r="L349" s="27"/>
      <c r="M349" s="65"/>
      <c r="O349" s="13"/>
    </row>
    <row r="350" spans="3:15">
      <c r="C350" s="67"/>
      <c r="D350" s="62"/>
      <c r="E350" s="62"/>
      <c r="F350" s="62"/>
      <c r="H350" s="9"/>
      <c r="I350" s="9"/>
      <c r="J350" s="9"/>
      <c r="L350" s="27"/>
      <c r="M350" s="65"/>
      <c r="O350" s="13"/>
    </row>
    <row r="351" spans="3:15">
      <c r="C351" s="67"/>
      <c r="D351" s="62"/>
      <c r="E351" s="63"/>
      <c r="F351" s="62"/>
      <c r="H351" s="9"/>
      <c r="I351" s="9"/>
      <c r="J351" s="9"/>
      <c r="L351" s="27"/>
      <c r="M351" s="65"/>
      <c r="O351" s="13"/>
    </row>
    <row r="352" spans="3:15">
      <c r="C352" s="67"/>
      <c r="D352" s="62"/>
      <c r="E352" s="63"/>
      <c r="F352" s="62"/>
      <c r="H352" s="9"/>
      <c r="I352" s="9"/>
      <c r="J352" s="9"/>
      <c r="L352" s="27"/>
      <c r="M352" s="65"/>
      <c r="O352" s="13"/>
    </row>
    <row r="353" spans="3:15">
      <c r="C353" s="67"/>
      <c r="D353" s="62"/>
      <c r="E353" s="63"/>
      <c r="F353" s="62"/>
      <c r="H353" s="9"/>
      <c r="I353" s="9"/>
      <c r="J353" s="9"/>
      <c r="L353" s="27"/>
      <c r="M353" s="65"/>
      <c r="O353" s="13"/>
    </row>
    <row r="354" spans="3:15">
      <c r="C354" s="67"/>
      <c r="D354" s="62"/>
      <c r="E354" s="62"/>
      <c r="F354" s="62"/>
      <c r="H354" s="9"/>
      <c r="I354" s="9"/>
      <c r="J354" s="9"/>
      <c r="L354" s="27"/>
      <c r="M354" s="65"/>
      <c r="O354" s="13"/>
    </row>
    <row r="355" spans="3:15">
      <c r="C355" s="67"/>
      <c r="D355" s="62"/>
      <c r="E355" s="62"/>
      <c r="F355" s="62"/>
      <c r="H355" s="9"/>
      <c r="I355" s="9"/>
      <c r="J355" s="9"/>
      <c r="L355" s="27"/>
      <c r="M355" s="65"/>
      <c r="O355" s="13"/>
    </row>
    <row r="356" spans="3:15">
      <c r="C356" s="67"/>
      <c r="D356" s="62"/>
      <c r="E356" s="62"/>
      <c r="F356" s="62"/>
      <c r="H356" s="9"/>
      <c r="I356" s="9"/>
      <c r="J356" s="9"/>
      <c r="L356" s="27"/>
      <c r="M356" s="65"/>
      <c r="O356" s="13"/>
    </row>
    <row r="357" spans="3:15">
      <c r="C357" s="67"/>
      <c r="D357" s="62"/>
      <c r="E357" s="63"/>
      <c r="F357" s="62"/>
      <c r="H357" s="9"/>
      <c r="I357" s="9"/>
      <c r="J357" s="9"/>
      <c r="L357" s="27"/>
      <c r="M357" s="65"/>
      <c r="O357" s="13"/>
    </row>
    <row r="358" spans="3:15">
      <c r="C358" s="67"/>
      <c r="D358" s="62"/>
      <c r="E358" s="63"/>
      <c r="F358" s="62"/>
      <c r="H358" s="9"/>
      <c r="I358" s="9"/>
      <c r="J358" s="9"/>
      <c r="L358" s="27"/>
      <c r="M358" s="65"/>
      <c r="O358" s="13"/>
    </row>
    <row r="359" spans="3:15">
      <c r="C359" s="67"/>
      <c r="D359" s="62"/>
      <c r="E359" s="63"/>
      <c r="F359" s="62"/>
      <c r="H359" s="9"/>
      <c r="I359" s="9"/>
      <c r="J359" s="9"/>
      <c r="L359" s="27"/>
      <c r="M359" s="65"/>
      <c r="O359" s="13"/>
    </row>
    <row r="360" spans="3:15">
      <c r="C360" s="67"/>
      <c r="D360" s="62"/>
      <c r="E360" s="63"/>
      <c r="F360" s="62"/>
      <c r="H360" s="9"/>
      <c r="I360" s="9"/>
      <c r="J360" s="9"/>
      <c r="L360" s="27"/>
      <c r="M360" s="65"/>
      <c r="O360" s="13"/>
    </row>
    <row r="361" spans="3:15">
      <c r="C361" s="67"/>
      <c r="D361" s="62"/>
      <c r="E361" s="62"/>
      <c r="F361" s="62"/>
      <c r="H361" s="9"/>
      <c r="I361" s="9"/>
      <c r="J361" s="9"/>
      <c r="L361" s="27"/>
      <c r="M361" s="65"/>
      <c r="O361" s="13"/>
    </row>
    <row r="362" spans="3:15">
      <c r="C362" s="67"/>
      <c r="D362" s="62"/>
      <c r="E362" s="63"/>
      <c r="F362" s="62"/>
      <c r="H362" s="9"/>
      <c r="I362" s="9"/>
      <c r="J362" s="9"/>
      <c r="L362" s="27"/>
      <c r="M362" s="65"/>
      <c r="O362" s="13"/>
    </row>
    <row r="363" spans="3:15">
      <c r="C363" s="67"/>
      <c r="D363" s="62"/>
      <c r="E363" s="62"/>
      <c r="F363" s="62"/>
      <c r="H363" s="9"/>
      <c r="I363" s="9"/>
      <c r="J363" s="9"/>
      <c r="L363" s="27"/>
      <c r="M363" s="65"/>
      <c r="O363" s="13"/>
    </row>
    <row r="364" spans="3:15">
      <c r="C364" s="67"/>
      <c r="D364" s="62"/>
      <c r="E364" s="63"/>
      <c r="F364" s="62"/>
      <c r="H364" s="9"/>
      <c r="I364" s="9"/>
      <c r="J364" s="9"/>
      <c r="L364" s="27"/>
      <c r="M364" s="65"/>
      <c r="O364" s="13"/>
    </row>
    <row r="365" spans="3:15">
      <c r="C365" s="67"/>
      <c r="D365" s="62"/>
      <c r="E365" s="63"/>
      <c r="F365" s="62"/>
      <c r="H365" s="9"/>
      <c r="I365" s="9"/>
      <c r="J365" s="9"/>
      <c r="L365" s="27"/>
      <c r="M365" s="65"/>
      <c r="O365" s="13"/>
    </row>
    <row r="366" spans="3:15">
      <c r="C366" s="67"/>
      <c r="D366" s="62"/>
      <c r="E366" s="62"/>
      <c r="F366" s="62"/>
      <c r="H366" s="9"/>
      <c r="I366" s="9"/>
      <c r="J366" s="9"/>
      <c r="L366" s="27"/>
      <c r="M366" s="65"/>
      <c r="O366" s="13"/>
    </row>
    <row r="367" spans="3:15">
      <c r="C367" s="67"/>
      <c r="D367" s="62"/>
      <c r="E367" s="62"/>
      <c r="F367" s="62"/>
      <c r="H367" s="9"/>
      <c r="I367" s="9"/>
      <c r="J367" s="9"/>
      <c r="L367" s="27"/>
      <c r="M367" s="65"/>
      <c r="O367" s="13"/>
    </row>
    <row r="368" spans="3:15">
      <c r="C368" s="67"/>
      <c r="D368" s="62"/>
      <c r="E368" s="62"/>
      <c r="F368" s="62"/>
      <c r="H368" s="9"/>
      <c r="I368" s="9"/>
      <c r="J368" s="9"/>
      <c r="L368" s="27"/>
      <c r="M368" s="65"/>
      <c r="O368" s="13"/>
    </row>
    <row r="369" spans="3:15">
      <c r="C369" s="67"/>
      <c r="D369" s="62"/>
      <c r="E369" s="63"/>
      <c r="F369" s="62"/>
      <c r="H369" s="9"/>
      <c r="I369" s="9"/>
      <c r="J369" s="9"/>
      <c r="L369" s="27"/>
      <c r="M369" s="65"/>
      <c r="O369" s="13"/>
    </row>
    <row r="370" spans="3:15">
      <c r="C370" s="67"/>
      <c r="D370" s="62"/>
      <c r="E370" s="63"/>
      <c r="F370" s="62"/>
      <c r="H370" s="9"/>
      <c r="I370" s="9"/>
      <c r="J370" s="9"/>
      <c r="L370" s="27"/>
      <c r="M370" s="65"/>
      <c r="O370" s="13"/>
    </row>
    <row r="371" spans="3:15">
      <c r="C371" s="67"/>
      <c r="D371" s="62"/>
      <c r="E371" s="62"/>
      <c r="F371" s="62"/>
      <c r="H371" s="9"/>
      <c r="I371" s="9"/>
      <c r="J371" s="9"/>
      <c r="L371" s="27"/>
      <c r="M371" s="65"/>
      <c r="O371" s="13"/>
    </row>
    <row r="372" spans="3:15">
      <c r="C372" s="67"/>
      <c r="D372" s="62"/>
      <c r="E372" s="62"/>
      <c r="F372" s="62"/>
      <c r="H372" s="9"/>
      <c r="I372" s="9"/>
      <c r="J372" s="9"/>
      <c r="L372" s="27"/>
      <c r="M372" s="65"/>
      <c r="O372" s="13"/>
    </row>
    <row r="373" spans="3:15">
      <c r="C373" s="67"/>
      <c r="D373" s="62"/>
      <c r="E373" s="62"/>
      <c r="F373" s="62"/>
      <c r="H373" s="9"/>
      <c r="I373" s="9"/>
      <c r="J373" s="9"/>
      <c r="L373" s="27"/>
      <c r="M373" s="65"/>
      <c r="O373" s="13"/>
    </row>
    <row r="374" spans="3:15">
      <c r="C374" s="67"/>
      <c r="D374" s="62"/>
      <c r="E374" s="62"/>
      <c r="F374" s="62"/>
      <c r="H374" s="9"/>
      <c r="I374" s="9"/>
      <c r="J374" s="9"/>
      <c r="L374" s="27"/>
      <c r="M374" s="65"/>
      <c r="O374" s="13"/>
    </row>
    <row r="375" spans="3:15">
      <c r="C375" s="67"/>
      <c r="D375" s="62"/>
      <c r="E375" s="62"/>
      <c r="F375" s="62"/>
      <c r="H375" s="9"/>
      <c r="I375" s="9"/>
      <c r="J375" s="9"/>
      <c r="L375" s="27"/>
      <c r="M375" s="65"/>
      <c r="O375" s="13"/>
    </row>
    <row r="376" spans="3:15">
      <c r="C376" s="67"/>
      <c r="D376" s="62"/>
      <c r="E376" s="62"/>
      <c r="F376" s="62"/>
      <c r="H376" s="9"/>
      <c r="I376" s="9"/>
      <c r="J376" s="9"/>
      <c r="L376" s="27"/>
      <c r="M376" s="65"/>
      <c r="O376" s="13"/>
    </row>
    <row r="377" spans="3:15">
      <c r="C377" s="67"/>
      <c r="D377" s="62"/>
      <c r="E377" s="62"/>
      <c r="F377" s="62"/>
      <c r="H377" s="9"/>
      <c r="I377" s="9"/>
      <c r="J377" s="9"/>
      <c r="L377" s="27"/>
      <c r="M377" s="65"/>
      <c r="O377" s="13"/>
    </row>
    <row r="378" spans="3:15">
      <c r="C378" s="67"/>
      <c r="D378" s="62"/>
      <c r="E378" s="62"/>
      <c r="F378" s="62"/>
      <c r="H378" s="9"/>
      <c r="I378" s="9"/>
      <c r="J378" s="9"/>
      <c r="L378" s="27"/>
      <c r="M378" s="65"/>
      <c r="O378" s="13"/>
    </row>
    <row r="379" spans="3:15">
      <c r="C379" s="67"/>
      <c r="D379" s="62"/>
      <c r="E379" s="62"/>
      <c r="F379" s="62"/>
      <c r="H379" s="9"/>
      <c r="I379" s="9"/>
      <c r="J379" s="9"/>
      <c r="L379" s="27"/>
      <c r="M379" s="65"/>
      <c r="O379" s="13"/>
    </row>
    <row r="380" spans="3:15">
      <c r="C380" s="67"/>
      <c r="D380" s="62"/>
      <c r="E380" s="62"/>
      <c r="F380" s="62"/>
      <c r="H380" s="9"/>
      <c r="I380" s="9"/>
      <c r="J380" s="9"/>
      <c r="L380" s="27"/>
      <c r="M380" s="65"/>
      <c r="O380" s="13"/>
    </row>
    <row r="381" spans="3:15">
      <c r="C381" s="67"/>
      <c r="D381" s="62"/>
      <c r="E381" s="63"/>
      <c r="F381" s="62"/>
      <c r="H381" s="9"/>
      <c r="I381" s="9"/>
      <c r="J381" s="9"/>
      <c r="L381" s="27"/>
      <c r="M381" s="65"/>
      <c r="O381" s="13"/>
    </row>
    <row r="382" spans="3:15">
      <c r="C382" s="67"/>
      <c r="D382" s="62"/>
      <c r="E382" s="63"/>
      <c r="F382" s="62"/>
      <c r="H382" s="9"/>
      <c r="I382" s="9"/>
      <c r="J382" s="9"/>
      <c r="L382" s="27"/>
      <c r="M382" s="65"/>
      <c r="O382" s="13"/>
    </row>
    <row r="383" spans="3:15">
      <c r="C383" s="67"/>
      <c r="D383" s="62"/>
      <c r="E383" s="62"/>
      <c r="F383" s="62"/>
      <c r="H383" s="9"/>
      <c r="I383" s="9"/>
      <c r="J383" s="9"/>
      <c r="L383" s="27"/>
      <c r="M383" s="65"/>
      <c r="O383" s="13"/>
    </row>
    <row r="384" spans="3:15">
      <c r="C384" s="67"/>
      <c r="D384" s="62"/>
      <c r="E384" s="63"/>
      <c r="F384" s="62"/>
      <c r="H384" s="9"/>
      <c r="I384" s="9"/>
      <c r="J384" s="9"/>
      <c r="L384" s="27"/>
      <c r="M384" s="65"/>
      <c r="O384" s="13"/>
    </row>
    <row r="385" spans="3:15">
      <c r="C385" s="67"/>
      <c r="D385" s="62"/>
      <c r="E385" s="62"/>
      <c r="F385" s="62"/>
      <c r="H385" s="9"/>
      <c r="I385" s="9"/>
      <c r="J385" s="9"/>
      <c r="L385" s="27"/>
      <c r="M385" s="65"/>
      <c r="O385" s="13"/>
    </row>
    <row r="386" spans="3:15">
      <c r="C386" s="67"/>
      <c r="D386" s="62"/>
      <c r="E386" s="62"/>
      <c r="F386" s="62"/>
      <c r="H386" s="9"/>
      <c r="I386" s="9"/>
      <c r="J386" s="9"/>
      <c r="L386" s="27"/>
      <c r="M386" s="65"/>
      <c r="O386" s="13"/>
    </row>
    <row r="387" spans="3:15">
      <c r="C387" s="67"/>
      <c r="D387" s="62"/>
      <c r="E387" s="63"/>
      <c r="F387" s="62"/>
      <c r="H387" s="9"/>
      <c r="I387" s="9"/>
      <c r="J387" s="9"/>
      <c r="L387" s="27"/>
      <c r="M387" s="65"/>
      <c r="O387" s="13"/>
    </row>
    <row r="388" spans="3:15">
      <c r="C388" s="67"/>
      <c r="D388" s="62"/>
      <c r="E388" s="63"/>
      <c r="F388" s="62"/>
      <c r="H388" s="9"/>
      <c r="I388" s="9"/>
      <c r="J388" s="9"/>
      <c r="L388" s="27"/>
      <c r="M388" s="65"/>
      <c r="O388" s="13"/>
    </row>
    <row r="389" spans="3:15">
      <c r="C389" s="67"/>
      <c r="D389" s="62"/>
      <c r="E389" s="63"/>
      <c r="F389" s="62"/>
      <c r="H389" s="9"/>
      <c r="I389" s="9"/>
      <c r="J389" s="9"/>
      <c r="L389" s="27"/>
      <c r="M389" s="65"/>
      <c r="O389" s="13"/>
    </row>
    <row r="390" spans="3:15">
      <c r="C390" s="67"/>
      <c r="D390" s="62"/>
      <c r="E390" s="63"/>
      <c r="F390" s="62"/>
      <c r="H390" s="9"/>
      <c r="I390" s="9"/>
      <c r="J390" s="9"/>
      <c r="L390" s="27"/>
      <c r="M390" s="65"/>
      <c r="O390" s="13"/>
    </row>
    <row r="391" spans="3:15">
      <c r="C391" s="67"/>
      <c r="D391" s="62"/>
      <c r="E391" s="63"/>
      <c r="F391" s="62"/>
      <c r="H391" s="9"/>
      <c r="I391" s="9"/>
      <c r="J391" s="9"/>
      <c r="L391" s="27"/>
      <c r="M391" s="65"/>
      <c r="O391" s="13"/>
    </row>
    <row r="392" spans="3:15">
      <c r="C392" s="67"/>
      <c r="D392" s="62"/>
      <c r="E392" s="63"/>
      <c r="F392" s="62"/>
      <c r="H392" s="9"/>
      <c r="I392" s="9"/>
      <c r="J392" s="9"/>
      <c r="L392" s="27"/>
      <c r="M392" s="65"/>
      <c r="O392" s="13"/>
    </row>
    <row r="393" spans="3:15">
      <c r="C393" s="67"/>
      <c r="D393" s="62"/>
      <c r="E393" s="62"/>
      <c r="F393" s="62"/>
      <c r="H393" s="9"/>
      <c r="I393" s="9"/>
      <c r="J393" s="9"/>
      <c r="L393" s="27"/>
      <c r="M393" s="65"/>
      <c r="O393" s="13"/>
    </row>
    <row r="394" spans="3:15">
      <c r="C394" s="67"/>
      <c r="D394" s="62"/>
      <c r="E394" s="63"/>
      <c r="F394" s="62"/>
      <c r="H394" s="9"/>
      <c r="I394" s="9"/>
      <c r="J394" s="9"/>
      <c r="L394" s="27"/>
      <c r="M394" s="65"/>
      <c r="O394" s="13"/>
    </row>
    <row r="395" spans="3:15">
      <c r="C395" s="67"/>
      <c r="D395" s="62"/>
      <c r="E395" s="63"/>
      <c r="F395" s="62"/>
      <c r="H395" s="9"/>
      <c r="I395" s="9"/>
      <c r="J395" s="9"/>
      <c r="L395" s="27"/>
      <c r="M395" s="65"/>
      <c r="O395" s="13"/>
    </row>
    <row r="396" spans="3:15">
      <c r="C396" s="67"/>
      <c r="D396" s="62"/>
      <c r="E396" s="62"/>
      <c r="F396" s="62"/>
      <c r="H396" s="9"/>
      <c r="I396" s="9"/>
      <c r="J396" s="9"/>
      <c r="L396" s="27"/>
      <c r="M396" s="65"/>
      <c r="O396" s="13"/>
    </row>
    <row r="397" spans="3:15">
      <c r="C397" s="67"/>
      <c r="D397" s="62"/>
      <c r="E397" s="63"/>
      <c r="F397" s="62"/>
      <c r="H397" s="9"/>
      <c r="I397" s="9"/>
      <c r="J397" s="9"/>
      <c r="L397" s="27"/>
      <c r="M397" s="65"/>
      <c r="O397" s="13"/>
    </row>
    <row r="398" spans="3:15">
      <c r="C398" s="67"/>
      <c r="D398" s="62"/>
      <c r="E398" s="62"/>
      <c r="F398" s="62"/>
      <c r="H398" s="9"/>
      <c r="I398" s="9"/>
      <c r="J398" s="9"/>
      <c r="L398" s="27"/>
      <c r="M398" s="65"/>
      <c r="O398" s="13"/>
    </row>
    <row r="399" spans="3:15">
      <c r="C399" s="67"/>
      <c r="D399" s="62"/>
      <c r="E399" s="63"/>
      <c r="F399" s="62"/>
      <c r="H399" s="9"/>
      <c r="I399" s="9"/>
      <c r="J399" s="9"/>
      <c r="L399" s="27"/>
      <c r="M399" s="65"/>
      <c r="O399" s="13"/>
    </row>
    <row r="400" spans="3:15">
      <c r="C400" s="67"/>
      <c r="D400" s="62"/>
      <c r="E400" s="62"/>
      <c r="F400" s="62"/>
      <c r="H400" s="9"/>
      <c r="I400" s="9"/>
      <c r="J400" s="9"/>
      <c r="L400" s="27"/>
      <c r="M400" s="65"/>
      <c r="O400" s="13"/>
    </row>
    <row r="401" spans="3:15">
      <c r="C401" s="67"/>
      <c r="D401" s="62"/>
      <c r="E401" s="62"/>
      <c r="F401" s="62"/>
      <c r="H401" s="9"/>
      <c r="I401" s="9"/>
      <c r="J401" s="9"/>
      <c r="L401" s="27"/>
      <c r="M401" s="65"/>
      <c r="O401" s="13"/>
    </row>
    <row r="402" spans="3:15">
      <c r="C402" s="67"/>
      <c r="D402" s="62"/>
      <c r="E402" s="63"/>
      <c r="F402" s="62"/>
      <c r="H402" s="9"/>
      <c r="I402" s="9"/>
      <c r="J402" s="9"/>
      <c r="L402" s="27"/>
      <c r="M402" s="65"/>
      <c r="O402" s="13"/>
    </row>
    <row r="403" spans="3:15">
      <c r="C403" s="67"/>
      <c r="D403" s="62"/>
      <c r="E403" s="62"/>
      <c r="F403" s="62"/>
      <c r="H403" s="9"/>
      <c r="I403" s="9"/>
      <c r="J403" s="9"/>
      <c r="L403" s="27"/>
      <c r="M403" s="65"/>
      <c r="O403" s="13"/>
    </row>
    <row r="404" spans="3:15">
      <c r="C404" s="67"/>
      <c r="D404" s="62"/>
      <c r="E404" s="62"/>
      <c r="F404" s="62"/>
      <c r="H404" s="9"/>
      <c r="I404" s="9"/>
      <c r="J404" s="9"/>
      <c r="L404" s="27"/>
      <c r="M404" s="65"/>
      <c r="O404" s="13"/>
    </row>
    <row r="405" spans="3:15">
      <c r="C405" s="67"/>
      <c r="D405" s="62"/>
      <c r="E405" s="62"/>
      <c r="F405" s="62"/>
      <c r="H405" s="9"/>
      <c r="I405" s="9"/>
      <c r="J405" s="9"/>
      <c r="L405" s="27"/>
      <c r="M405" s="65"/>
      <c r="O405" s="13"/>
    </row>
    <row r="406" spans="3:15">
      <c r="C406" s="67"/>
      <c r="D406" s="62"/>
      <c r="E406" s="63"/>
      <c r="F406" s="62"/>
      <c r="H406" s="9"/>
      <c r="I406" s="9"/>
      <c r="J406" s="9"/>
      <c r="L406" s="27"/>
      <c r="M406" s="65"/>
      <c r="O406" s="13"/>
    </row>
    <row r="407" spans="3:15">
      <c r="C407" s="67"/>
      <c r="D407" s="62"/>
      <c r="E407" s="63"/>
      <c r="F407" s="62"/>
      <c r="H407" s="9"/>
      <c r="I407" s="9"/>
      <c r="J407" s="9"/>
      <c r="L407" s="27"/>
      <c r="M407" s="65"/>
      <c r="O407" s="13"/>
    </row>
    <row r="408" spans="3:15">
      <c r="C408" s="67"/>
      <c r="D408" s="62"/>
      <c r="E408" s="63"/>
      <c r="F408" s="62"/>
      <c r="H408" s="9"/>
      <c r="I408" s="9"/>
      <c r="J408" s="9"/>
      <c r="L408" s="27"/>
      <c r="M408" s="65"/>
      <c r="O408" s="13"/>
    </row>
    <row r="409" spans="3:15">
      <c r="C409" s="67"/>
      <c r="D409" s="62"/>
      <c r="E409" s="62"/>
      <c r="F409" s="62"/>
      <c r="H409" s="9"/>
      <c r="I409" s="9"/>
      <c r="J409" s="9"/>
      <c r="L409" s="27"/>
      <c r="M409" s="65"/>
      <c r="O409" s="13"/>
    </row>
    <row r="410" spans="3:15">
      <c r="C410" s="67"/>
      <c r="D410" s="62"/>
      <c r="E410" s="62"/>
      <c r="F410" s="62"/>
      <c r="H410" s="9"/>
      <c r="I410" s="9"/>
      <c r="J410" s="9"/>
      <c r="L410" s="27"/>
      <c r="M410" s="65"/>
      <c r="O410" s="13"/>
    </row>
    <row r="411" spans="3:15">
      <c r="C411" s="67"/>
      <c r="D411" s="62"/>
      <c r="E411" s="62"/>
      <c r="F411" s="62"/>
      <c r="H411" s="9"/>
      <c r="I411" s="9"/>
      <c r="J411" s="9"/>
      <c r="L411" s="27"/>
      <c r="M411" s="65"/>
      <c r="O411" s="13"/>
    </row>
    <row r="412" spans="3:15">
      <c r="C412" s="67"/>
      <c r="D412" s="62"/>
      <c r="E412" s="62"/>
      <c r="F412" s="62"/>
      <c r="H412" s="9"/>
      <c r="I412" s="9"/>
      <c r="J412" s="9"/>
      <c r="L412" s="27"/>
      <c r="M412" s="65"/>
      <c r="O412" s="13"/>
    </row>
    <row r="413" spans="3:15">
      <c r="C413" s="67"/>
      <c r="D413" s="62"/>
      <c r="E413" s="63"/>
      <c r="F413" s="62"/>
      <c r="H413" s="9"/>
      <c r="I413" s="9"/>
      <c r="J413" s="9"/>
      <c r="L413" s="27"/>
      <c r="M413" s="65"/>
      <c r="O413" s="13"/>
    </row>
    <row r="414" spans="3:15">
      <c r="C414" s="67"/>
      <c r="D414" s="62"/>
      <c r="E414" s="63"/>
      <c r="F414" s="62"/>
      <c r="H414" s="9"/>
      <c r="I414" s="9"/>
      <c r="J414" s="9"/>
      <c r="L414" s="27"/>
      <c r="M414" s="65"/>
      <c r="O414" s="13"/>
    </row>
    <row r="415" spans="3:15">
      <c r="C415" s="67"/>
      <c r="D415" s="62"/>
      <c r="E415" s="62"/>
      <c r="F415" s="62"/>
      <c r="H415" s="9"/>
      <c r="I415" s="9"/>
      <c r="J415" s="9"/>
      <c r="L415" s="27"/>
      <c r="M415" s="65"/>
      <c r="O415" s="13"/>
    </row>
    <row r="416" spans="3:15">
      <c r="D416" s="66"/>
      <c r="H416" s="9"/>
      <c r="I416" s="9"/>
      <c r="J416" s="9"/>
      <c r="L416" s="27"/>
      <c r="M416" s="65"/>
      <c r="O416" s="13"/>
    </row>
    <row r="417" spans="4:15">
      <c r="D417" s="66"/>
      <c r="H417" s="9"/>
      <c r="I417" s="9"/>
      <c r="J417" s="9"/>
      <c r="L417" s="27"/>
      <c r="M417" s="65"/>
      <c r="O417" s="13"/>
    </row>
    <row r="418" spans="4:15">
      <c r="D418" s="66"/>
      <c r="H418" s="9"/>
      <c r="I418" s="9"/>
      <c r="J418" s="9"/>
      <c r="L418" s="27"/>
      <c r="M418" s="65"/>
      <c r="O418" s="13"/>
    </row>
    <row r="419" spans="4:15">
      <c r="D419" s="66"/>
      <c r="H419" s="9"/>
      <c r="I419" s="9"/>
      <c r="J419" s="9"/>
      <c r="L419" s="27"/>
      <c r="M419" s="65"/>
      <c r="O419" s="13"/>
    </row>
    <row r="420" spans="4:15">
      <c r="D420" s="66"/>
      <c r="H420" s="9"/>
      <c r="I420" s="9"/>
      <c r="J420" s="9"/>
      <c r="L420" s="27"/>
      <c r="M420" s="65"/>
      <c r="O420" s="13"/>
    </row>
    <row r="421" spans="4:15">
      <c r="D421" s="66"/>
      <c r="H421" s="9"/>
      <c r="I421" s="9"/>
      <c r="J421" s="9"/>
      <c r="L421" s="27"/>
      <c r="M421" s="65"/>
      <c r="O421" s="13"/>
    </row>
    <row r="422" spans="4:15">
      <c r="D422" s="66"/>
      <c r="H422" s="9"/>
      <c r="I422" s="9"/>
      <c r="J422" s="9"/>
      <c r="L422" s="27"/>
      <c r="M422" s="65"/>
      <c r="O422" s="13"/>
    </row>
    <row r="423" spans="4:15">
      <c r="D423" s="66"/>
      <c r="H423" s="9"/>
      <c r="I423" s="9"/>
      <c r="J423" s="9"/>
      <c r="L423" s="27"/>
      <c r="M423" s="65"/>
      <c r="O423" s="13"/>
    </row>
    <row r="424" spans="4:15">
      <c r="D424" s="66"/>
      <c r="H424" s="9"/>
      <c r="I424" s="9"/>
      <c r="J424" s="9"/>
      <c r="L424" s="27"/>
      <c r="M424" s="65"/>
      <c r="O424" s="13"/>
    </row>
    <row r="425" spans="4:15">
      <c r="D425" s="66"/>
      <c r="H425" s="9"/>
      <c r="I425" s="9"/>
      <c r="J425" s="9"/>
      <c r="L425" s="27"/>
      <c r="M425" s="65"/>
      <c r="O425" s="13"/>
    </row>
    <row r="426" spans="4:15">
      <c r="D426" s="66"/>
      <c r="H426" s="9"/>
      <c r="I426" s="9"/>
      <c r="J426" s="9"/>
      <c r="L426" s="27"/>
      <c r="M426" s="65"/>
      <c r="O426" s="13"/>
    </row>
    <row r="427" spans="4:15">
      <c r="D427" s="66"/>
      <c r="H427" s="9"/>
      <c r="I427" s="9"/>
      <c r="J427" s="9"/>
      <c r="L427" s="27"/>
      <c r="M427" s="65"/>
      <c r="O427" s="13"/>
    </row>
    <row r="428" spans="4:15">
      <c r="D428" s="66"/>
      <c r="H428" s="9"/>
      <c r="I428" s="9"/>
      <c r="J428" s="9"/>
      <c r="L428" s="27"/>
      <c r="M428" s="65"/>
      <c r="O428" s="13"/>
    </row>
    <row r="429" spans="4:15">
      <c r="D429" s="66"/>
      <c r="H429" s="9"/>
      <c r="I429" s="9"/>
      <c r="J429" s="9"/>
      <c r="L429" s="27"/>
      <c r="M429" s="65"/>
      <c r="O429" s="13"/>
    </row>
    <row r="430" spans="4:15">
      <c r="D430" s="66"/>
      <c r="H430" s="9"/>
      <c r="I430" s="9"/>
      <c r="J430" s="9"/>
      <c r="L430" s="27"/>
      <c r="M430" s="65"/>
      <c r="O430" s="13"/>
    </row>
    <row r="431" spans="4:15">
      <c r="D431" s="66"/>
      <c r="H431" s="9"/>
      <c r="I431" s="9"/>
      <c r="J431" s="9"/>
      <c r="L431" s="27"/>
      <c r="M431" s="65"/>
      <c r="O431" s="13"/>
    </row>
    <row r="432" spans="4:15">
      <c r="D432" s="66"/>
      <c r="H432" s="9"/>
      <c r="I432" s="9"/>
      <c r="J432" s="9"/>
      <c r="L432" s="27"/>
      <c r="M432" s="65"/>
      <c r="O432" s="13"/>
    </row>
    <row r="433" spans="4:15">
      <c r="D433" s="66"/>
      <c r="H433" s="9"/>
      <c r="I433" s="9"/>
      <c r="J433" s="9"/>
      <c r="L433" s="27"/>
      <c r="M433" s="65"/>
      <c r="O433" s="13"/>
    </row>
    <row r="434" spans="4:15">
      <c r="D434" s="66"/>
      <c r="H434" s="9"/>
      <c r="I434" s="9"/>
      <c r="J434" s="9"/>
      <c r="L434" s="27"/>
      <c r="M434" s="65"/>
      <c r="O434" s="13"/>
    </row>
    <row r="435" spans="4:15">
      <c r="D435" s="66"/>
      <c r="H435" s="9"/>
      <c r="I435" s="9"/>
      <c r="J435" s="9"/>
      <c r="L435" s="27"/>
      <c r="M435" s="65"/>
      <c r="O435" s="13"/>
    </row>
    <row r="436" spans="4:15">
      <c r="D436" s="66"/>
      <c r="H436" s="9"/>
      <c r="I436" s="9"/>
      <c r="J436" s="9"/>
      <c r="L436" s="27"/>
      <c r="M436" s="65"/>
      <c r="O436" s="13"/>
    </row>
    <row r="437" spans="4:15">
      <c r="D437" s="66"/>
      <c r="H437" s="9"/>
      <c r="I437" s="9"/>
      <c r="J437" s="9"/>
      <c r="L437" s="27"/>
      <c r="M437" s="65"/>
      <c r="O437" s="13"/>
    </row>
    <row r="438" spans="4:15">
      <c r="D438" s="66"/>
      <c r="H438" s="9"/>
      <c r="I438" s="9"/>
      <c r="J438" s="9"/>
      <c r="L438" s="27"/>
      <c r="M438" s="65"/>
      <c r="O438" s="13"/>
    </row>
    <row r="439" spans="4:15">
      <c r="D439" s="66"/>
      <c r="H439" s="9"/>
      <c r="I439" s="9"/>
      <c r="J439" s="9"/>
      <c r="L439" s="27"/>
      <c r="M439" s="65"/>
      <c r="O439" s="13"/>
    </row>
    <row r="440" spans="4:15">
      <c r="D440" s="66"/>
      <c r="H440" s="9"/>
      <c r="I440" s="9"/>
      <c r="J440" s="9"/>
      <c r="L440" s="27"/>
      <c r="M440" s="65"/>
      <c r="O440" s="13"/>
    </row>
    <row r="441" spans="4:15">
      <c r="D441" s="66"/>
      <c r="H441" s="9"/>
      <c r="I441" s="9"/>
      <c r="J441" s="9"/>
      <c r="L441" s="27"/>
      <c r="M441" s="65"/>
      <c r="O441" s="13"/>
    </row>
    <row r="442" spans="4:15">
      <c r="D442" s="66"/>
      <c r="H442" s="9"/>
      <c r="I442" s="9"/>
      <c r="J442" s="9"/>
      <c r="L442" s="27"/>
      <c r="M442" s="65"/>
      <c r="O442" s="13"/>
    </row>
    <row r="443" spans="4:15">
      <c r="D443" s="66"/>
      <c r="H443" s="9"/>
      <c r="I443" s="9"/>
      <c r="J443" s="9"/>
      <c r="L443" s="27"/>
      <c r="M443" s="65"/>
      <c r="O443" s="13"/>
    </row>
    <row r="444" spans="4:15">
      <c r="D444" s="66"/>
      <c r="H444" s="9"/>
      <c r="I444" s="9"/>
      <c r="J444" s="9"/>
      <c r="L444" s="27"/>
      <c r="M444" s="65"/>
      <c r="O444" s="13"/>
    </row>
    <row r="445" spans="4:15">
      <c r="D445" s="66"/>
      <c r="H445" s="9"/>
      <c r="I445" s="9"/>
      <c r="J445" s="9"/>
      <c r="L445" s="27"/>
      <c r="M445" s="65"/>
      <c r="O445" s="13"/>
    </row>
  </sheetData>
  <mergeCells count="1">
    <mergeCell ref="N105:R105"/>
  </mergeCells>
  <phoneticPr fontId="2" type="noConversion"/>
  <conditionalFormatting sqref="J14:J43">
    <cfRule type="cellIs" dxfId="85" priority="1" stopIfTrue="1" operator="greaterThan">
      <formula>0.5</formula>
    </cfRule>
    <cfRule type="cellIs" dxfId="84" priority="2" stopIfTrue="1" operator="lessThan">
      <formula>0.1</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topLeftCell="A28" workbookViewId="0">
      <selection activeCell="B33" sqref="B33"/>
    </sheetView>
  </sheetViews>
  <sheetFormatPr defaultRowHeight="12.75"/>
  <cols>
    <col min="2" max="2" width="22.42578125" bestFit="1" customWidth="1"/>
    <col min="5" max="5" width="14.42578125" bestFit="1" customWidth="1"/>
    <col min="7" max="7" width="16.7109375" customWidth="1"/>
    <col min="10" max="10" width="10.7109375" bestFit="1" customWidth="1"/>
    <col min="14" max="14" width="10" bestFit="1" customWidth="1"/>
  </cols>
  <sheetData>
    <row r="1" spans="1:17" ht="13.5" thickBot="1">
      <c r="A1" s="130">
        <v>18</v>
      </c>
      <c r="B1" s="56" t="s">
        <v>194</v>
      </c>
      <c r="J1" s="9"/>
      <c r="K1" s="9"/>
      <c r="L1" s="9"/>
      <c r="M1" s="9"/>
      <c r="N1" s="9"/>
      <c r="O1" s="21"/>
      <c r="Q1" s="21"/>
    </row>
    <row r="2" spans="1:17">
      <c r="A2" s="146"/>
      <c r="B2" s="131" t="s">
        <v>117</v>
      </c>
      <c r="C2" s="132" t="s">
        <v>118</v>
      </c>
      <c r="D2" s="132" t="s">
        <v>95</v>
      </c>
      <c r="E2" s="132" t="s">
        <v>119</v>
      </c>
      <c r="F2" s="132" t="s">
        <v>206</v>
      </c>
      <c r="G2" s="133" t="s">
        <v>205</v>
      </c>
      <c r="H2" s="132" t="s">
        <v>120</v>
      </c>
      <c r="I2" s="132" t="s">
        <v>121</v>
      </c>
      <c r="J2" s="133" t="s">
        <v>122</v>
      </c>
      <c r="K2" s="249" t="s">
        <v>102</v>
      </c>
      <c r="L2" s="249"/>
      <c r="M2" s="221" t="s">
        <v>137</v>
      </c>
      <c r="N2" s="134" t="s">
        <v>227</v>
      </c>
      <c r="O2" s="21"/>
    </row>
    <row r="3" spans="1:17" ht="21.75" customHeight="1">
      <c r="A3" s="146"/>
      <c r="B3" s="12" t="s">
        <v>142</v>
      </c>
      <c r="C3" s="1">
        <v>200</v>
      </c>
      <c r="D3" s="1">
        <v>45.05</v>
      </c>
      <c r="E3" s="129">
        <v>40093</v>
      </c>
      <c r="F3" s="1">
        <v>46</v>
      </c>
      <c r="G3" s="144">
        <v>40123</v>
      </c>
      <c r="H3" s="64">
        <f t="shared" ref="H3:H43" si="0">LN(F3/D3)/((G3-E3)/365)</f>
        <v>0.25389901795610192</v>
      </c>
      <c r="I3" s="64">
        <f t="shared" ref="I3:I43" si="1">F3/D3-1</f>
        <v>2.1087680355160954E-2</v>
      </c>
      <c r="J3" s="16">
        <f t="shared" ref="J3:J43" si="2">C3*(F3-D3)</f>
        <v>190.00000000000057</v>
      </c>
      <c r="K3" s="16"/>
      <c r="L3" s="16"/>
      <c r="M3" s="16"/>
      <c r="N3" s="135">
        <f t="shared" ref="N3:N43" si="3">F3*C3</f>
        <v>9200</v>
      </c>
      <c r="O3" s="21"/>
    </row>
    <row r="4" spans="1:17">
      <c r="A4" s="146"/>
      <c r="B4" s="12" t="s">
        <v>184</v>
      </c>
      <c r="C4" s="1">
        <v>15</v>
      </c>
      <c r="D4" s="1">
        <v>92.52</v>
      </c>
      <c r="E4" s="129">
        <v>40023</v>
      </c>
      <c r="F4" s="1">
        <v>99.25</v>
      </c>
      <c r="G4" s="144">
        <v>40029</v>
      </c>
      <c r="H4" s="64">
        <f t="shared" si="0"/>
        <v>4.2715391674137306</v>
      </c>
      <c r="I4" s="64">
        <f t="shared" si="1"/>
        <v>7.2741028966709864E-2</v>
      </c>
      <c r="J4" s="16">
        <f t="shared" si="2"/>
        <v>100.95000000000006</v>
      </c>
      <c r="K4" s="16"/>
      <c r="L4" s="16"/>
      <c r="M4" s="16"/>
      <c r="N4" s="135">
        <f t="shared" si="3"/>
        <v>1488.75</v>
      </c>
      <c r="O4" s="21"/>
    </row>
    <row r="5" spans="1:17">
      <c r="A5" s="146"/>
      <c r="B5" s="12" t="s">
        <v>184</v>
      </c>
      <c r="C5" s="1">
        <v>50</v>
      </c>
      <c r="D5" s="1">
        <v>96.9</v>
      </c>
      <c r="E5" s="129">
        <v>40058</v>
      </c>
      <c r="F5" s="1">
        <v>103</v>
      </c>
      <c r="G5" s="144">
        <v>40065</v>
      </c>
      <c r="H5" s="64">
        <f t="shared" si="0"/>
        <v>3.183293758073436</v>
      </c>
      <c r="I5" s="64">
        <f t="shared" si="1"/>
        <v>6.2951496388028882E-2</v>
      </c>
      <c r="J5" s="16">
        <f t="shared" si="2"/>
        <v>304.99999999999972</v>
      </c>
      <c r="K5" s="16"/>
      <c r="L5" s="16"/>
      <c r="M5" s="16"/>
      <c r="N5" s="135">
        <f t="shared" si="3"/>
        <v>5150</v>
      </c>
      <c r="O5" s="21"/>
    </row>
    <row r="6" spans="1:17">
      <c r="A6" s="146">
        <v>7</v>
      </c>
      <c r="B6" s="12" t="s">
        <v>259</v>
      </c>
      <c r="C6" s="1">
        <v>20</v>
      </c>
      <c r="D6" s="1">
        <v>159.18</v>
      </c>
      <c r="E6" s="129">
        <v>40042</v>
      </c>
      <c r="F6" s="1">
        <v>167.02</v>
      </c>
      <c r="G6" s="144">
        <v>40064</v>
      </c>
      <c r="H6" s="64">
        <f t="shared" si="0"/>
        <v>0.79765653849062446</v>
      </c>
      <c r="I6" s="64">
        <f t="shared" si="1"/>
        <v>4.9252418645558516E-2</v>
      </c>
      <c r="J6" s="16">
        <f t="shared" si="2"/>
        <v>156.80000000000007</v>
      </c>
      <c r="K6" s="16"/>
      <c r="L6" s="16"/>
      <c r="M6" s="16"/>
      <c r="N6" s="135">
        <f>F6*C6</f>
        <v>3340.4</v>
      </c>
      <c r="O6" s="21"/>
    </row>
    <row r="7" spans="1:17">
      <c r="A7" s="21"/>
      <c r="B7" s="12" t="s">
        <v>263</v>
      </c>
      <c r="C7" s="1">
        <v>60</v>
      </c>
      <c r="D7" s="1">
        <v>74</v>
      </c>
      <c r="E7" s="129">
        <v>40053</v>
      </c>
      <c r="F7" s="1">
        <v>78.22</v>
      </c>
      <c r="G7" s="144">
        <v>40064</v>
      </c>
      <c r="H7" s="64">
        <f t="shared" si="0"/>
        <v>1.8402727986333973</v>
      </c>
      <c r="I7" s="64">
        <f t="shared" si="1"/>
        <v>5.7027027027027E-2</v>
      </c>
      <c r="J7" s="16">
        <f t="shared" si="2"/>
        <v>253.19999999999993</v>
      </c>
      <c r="K7" s="16"/>
      <c r="L7" s="16"/>
      <c r="M7" s="16"/>
      <c r="N7" s="135">
        <f t="shared" si="3"/>
        <v>4693.2</v>
      </c>
      <c r="O7" s="21"/>
    </row>
    <row r="8" spans="1:17">
      <c r="B8" s="12" t="s">
        <v>264</v>
      </c>
      <c r="C8" s="1">
        <v>1000</v>
      </c>
      <c r="D8" s="1">
        <v>5.4</v>
      </c>
      <c r="E8" s="129">
        <v>40043</v>
      </c>
      <c r="F8" s="1">
        <v>6.3</v>
      </c>
      <c r="G8" s="144">
        <v>40056</v>
      </c>
      <c r="H8" s="64">
        <f t="shared" si="0"/>
        <v>4.3280767797653255</v>
      </c>
      <c r="I8" s="64">
        <f t="shared" si="1"/>
        <v>0.16666666666666652</v>
      </c>
      <c r="J8" s="16">
        <f t="shared" si="2"/>
        <v>899.99999999999943</v>
      </c>
      <c r="K8" s="16"/>
      <c r="L8" s="16"/>
      <c r="M8" s="16"/>
      <c r="N8" s="135">
        <f t="shared" si="3"/>
        <v>6300</v>
      </c>
      <c r="O8" s="21"/>
    </row>
    <row r="9" spans="1:17">
      <c r="B9" s="12" t="s">
        <v>261</v>
      </c>
      <c r="C9" s="1">
        <v>200</v>
      </c>
      <c r="D9" s="1">
        <v>31</v>
      </c>
      <c r="E9" s="129">
        <v>40039</v>
      </c>
      <c r="F9" s="1">
        <v>33</v>
      </c>
      <c r="G9" s="144">
        <v>40065</v>
      </c>
      <c r="H9" s="64">
        <f t="shared" si="0"/>
        <v>0.87768962685334173</v>
      </c>
      <c r="I9" s="64">
        <f t="shared" si="1"/>
        <v>6.4516129032258007E-2</v>
      </c>
      <c r="J9" s="16">
        <f t="shared" si="2"/>
        <v>400</v>
      </c>
      <c r="K9" s="16"/>
      <c r="L9" s="16"/>
      <c r="M9" s="16"/>
      <c r="N9" s="135">
        <f t="shared" si="3"/>
        <v>6600</v>
      </c>
      <c r="O9" s="21"/>
    </row>
    <row r="10" spans="1:17">
      <c r="B10" s="12" t="s">
        <v>8</v>
      </c>
      <c r="C10" s="1">
        <v>200</v>
      </c>
      <c r="D10" s="1">
        <v>51.9</v>
      </c>
      <c r="E10" s="129">
        <v>40106</v>
      </c>
      <c r="F10" s="1">
        <v>53.5</v>
      </c>
      <c r="G10" s="144">
        <v>40134</v>
      </c>
      <c r="H10" s="64">
        <f t="shared" si="0"/>
        <v>0.39580161648189488</v>
      </c>
      <c r="I10" s="64">
        <f t="shared" si="1"/>
        <v>3.0828516377649384E-2</v>
      </c>
      <c r="J10" s="16">
        <f t="shared" si="2"/>
        <v>320.00000000000028</v>
      </c>
      <c r="K10" s="16"/>
      <c r="L10" s="16"/>
      <c r="M10" s="16"/>
      <c r="N10" s="135">
        <f t="shared" si="3"/>
        <v>10700</v>
      </c>
      <c r="O10" s="234"/>
    </row>
    <row r="11" spans="1:17">
      <c r="B11" s="15" t="s">
        <v>59</v>
      </c>
      <c r="C11" s="52">
        <v>900</v>
      </c>
      <c r="D11" s="52">
        <v>4.95</v>
      </c>
      <c r="E11" s="147">
        <v>40088</v>
      </c>
      <c r="F11" s="52">
        <v>5.39</v>
      </c>
      <c r="G11" s="144">
        <v>40136</v>
      </c>
      <c r="H11" s="64">
        <f t="shared" si="0"/>
        <v>0.64755416758774942</v>
      </c>
      <c r="I11" s="64">
        <f t="shared" si="1"/>
        <v>8.8888888888888795E-2</v>
      </c>
      <c r="J11" s="16">
        <f t="shared" si="2"/>
        <v>395.99999999999955</v>
      </c>
      <c r="K11" s="16"/>
      <c r="L11" s="16"/>
      <c r="M11" s="16"/>
      <c r="N11" s="135">
        <f t="shared" si="3"/>
        <v>4851</v>
      </c>
      <c r="O11" s="9"/>
    </row>
    <row r="12" spans="1:17">
      <c r="B12" s="15" t="s">
        <v>61</v>
      </c>
      <c r="C12" s="52">
        <v>300</v>
      </c>
      <c r="D12" s="52">
        <v>15.46</v>
      </c>
      <c r="E12" s="147">
        <v>40115</v>
      </c>
      <c r="F12" s="52">
        <v>21</v>
      </c>
      <c r="G12" s="144">
        <v>40184</v>
      </c>
      <c r="H12" s="64">
        <f t="shared" si="0"/>
        <v>1.6201048408103429</v>
      </c>
      <c r="I12" s="64">
        <f t="shared" si="1"/>
        <v>0.35834411384217324</v>
      </c>
      <c r="J12" s="16">
        <f t="shared" si="2"/>
        <v>1661.9999999999998</v>
      </c>
      <c r="K12" s="16"/>
      <c r="L12" s="16"/>
      <c r="M12" s="16"/>
      <c r="N12" s="135">
        <f t="shared" si="3"/>
        <v>6300</v>
      </c>
      <c r="O12" s="9"/>
    </row>
    <row r="13" spans="1:17">
      <c r="B13" s="15" t="s">
        <v>57</v>
      </c>
      <c r="C13" s="52">
        <v>900</v>
      </c>
      <c r="D13" s="52">
        <v>10.51</v>
      </c>
      <c r="E13" s="147">
        <v>40087</v>
      </c>
      <c r="F13" s="52">
        <v>20</v>
      </c>
      <c r="G13" s="144">
        <v>40184</v>
      </c>
      <c r="H13" s="64">
        <f t="shared" si="0"/>
        <v>2.4210603851832255</v>
      </c>
      <c r="I13" s="64">
        <f t="shared" si="1"/>
        <v>0.90294957183634628</v>
      </c>
      <c r="J13" s="16">
        <f t="shared" si="2"/>
        <v>8541</v>
      </c>
      <c r="K13" s="16"/>
      <c r="L13" s="16"/>
      <c r="M13" s="16"/>
      <c r="N13" s="135">
        <f t="shared" si="3"/>
        <v>18000</v>
      </c>
      <c r="O13" s="9"/>
    </row>
    <row r="14" spans="1:17">
      <c r="B14" s="15" t="s">
        <v>264</v>
      </c>
      <c r="C14" s="52">
        <v>588</v>
      </c>
      <c r="D14" s="52">
        <v>6.32</v>
      </c>
      <c r="E14" s="147">
        <v>40077</v>
      </c>
      <c r="F14" s="52">
        <v>4.57</v>
      </c>
      <c r="G14" s="144">
        <v>40178</v>
      </c>
      <c r="H14" s="64">
        <f t="shared" si="0"/>
        <v>-1.1716355563090917</v>
      </c>
      <c r="I14" s="64">
        <f t="shared" si="1"/>
        <v>-0.27689873417721522</v>
      </c>
      <c r="J14" s="16">
        <f t="shared" si="2"/>
        <v>-1029</v>
      </c>
      <c r="K14" s="16"/>
      <c r="L14" s="16"/>
      <c r="M14" s="16"/>
      <c r="N14" s="135">
        <f t="shared" si="3"/>
        <v>2687.1600000000003</v>
      </c>
      <c r="O14" s="9"/>
    </row>
    <row r="15" spans="1:17">
      <c r="B15" s="15" t="s">
        <v>8</v>
      </c>
      <c r="C15" s="52">
        <v>100</v>
      </c>
      <c r="D15" s="52">
        <v>51.9</v>
      </c>
      <c r="E15" s="147">
        <v>40106</v>
      </c>
      <c r="F15" s="52">
        <v>54.11</v>
      </c>
      <c r="G15" s="235">
        <v>40242</v>
      </c>
      <c r="H15" s="64">
        <f t="shared" si="0"/>
        <v>0.11191603559722337</v>
      </c>
      <c r="I15" s="64">
        <f t="shared" si="1"/>
        <v>4.258188824662823E-2</v>
      </c>
      <c r="J15" s="16">
        <f t="shared" si="2"/>
        <v>221.00000000000009</v>
      </c>
      <c r="K15" s="16"/>
      <c r="L15" s="16"/>
      <c r="M15" s="16"/>
      <c r="N15" s="135">
        <f t="shared" si="3"/>
        <v>5411</v>
      </c>
      <c r="O15" s="9"/>
    </row>
    <row r="16" spans="1:17">
      <c r="B16" s="15" t="s">
        <v>265</v>
      </c>
      <c r="C16" s="52">
        <v>600</v>
      </c>
      <c r="D16" s="52">
        <v>16.02</v>
      </c>
      <c r="E16" s="147">
        <v>40087</v>
      </c>
      <c r="F16" s="52">
        <v>18.36</v>
      </c>
      <c r="G16" s="144">
        <v>40128</v>
      </c>
      <c r="H16" s="64">
        <f t="shared" si="0"/>
        <v>1.2137268755250703</v>
      </c>
      <c r="I16" s="64">
        <f t="shared" si="1"/>
        <v>0.14606741573033699</v>
      </c>
      <c r="J16" s="16">
        <f t="shared" si="2"/>
        <v>1404</v>
      </c>
      <c r="K16" s="16"/>
      <c r="L16" s="16"/>
      <c r="M16" s="16"/>
      <c r="N16" s="135">
        <f t="shared" si="3"/>
        <v>11016</v>
      </c>
      <c r="O16" s="9"/>
    </row>
    <row r="17" spans="1:15">
      <c r="B17" s="15" t="s">
        <v>84</v>
      </c>
      <c r="C17" s="52">
        <v>300</v>
      </c>
      <c r="D17" s="52">
        <v>16.600000000000001</v>
      </c>
      <c r="E17" s="147">
        <v>40177</v>
      </c>
      <c r="F17" s="52">
        <v>20</v>
      </c>
      <c r="G17" s="239">
        <v>40254</v>
      </c>
      <c r="H17" s="64">
        <f t="shared" si="0"/>
        <v>0.88325059792071525</v>
      </c>
      <c r="I17" s="64">
        <f t="shared" si="1"/>
        <v>0.20481927710843362</v>
      </c>
      <c r="J17" s="16">
        <f t="shared" si="2"/>
        <v>1019.9999999999995</v>
      </c>
      <c r="K17" s="16"/>
      <c r="L17" s="16"/>
      <c r="M17" s="16"/>
      <c r="N17" s="135">
        <f t="shared" si="3"/>
        <v>6000</v>
      </c>
      <c r="O17" s="9"/>
    </row>
    <row r="18" spans="1:15">
      <c r="B18" s="15" t="s">
        <v>190</v>
      </c>
      <c r="C18" s="52">
        <v>900</v>
      </c>
      <c r="D18" s="52">
        <v>8.52</v>
      </c>
      <c r="E18" s="147">
        <v>40093</v>
      </c>
      <c r="F18" s="52">
        <v>10</v>
      </c>
      <c r="G18" s="239">
        <v>40260</v>
      </c>
      <c r="H18" s="64">
        <f t="shared" si="0"/>
        <v>0.35006942835796284</v>
      </c>
      <c r="I18" s="64">
        <f t="shared" si="1"/>
        <v>0.17370892018779349</v>
      </c>
      <c r="J18" s="16">
        <f t="shared" si="2"/>
        <v>1332.0000000000005</v>
      </c>
      <c r="K18" s="16"/>
      <c r="L18" s="16"/>
      <c r="M18" s="16"/>
      <c r="N18" s="135">
        <f t="shared" si="3"/>
        <v>9000</v>
      </c>
      <c r="O18" s="9"/>
    </row>
    <row r="19" spans="1:15">
      <c r="A19" s="130">
        <v>12</v>
      </c>
      <c r="B19" s="15" t="s">
        <v>110</v>
      </c>
      <c r="C19" s="52">
        <v>25</v>
      </c>
      <c r="D19" s="52">
        <v>188.19</v>
      </c>
      <c r="E19" s="147">
        <v>40092</v>
      </c>
      <c r="F19" s="52">
        <v>225.66</v>
      </c>
      <c r="G19" s="239">
        <v>40260</v>
      </c>
      <c r="H19" s="64">
        <f t="shared" si="0"/>
        <v>0.39449841125441376</v>
      </c>
      <c r="I19" s="64">
        <f t="shared" si="1"/>
        <v>0.19910728519049892</v>
      </c>
      <c r="J19" s="16">
        <f t="shared" si="2"/>
        <v>936.75</v>
      </c>
      <c r="K19" s="16"/>
      <c r="L19" s="16"/>
      <c r="M19" s="16"/>
      <c r="N19" s="135">
        <f t="shared" si="3"/>
        <v>5641.5</v>
      </c>
      <c r="O19" s="9"/>
    </row>
    <row r="20" spans="1:15">
      <c r="A20" s="130">
        <v>43</v>
      </c>
      <c r="B20" s="12" t="s">
        <v>106</v>
      </c>
      <c r="C20" s="1">
        <v>200</v>
      </c>
      <c r="D20" s="1">
        <v>26</v>
      </c>
      <c r="E20" s="129">
        <v>40199</v>
      </c>
      <c r="F20" s="1">
        <v>33.090000000000003</v>
      </c>
      <c r="G20" s="239">
        <v>40254</v>
      </c>
      <c r="H20" s="64">
        <f t="shared" si="0"/>
        <v>1.6002567841435305</v>
      </c>
      <c r="I20" s="64">
        <f t="shared" si="1"/>
        <v>0.27269230769230779</v>
      </c>
      <c r="J20" s="16">
        <f t="shared" si="2"/>
        <v>1418.0000000000007</v>
      </c>
      <c r="K20" s="16"/>
      <c r="L20" s="16"/>
      <c r="M20" s="16"/>
      <c r="N20" s="135">
        <f t="shared" si="3"/>
        <v>6618.0000000000009</v>
      </c>
      <c r="O20" s="9"/>
    </row>
    <row r="21" spans="1:15">
      <c r="B21" s="12" t="s">
        <v>106</v>
      </c>
      <c r="C21" s="1">
        <v>200</v>
      </c>
      <c r="D21" s="1">
        <v>26</v>
      </c>
      <c r="E21" s="129">
        <v>40199</v>
      </c>
      <c r="F21" s="1">
        <v>33.1</v>
      </c>
      <c r="G21" s="235">
        <v>40246</v>
      </c>
      <c r="H21" s="64">
        <f t="shared" si="0"/>
        <v>1.8749874828076676</v>
      </c>
      <c r="I21" s="64">
        <f t="shared" si="1"/>
        <v>0.27307692307692322</v>
      </c>
      <c r="J21" s="16">
        <f t="shared" si="2"/>
        <v>1420.0000000000002</v>
      </c>
      <c r="K21" s="16"/>
      <c r="L21" s="16"/>
      <c r="M21" s="16"/>
      <c r="N21" s="135">
        <f t="shared" si="3"/>
        <v>6620</v>
      </c>
      <c r="O21" s="9"/>
    </row>
    <row r="22" spans="1:15">
      <c r="B22" s="15" t="s">
        <v>139</v>
      </c>
      <c r="C22" s="52">
        <v>150</v>
      </c>
      <c r="D22" s="52">
        <v>42.5</v>
      </c>
      <c r="E22" s="147">
        <v>40199</v>
      </c>
      <c r="F22" s="52">
        <v>50</v>
      </c>
      <c r="G22" s="239">
        <v>40297</v>
      </c>
      <c r="H22" s="64">
        <f t="shared" si="0"/>
        <v>0.60530009455803935</v>
      </c>
      <c r="I22" s="64">
        <f t="shared" si="1"/>
        <v>0.17647058823529416</v>
      </c>
      <c r="J22" s="16">
        <f t="shared" si="2"/>
        <v>1125</v>
      </c>
      <c r="K22" s="16"/>
      <c r="L22" s="16"/>
      <c r="M22" s="16"/>
      <c r="N22" s="135">
        <f t="shared" si="3"/>
        <v>7500</v>
      </c>
      <c r="O22" s="9"/>
    </row>
    <row r="23" spans="1:15">
      <c r="B23" s="12" t="s">
        <v>190</v>
      </c>
      <c r="C23" s="1">
        <v>10.050000000000001</v>
      </c>
      <c r="D23" s="1">
        <v>8.2438000000000002</v>
      </c>
      <c r="E23" s="129">
        <v>40099</v>
      </c>
      <c r="F23" s="240">
        <v>14</v>
      </c>
      <c r="G23" s="235">
        <v>40372</v>
      </c>
      <c r="H23" s="64">
        <f t="shared" si="0"/>
        <v>0.70806781441933275</v>
      </c>
      <c r="I23" s="64">
        <f t="shared" si="1"/>
        <v>0.69824595453552973</v>
      </c>
      <c r="J23" s="16">
        <f t="shared" si="2"/>
        <v>57.849810000000005</v>
      </c>
      <c r="K23" s="16"/>
      <c r="L23" s="16"/>
      <c r="M23" s="16"/>
      <c r="N23" s="135">
        <f t="shared" si="3"/>
        <v>140.70000000000002</v>
      </c>
      <c r="O23" s="9"/>
    </row>
    <row r="24" spans="1:15">
      <c r="B24" s="12" t="s">
        <v>187</v>
      </c>
      <c r="C24" s="1">
        <v>100</v>
      </c>
      <c r="D24" s="1">
        <v>120</v>
      </c>
      <c r="E24" s="129">
        <v>40312</v>
      </c>
      <c r="F24" s="240">
        <v>140</v>
      </c>
      <c r="G24" s="235">
        <v>40382</v>
      </c>
      <c r="H24" s="64">
        <f t="shared" si="0"/>
        <v>0.80378568767070435</v>
      </c>
      <c r="I24" s="64">
        <f t="shared" si="1"/>
        <v>0.16666666666666674</v>
      </c>
      <c r="J24" s="16">
        <f t="shared" si="2"/>
        <v>2000</v>
      </c>
      <c r="K24" s="16"/>
      <c r="L24" s="16"/>
      <c r="M24" s="16"/>
      <c r="N24" s="135">
        <f t="shared" si="3"/>
        <v>14000</v>
      </c>
      <c r="O24" s="9"/>
    </row>
    <row r="25" spans="1:15">
      <c r="B25" s="12" t="s">
        <v>261</v>
      </c>
      <c r="C25" s="1">
        <v>285</v>
      </c>
      <c r="D25" s="1">
        <v>35.28</v>
      </c>
      <c r="E25" s="129">
        <v>40113</v>
      </c>
      <c r="F25" s="1">
        <v>41</v>
      </c>
      <c r="G25" s="235">
        <v>40246</v>
      </c>
      <c r="H25" s="64">
        <f t="shared" si="0"/>
        <v>0.41235624046230673</v>
      </c>
      <c r="I25" s="64">
        <f t="shared" si="1"/>
        <v>0.16213151927437641</v>
      </c>
      <c r="J25" s="16">
        <f t="shared" si="2"/>
        <v>1630.1999999999996</v>
      </c>
      <c r="K25" s="16"/>
      <c r="L25" s="16"/>
      <c r="M25" s="16"/>
      <c r="N25" s="135">
        <f t="shared" si="3"/>
        <v>11685</v>
      </c>
      <c r="O25" s="9"/>
    </row>
    <row r="26" spans="1:15">
      <c r="B26" s="15" t="s">
        <v>172</v>
      </c>
      <c r="C26" s="52">
        <v>500</v>
      </c>
      <c r="D26" s="52">
        <v>13.5</v>
      </c>
      <c r="E26" s="147">
        <v>40305</v>
      </c>
      <c r="F26" s="241">
        <v>14</v>
      </c>
      <c r="G26" s="239">
        <v>40450</v>
      </c>
      <c r="H26" s="64">
        <f t="shared" si="0"/>
        <v>9.1546138774960692E-2</v>
      </c>
      <c r="I26" s="64">
        <f t="shared" si="1"/>
        <v>3.7037037037036979E-2</v>
      </c>
      <c r="J26" s="16">
        <f t="shared" si="2"/>
        <v>250</v>
      </c>
      <c r="K26" s="16"/>
      <c r="L26" s="16"/>
      <c r="M26" s="16"/>
      <c r="N26" s="135">
        <f t="shared" si="3"/>
        <v>7000</v>
      </c>
      <c r="O26" s="9"/>
    </row>
    <row r="27" spans="1:15">
      <c r="A27" s="12" t="s">
        <v>88</v>
      </c>
      <c r="B27" s="15" t="s">
        <v>62</v>
      </c>
      <c r="C27" s="52">
        <v>20</v>
      </c>
      <c r="D27" s="52">
        <v>490.5</v>
      </c>
      <c r="E27" s="147">
        <v>40086</v>
      </c>
      <c r="F27" s="241">
        <v>615</v>
      </c>
      <c r="G27" s="239">
        <v>40471</v>
      </c>
      <c r="H27" s="64">
        <f t="shared" si="0"/>
        <v>0.21444649587636769</v>
      </c>
      <c r="I27" s="64">
        <f t="shared" si="1"/>
        <v>0.25382262996941907</v>
      </c>
      <c r="J27" s="16">
        <f t="shared" si="2"/>
        <v>2490</v>
      </c>
      <c r="K27" s="16"/>
      <c r="L27" s="16"/>
      <c r="M27" s="16"/>
      <c r="N27" s="135">
        <f t="shared" si="3"/>
        <v>12300</v>
      </c>
      <c r="O27" s="9"/>
    </row>
    <row r="28" spans="1:15">
      <c r="A28" s="21"/>
      <c r="B28" s="15" t="s">
        <v>243</v>
      </c>
      <c r="C28" s="52">
        <v>300</v>
      </c>
      <c r="D28" s="52">
        <v>28.55</v>
      </c>
      <c r="E28" s="147">
        <v>40315</v>
      </c>
      <c r="F28" s="241">
        <v>29.5</v>
      </c>
      <c r="G28" s="239">
        <v>40477</v>
      </c>
      <c r="H28" s="64">
        <f t="shared" si="0"/>
        <v>7.3751015086237798E-2</v>
      </c>
      <c r="I28" s="64">
        <f t="shared" si="1"/>
        <v>3.327495621716281E-2</v>
      </c>
      <c r="J28" s="16">
        <f t="shared" si="2"/>
        <v>284.99999999999977</v>
      </c>
      <c r="K28" s="16"/>
      <c r="L28" s="16"/>
      <c r="M28" s="16"/>
      <c r="N28" s="135">
        <f t="shared" si="3"/>
        <v>8850</v>
      </c>
      <c r="O28" s="9"/>
    </row>
    <row r="29" spans="1:15">
      <c r="B29" s="15" t="s">
        <v>139</v>
      </c>
      <c r="C29" s="52">
        <v>50</v>
      </c>
      <c r="D29" s="52">
        <v>42.5</v>
      </c>
      <c r="E29" s="147">
        <v>40199</v>
      </c>
      <c r="F29" s="241">
        <v>47.27</v>
      </c>
      <c r="G29" s="239">
        <v>40477</v>
      </c>
      <c r="H29" s="64">
        <f t="shared" si="0"/>
        <v>0.13966077568090829</v>
      </c>
      <c r="I29" s="64">
        <f t="shared" si="1"/>
        <v>0.11223529411764721</v>
      </c>
      <c r="J29" s="16">
        <f t="shared" si="2"/>
        <v>238.50000000000017</v>
      </c>
      <c r="K29" s="16"/>
      <c r="L29" s="16"/>
      <c r="M29" s="16"/>
      <c r="N29" s="135">
        <f t="shared" si="3"/>
        <v>2363.5</v>
      </c>
      <c r="O29" s="9"/>
    </row>
    <row r="30" spans="1:15">
      <c r="B30" s="15" t="s">
        <v>8</v>
      </c>
      <c r="C30" s="52">
        <v>205.02539999999999</v>
      </c>
      <c r="D30" s="52">
        <v>51.015050090000003</v>
      </c>
      <c r="E30" s="147">
        <v>40106</v>
      </c>
      <c r="F30" s="241">
        <v>55</v>
      </c>
      <c r="G30" s="239">
        <v>40486</v>
      </c>
      <c r="H30" s="64">
        <f t="shared" si="0"/>
        <v>7.224358191243771E-2</v>
      </c>
      <c r="I30" s="64">
        <f t="shared" si="1"/>
        <v>7.8113221548735234E-2</v>
      </c>
      <c r="J30" s="16">
        <f t="shared" si="2"/>
        <v>817.01594927771339</v>
      </c>
      <c r="K30" s="16"/>
      <c r="L30" s="16"/>
      <c r="M30" s="16"/>
      <c r="N30" s="135">
        <f t="shared" si="3"/>
        <v>11276.396999999999</v>
      </c>
      <c r="O30" s="9"/>
    </row>
    <row r="31" spans="1:15">
      <c r="B31" s="12" t="s">
        <v>88</v>
      </c>
      <c r="C31" s="1">
        <v>25</v>
      </c>
      <c r="D31" s="1">
        <v>1.35</v>
      </c>
      <c r="E31" s="129">
        <v>40200</v>
      </c>
      <c r="F31" s="240">
        <v>2.23</v>
      </c>
      <c r="G31" s="235">
        <v>40483</v>
      </c>
      <c r="H31" s="64">
        <f t="shared" si="0"/>
        <v>0.6473229768654295</v>
      </c>
      <c r="I31" s="64">
        <f t="shared" si="1"/>
        <v>0.65185185185185168</v>
      </c>
      <c r="J31" s="16">
        <f t="shared" si="2"/>
        <v>21.999999999999996</v>
      </c>
      <c r="K31" s="16"/>
      <c r="L31" s="16"/>
      <c r="M31" s="16"/>
      <c r="N31" s="135">
        <f t="shared" si="3"/>
        <v>55.75</v>
      </c>
      <c r="O31" s="9"/>
    </row>
    <row r="32" spans="1:15">
      <c r="B32" s="12" t="s">
        <v>86</v>
      </c>
      <c r="C32" s="1">
        <v>150</v>
      </c>
      <c r="D32" s="1">
        <v>32</v>
      </c>
      <c r="E32" s="129">
        <v>40200</v>
      </c>
      <c r="F32" s="1">
        <v>36</v>
      </c>
      <c r="G32" s="235">
        <v>40238</v>
      </c>
      <c r="H32" s="64">
        <f t="shared" si="0"/>
        <v>1.1313370530152622</v>
      </c>
      <c r="I32" s="64">
        <f t="shared" si="1"/>
        <v>0.125</v>
      </c>
      <c r="J32" s="16">
        <f t="shared" si="2"/>
        <v>600</v>
      </c>
      <c r="K32" s="16"/>
      <c r="L32" s="16"/>
      <c r="M32" s="16"/>
      <c r="N32" s="135">
        <f t="shared" si="3"/>
        <v>5400</v>
      </c>
      <c r="O32" s="9"/>
    </row>
    <row r="33" spans="2:15">
      <c r="B33" s="12" t="s">
        <v>26</v>
      </c>
      <c r="C33" s="1">
        <v>1000</v>
      </c>
      <c r="D33" s="1">
        <v>6.32</v>
      </c>
      <c r="E33" s="129">
        <v>40077</v>
      </c>
      <c r="F33" s="240">
        <v>3</v>
      </c>
      <c r="G33" s="235">
        <v>40533</v>
      </c>
      <c r="H33" s="64">
        <f t="shared" si="0"/>
        <v>-0.59641233687300355</v>
      </c>
      <c r="I33" s="64">
        <f t="shared" si="1"/>
        <v>-0.52531645569620256</v>
      </c>
      <c r="J33" s="16">
        <f t="shared" si="2"/>
        <v>-3320.0000000000005</v>
      </c>
      <c r="K33" s="16"/>
      <c r="L33" s="16"/>
      <c r="M33" s="16"/>
      <c r="N33" s="135">
        <f t="shared" si="3"/>
        <v>3000</v>
      </c>
      <c r="O33" s="9"/>
    </row>
    <row r="34" spans="2:15">
      <c r="B34" s="12" t="s">
        <v>240</v>
      </c>
      <c r="C34" s="1">
        <v>300</v>
      </c>
      <c r="D34" s="1">
        <v>13.5</v>
      </c>
      <c r="E34" s="129">
        <v>40315</v>
      </c>
      <c r="F34" s="240">
        <v>4</v>
      </c>
      <c r="G34" s="235">
        <v>40541</v>
      </c>
      <c r="H34" s="64">
        <f t="shared" si="0"/>
        <v>-1.9645322715860176</v>
      </c>
      <c r="I34" s="64">
        <f t="shared" si="1"/>
        <v>-0.70370370370370372</v>
      </c>
      <c r="J34" s="16">
        <f t="shared" si="2"/>
        <v>-2850</v>
      </c>
      <c r="K34" s="16"/>
      <c r="L34" s="16"/>
      <c r="M34" s="16"/>
      <c r="N34" s="135">
        <f t="shared" si="3"/>
        <v>1200</v>
      </c>
      <c r="O34" s="9"/>
    </row>
    <row r="35" spans="2:15">
      <c r="B35" s="15" t="s">
        <v>62</v>
      </c>
      <c r="C35" s="52">
        <v>7</v>
      </c>
      <c r="D35" s="52">
        <v>450</v>
      </c>
      <c r="E35" s="147">
        <v>40417</v>
      </c>
      <c r="F35" s="241">
        <v>605.62</v>
      </c>
      <c r="G35" s="239">
        <v>40546</v>
      </c>
      <c r="H35" s="64">
        <f t="shared" si="0"/>
        <v>0.84036339169078145</v>
      </c>
      <c r="I35" s="64">
        <f t="shared" si="1"/>
        <v>0.34582222222222225</v>
      </c>
      <c r="J35" s="16">
        <f t="shared" si="2"/>
        <v>1089.3400000000001</v>
      </c>
      <c r="K35" s="16"/>
      <c r="L35" s="16"/>
      <c r="M35" s="16"/>
      <c r="N35" s="135">
        <f t="shared" si="3"/>
        <v>4239.34</v>
      </c>
      <c r="O35" s="9"/>
    </row>
    <row r="36" spans="2:15">
      <c r="B36" s="15" t="s">
        <v>110</v>
      </c>
      <c r="C36" s="52">
        <v>10</v>
      </c>
      <c r="D36" s="52">
        <v>188.19</v>
      </c>
      <c r="E36" s="147">
        <v>40092</v>
      </c>
      <c r="F36" s="241">
        <v>332.5</v>
      </c>
      <c r="G36" s="239">
        <v>40546</v>
      </c>
      <c r="H36" s="64">
        <f t="shared" si="0"/>
        <v>0.45760690705173734</v>
      </c>
      <c r="I36" s="64">
        <f t="shared" si="1"/>
        <v>0.76683139380413423</v>
      </c>
      <c r="J36" s="16">
        <f t="shared" si="2"/>
        <v>1443.1</v>
      </c>
      <c r="K36" s="16"/>
      <c r="L36" s="16"/>
      <c r="M36" s="16"/>
      <c r="N36" s="135">
        <f t="shared" si="3"/>
        <v>3325</v>
      </c>
      <c r="O36" s="9"/>
    </row>
    <row r="37" spans="2:15">
      <c r="B37" s="15" t="s">
        <v>255</v>
      </c>
      <c r="C37" s="52">
        <v>150</v>
      </c>
      <c r="D37" s="52">
        <v>15.3</v>
      </c>
      <c r="E37" s="147">
        <v>40162</v>
      </c>
      <c r="F37" s="52">
        <v>18.2</v>
      </c>
      <c r="G37" s="239">
        <v>40273</v>
      </c>
      <c r="H37" s="64">
        <f t="shared" si="0"/>
        <v>0.57074413941253477</v>
      </c>
      <c r="I37" s="64">
        <f t="shared" si="1"/>
        <v>0.18954248366013071</v>
      </c>
      <c r="J37" s="16">
        <f t="shared" si="2"/>
        <v>434.99999999999977</v>
      </c>
      <c r="K37" s="16"/>
      <c r="L37" s="16"/>
      <c r="M37" s="16"/>
      <c r="N37" s="135">
        <f t="shared" si="3"/>
        <v>2730</v>
      </c>
      <c r="O37" s="9"/>
    </row>
    <row r="38" spans="2:15" ht="13.5" thickBot="1">
      <c r="B38" s="140" t="s">
        <v>62</v>
      </c>
      <c r="C38" s="34">
        <v>23</v>
      </c>
      <c r="D38" s="34">
        <v>450</v>
      </c>
      <c r="E38" s="141">
        <v>40417</v>
      </c>
      <c r="F38" s="242">
        <v>640</v>
      </c>
      <c r="G38" s="250">
        <v>40564</v>
      </c>
      <c r="H38" s="64">
        <f t="shared" si="0"/>
        <v>0.87456133782390155</v>
      </c>
      <c r="I38" s="64">
        <f t="shared" si="1"/>
        <v>0.42222222222222228</v>
      </c>
      <c r="J38" s="16">
        <f t="shared" si="2"/>
        <v>4370</v>
      </c>
      <c r="K38" s="16"/>
      <c r="L38" s="16"/>
      <c r="M38" s="16"/>
      <c r="N38" s="135">
        <f t="shared" si="3"/>
        <v>14720</v>
      </c>
      <c r="O38" s="9"/>
    </row>
    <row r="39" spans="2:15">
      <c r="B39" s="12" t="s">
        <v>242</v>
      </c>
      <c r="C39" s="1">
        <v>50</v>
      </c>
      <c r="D39" s="1">
        <v>5</v>
      </c>
      <c r="E39" s="129">
        <v>40203</v>
      </c>
      <c r="F39" s="240">
        <v>3.51</v>
      </c>
      <c r="G39" s="144">
        <v>40613</v>
      </c>
      <c r="H39" s="64">
        <f t="shared" si="0"/>
        <v>-0.31498776672941214</v>
      </c>
      <c r="I39" s="64">
        <f t="shared" si="1"/>
        <v>-0.29800000000000004</v>
      </c>
      <c r="J39" s="16">
        <f t="shared" si="2"/>
        <v>-74.500000000000014</v>
      </c>
      <c r="K39" s="16"/>
      <c r="L39" s="16"/>
      <c r="M39" s="16"/>
      <c r="N39" s="135">
        <f t="shared" si="3"/>
        <v>175.5</v>
      </c>
      <c r="O39" s="9"/>
    </row>
    <row r="40" spans="2:15">
      <c r="B40" s="15" t="s">
        <v>110</v>
      </c>
      <c r="C40" s="52">
        <v>15</v>
      </c>
      <c r="D40" s="52">
        <v>188.19</v>
      </c>
      <c r="E40" s="147">
        <v>40092</v>
      </c>
      <c r="F40" s="241">
        <v>356</v>
      </c>
      <c r="G40" s="144">
        <v>40583</v>
      </c>
      <c r="H40" s="64">
        <f t="shared" si="0"/>
        <v>0.47388941675656449</v>
      </c>
      <c r="I40" s="64">
        <f t="shared" si="1"/>
        <v>0.89170519156171957</v>
      </c>
      <c r="J40" s="16">
        <f t="shared" si="2"/>
        <v>2517.15</v>
      </c>
      <c r="K40" s="16"/>
      <c r="L40" s="16"/>
      <c r="M40" s="16"/>
      <c r="N40" s="135">
        <f t="shared" si="3"/>
        <v>5340</v>
      </c>
      <c r="O40" s="9"/>
    </row>
    <row r="41" spans="2:15">
      <c r="B41" s="15" t="s">
        <v>58</v>
      </c>
      <c r="C41" s="52">
        <v>800</v>
      </c>
      <c r="D41" s="52">
        <v>12.04</v>
      </c>
      <c r="E41" s="147">
        <v>40088</v>
      </c>
      <c r="F41" s="241">
        <v>15</v>
      </c>
      <c r="G41" s="144">
        <v>40648</v>
      </c>
      <c r="H41" s="64">
        <f>LN(F41/D41)/((G41-E41)/365)</f>
        <v>0.14327277293903629</v>
      </c>
      <c r="I41" s="64">
        <f>F41/D41-1</f>
        <v>0.24584717607973428</v>
      </c>
      <c r="J41" s="16">
        <f>C41*(F41-D41)</f>
        <v>2368.0000000000009</v>
      </c>
      <c r="K41" s="16"/>
      <c r="L41" s="16"/>
      <c r="M41" s="16"/>
      <c r="N41" s="135">
        <f>F41*C41</f>
        <v>12000</v>
      </c>
      <c r="O41" s="9"/>
    </row>
    <row r="42" spans="2:15">
      <c r="B42" s="15" t="s">
        <v>82</v>
      </c>
      <c r="C42" s="52">
        <v>500</v>
      </c>
      <c r="D42" s="52">
        <v>17.714087540000001</v>
      </c>
      <c r="E42" s="147">
        <v>40190</v>
      </c>
      <c r="F42" s="241">
        <v>12</v>
      </c>
      <c r="G42" s="144">
        <v>40648</v>
      </c>
      <c r="H42" s="64">
        <f>LN(F42/D42)/((G42-E42)/365)</f>
        <v>-0.31037239409605805</v>
      </c>
      <c r="I42" s="64">
        <f>F42/D42-1</f>
        <v>-0.32257306661136675</v>
      </c>
      <c r="J42" s="16">
        <f>C42*(F42-D42)</f>
        <v>-2857.0437700000007</v>
      </c>
      <c r="K42" s="16"/>
      <c r="L42" s="16"/>
      <c r="M42" s="16"/>
      <c r="N42" s="135">
        <f>F42*C42</f>
        <v>6000</v>
      </c>
      <c r="O42" s="9"/>
    </row>
    <row r="43" spans="2:15">
      <c r="B43" s="232" t="s">
        <v>85</v>
      </c>
      <c r="C43" s="233">
        <v>900</v>
      </c>
      <c r="D43" s="1">
        <v>4.75</v>
      </c>
      <c r="E43" s="129">
        <v>40099</v>
      </c>
      <c r="F43" s="233">
        <v>5.15</v>
      </c>
      <c r="G43" s="144">
        <v>40226</v>
      </c>
      <c r="H43" s="64">
        <f t="shared" si="0"/>
        <v>0.23237019897338318</v>
      </c>
      <c r="I43" s="64">
        <f t="shared" si="1"/>
        <v>8.4210526315789513E-2</v>
      </c>
      <c r="J43" s="16">
        <f t="shared" si="2"/>
        <v>360.00000000000034</v>
      </c>
      <c r="K43" s="16"/>
      <c r="L43" s="16"/>
      <c r="M43" s="16"/>
      <c r="N43" s="135">
        <f t="shared" si="3"/>
        <v>4635</v>
      </c>
      <c r="O43" s="9"/>
    </row>
    <row r="44" spans="2:15">
      <c r="B44" s="252" t="s">
        <v>101</v>
      </c>
      <c r="C44" s="253"/>
      <c r="D44" s="254" t="s">
        <v>103</v>
      </c>
      <c r="E44" s="255"/>
      <c r="F44" s="253"/>
      <c r="G44" s="256"/>
      <c r="H44" s="257"/>
      <c r="I44" s="257"/>
      <c r="J44" s="258"/>
      <c r="K44" s="258"/>
      <c r="L44" s="258"/>
      <c r="M44" s="258"/>
      <c r="N44" s="259"/>
      <c r="O44" s="9"/>
    </row>
    <row r="45" spans="2:15">
      <c r="B45" s="1" t="s">
        <v>191</v>
      </c>
      <c r="C45" s="1">
        <v>900</v>
      </c>
      <c r="D45" s="247">
        <f>5.5+K45/C45</f>
        <v>5.5235555555555553</v>
      </c>
      <c r="E45" s="246">
        <v>40562</v>
      </c>
      <c r="F45" s="1">
        <v>6.1</v>
      </c>
      <c r="G45" s="129">
        <v>40596</v>
      </c>
      <c r="H45" s="64">
        <f t="shared" ref="H45:H58" si="4">LN(F45/D45)/((G45-E45)/365)</f>
        <v>1.0656603967838114</v>
      </c>
      <c r="I45" s="64">
        <f t="shared" ref="I45:I58" si="5">F45/D45-1</f>
        <v>0.10436112005149667</v>
      </c>
      <c r="J45" s="16">
        <f t="shared" ref="J45:J58" si="6">C45*(F45-D45)</f>
        <v>518.79999999999984</v>
      </c>
      <c r="K45" s="251">
        <f t="shared" ref="K45:K58" si="7">9.95+1.25*C45/100</f>
        <v>21.2</v>
      </c>
      <c r="L45" s="251"/>
      <c r="M45" s="16"/>
      <c r="N45" s="135"/>
      <c r="O45" s="9"/>
    </row>
    <row r="46" spans="2:15" ht="13.5" thickBot="1">
      <c r="B46" s="1" t="s">
        <v>239</v>
      </c>
      <c r="C46" s="1">
        <v>500</v>
      </c>
      <c r="D46" s="247">
        <f>0+K46/C46</f>
        <v>3.2399999999999998E-2</v>
      </c>
      <c r="E46" s="141">
        <v>40504</v>
      </c>
      <c r="F46" s="1">
        <v>0.75</v>
      </c>
      <c r="G46" s="129">
        <v>40592</v>
      </c>
      <c r="H46" s="64">
        <f t="shared" si="4"/>
        <v>13.031805637070526</v>
      </c>
      <c r="I46" s="64">
        <f t="shared" si="5"/>
        <v>22.148148148148149</v>
      </c>
      <c r="J46" s="16">
        <f t="shared" si="6"/>
        <v>358.8</v>
      </c>
      <c r="K46" s="251">
        <f t="shared" si="7"/>
        <v>16.2</v>
      </c>
      <c r="L46" s="251"/>
      <c r="M46" s="16" t="s">
        <v>100</v>
      </c>
      <c r="N46" s="135"/>
      <c r="O46" s="9"/>
    </row>
    <row r="47" spans="2:15">
      <c r="B47" s="1" t="s">
        <v>249</v>
      </c>
      <c r="C47" s="1">
        <v>500</v>
      </c>
      <c r="D47" s="247">
        <f>0+K47/C47</f>
        <v>3.2399999999999998E-2</v>
      </c>
      <c r="E47" s="129">
        <v>40604</v>
      </c>
      <c r="F47" s="1">
        <v>0.95</v>
      </c>
      <c r="G47" s="129">
        <v>40648</v>
      </c>
      <c r="H47" s="64">
        <f>LN(F47/D47)/((G47-E47)/365)</f>
        <v>28.024563637628418</v>
      </c>
      <c r="I47" s="64">
        <f>F47/D47-1</f>
        <v>28.320987654320987</v>
      </c>
      <c r="J47" s="16">
        <f>C47*(F47-D47)</f>
        <v>458.8</v>
      </c>
      <c r="K47" s="251">
        <f>9.95+1.25*C47/100</f>
        <v>16.2</v>
      </c>
      <c r="L47" s="251"/>
      <c r="M47" s="16"/>
      <c r="N47" s="135"/>
      <c r="O47" s="9"/>
    </row>
    <row r="48" spans="2:15" ht="13.5" thickBot="1">
      <c r="B48" s="1" t="s">
        <v>43</v>
      </c>
      <c r="C48" s="1">
        <v>500</v>
      </c>
      <c r="D48" s="1">
        <f>2.95+K48/C48</f>
        <v>2.9824000000000002</v>
      </c>
      <c r="E48" s="141">
        <v>40539</v>
      </c>
      <c r="F48" s="1">
        <v>3.6</v>
      </c>
      <c r="G48" s="129">
        <v>40584</v>
      </c>
      <c r="H48" s="64">
        <f t="shared" si="4"/>
        <v>1.5265557218404271</v>
      </c>
      <c r="I48" s="64">
        <f t="shared" si="5"/>
        <v>0.2070815450643777</v>
      </c>
      <c r="J48" s="16">
        <f t="shared" si="6"/>
        <v>308.79999999999995</v>
      </c>
      <c r="K48" s="251">
        <f t="shared" si="7"/>
        <v>16.2</v>
      </c>
      <c r="L48" s="251"/>
      <c r="M48" s="16"/>
      <c r="N48" s="135"/>
      <c r="O48" s="9"/>
    </row>
    <row r="49" spans="2:17">
      <c r="B49" s="1" t="s">
        <v>17</v>
      </c>
      <c r="C49" s="1">
        <v>400</v>
      </c>
      <c r="D49" s="1">
        <f>4.6+K49/C49</f>
        <v>4.6373749999999996</v>
      </c>
      <c r="E49" s="246">
        <v>40539</v>
      </c>
      <c r="F49" s="1">
        <v>5.8</v>
      </c>
      <c r="G49" s="129">
        <v>40619</v>
      </c>
      <c r="H49" s="64">
        <f t="shared" si="4"/>
        <v>1.020674338979946</v>
      </c>
      <c r="I49" s="64">
        <f t="shared" si="5"/>
        <v>0.25070756624167778</v>
      </c>
      <c r="J49" s="16">
        <f t="shared" si="6"/>
        <v>465.05000000000007</v>
      </c>
      <c r="K49" s="251">
        <f t="shared" si="7"/>
        <v>14.95</v>
      </c>
      <c r="L49" s="251"/>
      <c r="M49" s="16"/>
      <c r="N49" s="135"/>
      <c r="O49" s="9"/>
    </row>
    <row r="50" spans="2:17" ht="13.5" thickBot="1">
      <c r="B50" t="s">
        <v>28</v>
      </c>
      <c r="C50">
        <v>900</v>
      </c>
      <c r="D50" s="247">
        <f>0+K50/C50</f>
        <v>2.3555555555555555E-2</v>
      </c>
      <c r="E50" s="141">
        <v>40504</v>
      </c>
      <c r="F50" s="233">
        <v>0.35</v>
      </c>
      <c r="G50" s="144">
        <v>40565</v>
      </c>
      <c r="H50" s="64">
        <f t="shared" si="4"/>
        <v>16.147189866539314</v>
      </c>
      <c r="I50" s="64">
        <f t="shared" si="5"/>
        <v>13.858490566037736</v>
      </c>
      <c r="J50" s="16">
        <f t="shared" si="6"/>
        <v>293.8</v>
      </c>
      <c r="K50" s="251">
        <f t="shared" si="7"/>
        <v>21.2</v>
      </c>
      <c r="L50" s="251"/>
      <c r="M50" s="16"/>
      <c r="N50" s="135"/>
      <c r="O50" s="9"/>
    </row>
    <row r="51" spans="2:17" ht="13.5" thickBot="1">
      <c r="B51" t="s">
        <v>18</v>
      </c>
      <c r="C51">
        <v>900</v>
      </c>
      <c r="D51" s="247">
        <f>0+K51/C51</f>
        <v>2.3555555555555555E-2</v>
      </c>
      <c r="E51" s="141">
        <v>40548</v>
      </c>
      <c r="F51" s="233">
        <v>0.25</v>
      </c>
      <c r="G51" s="144">
        <v>40620</v>
      </c>
      <c r="H51" s="64">
        <f t="shared" si="4"/>
        <v>11.974530770724382</v>
      </c>
      <c r="I51" s="64">
        <f t="shared" si="5"/>
        <v>9.6132075471698109</v>
      </c>
      <c r="J51" s="16">
        <f t="shared" si="6"/>
        <v>203.8</v>
      </c>
      <c r="K51" s="251">
        <f t="shared" si="7"/>
        <v>21.2</v>
      </c>
      <c r="L51" s="251"/>
      <c r="M51" s="16" t="s">
        <v>100</v>
      </c>
      <c r="N51" s="135">
        <f>F51*C51</f>
        <v>225</v>
      </c>
      <c r="O51" s="9"/>
    </row>
    <row r="52" spans="2:17" ht="13.5" thickBot="1">
      <c r="B52" t="s">
        <v>16</v>
      </c>
      <c r="C52">
        <v>400</v>
      </c>
      <c r="D52" s="247">
        <f>0+K52/C52</f>
        <v>3.7374999999999999E-2</v>
      </c>
      <c r="E52" s="141">
        <v>40504</v>
      </c>
      <c r="F52" s="233">
        <v>0.3</v>
      </c>
      <c r="G52" s="144">
        <v>40620</v>
      </c>
      <c r="H52" s="64">
        <f t="shared" si="4"/>
        <v>6.5535763937504568</v>
      </c>
      <c r="I52" s="64">
        <f t="shared" si="5"/>
        <v>7.0267558528428093</v>
      </c>
      <c r="J52" s="16">
        <f t="shared" si="6"/>
        <v>105.05</v>
      </c>
      <c r="K52" s="251">
        <f t="shared" si="7"/>
        <v>14.95</v>
      </c>
      <c r="L52" s="251"/>
      <c r="M52" s="16" t="s">
        <v>100</v>
      </c>
      <c r="N52" s="135">
        <f>F52*C52</f>
        <v>120</v>
      </c>
      <c r="O52" s="9"/>
    </row>
    <row r="53" spans="2:17" ht="13.5" thickBot="1">
      <c r="B53" t="s">
        <v>14</v>
      </c>
      <c r="C53">
        <v>300</v>
      </c>
      <c r="D53" s="247">
        <f>0+K53/C53</f>
        <v>4.5666666666666661E-2</v>
      </c>
      <c r="E53" s="141">
        <v>40504</v>
      </c>
      <c r="F53" s="233">
        <v>0.46</v>
      </c>
      <c r="G53" s="144">
        <v>40620</v>
      </c>
      <c r="H53" s="64">
        <f t="shared" si="4"/>
        <v>7.2680872077408685</v>
      </c>
      <c r="I53" s="64">
        <f t="shared" si="5"/>
        <v>9.0729927007299285</v>
      </c>
      <c r="J53" s="16">
        <f t="shared" si="6"/>
        <v>124.3</v>
      </c>
      <c r="K53" s="251">
        <f t="shared" si="7"/>
        <v>13.7</v>
      </c>
      <c r="L53" s="251"/>
      <c r="M53" s="16" t="s">
        <v>100</v>
      </c>
      <c r="N53" s="135">
        <f>F53*C53</f>
        <v>138</v>
      </c>
      <c r="O53" s="9"/>
    </row>
    <row r="54" spans="2:17" ht="13.5" thickBot="1">
      <c r="B54" s="1" t="s">
        <v>225</v>
      </c>
      <c r="C54" s="1">
        <v>1000</v>
      </c>
      <c r="D54" s="247">
        <f>3.65+K54/C54</f>
        <v>3.67245</v>
      </c>
      <c r="E54" s="141">
        <v>40620</v>
      </c>
      <c r="F54" s="1">
        <v>4.05</v>
      </c>
      <c r="G54" s="129">
        <v>40623</v>
      </c>
      <c r="H54" s="64">
        <f t="shared" si="4"/>
        <v>11.906040466642139</v>
      </c>
      <c r="I54" s="64">
        <f t="shared" si="5"/>
        <v>0.10280602867295663</v>
      </c>
      <c r="J54" s="16">
        <f t="shared" si="6"/>
        <v>377.54999999999984</v>
      </c>
      <c r="K54" s="251">
        <f t="shared" si="7"/>
        <v>22.45</v>
      </c>
      <c r="L54" s="251"/>
      <c r="M54" s="16"/>
      <c r="N54" s="135"/>
      <c r="O54" s="9"/>
    </row>
    <row r="55" spans="2:17">
      <c r="B55" s="1" t="s">
        <v>246</v>
      </c>
      <c r="C55" s="1">
        <v>500</v>
      </c>
      <c r="D55" s="247">
        <f>9.5+K55/C55</f>
        <v>9.5324000000000009</v>
      </c>
      <c r="E55" s="129">
        <v>40632</v>
      </c>
      <c r="F55" s="1">
        <v>10</v>
      </c>
      <c r="G55" s="129">
        <v>40644</v>
      </c>
      <c r="H55" s="64">
        <f>LN(F55/D55)/((G55-E55)/365)</f>
        <v>1.4566106929454516</v>
      </c>
      <c r="I55" s="64">
        <f>F55/D55-1</f>
        <v>4.9053753514330056E-2</v>
      </c>
      <c r="J55" s="16">
        <f>C55*(F55-D55)</f>
        <v>233.79999999999956</v>
      </c>
      <c r="K55" s="251">
        <f t="shared" si="7"/>
        <v>16.2</v>
      </c>
      <c r="L55" s="251"/>
      <c r="M55" s="16"/>
      <c r="N55" s="135"/>
      <c r="O55" s="9"/>
    </row>
    <row r="56" spans="2:17">
      <c r="B56" s="264" t="s">
        <v>175</v>
      </c>
      <c r="C56" s="265">
        <v>500</v>
      </c>
      <c r="D56" s="247">
        <f>3.3+K56/C56</f>
        <v>3.3323999999999998</v>
      </c>
      <c r="E56" s="266">
        <v>40553</v>
      </c>
      <c r="F56" s="265">
        <v>3.4</v>
      </c>
      <c r="G56" s="266">
        <v>40676</v>
      </c>
      <c r="H56" s="64">
        <f>LN(F56/D56)/((G56-E56)/365)</f>
        <v>5.9594904664853864E-2</v>
      </c>
      <c r="I56" s="64">
        <f>F56/D56-1</f>
        <v>2.0285679990397432E-2</v>
      </c>
      <c r="J56" s="16">
        <f>C56*(F56-D56)</f>
        <v>33.800000000000054</v>
      </c>
      <c r="K56" s="251">
        <f>9.95+1.25*C56/100</f>
        <v>16.2</v>
      </c>
      <c r="L56" s="251"/>
      <c r="M56" s="16" t="s">
        <v>258</v>
      </c>
      <c r="N56" s="135"/>
      <c r="O56" s="9"/>
    </row>
    <row r="57" spans="2:17">
      <c r="B57" s="1" t="s">
        <v>197</v>
      </c>
      <c r="C57" s="1">
        <v>1000</v>
      </c>
      <c r="D57" s="247">
        <f>2.38+K57/C57</f>
        <v>2.40245</v>
      </c>
      <c r="E57" s="147">
        <v>40645</v>
      </c>
      <c r="F57" s="1">
        <v>2.98</v>
      </c>
      <c r="G57" s="129">
        <v>40647</v>
      </c>
      <c r="H57" s="64">
        <f>LN(F57/D57)/((G57-E57)/365)</f>
        <v>39.316750721012262</v>
      </c>
      <c r="I57" s="64">
        <f>F57/D57-1</f>
        <v>0.24040042456658828</v>
      </c>
      <c r="J57" s="16">
        <f>C57*(F57-D57)</f>
        <v>577.54999999999995</v>
      </c>
      <c r="K57" s="251">
        <f t="shared" si="7"/>
        <v>22.45</v>
      </c>
      <c r="L57" s="251"/>
      <c r="M57" s="16" t="s">
        <v>258</v>
      </c>
      <c r="N57" s="135"/>
      <c r="O57" s="9"/>
    </row>
    <row r="58" spans="2:17" ht="13.5" thickBot="1">
      <c r="B58" s="1" t="s">
        <v>238</v>
      </c>
      <c r="C58" s="1">
        <v>900</v>
      </c>
      <c r="D58" s="247">
        <f>0+K58/C58</f>
        <v>2.3555555555555555E-2</v>
      </c>
      <c r="E58" s="141">
        <v>40494</v>
      </c>
      <c r="F58" s="1">
        <f>0.1</f>
        <v>0.1</v>
      </c>
      <c r="G58" s="129">
        <v>40529</v>
      </c>
      <c r="H58" s="64">
        <f t="shared" si="4"/>
        <v>15.077717095945399</v>
      </c>
      <c r="I58" s="64">
        <f t="shared" si="5"/>
        <v>3.2452830188679247</v>
      </c>
      <c r="J58" s="16">
        <f t="shared" si="6"/>
        <v>68.800000000000011</v>
      </c>
      <c r="K58" s="251">
        <f t="shared" si="7"/>
        <v>21.2</v>
      </c>
      <c r="L58" s="251"/>
      <c r="M58" s="16" t="s">
        <v>100</v>
      </c>
      <c r="N58" s="135">
        <f>F58*C58</f>
        <v>90</v>
      </c>
      <c r="O58" s="9"/>
      <c r="P58" s="9"/>
    </row>
    <row r="59" spans="2:17" ht="13.5" thickBot="1">
      <c r="B59" s="136"/>
      <c r="C59" s="137"/>
      <c r="D59" s="142">
        <f>SUMPRODUCT(C3:C58,D3:D58)</f>
        <v>255558.18501072243</v>
      </c>
      <c r="E59" s="137"/>
      <c r="F59" s="142">
        <f>SUMPRODUCT(C3:C58,F3:F58)</f>
        <v>292631.19700000004</v>
      </c>
      <c r="G59" s="138"/>
      <c r="H59" s="143"/>
      <c r="I59" s="143"/>
      <c r="J59" s="139">
        <f>SUM(J3:J58)</f>
        <v>37073.011989277758</v>
      </c>
      <c r="K59" s="222"/>
      <c r="L59" s="222"/>
      <c r="M59" s="222"/>
      <c r="N59" s="230">
        <f>SUM(N3:N58)</f>
        <v>268126.19700000004</v>
      </c>
      <c r="O59" s="231"/>
      <c r="P59" s="9"/>
    </row>
    <row r="60" spans="2:17" ht="13.5" thickBot="1">
      <c r="J60" s="9"/>
      <c r="K60" s="9"/>
      <c r="L60" s="9"/>
      <c r="M60" s="9"/>
      <c r="N60" s="9"/>
      <c r="O60" s="9"/>
      <c r="P60" s="9"/>
      <c r="Q60" s="9"/>
    </row>
    <row r="61" spans="2:17" ht="13.5" thickBot="1">
      <c r="B61" s="224"/>
      <c r="C61" s="225"/>
      <c r="D61" s="225"/>
      <c r="E61" s="226">
        <v>40003</v>
      </c>
      <c r="F61" s="225"/>
      <c r="G61" s="226">
        <f ca="1">TODAY()</f>
        <v>42212</v>
      </c>
      <c r="H61" s="227"/>
      <c r="J61" s="9"/>
      <c r="K61" s="9"/>
      <c r="L61" s="9"/>
      <c r="M61" s="9"/>
      <c r="N61" s="9"/>
      <c r="O61" s="9"/>
      <c r="P61" s="9"/>
      <c r="Q61" s="9"/>
    </row>
    <row r="62" spans="2:17" ht="13.5" thickBot="1">
      <c r="B62" s="228" t="s">
        <v>234</v>
      </c>
      <c r="C62" s="229"/>
      <c r="D62" s="143" t="e">
        <f>J59/(#REF!+#REF!)</f>
        <v>#REF!</v>
      </c>
      <c r="E62" s="115"/>
      <c r="F62" s="143" t="e">
        <f ca="1">365*(J62/G75)/(G61-E61)</f>
        <v>#REF!</v>
      </c>
      <c r="G62" s="115" t="s">
        <v>80</v>
      </c>
      <c r="H62" s="94"/>
      <c r="J62" s="231" t="e">
        <f>J59+#REF!+#REF!</f>
        <v>#REF!</v>
      </c>
      <c r="K62" s="231"/>
      <c r="L62" s="231"/>
      <c r="M62" s="231"/>
      <c r="N62" s="231"/>
      <c r="O62" s="9"/>
      <c r="P62" s="9"/>
      <c r="Q62" s="9"/>
    </row>
    <row r="63" spans="2:17">
      <c r="J63" s="9"/>
      <c r="K63" s="9"/>
      <c r="L63" s="9"/>
      <c r="M63" s="9"/>
      <c r="N63" s="9"/>
      <c r="O63" s="9"/>
      <c r="P63" s="9"/>
      <c r="Q63" s="9"/>
    </row>
    <row r="64" spans="2:17">
      <c r="J64" s="9"/>
      <c r="K64" s="9"/>
      <c r="L64" s="9"/>
      <c r="M64" s="9"/>
      <c r="N64" s="9"/>
      <c r="O64" s="9"/>
      <c r="P64" s="9"/>
      <c r="Q64" s="9"/>
    </row>
    <row r="65" spans="2:17">
      <c r="B65" s="60" t="s">
        <v>214</v>
      </c>
      <c r="J65" s="9"/>
      <c r="K65" s="9"/>
      <c r="L65" s="9"/>
      <c r="M65" s="9"/>
      <c r="N65" s="9"/>
      <c r="O65" s="9"/>
      <c r="P65" s="9"/>
      <c r="Q65" s="9"/>
    </row>
    <row r="66" spans="2:17">
      <c r="B66" t="s">
        <v>179</v>
      </c>
      <c r="C66" t="s">
        <v>180</v>
      </c>
      <c r="D66" t="s">
        <v>208</v>
      </c>
      <c r="E66" t="s">
        <v>209</v>
      </c>
      <c r="F66" t="s">
        <v>210</v>
      </c>
      <c r="G66" t="s">
        <v>211</v>
      </c>
      <c r="H66" t="s">
        <v>218</v>
      </c>
      <c r="J66" s="9"/>
      <c r="K66" s="9"/>
      <c r="L66" s="9"/>
      <c r="M66" s="9"/>
      <c r="N66" s="9"/>
      <c r="O66" s="9"/>
      <c r="P66" s="9"/>
      <c r="Q66" s="9"/>
    </row>
    <row r="67" spans="2:17">
      <c r="B67" s="57">
        <v>40078</v>
      </c>
      <c r="C67" t="s">
        <v>212</v>
      </c>
      <c r="D67" t="s">
        <v>213</v>
      </c>
      <c r="G67" s="236">
        <v>95000</v>
      </c>
      <c r="H67" t="s">
        <v>214</v>
      </c>
      <c r="I67" s="236">
        <v>164000</v>
      </c>
      <c r="J67" s="9"/>
      <c r="K67" s="9"/>
      <c r="L67" s="9"/>
      <c r="M67" s="9"/>
      <c r="N67" s="9"/>
      <c r="O67" s="9"/>
      <c r="P67" s="9"/>
      <c r="Q67" s="9"/>
    </row>
    <row r="68" spans="2:17">
      <c r="B68" s="57">
        <v>40067</v>
      </c>
      <c r="C68" t="s">
        <v>212</v>
      </c>
      <c r="D68" t="s">
        <v>213</v>
      </c>
      <c r="G68" s="236">
        <v>13280</v>
      </c>
      <c r="H68" t="s">
        <v>219</v>
      </c>
      <c r="I68" s="238">
        <v>12137.66</v>
      </c>
      <c r="J68" s="9"/>
      <c r="K68" s="9"/>
      <c r="L68" s="9"/>
      <c r="M68" s="9"/>
      <c r="N68" s="9"/>
      <c r="O68" s="9"/>
      <c r="P68" s="9"/>
      <c r="Q68" s="9"/>
    </row>
    <row r="69" spans="2:17">
      <c r="B69" s="57">
        <v>40031</v>
      </c>
      <c r="C69" t="s">
        <v>212</v>
      </c>
      <c r="D69" t="s">
        <v>213</v>
      </c>
      <c r="G69" s="236">
        <v>28500</v>
      </c>
      <c r="H69" t="s">
        <v>220</v>
      </c>
      <c r="I69" s="238">
        <v>18935.38</v>
      </c>
      <c r="J69" s="9"/>
      <c r="K69" s="9"/>
      <c r="L69" s="9"/>
      <c r="M69" s="9"/>
      <c r="N69" s="9"/>
      <c r="O69" s="9"/>
      <c r="P69" s="9"/>
      <c r="Q69" s="9"/>
    </row>
    <row r="70" spans="2:17">
      <c r="B70" s="57">
        <v>40023</v>
      </c>
      <c r="C70" t="s">
        <v>212</v>
      </c>
      <c r="D70" t="s">
        <v>213</v>
      </c>
      <c r="G70" s="236">
        <v>1000</v>
      </c>
      <c r="H70" t="s">
        <v>124</v>
      </c>
      <c r="I70" s="238">
        <v>16500</v>
      </c>
      <c r="J70" s="9"/>
      <c r="K70" s="9"/>
      <c r="L70" s="9"/>
      <c r="M70" s="9"/>
      <c r="N70" s="9"/>
      <c r="O70" s="9"/>
      <c r="P70" s="9"/>
      <c r="Q70" s="9"/>
    </row>
    <row r="71" spans="2:17">
      <c r="B71" s="57">
        <v>40022</v>
      </c>
      <c r="C71" t="s">
        <v>212</v>
      </c>
      <c r="D71" t="s">
        <v>213</v>
      </c>
      <c r="G71" s="236">
        <v>500</v>
      </c>
      <c r="J71" s="9"/>
      <c r="K71" s="9"/>
      <c r="L71" s="9"/>
      <c r="M71" s="9"/>
      <c r="N71" s="9"/>
      <c r="O71" s="9"/>
      <c r="P71" s="9"/>
      <c r="Q71" s="9"/>
    </row>
    <row r="72" spans="2:17">
      <c r="G72" s="237">
        <f>SUM(G67:G71)</f>
        <v>138280</v>
      </c>
      <c r="H72" s="244" t="s">
        <v>196</v>
      </c>
      <c r="I72" s="245" t="e">
        <f>G72+J59-#REF!-#REF!</f>
        <v>#REF!</v>
      </c>
      <c r="J72" s="9"/>
      <c r="K72" s="9"/>
      <c r="L72" s="9"/>
      <c r="M72" s="9"/>
      <c r="N72" s="9"/>
      <c r="O72" s="9"/>
      <c r="P72" s="9"/>
      <c r="Q72" s="9"/>
    </row>
    <row r="73" spans="2:17">
      <c r="B73" s="60" t="s">
        <v>215</v>
      </c>
      <c r="C73" t="s">
        <v>216</v>
      </c>
      <c r="G73" s="236">
        <v>11500</v>
      </c>
      <c r="J73" s="9"/>
      <c r="K73" s="9"/>
      <c r="L73" s="9"/>
      <c r="M73" s="9"/>
      <c r="N73" s="9"/>
      <c r="O73" s="9"/>
      <c r="P73" s="9"/>
      <c r="Q73" s="9"/>
    </row>
    <row r="74" spans="2:17">
      <c r="C74" t="s">
        <v>217</v>
      </c>
      <c r="G74" s="236">
        <v>18000</v>
      </c>
      <c r="J74" s="9"/>
      <c r="K74" s="9"/>
      <c r="L74" s="9"/>
      <c r="M74" s="9"/>
      <c r="N74" s="9"/>
      <c r="O74" s="9"/>
      <c r="P74" s="9"/>
      <c r="Q74" s="9"/>
    </row>
    <row r="75" spans="2:17">
      <c r="G75" s="237">
        <f>SUM(G72:G74)</f>
        <v>167780</v>
      </c>
      <c r="I75" s="237"/>
      <c r="J75" s="9"/>
      <c r="K75" s="9"/>
      <c r="L75" s="9"/>
      <c r="M75" s="9"/>
      <c r="N75" s="9"/>
      <c r="O75" s="9"/>
      <c r="P75" s="9"/>
      <c r="Q75" s="9"/>
    </row>
    <row r="76" spans="2:17">
      <c r="J76" s="9"/>
      <c r="K76" s="9"/>
      <c r="L76" s="9"/>
      <c r="M76" s="9"/>
      <c r="N76" s="9"/>
      <c r="O76" s="9"/>
      <c r="P76" s="9"/>
      <c r="Q76" s="9"/>
    </row>
    <row r="77" spans="2:17">
      <c r="J77" s="9"/>
      <c r="K77" s="9"/>
      <c r="L77" s="9"/>
      <c r="M77" s="9"/>
      <c r="N77" s="9"/>
      <c r="O77" s="9"/>
      <c r="P77" s="9"/>
      <c r="Q77" s="9"/>
    </row>
    <row r="78" spans="2:17">
      <c r="J78" s="9"/>
      <c r="K78" s="9"/>
      <c r="L78" s="9"/>
      <c r="M78" s="9"/>
      <c r="N78" s="9"/>
      <c r="O78" s="9"/>
      <c r="P78" s="9"/>
      <c r="Q78" s="9"/>
    </row>
    <row r="83" spans="7:7">
      <c r="G83" s="260"/>
    </row>
    <row r="84" spans="7:7">
      <c r="G84" s="260"/>
    </row>
  </sheetData>
  <phoneticPr fontId="2" type="noConversion"/>
  <conditionalFormatting sqref="G50:G53 G10:G44">
    <cfRule type="cellIs" dxfId="83" priority="1" stopIfTrue="1" operator="lessThan">
      <formula>F10</formula>
    </cfRule>
  </conditionalFormatting>
  <conditionalFormatting sqref="F62 D62 H3:I59">
    <cfRule type="cellIs" dxfId="82" priority="2" stopIfTrue="1" operator="lessThan">
      <formula>0.1</formula>
    </cfRule>
  </conditionalFormatting>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topLeftCell="A40" zoomScale="90" zoomScaleNormal="90" workbookViewId="0">
      <selection activeCell="O68" sqref="O68"/>
    </sheetView>
  </sheetViews>
  <sheetFormatPr defaultRowHeight="12.75"/>
  <cols>
    <col min="1" max="1" width="5.42578125" customWidth="1"/>
    <col min="2" max="2" width="10.140625" customWidth="1"/>
    <col min="3" max="3" width="11.28515625" customWidth="1"/>
    <col min="4" max="4" width="11.7109375" customWidth="1"/>
    <col min="5" max="5" width="11.140625" customWidth="1"/>
    <col min="6" max="6" width="13.42578125" customWidth="1"/>
    <col min="7" max="7" width="20.42578125" hidden="1" customWidth="1"/>
    <col min="8" max="8" width="18.28515625" customWidth="1"/>
    <col min="9" max="9" width="8.5703125" customWidth="1"/>
    <col min="10" max="10" width="7.7109375" customWidth="1"/>
    <col min="11" max="11" width="13.28515625" customWidth="1"/>
    <col min="12" max="12" width="12.7109375" customWidth="1"/>
    <col min="13" max="13" width="14.85546875" customWidth="1"/>
    <col min="14" max="14" width="6.7109375" style="497" customWidth="1"/>
    <col min="15" max="15" width="11.85546875" customWidth="1"/>
    <col min="16" max="16" width="25.42578125" customWidth="1"/>
    <col min="17" max="17" width="12.85546875" customWidth="1"/>
    <col min="18" max="18" width="14.85546875" customWidth="1"/>
  </cols>
  <sheetData>
    <row r="1" spans="1:17" ht="13.5" thickBot="1">
      <c r="A1" s="263" t="s">
        <v>116</v>
      </c>
      <c r="B1" s="263" t="s">
        <v>117</v>
      </c>
      <c r="C1" s="263" t="s">
        <v>118</v>
      </c>
      <c r="D1" s="263" t="s">
        <v>95</v>
      </c>
      <c r="E1" s="263" t="s">
        <v>119</v>
      </c>
      <c r="F1" s="263" t="s">
        <v>114</v>
      </c>
      <c r="G1" s="263" t="s">
        <v>120</v>
      </c>
      <c r="H1" s="263" t="s">
        <v>121</v>
      </c>
      <c r="I1" s="263" t="s">
        <v>122</v>
      </c>
      <c r="J1" s="263" t="s">
        <v>155</v>
      </c>
      <c r="K1" s="263" t="s">
        <v>29</v>
      </c>
      <c r="L1" s="263" t="s">
        <v>292</v>
      </c>
      <c r="M1" s="263" t="s">
        <v>102</v>
      </c>
      <c r="N1" s="551" t="s">
        <v>807</v>
      </c>
    </row>
    <row r="2" spans="1:17">
      <c r="A2" s="455">
        <v>486</v>
      </c>
      <c r="B2" s="456" t="s">
        <v>976</v>
      </c>
      <c r="C2" s="456">
        <v>100</v>
      </c>
      <c r="D2" s="456">
        <v>54</v>
      </c>
      <c r="E2" s="457">
        <v>42038</v>
      </c>
      <c r="F2" s="458">
        <v>64.55</v>
      </c>
      <c r="G2" s="459">
        <v>37.434750468883713</v>
      </c>
      <c r="H2" s="459">
        <v>19.537037037037035</v>
      </c>
      <c r="I2" s="459">
        <v>1055</v>
      </c>
      <c r="J2" s="456">
        <v>1.46</v>
      </c>
      <c r="K2" s="456">
        <v>75</v>
      </c>
      <c r="L2" s="477">
        <v>5400</v>
      </c>
      <c r="M2" s="456">
        <v>7.95</v>
      </c>
      <c r="N2" s="550">
        <v>91.442542787285873</v>
      </c>
    </row>
    <row r="3" spans="1:17">
      <c r="A3" s="462">
        <v>457</v>
      </c>
      <c r="B3" s="576" t="s">
        <v>973</v>
      </c>
      <c r="C3" s="463">
        <v>216.78256999999999</v>
      </c>
      <c r="D3" s="463">
        <v>32.749000000000002</v>
      </c>
      <c r="E3" s="464">
        <v>41637</v>
      </c>
      <c r="F3" s="453">
        <v>34.46</v>
      </c>
      <c r="G3" s="465">
        <v>3.2327449391452854</v>
      </c>
      <c r="H3" s="465">
        <v>5.224587010290386</v>
      </c>
      <c r="I3" s="465">
        <v>370.91500000000002</v>
      </c>
      <c r="J3" s="463">
        <v>0.54</v>
      </c>
      <c r="K3" s="463">
        <v>38</v>
      </c>
      <c r="L3" s="478">
        <v>7099.4124000000002</v>
      </c>
      <c r="M3" s="463">
        <v>7.95</v>
      </c>
      <c r="N3" s="550">
        <v>67.080745341614829</v>
      </c>
    </row>
    <row r="4" spans="1:17">
      <c r="A4" s="462">
        <v>494</v>
      </c>
      <c r="B4" s="463" t="s">
        <v>1042</v>
      </c>
      <c r="C4" s="463">
        <v>100</v>
      </c>
      <c r="D4" s="463">
        <v>80</v>
      </c>
      <c r="E4" s="464">
        <v>42202</v>
      </c>
      <c r="F4" s="453">
        <v>81.290000000000006</v>
      </c>
      <c r="G4" s="465">
        <v>53.078874326171075</v>
      </c>
      <c r="H4" s="465">
        <v>1.6125000000000078</v>
      </c>
      <c r="I4" s="465">
        <v>129</v>
      </c>
      <c r="J4" s="463">
        <v>0</v>
      </c>
      <c r="K4" s="463">
        <v>105</v>
      </c>
      <c r="L4" s="478">
        <v>8000</v>
      </c>
      <c r="M4" s="463">
        <v>7.95</v>
      </c>
      <c r="N4" s="550">
        <v>69.565217391304316</v>
      </c>
      <c r="Q4" s="579"/>
    </row>
    <row r="5" spans="1:17">
      <c r="A5" s="462">
        <v>498</v>
      </c>
      <c r="B5" s="463" t="s">
        <v>19</v>
      </c>
      <c r="C5" s="463">
        <v>10</v>
      </c>
      <c r="D5" s="463">
        <v>69.510000000000005</v>
      </c>
      <c r="E5" s="464">
        <v>42205</v>
      </c>
      <c r="F5" s="453">
        <v>68.08</v>
      </c>
      <c r="G5" s="465">
        <v>-94.841339240696357</v>
      </c>
      <c r="H5" s="465">
        <v>-2.0572579484966287</v>
      </c>
      <c r="I5" s="465">
        <v>-14.3</v>
      </c>
      <c r="J5" s="463">
        <v>1.25</v>
      </c>
      <c r="K5" s="463">
        <v>74.5</v>
      </c>
      <c r="L5" s="478">
        <v>695.1</v>
      </c>
      <c r="M5" s="463">
        <v>7.95</v>
      </c>
      <c r="N5" s="550">
        <v>67.711598746081279</v>
      </c>
    </row>
    <row r="6" spans="1:17">
      <c r="A6" s="462">
        <v>495</v>
      </c>
      <c r="B6" s="463" t="s">
        <v>1044</v>
      </c>
      <c r="C6" s="463">
        <v>400</v>
      </c>
      <c r="D6" s="463">
        <v>35</v>
      </c>
      <c r="E6" s="464">
        <v>42202</v>
      </c>
      <c r="F6" s="453">
        <v>34.229999999999997</v>
      </c>
      <c r="G6" s="465">
        <v>-73.814975143379499</v>
      </c>
      <c r="H6" s="465">
        <v>-2.2000000000000091</v>
      </c>
      <c r="I6" s="465">
        <v>-308</v>
      </c>
      <c r="J6" s="463">
        <v>0.87</v>
      </c>
      <c r="K6" s="463">
        <v>38</v>
      </c>
      <c r="L6" s="478">
        <v>14000</v>
      </c>
      <c r="M6" s="463">
        <v>7.95</v>
      </c>
      <c r="N6" s="550">
        <v>85.593220338982988</v>
      </c>
      <c r="P6" s="561"/>
    </row>
    <row r="7" spans="1:17">
      <c r="A7" s="462">
        <v>497</v>
      </c>
      <c r="B7" s="463" t="s">
        <v>255</v>
      </c>
      <c r="C7" s="463">
        <v>100</v>
      </c>
      <c r="D7" s="463">
        <v>18.21</v>
      </c>
      <c r="E7" s="464">
        <v>42205</v>
      </c>
      <c r="F7" s="453">
        <v>17.75</v>
      </c>
      <c r="G7" s="465">
        <v>-116.73328629504417</v>
      </c>
      <c r="H7" s="465">
        <v>-2.5260845689181814</v>
      </c>
      <c r="I7" s="465">
        <v>-46</v>
      </c>
      <c r="J7" s="463">
        <v>0.7</v>
      </c>
      <c r="K7" s="463">
        <v>19</v>
      </c>
      <c r="L7" s="478">
        <v>1821</v>
      </c>
      <c r="M7" s="463">
        <v>7.95</v>
      </c>
      <c r="N7" s="550">
        <v>65.48672566371684</v>
      </c>
      <c r="P7" s="561"/>
    </row>
    <row r="8" spans="1:17">
      <c r="A8" s="462">
        <v>491</v>
      </c>
      <c r="B8" s="463" t="s">
        <v>1036</v>
      </c>
      <c r="C8" s="463">
        <v>1000</v>
      </c>
      <c r="D8" s="463">
        <v>9.3068000000000008</v>
      </c>
      <c r="E8" s="464">
        <v>42171</v>
      </c>
      <c r="F8" s="453">
        <v>8.77</v>
      </c>
      <c r="G8" s="465">
        <v>-51.628823633861813</v>
      </c>
      <c r="H8" s="465">
        <v>-5.7678256758499291</v>
      </c>
      <c r="I8" s="465">
        <v>-536.79999999999995</v>
      </c>
      <c r="J8" s="463">
        <v>1.38</v>
      </c>
      <c r="K8" s="463">
        <v>11.75</v>
      </c>
      <c r="L8" s="478">
        <v>9306.7999999999993</v>
      </c>
      <c r="M8" s="463">
        <v>7.95</v>
      </c>
      <c r="N8" s="550">
        <v>88.0597014925373</v>
      </c>
    </row>
    <row r="9" spans="1:17">
      <c r="A9" s="462">
        <v>481</v>
      </c>
      <c r="B9" s="463" t="s">
        <v>977</v>
      </c>
      <c r="C9" s="463">
        <v>100</v>
      </c>
      <c r="D9" s="463">
        <v>49.12</v>
      </c>
      <c r="E9" s="464">
        <v>41778</v>
      </c>
      <c r="F9" s="453">
        <v>45.87</v>
      </c>
      <c r="G9" s="465">
        <v>-5.7439232089377832</v>
      </c>
      <c r="H9" s="465">
        <v>-6.6164495114006519</v>
      </c>
      <c r="I9" s="465">
        <v>-325</v>
      </c>
      <c r="J9" s="463">
        <v>0.62</v>
      </c>
      <c r="K9" s="463">
        <v>51</v>
      </c>
      <c r="L9" s="478">
        <v>4912</v>
      </c>
      <c r="M9" s="463">
        <v>7.95</v>
      </c>
      <c r="N9" s="550">
        <v>81.386861313868692</v>
      </c>
    </row>
    <row r="10" spans="1:17">
      <c r="A10" s="462">
        <v>484</v>
      </c>
      <c r="B10" s="463" t="s">
        <v>975</v>
      </c>
      <c r="C10" s="463">
        <v>100</v>
      </c>
      <c r="D10" s="463">
        <v>41.75</v>
      </c>
      <c r="E10" s="464">
        <v>41816</v>
      </c>
      <c r="F10" s="453">
        <v>34.47</v>
      </c>
      <c r="G10" s="465">
        <v>-17.616543030315633</v>
      </c>
      <c r="H10" s="465">
        <v>-17.437125748502996</v>
      </c>
      <c r="I10" s="465">
        <v>-728</v>
      </c>
      <c r="J10" s="463">
        <v>0</v>
      </c>
      <c r="K10" s="463">
        <v>45</v>
      </c>
      <c r="L10" s="478">
        <v>4175</v>
      </c>
      <c r="M10" s="463">
        <v>7.95</v>
      </c>
      <c r="N10" s="550">
        <v>68.072289156626582</v>
      </c>
    </row>
    <row r="11" spans="1:17">
      <c r="A11" s="462">
        <v>274</v>
      </c>
      <c r="B11" s="463" t="s">
        <v>20</v>
      </c>
      <c r="C11" s="463">
        <v>200</v>
      </c>
      <c r="D11" s="463">
        <v>31</v>
      </c>
      <c r="E11" s="464">
        <v>40980</v>
      </c>
      <c r="F11" s="453">
        <v>13.95</v>
      </c>
      <c r="G11" s="465">
        <v>-23.637900171896732</v>
      </c>
      <c r="H11" s="465">
        <v>-55</v>
      </c>
      <c r="I11" s="465">
        <v>-3410</v>
      </c>
      <c r="J11" s="463"/>
      <c r="K11" s="463"/>
      <c r="L11" s="478">
        <v>6200</v>
      </c>
      <c r="M11" s="463">
        <v>7.95</v>
      </c>
      <c r="N11" s="550">
        <v>78.000000000000114</v>
      </c>
    </row>
    <row r="12" spans="1:17">
      <c r="A12" s="462">
        <v>434</v>
      </c>
      <c r="B12" s="463" t="s">
        <v>430</v>
      </c>
      <c r="C12" s="463">
        <v>200</v>
      </c>
      <c r="D12" s="463">
        <v>11.18</v>
      </c>
      <c r="E12" s="464">
        <v>41547</v>
      </c>
      <c r="F12" s="453">
        <v>4.92</v>
      </c>
      <c r="G12" s="465">
        <v>-44.984766829774593</v>
      </c>
      <c r="H12" s="465">
        <v>-55.99284436493739</v>
      </c>
      <c r="I12" s="465">
        <v>-1252</v>
      </c>
      <c r="J12" s="463">
        <v>1.58</v>
      </c>
      <c r="K12" s="463">
        <v>7.5</v>
      </c>
      <c r="L12" s="478">
        <v>2236</v>
      </c>
      <c r="M12" s="463">
        <v>7.95</v>
      </c>
      <c r="N12" s="550">
        <v>61.627906976744192</v>
      </c>
    </row>
    <row r="13" spans="1:17">
      <c r="A13" s="462">
        <v>435</v>
      </c>
      <c r="B13" s="463" t="s">
        <v>380</v>
      </c>
      <c r="C13" s="463">
        <v>50</v>
      </c>
      <c r="D13" s="463">
        <v>76.08</v>
      </c>
      <c r="E13" s="464">
        <v>41548</v>
      </c>
      <c r="F13" s="453">
        <v>31.32</v>
      </c>
      <c r="G13" s="465">
        <v>-48.713972886737501</v>
      </c>
      <c r="H13" s="465">
        <v>-58.83280757097792</v>
      </c>
      <c r="I13" s="465">
        <v>-2238</v>
      </c>
      <c r="J13" s="463"/>
      <c r="K13" s="463"/>
      <c r="L13" s="478">
        <v>3804</v>
      </c>
      <c r="M13" s="463">
        <v>7.95</v>
      </c>
      <c r="N13" s="550">
        <v>75.471698113207523</v>
      </c>
    </row>
    <row r="14" spans="1:17">
      <c r="A14" s="462">
        <v>482</v>
      </c>
      <c r="B14" s="463" t="s">
        <v>1007</v>
      </c>
      <c r="C14" s="463">
        <v>100</v>
      </c>
      <c r="D14" s="463">
        <v>53.3</v>
      </c>
      <c r="E14" s="464">
        <v>41806</v>
      </c>
      <c r="F14" s="453">
        <v>17.010000000000002</v>
      </c>
      <c r="G14" s="465">
        <v>-102.42733354763401</v>
      </c>
      <c r="H14" s="465">
        <v>-68.086303939962463</v>
      </c>
      <c r="I14" s="465">
        <v>-3629</v>
      </c>
      <c r="J14" s="463">
        <v>1.02</v>
      </c>
      <c r="K14" s="463">
        <v>22</v>
      </c>
      <c r="L14" s="478">
        <v>5330</v>
      </c>
      <c r="M14" s="463">
        <v>7.95</v>
      </c>
      <c r="N14" s="550">
        <v>88.257575757575694</v>
      </c>
    </row>
    <row r="15" spans="1:17">
      <c r="A15" s="462">
        <v>431</v>
      </c>
      <c r="B15" s="463" t="s">
        <v>380</v>
      </c>
      <c r="C15" s="463">
        <v>25</v>
      </c>
      <c r="D15" s="463">
        <v>98.8</v>
      </c>
      <c r="E15" s="464">
        <v>41515</v>
      </c>
      <c r="F15" s="453">
        <v>31.32</v>
      </c>
      <c r="G15" s="465">
        <v>-60.075482489311625</v>
      </c>
      <c r="H15" s="465">
        <v>-68.299595141700394</v>
      </c>
      <c r="I15" s="465">
        <v>-1687</v>
      </c>
      <c r="J15" s="463"/>
      <c r="K15" s="463"/>
      <c r="L15" s="478">
        <v>2470</v>
      </c>
      <c r="M15" s="463">
        <v>7.95</v>
      </c>
      <c r="N15" s="550">
        <v>75.471698113207523</v>
      </c>
      <c r="P15" s="561"/>
    </row>
    <row r="16" spans="1:17">
      <c r="A16" s="462">
        <v>336</v>
      </c>
      <c r="B16" s="463" t="s">
        <v>427</v>
      </c>
      <c r="C16" s="463">
        <v>20</v>
      </c>
      <c r="D16" s="463">
        <v>182</v>
      </c>
      <c r="E16" s="464">
        <v>41089</v>
      </c>
      <c r="F16" s="453">
        <v>27.18</v>
      </c>
      <c r="G16" s="465">
        <v>-61.748819092449835</v>
      </c>
      <c r="H16" s="465">
        <v>-85.065934065934073</v>
      </c>
      <c r="I16" s="465">
        <v>-3096.4</v>
      </c>
      <c r="J16" s="463"/>
      <c r="K16" s="463"/>
      <c r="L16" s="478">
        <v>3640</v>
      </c>
      <c r="M16" s="463">
        <v>7.95</v>
      </c>
      <c r="N16" s="550">
        <v>7.4380165289256164</v>
      </c>
    </row>
    <row r="17" spans="1:14">
      <c r="A17" s="462">
        <v>449</v>
      </c>
      <c r="B17" s="463" t="s">
        <v>221</v>
      </c>
      <c r="C17" s="463">
        <v>200</v>
      </c>
      <c r="D17" s="463">
        <v>6.36</v>
      </c>
      <c r="E17" s="464">
        <v>41568</v>
      </c>
      <c r="F17" s="453">
        <v>0.91</v>
      </c>
      <c r="G17" s="465">
        <v>-110.02848926209217</v>
      </c>
      <c r="H17" s="465">
        <v>-85.691823899371059</v>
      </c>
      <c r="I17" s="465">
        <v>-1090</v>
      </c>
      <c r="J17" s="463">
        <v>4.13</v>
      </c>
      <c r="K17" s="463">
        <v>1.92</v>
      </c>
      <c r="L17" s="478">
        <v>1272</v>
      </c>
      <c r="M17" s="463">
        <v>7.95</v>
      </c>
      <c r="N17" s="550">
        <v>62.857142857142854</v>
      </c>
    </row>
    <row r="18" spans="1:14">
      <c r="A18" s="462">
        <v>262</v>
      </c>
      <c r="B18" s="463" t="s">
        <v>750</v>
      </c>
      <c r="C18" s="463">
        <v>1000</v>
      </c>
      <c r="D18" s="463">
        <v>0.28000000000000003</v>
      </c>
      <c r="E18" s="464">
        <v>40966</v>
      </c>
      <c r="F18" s="453"/>
      <c r="G18" s="465">
        <v>-162.40262168328476</v>
      </c>
      <c r="H18" s="465">
        <v>-89.285714285714278</v>
      </c>
      <c r="I18" s="465">
        <v>-250</v>
      </c>
      <c r="J18" s="463"/>
      <c r="K18" s="463"/>
      <c r="L18" s="478">
        <v>280</v>
      </c>
      <c r="M18" s="463">
        <v>7.95</v>
      </c>
      <c r="N18" s="550"/>
    </row>
    <row r="19" spans="1:14">
      <c r="A19" s="462">
        <v>199</v>
      </c>
      <c r="B19" s="505" t="s">
        <v>427</v>
      </c>
      <c r="C19" s="505">
        <v>5</v>
      </c>
      <c r="D19" s="505">
        <v>298.8</v>
      </c>
      <c r="E19" s="506">
        <v>40877</v>
      </c>
      <c r="F19" s="610">
        <v>27.18</v>
      </c>
      <c r="G19" s="508">
        <v>-65.54396713524477</v>
      </c>
      <c r="H19" s="508">
        <v>-90.903614457831324</v>
      </c>
      <c r="I19" s="508">
        <v>-1358.1</v>
      </c>
      <c r="J19" s="505"/>
      <c r="K19" s="505"/>
      <c r="L19" s="510">
        <v>1494</v>
      </c>
      <c r="M19" s="505">
        <v>7.95</v>
      </c>
      <c r="N19" s="558">
        <v>7.4380165289256164</v>
      </c>
    </row>
    <row r="20" spans="1:14">
      <c r="A20" s="462">
        <v>214</v>
      </c>
      <c r="B20" s="505" t="s">
        <v>425</v>
      </c>
      <c r="C20" s="505">
        <v>25</v>
      </c>
      <c r="D20" s="505">
        <v>160</v>
      </c>
      <c r="E20" s="506">
        <v>40879</v>
      </c>
      <c r="F20" s="610">
        <v>10.81</v>
      </c>
      <c r="G20" s="508">
        <v>-73.785918755265499</v>
      </c>
      <c r="H20" s="508">
        <v>-93.243750000000006</v>
      </c>
      <c r="I20" s="508">
        <v>-3729.75</v>
      </c>
      <c r="J20" s="505"/>
      <c r="K20" s="505"/>
      <c r="L20" s="510">
        <v>4000</v>
      </c>
      <c r="M20" s="505">
        <v>7.95</v>
      </c>
      <c r="N20" s="558">
        <v>26.923076923076959</v>
      </c>
    </row>
    <row r="21" spans="1:14">
      <c r="A21" s="462">
        <v>438</v>
      </c>
      <c r="B21" s="505" t="s">
        <v>66</v>
      </c>
      <c r="C21" s="505">
        <v>100</v>
      </c>
      <c r="D21" s="505">
        <v>14.9245</v>
      </c>
      <c r="E21" s="506">
        <v>41551</v>
      </c>
      <c r="F21" s="610">
        <v>0.16</v>
      </c>
      <c r="G21" s="508">
        <v>-250.07382959128788</v>
      </c>
      <c r="H21" s="508">
        <v>-98.927937284331136</v>
      </c>
      <c r="I21" s="508">
        <v>-1476.45</v>
      </c>
      <c r="J21" s="505"/>
      <c r="K21" s="505">
        <v>0</v>
      </c>
      <c r="L21" s="510">
        <v>1492.45</v>
      </c>
      <c r="M21" s="505">
        <v>7.95</v>
      </c>
      <c r="N21" s="558">
        <v>100</v>
      </c>
    </row>
    <row r="22" spans="1:14">
      <c r="A22" s="462"/>
      <c r="B22" s="505"/>
      <c r="C22" s="505"/>
      <c r="D22" s="505"/>
      <c r="E22" s="506"/>
      <c r="F22" s="486"/>
      <c r="G22" s="508"/>
      <c r="H22" s="508"/>
      <c r="I22" s="508"/>
      <c r="J22" s="505"/>
      <c r="K22" s="505"/>
      <c r="L22" s="510"/>
      <c r="M22" s="505"/>
      <c r="N22" s="550"/>
    </row>
    <row r="23" spans="1:14">
      <c r="A23" s="462"/>
      <c r="B23" s="505"/>
      <c r="C23" s="505"/>
      <c r="D23" s="505"/>
      <c r="E23" s="506"/>
      <c r="F23" s="610"/>
      <c r="G23" s="508"/>
      <c r="H23" s="508"/>
      <c r="I23" s="508"/>
      <c r="J23" s="505"/>
      <c r="K23" s="505"/>
      <c r="L23" s="510"/>
      <c r="M23" s="505"/>
      <c r="N23" s="558"/>
    </row>
    <row r="24" spans="1:14">
      <c r="A24" s="462"/>
      <c r="B24" s="505"/>
      <c r="C24" s="505"/>
      <c r="D24" s="505"/>
      <c r="E24" s="506"/>
      <c r="F24" s="486"/>
      <c r="G24" s="508"/>
      <c r="H24" s="508"/>
      <c r="I24" s="508"/>
      <c r="J24" s="505"/>
      <c r="K24" s="505"/>
      <c r="L24" s="510"/>
      <c r="M24" s="505"/>
      <c r="N24" s="550"/>
    </row>
    <row r="25" spans="1:14">
      <c r="A25" s="462"/>
      <c r="B25" s="505"/>
      <c r="C25" s="505"/>
      <c r="D25" s="505"/>
      <c r="E25" s="506"/>
      <c r="F25" s="595"/>
      <c r="G25" s="508"/>
      <c r="H25" s="508"/>
      <c r="I25" s="508"/>
      <c r="J25" s="505"/>
      <c r="K25" s="505"/>
      <c r="L25" s="510"/>
      <c r="M25" s="505"/>
      <c r="N25" s="558"/>
    </row>
    <row r="26" spans="1:14">
      <c r="A26" s="462"/>
      <c r="B26" s="505"/>
      <c r="C26" s="505"/>
      <c r="D26" s="505"/>
      <c r="E26" s="506"/>
      <c r="F26" s="486"/>
      <c r="G26" s="508"/>
      <c r="H26" s="508"/>
      <c r="I26" s="508"/>
      <c r="J26" s="505"/>
      <c r="K26" s="505"/>
      <c r="L26" s="510"/>
      <c r="M26" s="505"/>
      <c r="N26" s="558"/>
    </row>
    <row r="27" spans="1:14">
      <c r="A27" s="462"/>
      <c r="B27" s="505"/>
      <c r="C27" s="505"/>
      <c r="D27" s="505"/>
      <c r="E27" s="506"/>
      <c r="F27" s="486"/>
      <c r="G27" s="508"/>
      <c r="H27" s="508"/>
      <c r="I27" s="508"/>
      <c r="J27" s="505"/>
      <c r="K27" s="505"/>
      <c r="L27" s="510"/>
      <c r="M27" s="505"/>
      <c r="N27" s="558"/>
    </row>
    <row r="28" spans="1:14">
      <c r="A28" s="462"/>
      <c r="B28" s="505"/>
      <c r="C28" s="505"/>
      <c r="D28" s="505"/>
      <c r="E28" s="506"/>
      <c r="F28" s="486"/>
      <c r="G28" s="508"/>
      <c r="H28" s="508"/>
      <c r="I28" s="508"/>
      <c r="J28" s="505"/>
      <c r="K28" s="505"/>
      <c r="L28" s="510"/>
      <c r="M28" s="505"/>
      <c r="N28" s="558"/>
    </row>
    <row r="29" spans="1:14">
      <c r="A29" s="462"/>
      <c r="B29" s="505"/>
      <c r="C29" s="505"/>
      <c r="D29" s="505"/>
      <c r="E29" s="506"/>
      <c r="F29" s="562"/>
      <c r="G29" s="508"/>
      <c r="H29" s="508"/>
      <c r="I29" s="508"/>
      <c r="J29" s="505"/>
      <c r="K29" s="505"/>
      <c r="L29" s="510"/>
      <c r="M29" s="505"/>
      <c r="N29" s="550"/>
    </row>
    <row r="30" spans="1:14">
      <c r="A30" s="462"/>
      <c r="B30" s="505"/>
      <c r="C30" s="505"/>
      <c r="D30" s="505"/>
      <c r="E30" s="506"/>
      <c r="F30" s="486"/>
      <c r="G30" s="508"/>
      <c r="H30" s="508"/>
      <c r="I30" s="508"/>
      <c r="J30" s="505"/>
      <c r="K30" s="505"/>
      <c r="L30" s="510"/>
      <c r="M30" s="505"/>
      <c r="N30" s="550"/>
    </row>
    <row r="31" spans="1:14">
      <c r="A31" s="462"/>
      <c r="B31" s="505"/>
      <c r="C31" s="505"/>
      <c r="D31" s="505"/>
      <c r="E31" s="506"/>
      <c r="F31" s="486"/>
      <c r="G31" s="508"/>
      <c r="H31" s="508"/>
      <c r="I31" s="508"/>
      <c r="J31" s="505"/>
      <c r="K31" s="505"/>
      <c r="L31" s="510"/>
      <c r="M31" s="505"/>
      <c r="N31" s="558"/>
    </row>
    <row r="32" spans="1:14">
      <c r="A32" s="462"/>
      <c r="B32" s="505"/>
      <c r="C32" s="505"/>
      <c r="D32" s="505"/>
      <c r="E32" s="506"/>
      <c r="F32" s="486"/>
      <c r="G32" s="508"/>
      <c r="H32" s="508"/>
      <c r="I32" s="508"/>
      <c r="J32" s="505"/>
      <c r="K32" s="505"/>
      <c r="L32" s="510"/>
      <c r="M32" s="505"/>
      <c r="N32" s="558"/>
    </row>
    <row r="33" spans="1:15">
      <c r="A33" s="462"/>
      <c r="B33" s="505"/>
      <c r="C33" s="505"/>
      <c r="D33" s="505"/>
      <c r="E33" s="506"/>
      <c r="F33" s="486"/>
      <c r="G33" s="508"/>
      <c r="H33" s="508"/>
      <c r="I33" s="508"/>
      <c r="J33" s="505"/>
      <c r="K33" s="505"/>
      <c r="L33" s="510"/>
      <c r="M33" s="505"/>
      <c r="N33" s="558"/>
    </row>
    <row r="34" spans="1:15">
      <c r="A34" s="462"/>
      <c r="B34" s="505"/>
      <c r="C34" s="505"/>
      <c r="D34" s="505"/>
      <c r="E34" s="506"/>
      <c r="F34" s="486"/>
      <c r="G34" s="508"/>
      <c r="H34" s="508"/>
      <c r="I34" s="508"/>
      <c r="J34" s="505"/>
      <c r="K34" s="505"/>
      <c r="L34" s="510"/>
      <c r="M34" s="505"/>
      <c r="N34" s="558"/>
    </row>
    <row r="35" spans="1:15">
      <c r="A35" s="462"/>
      <c r="B35" s="505"/>
      <c r="C35" s="505"/>
      <c r="D35" s="505"/>
      <c r="E35" s="506"/>
      <c r="F35" s="486"/>
      <c r="G35" s="508"/>
      <c r="H35" s="508"/>
      <c r="I35" s="508"/>
      <c r="J35" s="505"/>
      <c r="K35" s="505"/>
      <c r="L35" s="510"/>
      <c r="M35" s="505"/>
      <c r="N35" s="558"/>
    </row>
    <row r="36" spans="1:15">
      <c r="A36" s="462"/>
      <c r="B36" s="463"/>
      <c r="C36" s="463"/>
      <c r="D36" s="463"/>
      <c r="E36" s="464"/>
      <c r="F36" s="453"/>
      <c r="G36" s="465"/>
      <c r="H36" s="465"/>
      <c r="I36" s="465"/>
      <c r="J36" s="463"/>
      <c r="K36" s="463"/>
      <c r="L36" s="478"/>
      <c r="M36" s="463"/>
      <c r="N36" s="550"/>
    </row>
    <row r="37" spans="1:15">
      <c r="A37" s="462"/>
      <c r="B37" s="505"/>
      <c r="C37" s="505"/>
      <c r="D37" s="505"/>
      <c r="E37" s="506"/>
      <c r="F37" s="553"/>
      <c r="G37" s="508"/>
      <c r="H37" s="508"/>
      <c r="I37" s="508"/>
      <c r="J37" s="505"/>
      <c r="K37" s="505"/>
      <c r="L37" s="510"/>
      <c r="M37" s="505"/>
      <c r="N37" s="558"/>
    </row>
    <row r="38" spans="1:15">
      <c r="A38" s="462"/>
      <c r="B38" s="463"/>
      <c r="C38" s="463"/>
      <c r="D38" s="463"/>
      <c r="E38" s="464"/>
      <c r="F38" s="554"/>
      <c r="G38" s="465"/>
      <c r="H38" s="465"/>
      <c r="I38" s="465"/>
      <c r="J38" s="463"/>
      <c r="K38" s="463"/>
      <c r="L38" s="478"/>
      <c r="M38" s="463"/>
      <c r="N38" s="549"/>
    </row>
    <row r="39" spans="1:15">
      <c r="A39" s="462"/>
      <c r="B39" s="463"/>
      <c r="C39" s="463"/>
      <c r="D39" s="463"/>
      <c r="E39" s="464"/>
      <c r="F39" s="554"/>
      <c r="G39" s="465"/>
      <c r="H39" s="465"/>
      <c r="I39" s="465"/>
      <c r="J39" s="463"/>
      <c r="K39" s="463"/>
      <c r="L39" s="478"/>
      <c r="M39" s="463"/>
      <c r="N39" s="549"/>
    </row>
    <row r="40" spans="1:15">
      <c r="A40" s="462"/>
      <c r="B40" s="463"/>
      <c r="C40" s="463"/>
      <c r="D40" s="463"/>
      <c r="E40" s="464"/>
      <c r="F40" s="453"/>
      <c r="G40" s="465"/>
      <c r="H40" s="465"/>
      <c r="I40" s="465"/>
      <c r="J40" s="463"/>
      <c r="K40" s="463"/>
      <c r="L40" s="478"/>
      <c r="M40" s="463"/>
      <c r="N40" s="550"/>
    </row>
    <row r="41" spans="1:15">
      <c r="A41" s="462"/>
      <c r="B41" s="505"/>
      <c r="C41" s="505"/>
      <c r="D41" s="505"/>
      <c r="E41" s="506"/>
      <c r="F41" s="507"/>
      <c r="G41" s="508"/>
      <c r="H41" s="508"/>
      <c r="I41" s="508"/>
      <c r="J41" s="505"/>
      <c r="K41" s="509"/>
      <c r="L41" s="505"/>
      <c r="M41" s="510"/>
      <c r="N41" s="550"/>
      <c r="O41" s="466"/>
    </row>
    <row r="42" spans="1:15">
      <c r="A42" s="462"/>
      <c r="B42" s="463"/>
      <c r="C42" s="463"/>
      <c r="D42" s="463"/>
      <c r="E42" s="464"/>
      <c r="F42" s="453"/>
      <c r="G42" s="465"/>
      <c r="H42" s="465"/>
      <c r="I42" s="465"/>
      <c r="J42" s="463"/>
      <c r="K42" s="454"/>
      <c r="L42" s="463"/>
      <c r="M42" s="478"/>
      <c r="N42" s="550"/>
      <c r="O42" s="466"/>
    </row>
    <row r="43" spans="1:15">
      <c r="A43" s="462"/>
      <c r="B43" s="463"/>
      <c r="C43" s="463"/>
      <c r="D43" s="463"/>
      <c r="E43" s="464"/>
      <c r="F43" s="453"/>
      <c r="G43" s="465"/>
      <c r="H43" s="465"/>
      <c r="I43" s="465"/>
      <c r="J43" s="463"/>
      <c r="K43" s="454"/>
      <c r="L43" s="463"/>
      <c r="M43" s="478"/>
      <c r="N43" s="550"/>
      <c r="O43" s="466"/>
    </row>
    <row r="44" spans="1:15" ht="13.5" thickBot="1">
      <c r="A44" s="467"/>
      <c r="B44" s="468"/>
      <c r="C44" s="468"/>
      <c r="D44" s="468"/>
      <c r="E44" s="469"/>
      <c r="F44" s="470"/>
      <c r="G44" s="471"/>
      <c r="H44" s="471"/>
      <c r="I44" s="471"/>
      <c r="J44" s="468"/>
      <c r="K44" s="472"/>
      <c r="L44" s="468"/>
      <c r="M44" s="479"/>
      <c r="N44" s="550"/>
      <c r="O44" s="473"/>
    </row>
    <row r="45" spans="1:15">
      <c r="A45" s="455"/>
      <c r="B45" s="456"/>
      <c r="C45" s="456"/>
      <c r="D45" s="456"/>
      <c r="E45" s="457"/>
      <c r="F45" s="476"/>
      <c r="G45" s="459"/>
      <c r="H45" s="459"/>
      <c r="I45" s="459"/>
      <c r="J45" s="456"/>
      <c r="K45" s="460"/>
      <c r="L45" s="456"/>
      <c r="M45" s="477"/>
      <c r="N45" s="549"/>
      <c r="O45" s="461"/>
    </row>
    <row r="46" spans="1:15">
      <c r="A46" s="462"/>
      <c r="B46" s="463"/>
      <c r="C46" s="463"/>
      <c r="D46" s="463"/>
      <c r="E46" s="464"/>
      <c r="F46" s="475"/>
      <c r="G46" s="465"/>
      <c r="H46" s="465"/>
      <c r="I46" s="465"/>
      <c r="J46" s="463"/>
      <c r="K46" s="454"/>
      <c r="L46" s="463"/>
      <c r="M46" s="478"/>
      <c r="N46" s="549"/>
      <c r="O46" s="466"/>
    </row>
    <row r="47" spans="1:15">
      <c r="A47" s="462"/>
      <c r="B47" s="463"/>
      <c r="C47" s="463"/>
      <c r="D47" s="463"/>
      <c r="E47" s="464"/>
      <c r="F47" s="453"/>
      <c r="G47" s="465"/>
      <c r="H47" s="465"/>
      <c r="I47" s="465"/>
      <c r="J47" s="463"/>
      <c r="K47" s="488"/>
      <c r="L47" s="463"/>
      <c r="M47" s="478"/>
      <c r="N47" s="549"/>
      <c r="O47" s="466"/>
    </row>
    <row r="48" spans="1:15">
      <c r="A48" s="21"/>
      <c r="B48" s="21"/>
      <c r="C48" s="21"/>
      <c r="D48" s="21"/>
      <c r="E48" s="262"/>
      <c r="F48" s="448"/>
      <c r="G48" s="270"/>
      <c r="H48" s="270"/>
      <c r="I48" s="504">
        <f>SUM(I2:I21)</f>
        <v>-23619.884999999998</v>
      </c>
      <c r="J48" s="21"/>
      <c r="K48" s="449"/>
      <c r="L48" s="21"/>
      <c r="M48" s="21"/>
      <c r="N48" s="550"/>
      <c r="O48" s="21"/>
    </row>
    <row r="49" spans="1:18">
      <c r="A49" s="21"/>
      <c r="B49" s="21"/>
      <c r="C49" s="21"/>
      <c r="D49" s="21"/>
      <c r="E49" s="262"/>
      <c r="F49" s="448"/>
      <c r="G49" s="270"/>
      <c r="H49" s="270"/>
      <c r="I49" s="447"/>
      <c r="J49" s="21"/>
      <c r="K49" s="449"/>
      <c r="L49" s="21"/>
      <c r="M49" s="21"/>
      <c r="N49" s="550"/>
      <c r="O49" s="21"/>
    </row>
    <row r="50" spans="1:18">
      <c r="A50" s="21"/>
      <c r="B50" s="21"/>
      <c r="C50" s="21"/>
      <c r="D50" s="21"/>
      <c r="E50" s="262"/>
      <c r="F50" s="448"/>
      <c r="G50" s="270"/>
      <c r="H50" s="270"/>
      <c r="I50" s="447"/>
      <c r="J50" s="21"/>
      <c r="K50" s="449"/>
      <c r="L50" s="21"/>
      <c r="M50" s="21"/>
      <c r="N50" s="550"/>
      <c r="O50" s="21"/>
    </row>
    <row r="51" spans="1:18">
      <c r="A51" s="21"/>
      <c r="B51" s="21"/>
      <c r="C51" s="21"/>
      <c r="D51" s="21"/>
      <c r="E51" s="262"/>
      <c r="F51" s="448"/>
      <c r="G51" s="270"/>
      <c r="H51" s="270"/>
      <c r="I51" s="447"/>
      <c r="J51" s="21"/>
      <c r="K51" s="449"/>
      <c r="L51" s="21"/>
      <c r="M51" s="21"/>
      <c r="N51" s="550"/>
      <c r="O51" s="21"/>
    </row>
    <row r="54" spans="1:18">
      <c r="A54" t="s">
        <v>117</v>
      </c>
      <c r="B54" t="s">
        <v>118</v>
      </c>
      <c r="C54" t="s">
        <v>95</v>
      </c>
      <c r="D54" t="s">
        <v>119</v>
      </c>
      <c r="E54" t="s">
        <v>154</v>
      </c>
      <c r="F54" t="s">
        <v>307</v>
      </c>
      <c r="G54" t="s">
        <v>120</v>
      </c>
      <c r="H54" t="s">
        <v>121</v>
      </c>
      <c r="I54" t="s">
        <v>122</v>
      </c>
      <c r="J54" t="s">
        <v>185</v>
      </c>
      <c r="K54" t="s">
        <v>376</v>
      </c>
      <c r="L54" t="s">
        <v>385</v>
      </c>
      <c r="M54" t="s">
        <v>436</v>
      </c>
      <c r="N54" s="497" t="s">
        <v>905</v>
      </c>
      <c r="O54" t="s">
        <v>144</v>
      </c>
      <c r="P54" t="s">
        <v>171</v>
      </c>
      <c r="Q54" t="s">
        <v>282</v>
      </c>
      <c r="R54" t="s">
        <v>102</v>
      </c>
    </row>
    <row r="55" spans="1:18">
      <c r="A55" s="263" t="s">
        <v>1041</v>
      </c>
      <c r="B55">
        <v>100</v>
      </c>
      <c r="C55" s="277">
        <v>3</v>
      </c>
      <c r="D55" s="57">
        <v>42195</v>
      </c>
      <c r="E55" s="603">
        <v>2.1349999999999998</v>
      </c>
      <c r="F55" s="452">
        <v>2.7498999999999998</v>
      </c>
      <c r="G55" s="267">
        <v>-689.73977403025287</v>
      </c>
      <c r="H55" s="481">
        <v>-28.833333333333343</v>
      </c>
      <c r="I55" s="267">
        <v>-86.5</v>
      </c>
      <c r="J55" s="480">
        <v>0.95667297880143443</v>
      </c>
      <c r="K55" s="271">
        <v>65.478999999999999</v>
      </c>
      <c r="L55" s="76">
        <v>0.7186291925818683</v>
      </c>
      <c r="M55" s="76">
        <v>-0.01</v>
      </c>
      <c r="N55" s="564">
        <f>Table_USStocks.accdb_113[[#This Row],[Price]]/Table_USStocks.accdb_113[[#This Row],[CalculatedPrice]]</f>
        <v>0.77639186879522892</v>
      </c>
      <c r="O55" t="s">
        <v>15</v>
      </c>
      <c r="P55">
        <v>-145</v>
      </c>
      <c r="Q55" s="263">
        <v>300</v>
      </c>
      <c r="R55">
        <v>7.95</v>
      </c>
    </row>
    <row r="56" spans="1:18">
      <c r="A56" s="599"/>
      <c r="C56" s="277"/>
      <c r="D56" s="57"/>
      <c r="E56" s="605"/>
      <c r="F56" s="600"/>
      <c r="G56" s="267"/>
      <c r="H56" s="601"/>
      <c r="I56" s="267"/>
      <c r="J56" s="602"/>
      <c r="K56" s="271"/>
      <c r="L56" s="76"/>
      <c r="M56" s="76"/>
      <c r="N56" s="564"/>
      <c r="Q56" s="599"/>
    </row>
    <row r="57" spans="1:18">
      <c r="A57" s="599"/>
      <c r="C57" s="277"/>
      <c r="D57" s="57"/>
      <c r="E57" s="605"/>
      <c r="F57" s="600"/>
      <c r="G57" s="267"/>
      <c r="H57" s="601"/>
      <c r="I57" s="267"/>
      <c r="J57" s="602"/>
      <c r="K57" s="271"/>
      <c r="L57" s="76"/>
      <c r="M57" s="76"/>
      <c r="N57" s="564"/>
      <c r="Q57" s="599"/>
    </row>
    <row r="58" spans="1:18">
      <c r="A58" s="263"/>
      <c r="C58" s="484"/>
      <c r="D58" s="57"/>
      <c r="E58" s="486"/>
      <c r="F58" s="487"/>
      <c r="G58" s="267"/>
      <c r="H58" s="481"/>
      <c r="I58" s="267"/>
      <c r="J58" s="480"/>
      <c r="K58" s="271"/>
      <c r="L58" s="485"/>
      <c r="M58" s="485"/>
      <c r="N58" s="565"/>
      <c r="Q58" s="263"/>
    </row>
    <row r="59" spans="1:18">
      <c r="A59" s="263"/>
      <c r="C59" s="484"/>
      <c r="D59" s="57"/>
      <c r="E59" s="486"/>
      <c r="F59" s="487"/>
      <c r="G59" s="267"/>
      <c r="H59" s="481"/>
      <c r="I59" s="267"/>
      <c r="J59" s="480"/>
      <c r="K59" s="271"/>
      <c r="L59" s="485"/>
      <c r="M59" s="485"/>
      <c r="N59" s="565"/>
      <c r="Q59" s="263"/>
    </row>
    <row r="60" spans="1:18">
      <c r="A60" s="263"/>
      <c r="C60" s="484"/>
      <c r="D60" s="57"/>
      <c r="E60" s="486"/>
      <c r="F60" s="487"/>
      <c r="G60" s="267"/>
      <c r="H60" s="481"/>
      <c r="I60" s="267"/>
      <c r="J60" s="480"/>
      <c r="K60" s="271"/>
      <c r="L60" s="485"/>
      <c r="M60" s="485"/>
      <c r="N60" s="565"/>
      <c r="Q60" s="263"/>
    </row>
    <row r="61" spans="1:18">
      <c r="A61" s="263"/>
      <c r="C61" s="484"/>
      <c r="D61" s="57"/>
      <c r="E61" s="486"/>
      <c r="F61" s="487"/>
      <c r="G61" s="267"/>
      <c r="H61" s="481"/>
      <c r="I61" s="267"/>
      <c r="J61" s="480"/>
      <c r="K61" s="271"/>
      <c r="L61" s="485"/>
      <c r="M61" s="485"/>
      <c r="N61" s="565"/>
      <c r="Q61" s="263"/>
    </row>
    <row r="62" spans="1:18">
      <c r="A62" s="263"/>
      <c r="C62" s="484"/>
      <c r="D62" s="57"/>
      <c r="E62" s="486"/>
      <c r="F62" s="487"/>
      <c r="G62" s="267"/>
      <c r="H62" s="481"/>
      <c r="I62" s="267"/>
      <c r="J62" s="480"/>
      <c r="K62" s="271"/>
      <c r="L62" s="485"/>
      <c r="M62" s="485"/>
      <c r="N62" s="565"/>
      <c r="Q62" s="263"/>
    </row>
    <row r="63" spans="1:18">
      <c r="A63" s="263"/>
      <c r="C63" s="484"/>
      <c r="D63" s="57"/>
      <c r="E63" s="486"/>
      <c r="F63" s="487"/>
      <c r="G63" s="267"/>
      <c r="H63" s="481"/>
      <c r="I63" s="267"/>
      <c r="J63" s="480"/>
      <c r="K63" s="271"/>
      <c r="L63" s="485"/>
      <c r="M63" s="485"/>
      <c r="N63" s="565"/>
      <c r="Q63" s="263"/>
    </row>
    <row r="67" spans="1:14">
      <c r="A67" t="s">
        <v>117</v>
      </c>
      <c r="B67" t="s">
        <v>118</v>
      </c>
      <c r="C67" t="s">
        <v>95</v>
      </c>
      <c r="D67" t="s">
        <v>119</v>
      </c>
      <c r="E67" t="s">
        <v>71</v>
      </c>
      <c r="F67" t="s">
        <v>115</v>
      </c>
      <c r="G67" t="s">
        <v>120</v>
      </c>
      <c r="H67" t="s">
        <v>121</v>
      </c>
      <c r="I67" t="s">
        <v>122</v>
      </c>
      <c r="J67" t="s">
        <v>415</v>
      </c>
    </row>
    <row r="68" spans="1:14">
      <c r="A68" t="s">
        <v>443</v>
      </c>
      <c r="B68">
        <v>2957.6649309650002</v>
      </c>
      <c r="C68">
        <v>10.029999999999999</v>
      </c>
      <c r="D68" s="57">
        <v>40499</v>
      </c>
      <c r="E68">
        <v>10.74</v>
      </c>
      <c r="F68" s="57">
        <v>42212</v>
      </c>
      <c r="G68" s="267">
        <v>1.4573256155288512</v>
      </c>
      <c r="H68" s="267">
        <v>7.0787637088733888</v>
      </c>
      <c r="I68" s="267">
        <v>2099.9421000000002</v>
      </c>
      <c r="J68">
        <v>11</v>
      </c>
    </row>
    <row r="69" spans="1:14">
      <c r="A69" t="s">
        <v>929</v>
      </c>
      <c r="B69">
        <v>384.89100000000002</v>
      </c>
      <c r="C69">
        <v>25.9834</v>
      </c>
      <c r="D69" s="57">
        <v>41600</v>
      </c>
      <c r="E69">
        <v>27.26</v>
      </c>
      <c r="F69" s="57">
        <v>42212</v>
      </c>
      <c r="G69" s="267">
        <v>2.8605117804552092</v>
      </c>
      <c r="H69" s="267">
        <v>4.9131368489112353</v>
      </c>
      <c r="I69" s="267">
        <v>491.3519</v>
      </c>
    </row>
    <row r="70" spans="1:14">
      <c r="A70" s="272" t="s">
        <v>1012</v>
      </c>
      <c r="B70">
        <v>424.7695003</v>
      </c>
      <c r="C70">
        <v>14.06</v>
      </c>
      <c r="D70" s="57">
        <v>42009</v>
      </c>
      <c r="E70">
        <v>14.73</v>
      </c>
      <c r="F70" s="57">
        <v>42212</v>
      </c>
      <c r="G70" s="267">
        <v>8.3702490608804538</v>
      </c>
      <c r="H70" s="267">
        <v>4.7652916073968701</v>
      </c>
      <c r="I70" s="267">
        <v>284.59559999999999</v>
      </c>
      <c r="M70" s="579"/>
      <c r="N70" s="496"/>
    </row>
    <row r="71" spans="1:14">
      <c r="A71" t="s">
        <v>992</v>
      </c>
      <c r="B71">
        <v>1687.81513</v>
      </c>
      <c r="C71">
        <v>10.7882</v>
      </c>
      <c r="D71" s="57">
        <v>41649</v>
      </c>
      <c r="E71">
        <v>10.89</v>
      </c>
      <c r="F71" s="57">
        <v>42212</v>
      </c>
      <c r="G71" s="267">
        <v>0.60889473240118597</v>
      </c>
      <c r="H71" s="267">
        <v>0.9436235887358484</v>
      </c>
      <c r="I71" s="267">
        <v>171.81960000000001</v>
      </c>
    </row>
    <row r="72" spans="1:14">
      <c r="A72" t="s">
        <v>685</v>
      </c>
      <c r="B72">
        <v>1438.1143999999999</v>
      </c>
      <c r="C72">
        <v>11.93</v>
      </c>
      <c r="D72" s="57">
        <v>41017</v>
      </c>
      <c r="E72">
        <v>10.57</v>
      </c>
      <c r="F72" s="57">
        <v>42212</v>
      </c>
      <c r="G72" s="267">
        <v>-3.693837727684167</v>
      </c>
      <c r="H72" s="267">
        <v>-11.399832355406534</v>
      </c>
      <c r="I72" s="267">
        <v>-1955.8356000000001</v>
      </c>
    </row>
  </sheetData>
  <conditionalFormatting sqref="L54:L55">
    <cfRule type="cellIs" dxfId="104" priority="9" operator="lessThan">
      <formula>0.5</formula>
    </cfRule>
  </conditionalFormatting>
  <conditionalFormatting sqref="O54:O55">
    <cfRule type="cellIs" dxfId="103" priority="6" operator="equal">
      <formula>"BP"</formula>
    </cfRule>
    <cfRule type="cellIs" dxfId="102" priority="7" operator="equal">
      <formula>"BC"</formula>
    </cfRule>
  </conditionalFormatting>
  <conditionalFormatting sqref="N1 N36:N1048576">
    <cfRule type="cellIs" dxfId="101" priority="5" operator="greaterThan">
      <formula>85</formula>
    </cfRule>
    <cfRule type="cellIs" dxfId="100" priority="8" operator="lessThan">
      <formula>20</formula>
    </cfRule>
  </conditionalFormatting>
  <conditionalFormatting sqref="M54:M55">
    <cfRule type="colorScale" priority="4">
      <colorScale>
        <cfvo type="min"/>
        <cfvo type="max"/>
        <color rgb="FFFFC000"/>
        <color theme="0"/>
      </colorScale>
    </cfRule>
  </conditionalFormatting>
  <conditionalFormatting sqref="M54:M55">
    <cfRule type="cellIs" dxfId="99" priority="3" operator="lessThan">
      <formula>0</formula>
    </cfRule>
  </conditionalFormatting>
  <conditionalFormatting sqref="N2:N21">
    <cfRule type="cellIs" dxfId="98" priority="1" operator="greaterThan">
      <formula>85</formula>
    </cfRule>
    <cfRule type="cellIs" dxfId="97" priority="2" operator="lessThan">
      <formula>20</formula>
    </cfRule>
  </conditionalFormatting>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25" workbookViewId="0">
      <selection activeCell="M50" sqref="M50"/>
    </sheetView>
  </sheetViews>
  <sheetFormatPr defaultRowHeight="12.75"/>
  <cols>
    <col min="1" max="1" width="41.140625" bestFit="1" customWidth="1"/>
    <col min="2" max="2" width="9.5703125" bestFit="1" customWidth="1"/>
    <col min="3" max="3" width="11.42578125" bestFit="1" customWidth="1"/>
    <col min="4" max="4" width="10.85546875" bestFit="1" customWidth="1"/>
    <col min="5" max="5" width="11.5703125" bestFit="1" customWidth="1"/>
    <col min="6" max="6" width="11" bestFit="1" customWidth="1"/>
    <col min="7" max="7" width="10" bestFit="1" customWidth="1"/>
    <col min="9" max="9" width="11.42578125" style="263" bestFit="1" customWidth="1"/>
  </cols>
  <sheetData>
    <row r="1" spans="1:7">
      <c r="A1" t="s">
        <v>209</v>
      </c>
      <c r="B1" t="s">
        <v>313</v>
      </c>
      <c r="C1" t="s">
        <v>95</v>
      </c>
      <c r="D1" t="s">
        <v>119</v>
      </c>
      <c r="E1" t="s">
        <v>280</v>
      </c>
      <c r="F1" t="s">
        <v>281</v>
      </c>
      <c r="G1" s="272" t="s">
        <v>122</v>
      </c>
    </row>
    <row r="2" spans="1:7">
      <c r="A2" t="s">
        <v>941</v>
      </c>
      <c r="B2">
        <v>50</v>
      </c>
      <c r="C2">
        <v>101.7</v>
      </c>
      <c r="D2" s="57">
        <v>38138</v>
      </c>
      <c r="E2">
        <v>131.15</v>
      </c>
      <c r="F2" s="57">
        <v>38537</v>
      </c>
      <c r="G2" s="569">
        <f>Table_USStocks.accdb7[[#This Row],[Shares]]*(Table_USStocks.accdb7[[#This Row],[SellPrice]]-Table_USStocks.accdb7[[#This Row],[BuyPrice]])</f>
        <v>1472.5000000000002</v>
      </c>
    </row>
    <row r="3" spans="1:7">
      <c r="A3" t="s">
        <v>306</v>
      </c>
      <c r="B3">
        <v>100</v>
      </c>
      <c r="C3">
        <v>285.5</v>
      </c>
      <c r="D3" s="57">
        <v>38258</v>
      </c>
      <c r="E3">
        <v>360</v>
      </c>
      <c r="F3" s="57">
        <v>38565</v>
      </c>
      <c r="G3" s="569">
        <f>Table_USStocks.accdb7[[#This Row],[Shares]]*(Table_USStocks.accdb7[[#This Row],[SellPrice]]-Table_USStocks.accdb7[[#This Row],[BuyPrice]])</f>
        <v>7450</v>
      </c>
    </row>
    <row r="4" spans="1:7">
      <c r="A4" t="s">
        <v>304</v>
      </c>
      <c r="B4">
        <v>50</v>
      </c>
      <c r="C4">
        <v>1137.25</v>
      </c>
      <c r="D4" s="57">
        <v>38278</v>
      </c>
      <c r="E4">
        <v>1269.05</v>
      </c>
      <c r="F4" s="57">
        <v>38580</v>
      </c>
      <c r="G4" s="569">
        <f>Table_USStocks.accdb7[[#This Row],[Shares]]*(Table_USStocks.accdb7[[#This Row],[SellPrice]]-Table_USStocks.accdb7[[#This Row],[BuyPrice]])</f>
        <v>6589.9999999999982</v>
      </c>
    </row>
    <row r="5" spans="1:7">
      <c r="A5" t="s">
        <v>944</v>
      </c>
      <c r="B5">
        <v>20</v>
      </c>
      <c r="C5">
        <v>268.75</v>
      </c>
      <c r="D5" s="57">
        <v>38449</v>
      </c>
      <c r="E5">
        <v>427</v>
      </c>
      <c r="F5" s="57">
        <v>39378</v>
      </c>
      <c r="G5" s="569">
        <f>Table_USStocks.accdb7[[#This Row],[Shares]]*(Table_USStocks.accdb7[[#This Row],[SellPrice]]-Table_USStocks.accdb7[[#This Row],[BuyPrice]])</f>
        <v>3165</v>
      </c>
    </row>
    <row r="6" spans="1:7">
      <c r="A6" t="s">
        <v>943</v>
      </c>
      <c r="B6">
        <v>100</v>
      </c>
      <c r="C6">
        <v>233.95</v>
      </c>
      <c r="D6" s="57">
        <v>38637</v>
      </c>
      <c r="E6">
        <v>318.25</v>
      </c>
      <c r="F6" s="57">
        <v>39381</v>
      </c>
      <c r="G6" s="569">
        <f>Table_USStocks.accdb7[[#This Row],[Shares]]*(Table_USStocks.accdb7[[#This Row],[SellPrice]]-Table_USStocks.accdb7[[#This Row],[BuyPrice]])</f>
        <v>8430.0000000000018</v>
      </c>
    </row>
    <row r="7" spans="1:7">
      <c r="A7" t="s">
        <v>945</v>
      </c>
      <c r="B7">
        <v>1</v>
      </c>
      <c r="C7">
        <v>1</v>
      </c>
      <c r="D7" s="57">
        <v>38752</v>
      </c>
      <c r="E7">
        <v>1856.1</v>
      </c>
      <c r="F7" s="57">
        <v>39395</v>
      </c>
      <c r="G7" s="569">
        <f>Table_USStocks.accdb7[[#This Row],[Shares]]*(Table_USStocks.accdb7[[#This Row],[SellPrice]]-Table_USStocks.accdb7[[#This Row],[BuyPrice]])</f>
        <v>1855.1</v>
      </c>
    </row>
    <row r="8" spans="1:7">
      <c r="A8" t="s">
        <v>946</v>
      </c>
      <c r="B8">
        <v>1</v>
      </c>
      <c r="C8">
        <v>1</v>
      </c>
      <c r="D8" s="57">
        <v>38752</v>
      </c>
      <c r="E8">
        <v>2057.4</v>
      </c>
      <c r="F8" s="57">
        <v>39395</v>
      </c>
      <c r="G8" s="569">
        <f>Table_USStocks.accdb7[[#This Row],[Shares]]*(Table_USStocks.accdb7[[#This Row],[SellPrice]]-Table_USStocks.accdb7[[#This Row],[BuyPrice]])</f>
        <v>2056.4</v>
      </c>
    </row>
    <row r="9" spans="1:7">
      <c r="A9" t="s">
        <v>938</v>
      </c>
      <c r="B9">
        <v>20</v>
      </c>
      <c r="C9">
        <v>1</v>
      </c>
      <c r="D9" s="57">
        <v>38752</v>
      </c>
      <c r="E9">
        <v>110</v>
      </c>
      <c r="F9" s="57">
        <v>39589</v>
      </c>
      <c r="G9" s="569">
        <f>Table_USStocks.accdb7[[#This Row],[Shares]]*(Table_USStocks.accdb7[[#This Row],[SellPrice]]-Table_USStocks.accdb7[[#This Row],[BuyPrice]])</f>
        <v>2180</v>
      </c>
    </row>
    <row r="10" spans="1:7">
      <c r="A10" t="s">
        <v>939</v>
      </c>
      <c r="B10">
        <v>20</v>
      </c>
      <c r="C10">
        <v>1</v>
      </c>
      <c r="D10" s="57">
        <v>38750</v>
      </c>
      <c r="E10">
        <v>590</v>
      </c>
      <c r="F10" s="57">
        <v>39589</v>
      </c>
      <c r="G10" s="569">
        <f>Table_USStocks.accdb7[[#This Row],[Shares]]*(Table_USStocks.accdb7[[#This Row],[SellPrice]]-Table_USStocks.accdb7[[#This Row],[BuyPrice]])</f>
        <v>11780</v>
      </c>
    </row>
    <row r="11" spans="1:7">
      <c r="A11" t="s">
        <v>935</v>
      </c>
      <c r="B11">
        <v>70</v>
      </c>
      <c r="C11">
        <v>26.428599999999999</v>
      </c>
      <c r="D11" s="57">
        <v>39735</v>
      </c>
      <c r="E11">
        <v>53</v>
      </c>
      <c r="F11" s="57">
        <v>39967</v>
      </c>
      <c r="G11" s="569">
        <f>Table_USStocks.accdb7[[#This Row],[Shares]]*(Table_USStocks.accdb7[[#This Row],[SellPrice]]-Table_USStocks.accdb7[[#This Row],[BuyPrice]])</f>
        <v>1859.998</v>
      </c>
    </row>
    <row r="12" spans="1:7">
      <c r="A12" t="s">
        <v>936</v>
      </c>
      <c r="B12">
        <v>100</v>
      </c>
      <c r="C12">
        <v>100</v>
      </c>
      <c r="D12" s="57">
        <v>39735</v>
      </c>
      <c r="E12">
        <v>116.5</v>
      </c>
      <c r="F12" s="57">
        <v>39967</v>
      </c>
      <c r="G12" s="569">
        <f>Table_USStocks.accdb7[[#This Row],[Shares]]*(Table_USStocks.accdb7[[#This Row],[SellPrice]]-Table_USStocks.accdb7[[#This Row],[BuyPrice]])</f>
        <v>1650</v>
      </c>
    </row>
    <row r="13" spans="1:7">
      <c r="A13" t="s">
        <v>937</v>
      </c>
      <c r="B13">
        <v>20</v>
      </c>
      <c r="C13">
        <v>100</v>
      </c>
      <c r="D13" s="57">
        <v>39591</v>
      </c>
      <c r="E13">
        <v>125</v>
      </c>
      <c r="F13" s="57">
        <v>39967</v>
      </c>
      <c r="G13" s="569">
        <f>Table_USStocks.accdb7[[#This Row],[Shares]]*(Table_USStocks.accdb7[[#This Row],[SellPrice]]-Table_USStocks.accdb7[[#This Row],[BuyPrice]])</f>
        <v>500</v>
      </c>
    </row>
    <row r="14" spans="1:7">
      <c r="A14" t="s">
        <v>934</v>
      </c>
      <c r="B14">
        <v>20</v>
      </c>
      <c r="C14">
        <v>685</v>
      </c>
      <c r="D14" s="57">
        <v>39594</v>
      </c>
      <c r="E14">
        <v>1400</v>
      </c>
      <c r="F14" s="57">
        <v>40430</v>
      </c>
      <c r="G14" s="569">
        <f>Table_USStocks.accdb7[[#This Row],[Shares]]*(Table_USStocks.accdb7[[#This Row],[SellPrice]]-Table_USStocks.accdb7[[#This Row],[BuyPrice]])</f>
        <v>14300</v>
      </c>
    </row>
    <row r="15" spans="1:7">
      <c r="A15" t="s">
        <v>930</v>
      </c>
      <c r="B15">
        <v>50</v>
      </c>
      <c r="C15">
        <v>569</v>
      </c>
      <c r="D15" s="57">
        <v>39471</v>
      </c>
      <c r="E15">
        <v>92.4</v>
      </c>
      <c r="F15" s="57">
        <v>40745</v>
      </c>
      <c r="G15" s="569">
        <f>Table_USStocks.accdb7[[#This Row],[Shares]]*(Table_USStocks.accdb7[[#This Row],[SellPrice]]-Table_USStocks.accdb7[[#This Row],[BuyPrice]])</f>
        <v>-23830</v>
      </c>
    </row>
    <row r="16" spans="1:7">
      <c r="A16" t="s">
        <v>931</v>
      </c>
      <c r="B16">
        <v>50</v>
      </c>
      <c r="C16">
        <v>458</v>
      </c>
      <c r="D16" s="57">
        <v>39472</v>
      </c>
      <c r="E16">
        <v>75</v>
      </c>
      <c r="F16" s="57">
        <v>40745</v>
      </c>
      <c r="G16" s="569">
        <f>Table_USStocks.accdb7[[#This Row],[Shares]]*(Table_USStocks.accdb7[[#This Row],[SellPrice]]-Table_USStocks.accdb7[[#This Row],[BuyPrice]])</f>
        <v>-19150</v>
      </c>
    </row>
    <row r="17" spans="1:7">
      <c r="A17" t="s">
        <v>932</v>
      </c>
      <c r="B17">
        <v>50</v>
      </c>
      <c r="C17">
        <v>1298</v>
      </c>
      <c r="D17" s="57">
        <v>39471</v>
      </c>
      <c r="E17">
        <v>190</v>
      </c>
      <c r="F17" s="57">
        <v>40745</v>
      </c>
      <c r="G17" s="569">
        <f>Table_USStocks.accdb7[[#This Row],[Shares]]*(Table_USStocks.accdb7[[#This Row],[SellPrice]]-Table_USStocks.accdb7[[#This Row],[BuyPrice]])</f>
        <v>-55400</v>
      </c>
    </row>
    <row r="18" spans="1:7">
      <c r="A18" t="s">
        <v>933</v>
      </c>
      <c r="B18">
        <v>50</v>
      </c>
      <c r="C18">
        <v>388</v>
      </c>
      <c r="D18" s="57">
        <v>39471</v>
      </c>
      <c r="E18">
        <v>53.45</v>
      </c>
      <c r="F18" s="57">
        <v>40745</v>
      </c>
      <c r="G18" s="569">
        <f>Table_USStocks.accdb7[[#This Row],[Shares]]*(Table_USStocks.accdb7[[#This Row],[SellPrice]]-Table_USStocks.accdb7[[#This Row],[BuyPrice]])</f>
        <v>-16727.5</v>
      </c>
    </row>
    <row r="19" spans="1:7">
      <c r="A19" t="s">
        <v>947</v>
      </c>
      <c r="B19">
        <v>1504</v>
      </c>
      <c r="C19">
        <v>29.9176</v>
      </c>
      <c r="D19" s="57">
        <v>40157</v>
      </c>
      <c r="E19">
        <v>31.114799999999999</v>
      </c>
      <c r="F19" s="57">
        <v>40745</v>
      </c>
      <c r="G19" s="569">
        <f>Table_USStocks.accdb7[[#This Row],[Shares]]*(Table_USStocks.accdb7[[#This Row],[SellPrice]]-Table_USStocks.accdb7[[#This Row],[BuyPrice]])</f>
        <v>1800.5887999999982</v>
      </c>
    </row>
    <row r="20" spans="1:7">
      <c r="A20" t="s">
        <v>948</v>
      </c>
      <c r="B20">
        <v>2934</v>
      </c>
      <c r="C20">
        <v>10.23</v>
      </c>
      <c r="D20" s="57">
        <v>39503</v>
      </c>
      <c r="E20">
        <v>10.69</v>
      </c>
      <c r="F20" s="57">
        <v>40750</v>
      </c>
      <c r="G20" s="569">
        <f>Table_USStocks.accdb7[[#This Row],[Shares]]*(Table_USStocks.accdb7[[#This Row],[SellPrice]]-Table_USStocks.accdb7[[#This Row],[BuyPrice]])</f>
        <v>1349.6399999999974</v>
      </c>
    </row>
    <row r="21" spans="1:7">
      <c r="A21" t="s">
        <v>971</v>
      </c>
      <c r="B21">
        <v>5742</v>
      </c>
      <c r="C21">
        <v>13.5655</v>
      </c>
      <c r="D21" s="57">
        <v>39607</v>
      </c>
      <c r="E21">
        <v>15.86</v>
      </c>
      <c r="F21" s="57">
        <v>40751</v>
      </c>
      <c r="G21" s="569">
        <f>Table_USStocks.accdb7[[#This Row],[Shares]]*(Table_USStocks.accdb7[[#This Row],[SellPrice]]-Table_USStocks.accdb7[[#This Row],[BuyPrice]])</f>
        <v>13175.018999999997</v>
      </c>
    </row>
    <row r="22" spans="1:7">
      <c r="A22" t="s">
        <v>939</v>
      </c>
      <c r="B22">
        <v>50</v>
      </c>
      <c r="C22">
        <v>295</v>
      </c>
      <c r="D22" s="57">
        <v>39735</v>
      </c>
      <c r="E22">
        <v>85</v>
      </c>
      <c r="F22" s="57">
        <v>40855</v>
      </c>
      <c r="G22" s="569">
        <f>Table_USStocks.accdb7[[#This Row],[Shares]]*(Table_USStocks.accdb7[[#This Row],[SellPrice]]-Table_USStocks.accdb7[[#This Row],[BuyPrice]])</f>
        <v>-10500</v>
      </c>
    </row>
    <row r="23" spans="1:7">
      <c r="A23" t="s">
        <v>949</v>
      </c>
      <c r="B23">
        <v>10</v>
      </c>
      <c r="C23">
        <v>153</v>
      </c>
      <c r="D23" s="57">
        <v>39633</v>
      </c>
      <c r="E23">
        <v>41</v>
      </c>
      <c r="F23" s="57">
        <v>40946</v>
      </c>
      <c r="G23" s="569">
        <f>Table_USStocks.accdb7[[#This Row],[Shares]]*(Table_USStocks.accdb7[[#This Row],[SellPrice]]-Table_USStocks.accdb7[[#This Row],[BuyPrice]])</f>
        <v>-1120</v>
      </c>
    </row>
    <row r="24" spans="1:7">
      <c r="A24" t="s">
        <v>950</v>
      </c>
      <c r="B24">
        <v>450</v>
      </c>
      <c r="C24">
        <v>45</v>
      </c>
      <c r="D24" s="57">
        <v>40133</v>
      </c>
      <c r="E24">
        <v>13</v>
      </c>
      <c r="F24" s="57">
        <v>40946</v>
      </c>
      <c r="G24" s="569">
        <f>Table_USStocks.accdb7[[#This Row],[Shares]]*(Table_USStocks.accdb7[[#This Row],[SellPrice]]-Table_USStocks.accdb7[[#This Row],[BuyPrice]])</f>
        <v>-14400</v>
      </c>
    </row>
    <row r="25" spans="1:7">
      <c r="A25" t="s">
        <v>951</v>
      </c>
      <c r="B25">
        <v>10</v>
      </c>
      <c r="C25">
        <v>130</v>
      </c>
      <c r="D25" s="57">
        <v>39633</v>
      </c>
      <c r="E25">
        <v>20</v>
      </c>
      <c r="F25" s="57">
        <v>40946</v>
      </c>
      <c r="G25" s="569">
        <f>Table_USStocks.accdb7[[#This Row],[Shares]]*(Table_USStocks.accdb7[[#This Row],[SellPrice]]-Table_USStocks.accdb7[[#This Row],[BuyPrice]])</f>
        <v>-1100</v>
      </c>
    </row>
    <row r="26" spans="1:7">
      <c r="A26" t="s">
        <v>952</v>
      </c>
      <c r="B26">
        <v>24</v>
      </c>
      <c r="C26">
        <v>270.625</v>
      </c>
      <c r="D26" s="57">
        <v>39489</v>
      </c>
      <c r="E26">
        <v>125</v>
      </c>
      <c r="F26" s="57">
        <v>40955</v>
      </c>
      <c r="G26" s="569">
        <f>Table_USStocks.accdb7[[#This Row],[Shares]]*(Table_USStocks.accdb7[[#This Row],[SellPrice]]-Table_USStocks.accdb7[[#This Row],[BuyPrice]])</f>
        <v>-3495</v>
      </c>
    </row>
    <row r="27" spans="1:7">
      <c r="A27" t="s">
        <v>953</v>
      </c>
      <c r="B27">
        <v>10</v>
      </c>
      <c r="C27">
        <v>270</v>
      </c>
      <c r="D27" s="57">
        <v>39524</v>
      </c>
      <c r="E27">
        <v>93</v>
      </c>
      <c r="F27" s="57">
        <v>40955</v>
      </c>
      <c r="G27" s="569">
        <f>Table_USStocks.accdb7[[#This Row],[Shares]]*(Table_USStocks.accdb7[[#This Row],[SellPrice]]-Table_USStocks.accdb7[[#This Row],[BuyPrice]])</f>
        <v>-1770</v>
      </c>
    </row>
    <row r="28" spans="1:7">
      <c r="A28" t="s">
        <v>954</v>
      </c>
      <c r="B28">
        <v>25</v>
      </c>
      <c r="C28">
        <v>940</v>
      </c>
      <c r="D28" s="57">
        <v>40770</v>
      </c>
      <c r="E28">
        <v>982</v>
      </c>
      <c r="F28" s="57">
        <v>40956</v>
      </c>
      <c r="G28" s="569">
        <f>Table_USStocks.accdb7[[#This Row],[Shares]]*(Table_USStocks.accdb7[[#This Row],[SellPrice]]-Table_USStocks.accdb7[[#This Row],[BuyPrice]])</f>
        <v>1050</v>
      </c>
    </row>
    <row r="29" spans="1:7">
      <c r="A29" t="s">
        <v>955</v>
      </c>
      <c r="B29">
        <v>50</v>
      </c>
      <c r="C29">
        <v>1181.8800000000001</v>
      </c>
      <c r="D29" s="57">
        <v>38538</v>
      </c>
      <c r="E29">
        <v>2400</v>
      </c>
      <c r="F29" s="57">
        <v>41043</v>
      </c>
      <c r="G29" s="569">
        <f>Table_USStocks.accdb7[[#This Row],[Shares]]*(Table_USStocks.accdb7[[#This Row],[SellPrice]]-Table_USStocks.accdb7[[#This Row],[BuyPrice]])</f>
        <v>60905.999999999993</v>
      </c>
    </row>
    <row r="30" spans="1:7">
      <c r="A30" t="s">
        <v>956</v>
      </c>
      <c r="B30">
        <v>1447</v>
      </c>
      <c r="C30">
        <v>20.04</v>
      </c>
      <c r="D30" s="57">
        <v>40116</v>
      </c>
      <c r="E30">
        <v>22.55</v>
      </c>
      <c r="F30" s="57">
        <v>41218</v>
      </c>
      <c r="G30" s="569">
        <f>Table_USStocks.accdb7[[#This Row],[Shares]]*(Table_USStocks.accdb7[[#This Row],[SellPrice]]-Table_USStocks.accdb7[[#This Row],[BuyPrice]])</f>
        <v>3631.9700000000021</v>
      </c>
    </row>
    <row r="31" spans="1:7">
      <c r="A31" t="s">
        <v>957</v>
      </c>
      <c r="B31">
        <v>50</v>
      </c>
      <c r="C31">
        <v>126</v>
      </c>
      <c r="D31" s="57">
        <v>39735</v>
      </c>
      <c r="E31">
        <v>70</v>
      </c>
      <c r="F31" s="57">
        <v>41253</v>
      </c>
      <c r="G31" s="569">
        <f>Table_USStocks.accdb7[[#This Row],[Shares]]*(Table_USStocks.accdb7[[#This Row],[SellPrice]]-Table_USStocks.accdb7[[#This Row],[BuyPrice]])</f>
        <v>-2800</v>
      </c>
    </row>
    <row r="32" spans="1:7">
      <c r="A32" t="s">
        <v>958</v>
      </c>
      <c r="B32">
        <v>4315</v>
      </c>
      <c r="C32">
        <v>11.59</v>
      </c>
      <c r="D32" s="57">
        <v>40758</v>
      </c>
      <c r="E32">
        <v>12.2402</v>
      </c>
      <c r="F32" s="57">
        <v>41387</v>
      </c>
      <c r="G32" s="569">
        <f>Table_USStocks.accdb7[[#This Row],[Shares]]*(Table_USStocks.accdb7[[#This Row],[SellPrice]]-Table_USStocks.accdb7[[#This Row],[BuyPrice]])</f>
        <v>2805.6129999999994</v>
      </c>
    </row>
    <row r="33" spans="1:9">
      <c r="A33" t="s">
        <v>959</v>
      </c>
      <c r="B33">
        <v>633</v>
      </c>
      <c r="C33">
        <v>7.9</v>
      </c>
      <c r="D33" s="57">
        <v>39807</v>
      </c>
      <c r="E33">
        <v>12.4254</v>
      </c>
      <c r="F33" s="57">
        <v>41446</v>
      </c>
      <c r="G33" s="569">
        <f>Table_USStocks.accdb7[[#This Row],[Shares]]*(Table_USStocks.accdb7[[#This Row],[SellPrice]]-Table_USStocks.accdb7[[#This Row],[BuyPrice]])</f>
        <v>2864.5781999999995</v>
      </c>
    </row>
    <row r="34" spans="1:9">
      <c r="A34" t="s">
        <v>960</v>
      </c>
      <c r="B34">
        <v>1288</v>
      </c>
      <c r="C34">
        <v>7.76</v>
      </c>
      <c r="D34" s="57">
        <v>39807</v>
      </c>
      <c r="E34">
        <v>15.773999999999999</v>
      </c>
      <c r="F34" s="57">
        <v>41446</v>
      </c>
      <c r="G34" s="569">
        <f>Table_USStocks.accdb7[[#This Row],[Shares]]*(Table_USStocks.accdb7[[#This Row],[SellPrice]]-Table_USStocks.accdb7[[#This Row],[BuyPrice]])</f>
        <v>10322.031999999999</v>
      </c>
    </row>
    <row r="35" spans="1:9">
      <c r="A35" t="s">
        <v>961</v>
      </c>
      <c r="B35">
        <v>775</v>
      </c>
      <c r="C35">
        <v>12.91</v>
      </c>
      <c r="D35" s="57">
        <v>39807</v>
      </c>
      <c r="E35">
        <v>23.94</v>
      </c>
      <c r="F35" s="57">
        <v>41446</v>
      </c>
      <c r="G35" s="569">
        <f>Table_USStocks.accdb7[[#This Row],[Shares]]*(Table_USStocks.accdb7[[#This Row],[SellPrice]]-Table_USStocks.accdb7[[#This Row],[BuyPrice]])</f>
        <v>8548.25</v>
      </c>
    </row>
    <row r="36" spans="1:9">
      <c r="A36" t="s">
        <v>962</v>
      </c>
      <c r="B36">
        <v>1395</v>
      </c>
      <c r="C36">
        <v>10.75</v>
      </c>
      <c r="D36" s="57">
        <v>39807</v>
      </c>
      <c r="E36">
        <v>24.9056</v>
      </c>
      <c r="F36" s="57">
        <v>41446</v>
      </c>
      <c r="G36" s="569">
        <f>Table_USStocks.accdb7[[#This Row],[Shares]]*(Table_USStocks.accdb7[[#This Row],[SellPrice]]-Table_USStocks.accdb7[[#This Row],[BuyPrice]])</f>
        <v>19747.061999999998</v>
      </c>
    </row>
    <row r="37" spans="1:9">
      <c r="A37" t="s">
        <v>963</v>
      </c>
      <c r="B37">
        <v>5</v>
      </c>
      <c r="C37">
        <v>1600</v>
      </c>
      <c r="D37" s="57">
        <v>40360</v>
      </c>
      <c r="E37">
        <v>1848.05</v>
      </c>
      <c r="F37" s="57">
        <v>41600</v>
      </c>
      <c r="G37" s="569">
        <f>Table_USStocks.accdb7[[#This Row],[Shares]]*(Table_USStocks.accdb7[[#This Row],[SellPrice]]-Table_USStocks.accdb7[[#This Row],[BuyPrice]])</f>
        <v>1240.2499999999998</v>
      </c>
    </row>
    <row r="38" spans="1:9">
      <c r="A38" t="s">
        <v>964</v>
      </c>
      <c r="B38">
        <v>20</v>
      </c>
      <c r="C38">
        <v>150</v>
      </c>
      <c r="D38" s="57">
        <v>39590</v>
      </c>
      <c r="E38">
        <v>191.05</v>
      </c>
      <c r="F38" s="57">
        <v>41600</v>
      </c>
      <c r="G38" s="569">
        <f>Table_USStocks.accdb7[[#This Row],[Shares]]*(Table_USStocks.accdb7[[#This Row],[SellPrice]]-Table_USStocks.accdb7[[#This Row],[BuyPrice]])</f>
        <v>821.00000000000023</v>
      </c>
      <c r="I38" s="263" t="s">
        <v>967</v>
      </c>
    </row>
    <row r="39" spans="1:9">
      <c r="A39" t="s">
        <v>965</v>
      </c>
      <c r="B39">
        <v>5</v>
      </c>
      <c r="C39">
        <v>1050</v>
      </c>
      <c r="D39" s="57">
        <v>39591</v>
      </c>
      <c r="E39">
        <v>880</v>
      </c>
      <c r="F39" s="57">
        <v>41600</v>
      </c>
      <c r="G39" s="569">
        <f>Table_USStocks.accdb7[[#This Row],[Shares]]*(Table_USStocks.accdb7[[#This Row],[SellPrice]]-Table_USStocks.accdb7[[#This Row],[BuyPrice]])</f>
        <v>-850</v>
      </c>
      <c r="I39" s="575">
        <f>SUM(G2:G55)</f>
        <v>681296.35600000003</v>
      </c>
    </row>
    <row r="40" spans="1:9">
      <c r="A40" t="s">
        <v>966</v>
      </c>
      <c r="B40">
        <v>50</v>
      </c>
      <c r="C40">
        <v>130</v>
      </c>
      <c r="D40" s="57">
        <v>39735</v>
      </c>
      <c r="E40">
        <v>43.33</v>
      </c>
      <c r="F40" s="57">
        <v>41600</v>
      </c>
      <c r="G40">
        <f>Table_USStocks.accdb7[[#This Row],[Shares]]*(Table_USStocks.accdb7[[#This Row],[SellPrice]]-Table_USStocks.accdb7[[#This Row],[BuyPrice]])</f>
        <v>-4333.5</v>
      </c>
    </row>
    <row r="41" spans="1:9">
      <c r="A41" t="s">
        <v>296</v>
      </c>
      <c r="B41">
        <v>20</v>
      </c>
      <c r="C41">
        <v>333</v>
      </c>
      <c r="D41" s="57">
        <v>39485</v>
      </c>
      <c r="E41">
        <v>266.14999999999998</v>
      </c>
      <c r="F41" s="57">
        <v>41646</v>
      </c>
      <c r="G41">
        <f>Table_USStocks.accdb7[[#This Row],[Shares]]*(Table_USStocks.accdb7[[#This Row],[SellPrice]]-Table_USStocks.accdb7[[#This Row],[BuyPrice]])</f>
        <v>-1337.0000000000005</v>
      </c>
    </row>
    <row r="42" spans="1:9">
      <c r="A42" t="s">
        <v>298</v>
      </c>
      <c r="B42">
        <v>50</v>
      </c>
      <c r="C42">
        <v>108</v>
      </c>
      <c r="D42" s="57">
        <v>39590</v>
      </c>
      <c r="E42">
        <v>113</v>
      </c>
      <c r="F42" s="57">
        <v>41646</v>
      </c>
      <c r="G42">
        <f>Table_USStocks.accdb7[[#This Row],[Shares]]*(Table_USStocks.accdb7[[#This Row],[SellPrice]]-Table_USStocks.accdb7[[#This Row],[BuyPrice]])</f>
        <v>250</v>
      </c>
    </row>
    <row r="43" spans="1:9">
      <c r="A43" t="s">
        <v>299</v>
      </c>
      <c r="B43">
        <v>100</v>
      </c>
      <c r="C43">
        <v>121</v>
      </c>
      <c r="D43" s="57">
        <v>39492</v>
      </c>
      <c r="E43">
        <v>760</v>
      </c>
      <c r="F43" s="57">
        <v>41666</v>
      </c>
      <c r="G43" s="495">
        <f>Table_USStocks.accdb7[[#This Row],[Shares]]*(Table_USStocks.accdb7[[#This Row],[SellPrice]]-Table_USStocks.accdb7[[#This Row],[BuyPrice]])</f>
        <v>63900</v>
      </c>
    </row>
    <row r="44" spans="1:9">
      <c r="A44" t="s">
        <v>991</v>
      </c>
      <c r="B44">
        <v>100</v>
      </c>
      <c r="C44">
        <v>77</v>
      </c>
      <c r="D44" s="57">
        <v>39496</v>
      </c>
      <c r="E44">
        <v>144</v>
      </c>
      <c r="F44" s="57">
        <v>41666</v>
      </c>
      <c r="G44" s="495">
        <f>Table_USStocks.accdb7[[#This Row],[Shares]]*(Table_USStocks.accdb7[[#This Row],[SellPrice]]-Table_USStocks.accdb7[[#This Row],[BuyPrice]])</f>
        <v>6700</v>
      </c>
    </row>
    <row r="45" spans="1:9">
      <c r="A45" t="s">
        <v>325</v>
      </c>
      <c r="B45">
        <v>1234</v>
      </c>
      <c r="C45">
        <v>36.47</v>
      </c>
      <c r="D45" s="57">
        <v>40098</v>
      </c>
      <c r="E45">
        <v>58.99</v>
      </c>
      <c r="F45" s="57">
        <v>41666</v>
      </c>
      <c r="G45" s="495">
        <f>Table_USStocks.accdb7[[#This Row],[Shares]]*(Table_USStocks.accdb7[[#This Row],[SellPrice]]-Table_USStocks.accdb7[[#This Row],[BuyPrice]])</f>
        <v>27789.680000000004</v>
      </c>
    </row>
    <row r="46" spans="1:9">
      <c r="A46" t="s">
        <v>858</v>
      </c>
      <c r="B46">
        <v>198</v>
      </c>
      <c r="C46">
        <v>252.41</v>
      </c>
      <c r="D46" s="57">
        <v>41232</v>
      </c>
      <c r="E46">
        <v>275.7</v>
      </c>
      <c r="F46" s="57">
        <v>41666</v>
      </c>
      <c r="G46" s="495">
        <f>Table_USStocks.accdb7[[#This Row],[Shares]]*(Table_USStocks.accdb7[[#This Row],[SellPrice]]-Table_USStocks.accdb7[[#This Row],[BuyPrice]])</f>
        <v>4611.4199999999983</v>
      </c>
      <c r="I46"/>
    </row>
    <row r="47" spans="1:9">
      <c r="A47" t="s">
        <v>323</v>
      </c>
      <c r="B47">
        <v>1109</v>
      </c>
      <c r="C47">
        <v>45.1</v>
      </c>
      <c r="D47" s="57">
        <v>40758</v>
      </c>
      <c r="E47">
        <v>54.835000000000001</v>
      </c>
      <c r="F47" s="57">
        <v>41666</v>
      </c>
      <c r="G47" s="495">
        <f>Table_USStocks.accdb7[[#This Row],[Shares]]*(Table_USStocks.accdb7[[#This Row],[SellPrice]]-Table_USStocks.accdb7[[#This Row],[BuyPrice]])</f>
        <v>10796.115</v>
      </c>
      <c r="I47"/>
    </row>
    <row r="48" spans="1:9">
      <c r="A48" t="s">
        <v>1006</v>
      </c>
      <c r="B48">
        <v>11110</v>
      </c>
      <c r="C48">
        <v>24</v>
      </c>
      <c r="D48" s="57">
        <v>37803</v>
      </c>
      <c r="E48">
        <v>78.8</v>
      </c>
      <c r="F48" s="57">
        <v>41666</v>
      </c>
      <c r="G48" s="495">
        <f>Table_USStocks.accdb7[[#This Row],[Shares]]*(Table_USStocks.accdb7[[#This Row],[SellPrice]]-Table_USStocks.accdb7[[#This Row],[BuyPrice]])</f>
        <v>608828</v>
      </c>
      <c r="I48"/>
    </row>
    <row r="49" spans="1:7">
      <c r="A49" t="s">
        <v>324</v>
      </c>
      <c r="B49">
        <v>2049</v>
      </c>
      <c r="C49">
        <v>24.4</v>
      </c>
      <c r="D49" s="57">
        <v>40582</v>
      </c>
      <c r="E49">
        <v>33.76</v>
      </c>
      <c r="F49" s="57">
        <v>41754</v>
      </c>
      <c r="G49" s="495">
        <f>Table_USStocks.accdb7[[#This Row],[Shares]]*(Table_USStocks.accdb7[[#This Row],[SellPrice]]-Table_USStocks.accdb7[[#This Row],[BuyPrice]])</f>
        <v>19178.64</v>
      </c>
    </row>
    <row r="50" spans="1:7">
      <c r="A50" t="s">
        <v>297</v>
      </c>
      <c r="B50">
        <v>10</v>
      </c>
      <c r="C50">
        <v>1785</v>
      </c>
      <c r="D50" s="57">
        <v>39496</v>
      </c>
      <c r="E50">
        <v>3100</v>
      </c>
      <c r="F50" s="57">
        <v>41778</v>
      </c>
      <c r="G50" s="495">
        <f>Table_USStocks.accdb7[[#This Row],[Shares]]*(Table_USStocks.accdb7[[#This Row],[SellPrice]]-Table_USStocks.accdb7[[#This Row],[BuyPrice]])</f>
        <v>13150</v>
      </c>
    </row>
    <row r="51" spans="1:7">
      <c r="A51" t="s">
        <v>300</v>
      </c>
      <c r="B51">
        <v>50</v>
      </c>
      <c r="C51">
        <v>141.94999999999999</v>
      </c>
      <c r="D51" s="57">
        <v>39485</v>
      </c>
      <c r="E51">
        <v>215</v>
      </c>
      <c r="F51" s="57">
        <v>41816</v>
      </c>
      <c r="G51" s="495">
        <f>Table_USStocks.accdb7[[#This Row],[Shares]]*(Table_USStocks.accdb7[[#This Row],[SellPrice]]-Table_USStocks.accdb7[[#This Row],[BuyPrice]])</f>
        <v>3652.5000000000005</v>
      </c>
    </row>
    <row r="52" spans="1:7">
      <c r="A52" t="s">
        <v>922</v>
      </c>
      <c r="B52">
        <v>120</v>
      </c>
      <c r="C52">
        <v>327.5</v>
      </c>
      <c r="D52" s="57">
        <v>39471</v>
      </c>
      <c r="E52">
        <v>215.7</v>
      </c>
      <c r="F52" s="57">
        <v>42144</v>
      </c>
      <c r="G52" s="495">
        <f>Table_USStocks.accdb7[[#This Row],[Shares]]*(Table_USStocks.accdb7[[#This Row],[SellPrice]]-Table_USStocks.accdb7[[#This Row],[BuyPrice]])</f>
        <v>-13416.000000000002</v>
      </c>
    </row>
    <row r="53" spans="1:7">
      <c r="A53" t="s">
        <v>940</v>
      </c>
      <c r="C53">
        <v>62</v>
      </c>
      <c r="D53" s="57">
        <v>38777</v>
      </c>
      <c r="F53" s="57"/>
      <c r="G53" s="495">
        <f>Table_USStocks.accdb7[[#This Row],[Shares]]*(Table_USStocks.accdb7[[#This Row],[SellPrice]]-Table_USStocks.accdb7[[#This Row],[BuyPrice]])</f>
        <v>0</v>
      </c>
    </row>
    <row r="54" spans="1:7">
      <c r="A54" t="s">
        <v>301</v>
      </c>
      <c r="B54">
        <v>52</v>
      </c>
      <c r="C54">
        <v>994</v>
      </c>
      <c r="D54" s="57">
        <v>38537</v>
      </c>
      <c r="F54" s="57"/>
      <c r="G54" s="495">
        <f>Table_USStocks.accdb7[[#This Row],[Shares]]*(Table_USStocks.accdb7[[#This Row],[SellPrice]]-Table_USStocks.accdb7[[#This Row],[BuyPrice]])</f>
        <v>-51688</v>
      </c>
    </row>
    <row r="55" spans="1:7">
      <c r="A55" t="s">
        <v>942</v>
      </c>
      <c r="B55">
        <v>100</v>
      </c>
      <c r="C55">
        <v>471.94</v>
      </c>
      <c r="D55" s="57">
        <v>38380</v>
      </c>
      <c r="F55" s="57"/>
      <c r="G55" s="495">
        <f>Table_USStocks.accdb7[[#This Row],[Shares]]*(Table_USStocks.accdb7[[#This Row],[SellPrice]]-Table_USStocks.accdb7[[#This Row],[BuyPrice]])</f>
        <v>-47194</v>
      </c>
    </row>
    <row r="58" spans="1:7">
      <c r="A58" s="288" t="s">
        <v>968</v>
      </c>
      <c r="C58" s="13"/>
    </row>
    <row r="59" spans="1:7">
      <c r="A59" s="288" t="s">
        <v>969</v>
      </c>
      <c r="C59" s="13"/>
    </row>
    <row r="60" spans="1:7">
      <c r="A60" s="288" t="s">
        <v>970</v>
      </c>
      <c r="C60" s="13"/>
    </row>
  </sheetData>
  <conditionalFormatting sqref="I39">
    <cfRule type="colorScale" priority="2">
      <colorScale>
        <cfvo type="min"/>
        <cfvo type="percentile" val="50"/>
        <cfvo type="max"/>
        <color rgb="FFF8696B"/>
        <color rgb="FFFCFCFF"/>
        <color rgb="FF63BE7B"/>
      </colorScale>
    </cfRule>
  </conditionalFormatting>
  <conditionalFormatting sqref="G2:G39 G44:G55">
    <cfRule type="cellIs" dxfId="96" priority="1" operator="lessThan">
      <formula>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426"/>
  <sheetViews>
    <sheetView zoomScale="70" workbookViewId="0">
      <pane xSplit="29" ySplit="15" topLeftCell="AD16" activePane="bottomRight" state="frozen"/>
      <selection pane="topRight" activeCell="C1" sqref="C1"/>
      <selection pane="bottomLeft" activeCell="A2" sqref="A2"/>
      <selection pane="bottomRight" activeCell="D3" sqref="D3"/>
    </sheetView>
  </sheetViews>
  <sheetFormatPr defaultRowHeight="12.75"/>
  <cols>
    <col min="1" max="1" width="14.5703125" style="263" customWidth="1"/>
    <col min="2" max="2" width="23" customWidth="1"/>
    <col min="3" max="3" width="18.140625" customWidth="1"/>
    <col min="4" max="4" width="10.140625" customWidth="1"/>
    <col min="5" max="5" width="12.140625" customWidth="1"/>
    <col min="6" max="6" width="14.42578125" customWidth="1"/>
    <col min="7" max="7" width="13.85546875" customWidth="1"/>
    <col min="8" max="8" width="14.42578125" customWidth="1"/>
    <col min="9" max="9" width="13.85546875" customWidth="1"/>
    <col min="10" max="10" width="24" customWidth="1"/>
    <col min="11" max="11" width="22.140625" customWidth="1"/>
    <col min="12" max="12" width="11.140625" customWidth="1"/>
    <col min="13" max="13" width="18.28515625" customWidth="1"/>
    <col min="14" max="14" width="10" customWidth="1"/>
    <col min="15" max="15" width="16" customWidth="1"/>
    <col min="16" max="16" width="30.5703125" customWidth="1"/>
    <col min="17" max="17" width="19.5703125" customWidth="1"/>
    <col min="18" max="18" width="14.5703125" customWidth="1"/>
    <col min="19" max="19" width="14" customWidth="1"/>
    <col min="20" max="20" width="14.28515625" customWidth="1"/>
    <col min="21" max="21" width="11.140625" customWidth="1"/>
    <col min="22" max="22" width="16" customWidth="1"/>
    <col min="23" max="23" width="17.42578125" style="511" customWidth="1"/>
    <col min="24" max="24" width="10" customWidth="1"/>
    <col min="25" max="25" width="9.5703125" customWidth="1"/>
    <col min="26" max="26" width="15.7109375" customWidth="1"/>
    <col min="27" max="27" width="10.28515625" style="268" customWidth="1"/>
    <col min="28" max="28" width="10.28515625" customWidth="1"/>
    <col min="29" max="29" width="18.5703125" style="544" customWidth="1"/>
    <col min="30" max="30" width="14.85546875" customWidth="1"/>
    <col min="31" max="31" width="15.42578125" customWidth="1"/>
    <col min="32" max="32" width="19.28515625" customWidth="1"/>
    <col min="33" max="33" width="19.140625" customWidth="1"/>
    <col min="34" max="34" width="12.5703125" customWidth="1"/>
    <col min="35" max="35" width="9.7109375" customWidth="1"/>
    <col min="36" max="36" width="16.42578125" customWidth="1"/>
    <col min="37" max="37" width="11" customWidth="1"/>
    <col min="38" max="38" width="8.140625" customWidth="1"/>
    <col min="39" max="39" width="9.7109375" customWidth="1"/>
    <col min="40" max="40" width="11.140625" customWidth="1"/>
    <col min="41" max="41" width="16.42578125" customWidth="1"/>
    <col min="42" max="42" width="21" style="495" customWidth="1"/>
    <col min="43" max="43" width="16.28515625" customWidth="1"/>
    <col min="44" max="44" width="13" style="495" customWidth="1"/>
    <col min="45" max="45" width="13.140625" customWidth="1"/>
    <col min="46" max="46" width="12.85546875" customWidth="1"/>
    <col min="47" max="47" width="17.28515625" customWidth="1"/>
    <col min="48" max="48" width="14.28515625" style="495" customWidth="1"/>
    <col min="49" max="49" width="13.85546875" style="495" customWidth="1"/>
    <col min="50" max="50" width="18.140625" style="57" customWidth="1"/>
    <col min="51" max="51" width="19.140625" style="493" customWidth="1"/>
    <col min="52" max="52" width="17.42578125" style="493" customWidth="1"/>
    <col min="53" max="53" width="15.28515625" customWidth="1"/>
    <col min="54" max="54" width="21.42578125" customWidth="1"/>
    <col min="55" max="55" width="16" style="495" customWidth="1"/>
    <col min="56" max="56" width="16.7109375" style="495" customWidth="1"/>
    <col min="57" max="57" width="19.140625" customWidth="1"/>
    <col min="58" max="58" width="11.140625" customWidth="1"/>
    <col min="59" max="59" width="12.5703125" style="495" customWidth="1"/>
    <col min="60" max="60" width="16.28515625" style="495" customWidth="1"/>
    <col min="61" max="61" width="16.7109375" style="495" customWidth="1"/>
    <col min="62" max="62" width="10.5703125" style="495" customWidth="1"/>
    <col min="63" max="63" width="17.42578125" bestFit="1" customWidth="1"/>
    <col min="64" max="64" width="10" customWidth="1"/>
    <col min="66" max="66" width="13.5703125" customWidth="1"/>
    <col min="67" max="67" width="7.42578125" customWidth="1"/>
    <col min="68" max="68" width="32.5703125" customWidth="1"/>
    <col min="69" max="69" width="86.28515625" bestFit="1" customWidth="1"/>
    <col min="70" max="70" width="13.42578125" customWidth="1"/>
    <col min="71" max="71" width="11.140625" style="9" customWidth="1"/>
    <col min="72" max="72" width="11.5703125" customWidth="1"/>
    <col min="73" max="73" width="8.7109375" style="27" customWidth="1"/>
    <col min="74" max="74" width="10.42578125" style="84" customWidth="1"/>
    <col min="75" max="75" width="6.28515625" customWidth="1"/>
    <col min="76" max="76" width="14" style="13" customWidth="1"/>
    <col min="77" max="77" width="9.85546875" bestFit="1" customWidth="1"/>
    <col min="78" max="78" width="8.5703125" bestFit="1" customWidth="1"/>
  </cols>
  <sheetData>
    <row r="1" spans="1:76" s="513" customFormat="1" ht="15">
      <c r="A1" s="512"/>
      <c r="B1" s="539" t="s">
        <v>868</v>
      </c>
      <c r="C1" s="537" t="s">
        <v>866</v>
      </c>
      <c r="D1" s="606"/>
      <c r="E1" s="606"/>
      <c r="F1" s="606"/>
      <c r="G1" s="606"/>
      <c r="H1" s="606"/>
      <c r="I1" s="606"/>
      <c r="J1" s="606"/>
      <c r="K1" s="606"/>
      <c r="L1" s="606"/>
      <c r="M1" s="606"/>
      <c r="N1" s="606"/>
      <c r="O1" s="606"/>
      <c r="P1" s="606"/>
      <c r="Q1" s="606"/>
      <c r="R1" s="606"/>
      <c r="S1" s="606"/>
      <c r="T1" s="606"/>
      <c r="U1" s="606"/>
      <c r="V1" s="606"/>
      <c r="W1" s="515" t="s">
        <v>865</v>
      </c>
      <c r="X1" s="516" t="s">
        <v>155</v>
      </c>
      <c r="Y1" s="517" t="s">
        <v>169</v>
      </c>
      <c r="Z1" s="518" t="s">
        <v>859</v>
      </c>
      <c r="AA1" s="519" t="s">
        <v>860</v>
      </c>
      <c r="AB1" s="516" t="s">
        <v>870</v>
      </c>
      <c r="AC1" s="546" t="s">
        <v>861</v>
      </c>
      <c r="AD1" s="517" t="s">
        <v>862</v>
      </c>
      <c r="AE1" s="516" t="s">
        <v>863</v>
      </c>
      <c r="AF1" s="520" t="s">
        <v>864</v>
      </c>
      <c r="AG1" s="514" t="s">
        <v>867</v>
      </c>
      <c r="AH1" s="541" t="s">
        <v>869</v>
      </c>
      <c r="AP1" s="521"/>
      <c r="AR1" s="521"/>
      <c r="AV1" s="521"/>
      <c r="AW1" s="521"/>
      <c r="AX1" s="522"/>
      <c r="AY1" s="523"/>
      <c r="AZ1" s="523"/>
      <c r="BC1" s="521"/>
      <c r="BD1" s="521"/>
      <c r="BG1" s="521"/>
      <c r="BH1" s="521"/>
      <c r="BI1" s="521"/>
      <c r="BJ1" s="521"/>
      <c r="BS1" s="524"/>
      <c r="BU1" s="525"/>
      <c r="BV1" s="526"/>
      <c r="BX1" s="527"/>
    </row>
    <row r="2" spans="1:76" s="513" customFormat="1" ht="15.75" thickBot="1">
      <c r="A2" s="512"/>
      <c r="B2" s="555" t="s">
        <v>1020</v>
      </c>
      <c r="C2" s="538" t="e">
        <f>AB2+((AA2*(1+W2)^3)/(AD2-AG2))/(1+AD2)^3</f>
        <v>#REF!</v>
      </c>
      <c r="D2" s="607"/>
      <c r="E2" s="607"/>
      <c r="F2" s="607"/>
      <c r="G2" s="607"/>
      <c r="H2" s="607"/>
      <c r="I2" s="607"/>
      <c r="J2" s="607"/>
      <c r="K2" s="607"/>
      <c r="L2" s="607"/>
      <c r="M2" s="607"/>
      <c r="N2" s="607"/>
      <c r="O2" s="607"/>
      <c r="P2" s="607"/>
      <c r="Q2" s="607"/>
      <c r="R2" s="607"/>
      <c r="S2" s="607"/>
      <c r="T2" s="607"/>
      <c r="U2" s="607"/>
      <c r="V2" s="607"/>
      <c r="W2" s="556">
        <v>7.0000000000000007E-2</v>
      </c>
      <c r="X2" s="557">
        <v>1</v>
      </c>
      <c r="Y2" s="548" t="e">
        <f>VLOOKUP(B2,#REF!,6)</f>
        <v>#REF!</v>
      </c>
      <c r="Z2" s="529" t="e">
        <f>VLOOKUP(B2,#REF!,13)/100</f>
        <v>#REF!</v>
      </c>
      <c r="AA2" s="530" t="e">
        <f>Y2-AC2*Z2</f>
        <v>#REF!</v>
      </c>
      <c r="AB2" s="528" t="e">
        <f>AA2*(1+(1+W2)/(1+AD2)+(1+W2)^2/(1+AD2)^2)</f>
        <v>#REF!</v>
      </c>
      <c r="AC2" s="547" t="e">
        <f>VLOOKUP(B2,#REF!,10)</f>
        <v>#REF!</v>
      </c>
      <c r="AD2" s="531">
        <f>AE2+X2*(AF2-AE2)</f>
        <v>0.08</v>
      </c>
      <c r="AE2" s="528">
        <f>2.81/100</f>
        <v>2.81E-2</v>
      </c>
      <c r="AF2" s="532">
        <v>0.08</v>
      </c>
      <c r="AG2" s="542">
        <v>0.03</v>
      </c>
      <c r="AH2" s="532">
        <v>0</v>
      </c>
      <c r="AP2" s="521"/>
      <c r="AR2" s="521"/>
      <c r="AV2" s="521"/>
      <c r="AW2" s="521"/>
      <c r="AX2" s="522"/>
      <c r="AY2" s="523"/>
      <c r="AZ2" s="523"/>
      <c r="BC2" s="521"/>
      <c r="BD2" s="521"/>
      <c r="BG2" s="521"/>
      <c r="BH2" s="521"/>
      <c r="BI2" s="521"/>
      <c r="BJ2" s="521"/>
      <c r="BS2" s="524"/>
      <c r="BU2" s="525"/>
      <c r="BV2" s="526"/>
      <c r="BX2" s="527"/>
    </row>
    <row r="3" spans="1:76" s="513" customFormat="1" ht="15.75" thickBot="1">
      <c r="A3" s="512"/>
      <c r="B3" s="540" t="e">
        <f>VLOOKUP(B2,#REF!,2)</f>
        <v>#REF!</v>
      </c>
      <c r="C3" s="533"/>
      <c r="D3" s="534"/>
      <c r="E3" s="534"/>
      <c r="F3" s="534"/>
      <c r="G3" s="534"/>
      <c r="H3" s="534"/>
      <c r="I3" s="534"/>
      <c r="J3" s="534"/>
      <c r="K3" s="534"/>
      <c r="L3" s="534"/>
      <c r="M3" s="534"/>
      <c r="N3" s="534"/>
      <c r="O3" s="534"/>
      <c r="P3" s="534"/>
      <c r="Q3" s="534"/>
      <c r="R3" s="534"/>
      <c r="S3" s="534"/>
      <c r="T3" s="534"/>
      <c r="U3" s="534"/>
      <c r="V3" s="534"/>
      <c r="W3" s="545" t="e">
        <f>VLOOKUP(B2,#REF!,33)</f>
        <v>#REF!</v>
      </c>
      <c r="X3" s="534" t="e">
        <f>VLOOKUP(B2,#REF!,5)</f>
        <v>#REF!</v>
      </c>
      <c r="Y3" s="534"/>
      <c r="Z3" s="534"/>
      <c r="AA3" s="535"/>
      <c r="AB3" s="534"/>
      <c r="AC3" s="543"/>
      <c r="AD3" s="534"/>
      <c r="AE3" s="534"/>
      <c r="AF3" s="536"/>
      <c r="AG3" s="533"/>
      <c r="AH3" s="536"/>
      <c r="AP3" s="521"/>
      <c r="AR3" s="521"/>
      <c r="AV3" s="521"/>
      <c r="AW3" s="521"/>
      <c r="AX3" s="522"/>
      <c r="AY3" s="523"/>
      <c r="AZ3" s="523"/>
      <c r="BC3" s="521"/>
      <c r="BD3" s="521"/>
      <c r="BG3" s="521"/>
      <c r="BH3" s="521"/>
      <c r="BI3" s="521"/>
      <c r="BJ3" s="521"/>
      <c r="BS3" s="524"/>
      <c r="BU3" s="525"/>
      <c r="BV3" s="526"/>
      <c r="BX3" s="527"/>
    </row>
    <row r="4" spans="1:76" s="513" customFormat="1" ht="15">
      <c r="A4" s="512"/>
      <c r="B4" s="514" t="s">
        <v>1013</v>
      </c>
      <c r="C4" s="584" t="s">
        <v>804</v>
      </c>
      <c r="D4" s="584"/>
      <c r="E4" s="584"/>
      <c r="F4" s="584"/>
      <c r="G4" s="584"/>
      <c r="H4" s="584"/>
      <c r="I4" s="584"/>
      <c r="J4" s="584"/>
      <c r="K4" s="584"/>
      <c r="L4" s="584"/>
      <c r="M4" s="584"/>
      <c r="N4" s="584"/>
      <c r="O4" s="584"/>
      <c r="P4" s="584"/>
      <c r="Q4" s="584"/>
      <c r="R4" s="584"/>
      <c r="S4" s="584"/>
      <c r="T4" s="584"/>
      <c r="U4" s="584"/>
      <c r="V4" s="584"/>
      <c r="W4" s="585" t="s">
        <v>805</v>
      </c>
      <c r="X4" s="584" t="s">
        <v>73</v>
      </c>
      <c r="Y4" s="584" t="s">
        <v>1014</v>
      </c>
      <c r="Z4" s="584" t="s">
        <v>806</v>
      </c>
      <c r="AA4" s="516"/>
      <c r="AB4" s="586"/>
      <c r="AC4" s="587"/>
      <c r="AD4" s="586"/>
      <c r="AE4" s="588"/>
      <c r="AF4" s="586"/>
      <c r="AG4" s="528"/>
      <c r="AH4" s="528"/>
      <c r="AP4" s="521"/>
      <c r="AR4" s="521"/>
      <c r="AV4" s="521"/>
      <c r="AW4" s="521"/>
      <c r="AX4" s="522"/>
      <c r="AY4" s="523"/>
      <c r="AZ4" s="523"/>
      <c r="BC4" s="521"/>
      <c r="BD4" s="521"/>
      <c r="BG4" s="521"/>
      <c r="BH4" s="521"/>
      <c r="BI4" s="521"/>
      <c r="BJ4" s="521"/>
      <c r="BS4" s="524"/>
      <c r="BU4" s="525"/>
      <c r="BV4" s="526"/>
      <c r="BX4" s="527"/>
    </row>
    <row r="5" spans="1:76" s="513" customFormat="1" ht="15">
      <c r="A5" s="512"/>
      <c r="B5" s="542"/>
      <c r="C5" s="589" t="e">
        <f>VLOOKUP(B2,#REF!,3)</f>
        <v>#REF!</v>
      </c>
      <c r="D5" s="589"/>
      <c r="E5" s="589"/>
      <c r="F5" s="589"/>
      <c r="G5" s="589"/>
      <c r="H5" s="589"/>
      <c r="I5" s="589"/>
      <c r="J5" s="589"/>
      <c r="K5" s="589"/>
      <c r="L5" s="589"/>
      <c r="M5" s="589"/>
      <c r="N5" s="589"/>
      <c r="O5" s="589"/>
      <c r="P5" s="589"/>
      <c r="Q5" s="589"/>
      <c r="R5" s="589"/>
      <c r="S5" s="589"/>
      <c r="T5" s="589"/>
      <c r="U5" s="589"/>
      <c r="V5" s="589"/>
      <c r="W5" s="591" t="e">
        <f>VLOOKUP(B2,#REF!,19)</f>
        <v>#REF!</v>
      </c>
      <c r="X5" s="589" t="e">
        <f>VLOOKUP(B2,#REF!,18)</f>
        <v>#REF!</v>
      </c>
      <c r="Y5" s="590" t="e">
        <f>AC2/Y2</f>
        <v>#REF!</v>
      </c>
      <c r="Z5" s="589" t="e">
        <f>VLOOKUP(B2,#REF!,20)</f>
        <v>#REF!</v>
      </c>
      <c r="AA5" s="528"/>
      <c r="AB5" s="528"/>
      <c r="AC5" s="582"/>
      <c r="AD5" s="528"/>
      <c r="AE5" s="583"/>
      <c r="AF5" s="528"/>
      <c r="AG5" s="528"/>
      <c r="AH5" s="528"/>
      <c r="AP5" s="521"/>
      <c r="AR5" s="521"/>
      <c r="AV5" s="521"/>
      <c r="AW5" s="521"/>
      <c r="AX5" s="522"/>
      <c r="AY5" s="523"/>
      <c r="AZ5" s="523"/>
      <c r="BC5" s="521"/>
      <c r="BD5" s="521"/>
      <c r="BG5" s="521"/>
      <c r="BH5" s="521"/>
      <c r="BI5" s="521"/>
      <c r="BJ5" s="521"/>
      <c r="BS5" s="524"/>
      <c r="BU5" s="525"/>
      <c r="BV5" s="526"/>
      <c r="BX5" s="527"/>
    </row>
    <row r="6" spans="1:76" s="513" customFormat="1" ht="15">
      <c r="A6" s="512"/>
      <c r="B6" s="592" t="s">
        <v>1015</v>
      </c>
      <c r="C6" s="528"/>
      <c r="D6" s="528"/>
      <c r="E6" s="528"/>
      <c r="F6" s="528"/>
      <c r="G6" s="528"/>
      <c r="H6" s="528"/>
      <c r="I6" s="528"/>
      <c r="J6" s="528"/>
      <c r="K6" s="528"/>
      <c r="L6" s="528"/>
      <c r="M6" s="528"/>
      <c r="N6" s="528"/>
      <c r="O6" s="528"/>
      <c r="P6" s="528"/>
      <c r="Q6" s="528"/>
      <c r="R6" s="528"/>
      <c r="S6" s="528"/>
      <c r="T6" s="528"/>
      <c r="U6" s="528"/>
      <c r="V6" s="528"/>
      <c r="W6" s="528"/>
      <c r="X6" s="593">
        <v>1</v>
      </c>
      <c r="Y6" s="528">
        <f>1/0.045</f>
        <v>22.222222222222221</v>
      </c>
      <c r="Z6" s="528">
        <v>1</v>
      </c>
      <c r="AA6" s="582"/>
      <c r="AB6" s="528"/>
      <c r="AC6" s="583"/>
      <c r="AD6" s="528"/>
      <c r="AE6" s="528"/>
      <c r="AF6" s="532"/>
      <c r="AG6" s="528"/>
      <c r="AH6" s="528"/>
      <c r="AP6" s="521"/>
      <c r="AR6" s="521"/>
      <c r="AV6" s="521"/>
      <c r="AW6" s="521"/>
      <c r="AX6" s="522"/>
      <c r="AY6" s="523"/>
      <c r="AZ6" s="523"/>
      <c r="BC6" s="521"/>
      <c r="BD6" s="521"/>
      <c r="BG6" s="521"/>
      <c r="BH6" s="521"/>
      <c r="BI6" s="521"/>
      <c r="BJ6" s="521"/>
      <c r="BS6" s="524"/>
      <c r="BU6" s="525"/>
      <c r="BV6" s="526"/>
      <c r="BX6" s="527"/>
    </row>
    <row r="7" spans="1:76" s="513" customFormat="1" ht="15.75" thickBot="1">
      <c r="A7" s="512"/>
      <c r="B7" s="533"/>
      <c r="C7" s="534"/>
      <c r="D7" s="534"/>
      <c r="E7" s="534"/>
      <c r="F7" s="534"/>
      <c r="G7" s="534"/>
      <c r="H7" s="534"/>
      <c r="I7" s="534"/>
      <c r="J7" s="534"/>
      <c r="K7" s="534"/>
      <c r="L7" s="534"/>
      <c r="M7" s="534"/>
      <c r="N7" s="534"/>
      <c r="O7" s="534"/>
      <c r="P7" s="534"/>
      <c r="Q7" s="534"/>
      <c r="R7" s="534"/>
      <c r="S7" s="534"/>
      <c r="T7" s="534"/>
      <c r="U7" s="534"/>
      <c r="V7" s="534"/>
      <c r="W7" s="534"/>
      <c r="X7" s="545"/>
      <c r="Y7" s="594" t="e">
        <f>Y6*Y2</f>
        <v>#REF!</v>
      </c>
      <c r="Z7" s="534"/>
      <c r="AA7" s="535"/>
      <c r="AB7" s="534"/>
      <c r="AC7" s="543"/>
      <c r="AD7" s="534"/>
      <c r="AE7" s="534"/>
      <c r="AF7" s="536"/>
      <c r="AG7" s="528"/>
      <c r="AH7" s="528"/>
      <c r="AP7" s="521"/>
      <c r="AR7" s="521"/>
      <c r="AV7" s="521"/>
      <c r="AW7" s="521"/>
      <c r="AX7" s="522"/>
      <c r="AY7" s="523"/>
      <c r="AZ7" s="523"/>
      <c r="BC7" s="521"/>
      <c r="BD7" s="521"/>
      <c r="BG7" s="521"/>
      <c r="BH7" s="521"/>
      <c r="BI7" s="521"/>
      <c r="BJ7" s="521"/>
      <c r="BS7" s="524"/>
      <c r="BU7" s="525"/>
      <c r="BV7" s="526"/>
      <c r="BX7" s="527"/>
    </row>
    <row r="8" spans="1:76" s="513" customFormat="1" ht="15">
      <c r="A8" s="512"/>
      <c r="B8" s="528"/>
      <c r="C8" s="528"/>
      <c r="D8" s="528"/>
      <c r="E8" s="528"/>
      <c r="F8" s="528"/>
      <c r="G8" s="528"/>
      <c r="H8" s="528"/>
      <c r="I8" s="528"/>
      <c r="J8" s="528"/>
      <c r="K8" s="528"/>
      <c r="L8" s="528"/>
      <c r="M8" s="528"/>
      <c r="N8" s="528"/>
      <c r="O8" s="528"/>
      <c r="P8" s="528"/>
      <c r="Q8" s="528"/>
      <c r="R8" s="528"/>
      <c r="S8" s="528"/>
      <c r="T8" s="528"/>
      <c r="U8" s="528"/>
      <c r="V8" s="528"/>
      <c r="W8" s="581"/>
      <c r="X8" s="528"/>
      <c r="Y8" s="528"/>
      <c r="Z8" s="528"/>
      <c r="AA8" s="582"/>
      <c r="AB8" s="528"/>
      <c r="AC8" s="583"/>
      <c r="AD8" s="528"/>
      <c r="AE8" s="528"/>
      <c r="AF8" s="528"/>
      <c r="AG8" s="528"/>
      <c r="AH8" s="528"/>
      <c r="AP8" s="521"/>
      <c r="AR8" s="521"/>
      <c r="AV8" s="521"/>
      <c r="AW8" s="521"/>
      <c r="AX8" s="522"/>
      <c r="AY8" s="523"/>
      <c r="AZ8" s="523"/>
      <c r="BC8" s="521"/>
      <c r="BD8" s="521"/>
      <c r="BG8" s="521"/>
      <c r="BH8" s="521"/>
      <c r="BI8" s="521"/>
      <c r="BJ8" s="521"/>
      <c r="BS8" s="524"/>
      <c r="BU8" s="525"/>
      <c r="BV8" s="526"/>
      <c r="BX8" s="527"/>
    </row>
    <row r="9" spans="1:76" s="513" customFormat="1" ht="15">
      <c r="A9" s="512"/>
      <c r="B9" s="528"/>
      <c r="C9" s="528"/>
      <c r="D9" s="528"/>
      <c r="E9" s="528"/>
      <c r="F9" s="528"/>
      <c r="G9" s="528"/>
      <c r="H9" s="528"/>
      <c r="I9" s="528"/>
      <c r="J9" s="528"/>
      <c r="K9" s="528"/>
      <c r="L9" s="528"/>
      <c r="M9" s="528"/>
      <c r="N9" s="528"/>
      <c r="O9" s="528"/>
      <c r="P9" s="528"/>
      <c r="Q9" s="528"/>
      <c r="R9" s="528"/>
      <c r="S9" s="528"/>
      <c r="T9" s="528"/>
      <c r="U9" s="528"/>
      <c r="V9" s="528"/>
      <c r="W9" s="581"/>
      <c r="X9" s="528"/>
      <c r="Y9" s="528"/>
      <c r="Z9" s="528"/>
      <c r="AA9" s="582"/>
      <c r="AB9" s="528"/>
      <c r="AC9" s="583"/>
      <c r="AD9" s="528"/>
      <c r="AE9" s="528"/>
      <c r="AF9" s="528"/>
      <c r="AG9" s="528"/>
      <c r="AH9" s="528"/>
      <c r="AP9" s="521"/>
      <c r="AR9" s="521"/>
      <c r="AV9" s="521"/>
      <c r="AW9" s="521"/>
      <c r="AX9" s="522"/>
      <c r="AY9" s="523"/>
      <c r="AZ9" s="523"/>
      <c r="BC9" s="521"/>
      <c r="BD9" s="521"/>
      <c r="BG9" s="521"/>
      <c r="BH9" s="521"/>
      <c r="BI9" s="521"/>
      <c r="BJ9" s="521"/>
      <c r="BS9" s="524"/>
      <c r="BU9" s="525"/>
      <c r="BV9" s="526"/>
      <c r="BX9" s="527"/>
    </row>
    <row r="10" spans="1:76" s="513" customFormat="1" ht="15">
      <c r="A10" s="512"/>
      <c r="B10" s="528"/>
      <c r="C10" s="528"/>
      <c r="D10" s="528"/>
      <c r="E10" s="528"/>
      <c r="F10" s="528"/>
      <c r="G10" s="528"/>
      <c r="H10" s="528"/>
      <c r="I10" s="528"/>
      <c r="J10" s="528"/>
      <c r="K10" s="528"/>
      <c r="L10" s="528"/>
      <c r="M10" s="528"/>
      <c r="N10" s="528"/>
      <c r="O10" s="528"/>
      <c r="P10" s="528"/>
      <c r="Q10" s="528"/>
      <c r="R10" s="528"/>
      <c r="S10" s="528"/>
      <c r="T10" s="528"/>
      <c r="U10" s="528"/>
      <c r="V10" s="528"/>
      <c r="W10" s="581"/>
      <c r="X10" s="528"/>
      <c r="Y10" s="528"/>
      <c r="Z10" s="528"/>
      <c r="AA10" s="582"/>
      <c r="AB10" s="528"/>
      <c r="AC10" s="583"/>
      <c r="AD10" s="528"/>
      <c r="AE10" s="528"/>
      <c r="AF10" s="528"/>
      <c r="AG10" s="528"/>
      <c r="AH10" s="528"/>
      <c r="AP10" s="521"/>
      <c r="AR10" s="521"/>
      <c r="AV10" s="521"/>
      <c r="AW10" s="521"/>
      <c r="AX10" s="522"/>
      <c r="AY10" s="523"/>
      <c r="AZ10" s="523"/>
      <c r="BC10" s="521"/>
      <c r="BD10" s="521"/>
      <c r="BG10" s="521"/>
      <c r="BH10" s="521"/>
      <c r="BI10" s="521"/>
      <c r="BJ10" s="521"/>
      <c r="BS10" s="524"/>
      <c r="BU10" s="525"/>
      <c r="BV10" s="526"/>
      <c r="BX10" s="527"/>
    </row>
    <row r="11" spans="1:76" s="513" customFormat="1" ht="15">
      <c r="A11" s="512"/>
      <c r="B11" s="528"/>
      <c r="C11" s="528"/>
      <c r="D11" s="528"/>
      <c r="E11" s="528"/>
      <c r="F11" s="528"/>
      <c r="G11" s="528"/>
      <c r="H11" s="528"/>
      <c r="I11" s="528"/>
      <c r="J11" s="528"/>
      <c r="K11" s="528"/>
      <c r="L11" s="528"/>
      <c r="M11" s="528"/>
      <c r="N11" s="528"/>
      <c r="O11" s="528"/>
      <c r="P11" s="528"/>
      <c r="Q11" s="528"/>
      <c r="R11" s="528"/>
      <c r="S11" s="528"/>
      <c r="T11" s="528"/>
      <c r="U11" s="528"/>
      <c r="V11" s="528"/>
      <c r="W11" s="581"/>
      <c r="X11" s="528"/>
      <c r="Y11" s="528"/>
      <c r="Z11" s="528"/>
      <c r="AA11" s="582"/>
      <c r="AB11" s="528"/>
      <c r="AC11" s="583"/>
      <c r="AD11" s="528"/>
      <c r="AE11" s="528"/>
      <c r="AF11" s="528"/>
      <c r="AG11" s="528"/>
      <c r="AH11" s="528"/>
      <c r="AP11" s="521"/>
      <c r="AR11" s="521"/>
      <c r="AV11" s="521"/>
      <c r="AW11" s="521"/>
      <c r="AX11" s="522"/>
      <c r="AY11" s="523"/>
      <c r="AZ11" s="523"/>
      <c r="BC11" s="521"/>
      <c r="BD11" s="521"/>
      <c r="BG11" s="521"/>
      <c r="BH11" s="521"/>
      <c r="BI11" s="521"/>
      <c r="BJ11" s="521"/>
      <c r="BS11" s="524"/>
      <c r="BU11" s="525"/>
      <c r="BV11" s="526"/>
      <c r="BX11" s="527"/>
    </row>
    <row r="12" spans="1:76" s="513" customFormat="1" ht="15">
      <c r="A12" s="512"/>
      <c r="B12" s="528"/>
      <c r="C12" s="528"/>
      <c r="D12" s="528"/>
      <c r="E12" s="528"/>
      <c r="F12" s="528"/>
      <c r="G12" s="528"/>
      <c r="H12" s="528"/>
      <c r="I12" s="528"/>
      <c r="J12" s="528"/>
      <c r="K12" s="528"/>
      <c r="L12" s="528"/>
      <c r="M12" s="528"/>
      <c r="N12" s="528"/>
      <c r="O12" s="528"/>
      <c r="P12" s="528"/>
      <c r="Q12" s="528"/>
      <c r="R12" s="528"/>
      <c r="S12" s="528"/>
      <c r="T12" s="528"/>
      <c r="U12" s="528"/>
      <c r="V12" s="528"/>
      <c r="W12" s="581"/>
      <c r="X12" s="528"/>
      <c r="Y12" s="528"/>
      <c r="Z12" s="528"/>
      <c r="AA12" s="582"/>
      <c r="AB12" s="528"/>
      <c r="AC12" s="583"/>
      <c r="AD12" s="528"/>
      <c r="AE12" s="528"/>
      <c r="AF12" s="528"/>
      <c r="AG12" s="528"/>
      <c r="AH12" s="528"/>
      <c r="AP12" s="521"/>
      <c r="AR12" s="521"/>
      <c r="AV12" s="521"/>
      <c r="AW12" s="521"/>
      <c r="AX12" s="522"/>
      <c r="AY12" s="523"/>
      <c r="AZ12" s="523"/>
      <c r="BC12" s="521"/>
      <c r="BD12" s="521"/>
      <c r="BG12" s="521"/>
      <c r="BH12" s="521"/>
      <c r="BI12" s="521"/>
      <c r="BJ12" s="521"/>
      <c r="BS12" s="524"/>
      <c r="BU12" s="525"/>
      <c r="BV12" s="526"/>
      <c r="BX12" s="527"/>
    </row>
    <row r="14" spans="1:76" ht="20.25">
      <c r="A14" s="263" t="s">
        <v>209</v>
      </c>
      <c r="B14" t="s">
        <v>312</v>
      </c>
      <c r="C14" s="57" t="s">
        <v>115</v>
      </c>
      <c r="D14" s="57" t="s">
        <v>1025</v>
      </c>
      <c r="E14" s="57" t="s">
        <v>313</v>
      </c>
      <c r="F14" s="57" t="s">
        <v>95</v>
      </c>
      <c r="G14" s="57" t="s">
        <v>119</v>
      </c>
      <c r="H14" s="57" t="s">
        <v>280</v>
      </c>
      <c r="I14" s="57" t="s">
        <v>281</v>
      </c>
      <c r="J14" s="57" t="s">
        <v>120</v>
      </c>
      <c r="K14" s="57" t="s">
        <v>121</v>
      </c>
      <c r="L14" s="57" t="s">
        <v>122</v>
      </c>
      <c r="M14" s="57" t="s">
        <v>102</v>
      </c>
      <c r="N14" s="57" t="s">
        <v>1026</v>
      </c>
      <c r="O14" s="57" t="s">
        <v>282</v>
      </c>
      <c r="P14" s="57" t="s">
        <v>171</v>
      </c>
      <c r="Q14" s="57" t="s">
        <v>1027</v>
      </c>
      <c r="R14" s="57" t="s">
        <v>1028</v>
      </c>
      <c r="S14" s="57" t="s">
        <v>1029</v>
      </c>
      <c r="T14" s="57" t="s">
        <v>144</v>
      </c>
      <c r="U14" s="57" t="s">
        <v>1030</v>
      </c>
      <c r="V14" s="57" t="s">
        <v>1031</v>
      </c>
      <c r="W14" s="450"/>
      <c r="X14" s="18"/>
      <c r="Y14" s="19"/>
      <c r="Z14" s="3"/>
      <c r="AA14" s="5"/>
      <c r="AB14" s="26"/>
      <c r="AC14"/>
      <c r="AE14" s="53"/>
      <c r="AF14" s="9"/>
      <c r="AG14" s="9"/>
      <c r="AH14" s="9"/>
      <c r="AJ14" s="27"/>
      <c r="AL14" s="13"/>
      <c r="AP14"/>
      <c r="AR14"/>
      <c r="AV14"/>
      <c r="AW14"/>
      <c r="AX14"/>
      <c r="AY14"/>
      <c r="AZ14"/>
      <c r="BC14"/>
      <c r="BD14"/>
      <c r="BG14"/>
      <c r="BH14"/>
      <c r="BI14"/>
      <c r="BJ14"/>
      <c r="BS14"/>
      <c r="BU14"/>
      <c r="BV14"/>
      <c r="BX14"/>
    </row>
    <row r="15" spans="1:76" ht="20.25">
      <c r="A15" s="263" t="s">
        <v>110</v>
      </c>
      <c r="C15" s="57"/>
      <c r="D15" s="57">
        <v>17</v>
      </c>
      <c r="E15" s="57">
        <v>25</v>
      </c>
      <c r="F15" s="57">
        <v>188.19</v>
      </c>
      <c r="G15" s="57">
        <v>40092</v>
      </c>
      <c r="H15" s="57">
        <v>225.66</v>
      </c>
      <c r="I15" s="57">
        <v>40260</v>
      </c>
      <c r="J15" s="57">
        <v>39.083025787286537</v>
      </c>
      <c r="K15" s="57">
        <v>19.708447386848295</v>
      </c>
      <c r="L15" s="57">
        <v>928.8</v>
      </c>
      <c r="M15" s="57">
        <v>7.95</v>
      </c>
      <c r="N15" s="57" t="s">
        <v>145</v>
      </c>
      <c r="O15" s="57">
        <v>4712.7</v>
      </c>
      <c r="P15" s="57"/>
      <c r="Q15" s="57"/>
      <c r="R15" s="57"/>
      <c r="S15" s="57"/>
      <c r="T15" s="57"/>
      <c r="U15" s="57"/>
      <c r="V15" s="57"/>
      <c r="W15" s="451"/>
      <c r="X15" s="145"/>
      <c r="Y15" s="223"/>
      <c r="Z15" s="22"/>
      <c r="AA15" s="5"/>
      <c r="AB15" s="26"/>
      <c r="AC15"/>
      <c r="AE15" s="53"/>
      <c r="AF15" s="9"/>
      <c r="AG15" s="9"/>
      <c r="AH15" s="9"/>
      <c r="AJ15" s="27"/>
      <c r="AL15" s="13"/>
      <c r="AP15"/>
      <c r="AR15"/>
      <c r="AV15"/>
      <c r="AW15"/>
      <c r="AX15"/>
      <c r="AY15"/>
      <c r="AZ15"/>
      <c r="BC15"/>
      <c r="BD15"/>
      <c r="BG15"/>
      <c r="BH15"/>
      <c r="BI15"/>
      <c r="BJ15"/>
      <c r="BS15"/>
      <c r="BU15"/>
      <c r="BV15"/>
      <c r="BX15"/>
    </row>
    <row r="16" spans="1:76" ht="20.25">
      <c r="A16" s="263" t="s">
        <v>110</v>
      </c>
      <c r="C16" s="57"/>
      <c r="D16" s="57">
        <v>34</v>
      </c>
      <c r="E16" s="57">
        <v>10</v>
      </c>
      <c r="F16" s="57">
        <v>188.19</v>
      </c>
      <c r="G16" s="57">
        <v>40092</v>
      </c>
      <c r="H16" s="57">
        <v>332.5</v>
      </c>
      <c r="I16" s="57">
        <v>40546</v>
      </c>
      <c r="J16" s="57">
        <v>45.421774855022079</v>
      </c>
      <c r="K16" s="57">
        <v>75.939889409212384</v>
      </c>
      <c r="L16" s="57">
        <v>1435.15</v>
      </c>
      <c r="M16" s="57">
        <v>7.95</v>
      </c>
      <c r="N16" s="57" t="s">
        <v>145</v>
      </c>
      <c r="O16" s="57">
        <v>1889.85</v>
      </c>
      <c r="P16" s="57"/>
      <c r="Q16" s="57"/>
      <c r="R16" s="57"/>
      <c r="S16" s="57"/>
      <c r="T16" s="57"/>
      <c r="U16" s="57"/>
      <c r="V16" s="57"/>
      <c r="W16" s="451"/>
      <c r="X16" s="145"/>
      <c r="Y16" s="223"/>
      <c r="Z16" s="22"/>
      <c r="AA16" s="5"/>
      <c r="AB16" s="26"/>
      <c r="AC16"/>
      <c r="AE16" s="53"/>
      <c r="AF16" s="9"/>
      <c r="AG16" s="9"/>
      <c r="AH16" s="9"/>
      <c r="AJ16" s="27"/>
      <c r="AL16" s="13"/>
      <c r="AP16"/>
      <c r="AR16"/>
      <c r="AV16"/>
      <c r="AW16"/>
      <c r="AX16"/>
      <c r="AY16"/>
      <c r="AZ16"/>
      <c r="BC16"/>
      <c r="BD16"/>
      <c r="BG16"/>
      <c r="BH16"/>
      <c r="BI16"/>
      <c r="BJ16"/>
      <c r="BS16"/>
      <c r="BU16"/>
      <c r="BV16"/>
      <c r="BX16"/>
    </row>
    <row r="17" spans="1:76" ht="15.75">
      <c r="A17" s="263" t="s">
        <v>110</v>
      </c>
      <c r="C17" s="57"/>
      <c r="D17" s="57">
        <v>38</v>
      </c>
      <c r="E17" s="57">
        <v>15</v>
      </c>
      <c r="F17" s="57">
        <v>188.19</v>
      </c>
      <c r="G17" s="57">
        <v>40092</v>
      </c>
      <c r="H17" s="57">
        <v>356</v>
      </c>
      <c r="I17" s="57">
        <v>40583</v>
      </c>
      <c r="J17" s="57">
        <v>47.179877382831563</v>
      </c>
      <c r="K17" s="57">
        <v>88.639253921153028</v>
      </c>
      <c r="L17" s="57">
        <v>2509.1999999999998</v>
      </c>
      <c r="M17" s="57">
        <v>7.95</v>
      </c>
      <c r="N17" s="57" t="s">
        <v>145</v>
      </c>
      <c r="O17" s="57">
        <v>2830.8</v>
      </c>
      <c r="P17" s="57"/>
      <c r="Q17" s="57"/>
      <c r="R17" s="57"/>
      <c r="S17" s="57"/>
      <c r="T17" s="57"/>
      <c r="U17" s="57"/>
      <c r="V17" s="57"/>
      <c r="W17" s="451"/>
      <c r="X17" s="145"/>
      <c r="Y17" s="223"/>
      <c r="Z17" s="22"/>
      <c r="AA17" s="4"/>
      <c r="AB17" s="26"/>
      <c r="AC17"/>
      <c r="AF17" s="9"/>
      <c r="AG17" s="9"/>
      <c r="AH17" s="9"/>
      <c r="AJ17" s="27"/>
      <c r="AL17" s="13"/>
      <c r="AP17"/>
      <c r="AR17"/>
      <c r="AV17"/>
      <c r="AW17"/>
      <c r="AX17"/>
      <c r="AY17"/>
      <c r="AZ17"/>
      <c r="BC17"/>
      <c r="BD17"/>
      <c r="BG17"/>
      <c r="BH17"/>
      <c r="BI17"/>
      <c r="BJ17"/>
      <c r="BS17"/>
      <c r="BU17"/>
      <c r="BV17"/>
      <c r="BX17"/>
    </row>
    <row r="18" spans="1:76" ht="15.75">
      <c r="A18" s="263" t="s">
        <v>110</v>
      </c>
      <c r="B18" t="s">
        <v>381</v>
      </c>
      <c r="C18" s="57"/>
      <c r="D18" s="57">
        <v>116</v>
      </c>
      <c r="E18" s="57">
        <v>100</v>
      </c>
      <c r="F18" s="57">
        <v>40</v>
      </c>
      <c r="G18" s="57">
        <v>40808</v>
      </c>
      <c r="H18" s="57">
        <v>64</v>
      </c>
      <c r="I18" s="57">
        <v>40820</v>
      </c>
      <c r="J18" s="57">
        <v>1416.3918170730849</v>
      </c>
      <c r="K18" s="57">
        <v>59.307014486981629</v>
      </c>
      <c r="L18" s="57">
        <v>2382.6</v>
      </c>
      <c r="M18" s="57">
        <v>17.399999999999999</v>
      </c>
      <c r="N18" s="57" t="s">
        <v>258</v>
      </c>
      <c r="O18" s="57">
        <v>4017.4</v>
      </c>
      <c r="P18" s="57"/>
      <c r="Q18" s="57"/>
      <c r="R18" s="57"/>
      <c r="S18" s="57"/>
      <c r="T18" s="57"/>
      <c r="U18" s="57"/>
      <c r="V18" s="57"/>
      <c r="W18" s="451"/>
      <c r="X18" s="145"/>
      <c r="Y18" s="223"/>
      <c r="Z18" s="22"/>
      <c r="AA18" s="4"/>
      <c r="AB18" s="23"/>
      <c r="AC18" s="5"/>
      <c r="AF18" s="9"/>
      <c r="AG18" s="9"/>
      <c r="AH18" s="9"/>
      <c r="AJ18" s="27"/>
      <c r="AL18" s="13"/>
      <c r="AP18"/>
      <c r="AR18"/>
      <c r="AV18"/>
      <c r="AW18"/>
      <c r="AX18"/>
      <c r="AY18"/>
      <c r="AZ18"/>
      <c r="BC18"/>
      <c r="BD18"/>
      <c r="BG18"/>
      <c r="BH18"/>
      <c r="BI18"/>
      <c r="BJ18"/>
      <c r="BS18"/>
      <c r="BU18"/>
      <c r="BV18"/>
      <c r="BX18"/>
    </row>
    <row r="19" spans="1:76" ht="15.75">
      <c r="A19" s="263" t="s">
        <v>110</v>
      </c>
      <c r="B19" t="s">
        <v>472</v>
      </c>
      <c r="C19" s="57"/>
      <c r="D19" s="57">
        <v>275</v>
      </c>
      <c r="E19" s="57">
        <v>100</v>
      </c>
      <c r="F19" s="57">
        <v>27.5</v>
      </c>
      <c r="G19" s="57">
        <v>40900</v>
      </c>
      <c r="H19" s="57">
        <v>0.01</v>
      </c>
      <c r="I19" s="57">
        <v>41021</v>
      </c>
      <c r="J19" s="57">
        <v>-2409.7649284487825</v>
      </c>
      <c r="K19" s="57">
        <v>-99.963751042157526</v>
      </c>
      <c r="L19" s="57">
        <v>-2757.7</v>
      </c>
      <c r="M19" s="57">
        <v>8.6999999999999993</v>
      </c>
      <c r="N19" s="57" t="s">
        <v>233</v>
      </c>
      <c r="O19" s="57">
        <v>2758.7</v>
      </c>
      <c r="P19" s="57"/>
      <c r="Q19" s="57"/>
      <c r="R19" s="57"/>
      <c r="S19" s="57"/>
      <c r="T19" s="57"/>
      <c r="U19" s="57"/>
      <c r="V19" s="57"/>
      <c r="W19" s="451"/>
      <c r="X19" s="145"/>
      <c r="Y19" s="223"/>
      <c r="Z19" s="22"/>
      <c r="AA19" s="4"/>
      <c r="AB19" s="24"/>
      <c r="AC19" s="4"/>
      <c r="AF19" s="9"/>
      <c r="AG19" s="9"/>
      <c r="AH19" s="9"/>
      <c r="AJ19" s="28"/>
      <c r="AK19" s="7"/>
      <c r="AL19" s="13"/>
      <c r="AP19"/>
      <c r="AR19"/>
      <c r="AV19"/>
      <c r="AW19"/>
      <c r="AX19"/>
      <c r="AY19"/>
      <c r="AZ19"/>
      <c r="BC19"/>
      <c r="BD19"/>
      <c r="BG19"/>
      <c r="BH19"/>
      <c r="BI19"/>
      <c r="BJ19"/>
      <c r="BS19"/>
      <c r="BU19"/>
      <c r="BV19"/>
      <c r="BX19"/>
    </row>
    <row r="20" spans="1:76" ht="15.75">
      <c r="A20" s="263" t="s">
        <v>110</v>
      </c>
      <c r="B20" t="s">
        <v>110</v>
      </c>
      <c r="C20" s="57"/>
      <c r="D20" s="57">
        <v>460</v>
      </c>
      <c r="E20" s="57">
        <v>10</v>
      </c>
      <c r="F20" s="57">
        <v>493.41989999999998</v>
      </c>
      <c r="G20" s="57">
        <v>41514</v>
      </c>
      <c r="H20" s="57">
        <v>506.05</v>
      </c>
      <c r="I20" s="57">
        <v>41526</v>
      </c>
      <c r="J20" s="57">
        <v>71.981150552085964</v>
      </c>
      <c r="K20" s="57">
        <v>2.3947274758409773</v>
      </c>
      <c r="L20" s="57">
        <v>118.351</v>
      </c>
      <c r="M20" s="57">
        <v>7.95</v>
      </c>
      <c r="N20" s="57" t="s">
        <v>145</v>
      </c>
      <c r="O20" s="57">
        <v>4942.1490000000003</v>
      </c>
      <c r="P20" s="57"/>
      <c r="Q20" s="57"/>
      <c r="R20" s="57"/>
      <c r="S20" s="57"/>
      <c r="T20" s="57"/>
      <c r="U20" s="57"/>
      <c r="V20" s="57"/>
      <c r="W20" s="451"/>
      <c r="X20" s="145"/>
      <c r="Y20" s="223"/>
      <c r="Z20" s="22"/>
      <c r="AA20" s="4"/>
      <c r="AB20" s="24"/>
      <c r="AC20" s="4"/>
      <c r="AF20" s="1"/>
      <c r="AG20" s="1"/>
      <c r="AH20" s="1"/>
      <c r="AI20" s="11"/>
      <c r="AJ20" s="27"/>
      <c r="AL20" s="13"/>
      <c r="AP20"/>
      <c r="AR20"/>
      <c r="AV20"/>
      <c r="AW20"/>
      <c r="AX20"/>
      <c r="AY20"/>
      <c r="AZ20"/>
      <c r="BC20"/>
      <c r="BD20"/>
      <c r="BG20"/>
      <c r="BH20"/>
      <c r="BI20"/>
      <c r="BJ20"/>
      <c r="BS20"/>
      <c r="BU20"/>
      <c r="BV20"/>
      <c r="BX20"/>
    </row>
    <row r="21" spans="1:76" ht="15.75">
      <c r="A21" s="263" t="s">
        <v>110</v>
      </c>
      <c r="B21" t="s">
        <v>110</v>
      </c>
      <c r="C21" s="57"/>
      <c r="D21" s="57">
        <v>461</v>
      </c>
      <c r="E21" s="57">
        <v>10</v>
      </c>
      <c r="F21" s="57">
        <v>492.18</v>
      </c>
      <c r="G21" s="57">
        <v>41540</v>
      </c>
      <c r="H21" s="57">
        <v>501</v>
      </c>
      <c r="I21" s="57">
        <v>41563</v>
      </c>
      <c r="J21" s="57">
        <v>25.625599858682644</v>
      </c>
      <c r="K21" s="57">
        <v>1.6278715959227097</v>
      </c>
      <c r="L21" s="57">
        <v>80.25</v>
      </c>
      <c r="M21" s="57">
        <v>7.95</v>
      </c>
      <c r="N21" s="57" t="s">
        <v>145</v>
      </c>
      <c r="O21" s="57">
        <v>4929.75</v>
      </c>
      <c r="P21" s="57"/>
      <c r="Q21" s="57"/>
      <c r="R21" s="57"/>
      <c r="S21" s="57"/>
      <c r="T21" s="57"/>
      <c r="U21" s="57"/>
      <c r="V21" s="57"/>
      <c r="W21" s="451"/>
      <c r="X21" s="145"/>
      <c r="Y21" s="223"/>
      <c r="Z21" s="22"/>
      <c r="AA21" s="4"/>
      <c r="AB21" s="24"/>
      <c r="AC21" s="4"/>
      <c r="AF21" s="9"/>
      <c r="AG21" s="9"/>
      <c r="AH21" s="9"/>
      <c r="AJ21" s="27"/>
      <c r="AL21" s="13"/>
      <c r="AP21"/>
      <c r="AR21"/>
      <c r="AV21"/>
      <c r="AW21"/>
      <c r="AX21"/>
      <c r="AY21"/>
      <c r="AZ21"/>
      <c r="BC21"/>
      <c r="BD21"/>
      <c r="BG21"/>
      <c r="BH21"/>
      <c r="BI21"/>
      <c r="BJ21"/>
      <c r="BS21"/>
      <c r="BU21"/>
      <c r="BV21"/>
      <c r="BX21"/>
    </row>
    <row r="22" spans="1:76" ht="15.75">
      <c r="A22" s="263" t="s">
        <v>110</v>
      </c>
      <c r="B22" t="s">
        <v>919</v>
      </c>
      <c r="C22" s="57"/>
      <c r="D22" s="57">
        <v>478</v>
      </c>
      <c r="E22" s="57">
        <v>60</v>
      </c>
      <c r="F22" s="57">
        <v>19.68</v>
      </c>
      <c r="G22" s="57">
        <v>41933</v>
      </c>
      <c r="H22" s="57">
        <v>0.01</v>
      </c>
      <c r="I22" s="57">
        <v>41648</v>
      </c>
      <c r="J22" s="57">
        <v>976.61924885847316</v>
      </c>
      <c r="K22" s="57">
        <v>-99.949899799599194</v>
      </c>
      <c r="L22" s="57">
        <v>-1197</v>
      </c>
      <c r="M22" s="57">
        <v>16.8</v>
      </c>
      <c r="N22" s="57" t="s">
        <v>278</v>
      </c>
      <c r="O22" s="57">
        <v>1197.5999999999999</v>
      </c>
      <c r="P22" s="57"/>
      <c r="Q22" s="57"/>
      <c r="R22" s="57"/>
      <c r="S22" s="57"/>
      <c r="T22" s="57"/>
      <c r="U22" s="57"/>
      <c r="V22" s="57"/>
      <c r="W22" s="451"/>
      <c r="X22" s="145"/>
      <c r="Y22" s="223"/>
      <c r="Z22" s="22"/>
      <c r="AA22" s="4"/>
      <c r="AB22" s="24"/>
      <c r="AC22" s="4"/>
      <c r="AF22" s="3"/>
      <c r="AG22" s="3"/>
      <c r="AH22" s="2"/>
      <c r="AI22" s="10"/>
      <c r="AJ22" s="27"/>
      <c r="AL22" s="13"/>
      <c r="AP22"/>
      <c r="AR22"/>
      <c r="AV22"/>
      <c r="AW22"/>
      <c r="AX22"/>
      <c r="AY22"/>
      <c r="AZ22"/>
      <c r="BC22"/>
      <c r="BD22"/>
      <c r="BG22"/>
      <c r="BH22"/>
      <c r="BI22"/>
      <c r="BJ22"/>
      <c r="BS22"/>
      <c r="BU22"/>
      <c r="BV22"/>
      <c r="BX22"/>
    </row>
    <row r="23" spans="1:76" ht="15.75">
      <c r="A23" s="263" t="s">
        <v>110</v>
      </c>
      <c r="B23" t="s">
        <v>919</v>
      </c>
      <c r="C23" s="57"/>
      <c r="D23" s="57">
        <v>480</v>
      </c>
      <c r="E23" s="57">
        <v>40</v>
      </c>
      <c r="F23" s="57">
        <v>19.68</v>
      </c>
      <c r="G23" s="57">
        <v>41568</v>
      </c>
      <c r="H23" s="57">
        <v>3.15</v>
      </c>
      <c r="I23" s="57">
        <v>41656</v>
      </c>
      <c r="J23" s="57">
        <v>-768.55070200855232</v>
      </c>
      <c r="K23" s="57">
        <v>-84.322508398656225</v>
      </c>
      <c r="L23" s="57">
        <v>-677.7</v>
      </c>
      <c r="M23" s="57">
        <v>16.5</v>
      </c>
      <c r="N23" s="57" t="s">
        <v>278</v>
      </c>
      <c r="O23" s="57">
        <v>803.7</v>
      </c>
      <c r="P23" s="57"/>
      <c r="Q23" s="57"/>
      <c r="R23" s="57"/>
      <c r="S23" s="57"/>
      <c r="T23" s="57"/>
      <c r="U23" s="57"/>
      <c r="V23" s="57"/>
      <c r="W23" s="451"/>
      <c r="X23" s="145"/>
      <c r="Y23" s="223"/>
      <c r="Z23" s="22"/>
      <c r="AA23" s="4"/>
      <c r="AB23" s="24"/>
      <c r="AC23" s="4"/>
      <c r="AF23" s="9"/>
      <c r="AG23" s="9"/>
      <c r="AH23" s="9"/>
      <c r="AJ23" s="27"/>
      <c r="AL23" s="13"/>
      <c r="AP23"/>
      <c r="AR23"/>
      <c r="AV23"/>
      <c r="AW23"/>
      <c r="AX23"/>
      <c r="AY23"/>
      <c r="AZ23"/>
      <c r="BC23"/>
      <c r="BD23"/>
      <c r="BG23"/>
      <c r="BH23"/>
      <c r="BI23"/>
      <c r="BJ23"/>
      <c r="BS23"/>
      <c r="BU23"/>
      <c r="BV23"/>
      <c r="BX23"/>
    </row>
    <row r="24" spans="1:76" ht="15.75">
      <c r="A24" s="263" t="s">
        <v>110</v>
      </c>
      <c r="B24" t="s">
        <v>999</v>
      </c>
      <c r="C24" s="57"/>
      <c r="D24" s="57">
        <v>488</v>
      </c>
      <c r="E24" s="57">
        <v>60</v>
      </c>
      <c r="F24" s="57">
        <v>35.15</v>
      </c>
      <c r="G24" s="57">
        <v>41674</v>
      </c>
      <c r="H24" s="57">
        <v>5.3</v>
      </c>
      <c r="I24" s="57">
        <v>41684</v>
      </c>
      <c r="J24" s="57">
        <v>-6934.4601588654614</v>
      </c>
      <c r="K24" s="57">
        <v>-85.040925769122211</v>
      </c>
      <c r="L24" s="57">
        <v>-1807.8</v>
      </c>
      <c r="M24" s="57">
        <v>16.8</v>
      </c>
      <c r="N24" s="57" t="s">
        <v>15</v>
      </c>
      <c r="O24" s="57">
        <v>2125.8000000000002</v>
      </c>
      <c r="P24" s="57"/>
      <c r="Q24" s="57"/>
      <c r="R24" s="57"/>
      <c r="S24" s="57"/>
      <c r="T24" s="57"/>
      <c r="U24" s="57"/>
      <c r="V24" s="57"/>
      <c r="W24" s="451"/>
      <c r="X24" s="145"/>
      <c r="Y24" s="223"/>
      <c r="Z24" s="22"/>
      <c r="AA24" s="4"/>
      <c r="AB24" s="24"/>
      <c r="AC24" s="4"/>
      <c r="AF24" s="9"/>
      <c r="AG24" s="9"/>
      <c r="AH24" s="9"/>
      <c r="AJ24" s="27"/>
      <c r="AL24" s="13"/>
      <c r="AP24"/>
      <c r="AR24"/>
      <c r="AV24"/>
      <c r="AW24"/>
      <c r="AX24"/>
      <c r="AY24"/>
      <c r="AZ24"/>
      <c r="BC24"/>
      <c r="BD24"/>
      <c r="BG24"/>
      <c r="BH24"/>
      <c r="BI24"/>
      <c r="BJ24"/>
      <c r="BS24"/>
      <c r="BU24"/>
      <c r="BV24"/>
      <c r="BX24"/>
    </row>
    <row r="25" spans="1:76" ht="15.75">
      <c r="A25" s="263" t="s">
        <v>110</v>
      </c>
      <c r="B25" t="s">
        <v>110</v>
      </c>
      <c r="C25" s="57"/>
      <c r="D25" s="57">
        <v>501</v>
      </c>
      <c r="E25" s="57">
        <v>20</v>
      </c>
      <c r="F25" s="57">
        <v>462.3639</v>
      </c>
      <c r="G25" s="57">
        <v>41493</v>
      </c>
      <c r="H25" s="57">
        <v>570</v>
      </c>
      <c r="I25" s="57">
        <v>41754</v>
      </c>
      <c r="J25" s="57">
        <v>29.147525914312663</v>
      </c>
      <c r="K25" s="57">
        <v>23.173626840959511</v>
      </c>
      <c r="L25" s="57">
        <v>2144.7719999999999</v>
      </c>
      <c r="M25" s="57">
        <v>7.95</v>
      </c>
      <c r="N25" s="57" t="s">
        <v>145</v>
      </c>
      <c r="O25" s="57">
        <v>9255.2279999999992</v>
      </c>
      <c r="P25" s="57"/>
      <c r="Q25" s="57"/>
      <c r="R25" s="57"/>
      <c r="S25" s="57"/>
      <c r="T25" s="57"/>
      <c r="U25" s="57"/>
      <c r="V25" s="57"/>
      <c r="W25" s="451"/>
      <c r="X25" s="145"/>
      <c r="Y25" s="223"/>
      <c r="Z25" s="22"/>
      <c r="AA25" s="54"/>
      <c r="AB25" s="24"/>
      <c r="AC25" s="4"/>
      <c r="AF25" s="9"/>
      <c r="AG25" s="9"/>
      <c r="AH25" s="9"/>
      <c r="AJ25" s="27"/>
      <c r="AL25" s="13"/>
      <c r="AP25"/>
      <c r="AR25"/>
      <c r="AV25"/>
      <c r="AW25"/>
      <c r="AX25"/>
      <c r="AY25"/>
      <c r="AZ25"/>
      <c r="BC25"/>
      <c r="BD25"/>
      <c r="BG25"/>
      <c r="BH25"/>
      <c r="BI25"/>
      <c r="BJ25"/>
      <c r="BS25"/>
      <c r="BU25"/>
      <c r="BV25"/>
      <c r="BX25"/>
    </row>
    <row r="26" spans="1:76" ht="15.75">
      <c r="A26" s="263" t="s">
        <v>110</v>
      </c>
      <c r="B26" t="s">
        <v>110</v>
      </c>
      <c r="C26" s="57"/>
      <c r="D26" s="57">
        <v>502</v>
      </c>
      <c r="E26" s="57">
        <v>60</v>
      </c>
      <c r="F26" s="57">
        <v>540</v>
      </c>
      <c r="G26" s="57">
        <v>41648</v>
      </c>
      <c r="H26" s="57">
        <v>600</v>
      </c>
      <c r="I26" s="57">
        <v>41764</v>
      </c>
      <c r="J26" s="57">
        <v>33.362642622462843</v>
      </c>
      <c r="K26" s="57">
        <v>11.083854424608765</v>
      </c>
      <c r="L26" s="57">
        <v>3592.05</v>
      </c>
      <c r="M26" s="57">
        <v>7.95</v>
      </c>
      <c r="N26" s="57" t="s">
        <v>145</v>
      </c>
      <c r="O26" s="57">
        <v>32407.95</v>
      </c>
      <c r="P26" s="57"/>
      <c r="Q26" s="57"/>
      <c r="R26" s="57"/>
      <c r="S26" s="57"/>
      <c r="T26" s="57"/>
      <c r="U26" s="57"/>
      <c r="V26" s="57"/>
      <c r="W26" s="451"/>
      <c r="X26" s="145"/>
      <c r="Y26" s="223"/>
      <c r="Z26" s="22"/>
      <c r="AA26" s="4"/>
      <c r="AB26" s="24"/>
      <c r="AC26" s="4"/>
      <c r="AF26" s="9"/>
      <c r="AG26" s="9"/>
      <c r="AH26" s="9"/>
      <c r="AJ26" s="27"/>
      <c r="AL26" s="13"/>
      <c r="AP26"/>
      <c r="AR26"/>
      <c r="AV26"/>
      <c r="AW26"/>
      <c r="AX26"/>
      <c r="AY26"/>
      <c r="AZ26"/>
      <c r="BC26"/>
      <c r="BD26"/>
      <c r="BG26"/>
      <c r="BH26"/>
      <c r="BI26"/>
      <c r="BJ26"/>
      <c r="BS26"/>
      <c r="BU26"/>
      <c r="BV26"/>
      <c r="BX26"/>
    </row>
    <row r="27" spans="1:76" ht="15.75">
      <c r="A27" s="263" t="s">
        <v>110</v>
      </c>
      <c r="B27" t="s">
        <v>1009</v>
      </c>
      <c r="C27" s="57"/>
      <c r="D27" s="57">
        <v>506</v>
      </c>
      <c r="E27" s="57">
        <v>100</v>
      </c>
      <c r="F27" s="57">
        <v>8</v>
      </c>
      <c r="G27" s="57">
        <v>41827</v>
      </c>
      <c r="H27" s="57">
        <v>9.75</v>
      </c>
      <c r="I27" s="57">
        <v>41885</v>
      </c>
      <c r="J27" s="57">
        <v>110.95301457189592</v>
      </c>
      <c r="K27" s="57">
        <v>19.280645950575</v>
      </c>
      <c r="L27" s="57">
        <v>157.6</v>
      </c>
      <c r="M27" s="57">
        <v>17.399999999999999</v>
      </c>
      <c r="N27" s="57" t="s">
        <v>278</v>
      </c>
      <c r="O27" s="57">
        <v>817.4</v>
      </c>
      <c r="P27" s="57"/>
      <c r="Q27" s="57"/>
      <c r="R27" s="57"/>
      <c r="S27" s="57"/>
      <c r="T27" s="57"/>
      <c r="U27" s="57"/>
      <c r="V27" s="57"/>
      <c r="W27" s="451"/>
      <c r="X27" s="145"/>
      <c r="Y27" s="223"/>
      <c r="Z27" s="22"/>
      <c r="AA27" s="4"/>
      <c r="AB27" s="81"/>
      <c r="AC27" s="6"/>
      <c r="AF27" s="9"/>
      <c r="AG27" s="9"/>
      <c r="AH27" s="9"/>
      <c r="AJ27" s="27"/>
      <c r="AL27" s="13"/>
      <c r="AP27"/>
      <c r="AR27"/>
      <c r="AV27"/>
      <c r="AW27"/>
      <c r="AX27"/>
      <c r="AY27"/>
      <c r="AZ27"/>
      <c r="BC27"/>
      <c r="BD27"/>
      <c r="BG27"/>
      <c r="BH27"/>
      <c r="BI27"/>
      <c r="BJ27"/>
      <c r="BS27"/>
      <c r="BU27"/>
      <c r="BV27"/>
      <c r="BX27"/>
    </row>
    <row r="28" spans="1:76" ht="15.75">
      <c r="A28" s="263" t="s">
        <v>380</v>
      </c>
      <c r="B28" t="s">
        <v>411</v>
      </c>
      <c r="C28" s="57"/>
      <c r="D28" s="57">
        <v>162</v>
      </c>
      <c r="E28" s="57">
        <v>100</v>
      </c>
      <c r="F28" s="57">
        <v>0.9</v>
      </c>
      <c r="G28" s="57">
        <v>40843</v>
      </c>
      <c r="H28" s="57">
        <v>5.7</v>
      </c>
      <c r="I28" s="57">
        <v>40868</v>
      </c>
      <c r="J28" s="57">
        <v>2436.851220980594</v>
      </c>
      <c r="K28" s="57">
        <v>430.72625698324021</v>
      </c>
      <c r="L28" s="57">
        <v>462.6</v>
      </c>
      <c r="M28" s="57">
        <v>17.399999999999999</v>
      </c>
      <c r="N28" s="57" t="s">
        <v>15</v>
      </c>
      <c r="O28" s="57">
        <v>107.4</v>
      </c>
      <c r="P28" s="57"/>
      <c r="Q28" s="57"/>
      <c r="R28" s="57"/>
      <c r="S28" s="57"/>
      <c r="T28" s="57"/>
      <c r="U28" s="57"/>
      <c r="V28" s="57"/>
      <c r="W28" s="451"/>
      <c r="X28" s="145"/>
      <c r="Y28" s="223"/>
      <c r="Z28" s="22"/>
      <c r="AA28" s="4"/>
      <c r="AB28" s="24"/>
      <c r="AC28" s="6"/>
      <c r="AF28" s="9"/>
      <c r="AG28" s="9"/>
      <c r="AH28" s="9"/>
      <c r="AJ28" s="27"/>
      <c r="AL28" s="13"/>
      <c r="AP28"/>
      <c r="AR28"/>
      <c r="AV28"/>
      <c r="AW28"/>
      <c r="AX28"/>
      <c r="AY28"/>
      <c r="AZ28"/>
      <c r="BC28"/>
      <c r="BD28"/>
      <c r="BG28"/>
      <c r="BH28"/>
      <c r="BI28"/>
      <c r="BJ28"/>
      <c r="BS28"/>
      <c r="BU28"/>
      <c r="BV28"/>
      <c r="BX28"/>
    </row>
    <row r="29" spans="1:76" ht="15.75">
      <c r="A29" s="263" t="s">
        <v>380</v>
      </c>
      <c r="B29" t="s">
        <v>456</v>
      </c>
      <c r="C29" s="57"/>
      <c r="D29" s="57">
        <v>181</v>
      </c>
      <c r="E29" s="57">
        <v>100</v>
      </c>
      <c r="F29" s="57">
        <v>1</v>
      </c>
      <c r="G29" s="57">
        <v>40878</v>
      </c>
      <c r="H29" s="57">
        <v>6.1</v>
      </c>
      <c r="I29" s="57">
        <v>40891</v>
      </c>
      <c r="J29" s="57">
        <v>4626.7176782098213</v>
      </c>
      <c r="K29" s="57">
        <v>419.59114139693361</v>
      </c>
      <c r="L29" s="57">
        <v>492.6</v>
      </c>
      <c r="M29" s="57">
        <v>17.399999999999999</v>
      </c>
      <c r="N29" s="57" t="s">
        <v>15</v>
      </c>
      <c r="O29" s="57">
        <v>117.4</v>
      </c>
      <c r="P29" s="57"/>
      <c r="Q29" s="57"/>
      <c r="R29" s="57"/>
      <c r="S29" s="57"/>
      <c r="T29" s="57"/>
      <c r="U29" s="57"/>
      <c r="V29" s="57"/>
      <c r="W29" s="451"/>
      <c r="X29" s="145"/>
      <c r="Y29" s="223"/>
      <c r="Z29" s="22"/>
      <c r="AA29" s="4"/>
      <c r="AB29" s="24"/>
      <c r="AC29" s="6"/>
      <c r="AF29" s="9"/>
      <c r="AG29" s="9"/>
      <c r="AH29" s="9"/>
      <c r="AJ29" s="27"/>
      <c r="AL29" s="13"/>
      <c r="AP29"/>
      <c r="AR29"/>
      <c r="AV29"/>
      <c r="AW29"/>
      <c r="AX29"/>
      <c r="AY29"/>
      <c r="AZ29"/>
      <c r="BC29"/>
      <c r="BD29"/>
      <c r="BG29"/>
      <c r="BH29"/>
      <c r="BI29"/>
      <c r="BJ29"/>
      <c r="BS29"/>
      <c r="BU29"/>
      <c r="BV29"/>
      <c r="BX29"/>
    </row>
    <row r="30" spans="1:76" ht="15.75">
      <c r="A30" s="263" t="s">
        <v>380</v>
      </c>
      <c r="B30" t="s">
        <v>479</v>
      </c>
      <c r="C30" s="57"/>
      <c r="D30" s="57">
        <v>218</v>
      </c>
      <c r="E30" s="57">
        <v>100</v>
      </c>
      <c r="F30" s="57">
        <v>11</v>
      </c>
      <c r="G30" s="57">
        <v>40906</v>
      </c>
      <c r="H30" s="57">
        <v>3.5</v>
      </c>
      <c r="I30" s="57">
        <v>40954</v>
      </c>
      <c r="J30" s="57">
        <v>-882.71195651599999</v>
      </c>
      <c r="K30" s="57">
        <v>-68.677286558081263</v>
      </c>
      <c r="L30" s="57">
        <v>-767.4</v>
      </c>
      <c r="M30" s="57">
        <v>17.399999999999999</v>
      </c>
      <c r="N30" s="57" t="s">
        <v>15</v>
      </c>
      <c r="O30" s="57">
        <v>1117.4000000000001</v>
      </c>
      <c r="P30" s="57"/>
      <c r="Q30" s="57"/>
      <c r="R30" s="57"/>
      <c r="S30" s="57"/>
      <c r="T30" s="57"/>
      <c r="U30" s="57"/>
      <c r="V30" s="57"/>
      <c r="W30" s="451"/>
      <c r="X30" s="145"/>
      <c r="Y30" s="223"/>
      <c r="Z30" s="22"/>
      <c r="AA30" s="4"/>
      <c r="AB30" s="24"/>
      <c r="AC30" s="6"/>
      <c r="AF30" s="9"/>
      <c r="AG30" s="9"/>
      <c r="AH30" s="9"/>
      <c r="AJ30" s="27"/>
      <c r="AL30" s="13"/>
      <c r="AP30"/>
      <c r="AR30"/>
      <c r="AV30"/>
      <c r="AW30"/>
      <c r="AX30"/>
      <c r="AY30"/>
      <c r="AZ30"/>
      <c r="BC30"/>
      <c r="BD30"/>
      <c r="BG30"/>
      <c r="BH30"/>
      <c r="BI30"/>
      <c r="BJ30"/>
      <c r="BS30"/>
      <c r="BU30"/>
      <c r="BV30"/>
      <c r="BX30"/>
    </row>
    <row r="31" spans="1:76" ht="15.75">
      <c r="A31" s="263" t="s">
        <v>380</v>
      </c>
      <c r="B31" t="s">
        <v>500</v>
      </c>
      <c r="C31" s="57"/>
      <c r="D31" s="57">
        <v>238</v>
      </c>
      <c r="E31" s="57">
        <v>100</v>
      </c>
      <c r="F31" s="57">
        <v>2.5</v>
      </c>
      <c r="G31" s="57">
        <v>40960</v>
      </c>
      <c r="H31" s="57">
        <v>3.4</v>
      </c>
      <c r="I31" s="57">
        <v>40968</v>
      </c>
      <c r="J31" s="57">
        <v>1095.912285299537</v>
      </c>
      <c r="K31" s="57">
        <v>27.150336574420344</v>
      </c>
      <c r="L31" s="57">
        <v>72.599999999999994</v>
      </c>
      <c r="M31" s="57">
        <v>17.399999999999999</v>
      </c>
      <c r="N31" s="57" t="s">
        <v>15</v>
      </c>
      <c r="O31" s="57">
        <v>267.39999999999998</v>
      </c>
      <c r="P31" s="57"/>
      <c r="Q31" s="57"/>
      <c r="R31" s="57"/>
      <c r="S31" s="57"/>
      <c r="T31" s="57"/>
      <c r="U31" s="57"/>
      <c r="V31" s="57"/>
      <c r="W31" s="451"/>
      <c r="X31" s="145"/>
      <c r="Y31" s="223"/>
      <c r="Z31" s="22"/>
      <c r="AA31" s="4"/>
      <c r="AB31" s="13"/>
      <c r="AC31" s="4"/>
      <c r="AF31" s="9"/>
      <c r="AG31" s="9"/>
      <c r="AH31" s="9"/>
      <c r="AJ31" s="27"/>
      <c r="AL31" s="13"/>
      <c r="AP31"/>
      <c r="AR31"/>
      <c r="AV31"/>
      <c r="AW31"/>
      <c r="AX31"/>
      <c r="AY31"/>
      <c r="AZ31"/>
      <c r="BC31"/>
      <c r="BD31"/>
      <c r="BG31"/>
      <c r="BH31"/>
      <c r="BI31"/>
      <c r="BJ31"/>
      <c r="BS31"/>
      <c r="BU31"/>
      <c r="BV31"/>
      <c r="BX31"/>
    </row>
    <row r="32" spans="1:76" ht="15.75">
      <c r="A32" s="263" t="s">
        <v>380</v>
      </c>
      <c r="B32" t="s">
        <v>682</v>
      </c>
      <c r="C32" s="57"/>
      <c r="D32" s="57">
        <v>288</v>
      </c>
      <c r="E32" s="57">
        <v>100</v>
      </c>
      <c r="F32" s="57">
        <v>2</v>
      </c>
      <c r="G32" s="57">
        <v>41016</v>
      </c>
      <c r="H32" s="57">
        <v>5</v>
      </c>
      <c r="I32" s="57">
        <v>41029</v>
      </c>
      <c r="J32" s="57">
        <v>2338.4402320254239</v>
      </c>
      <c r="K32" s="57">
        <v>129.99080036798529</v>
      </c>
      <c r="L32" s="57">
        <v>282.60000000000002</v>
      </c>
      <c r="M32" s="57">
        <v>17.399999999999999</v>
      </c>
      <c r="N32" s="57" t="s">
        <v>15</v>
      </c>
      <c r="O32" s="57">
        <v>217.4</v>
      </c>
      <c r="P32" s="57"/>
      <c r="Q32" s="57"/>
      <c r="R32" s="57"/>
      <c r="S32" s="57"/>
      <c r="T32" s="57"/>
      <c r="U32" s="57"/>
      <c r="V32" s="57"/>
      <c r="W32" s="451"/>
      <c r="X32" s="145"/>
      <c r="Y32" s="223"/>
      <c r="Z32" s="22"/>
      <c r="AA32" s="4"/>
      <c r="AB32" s="24"/>
      <c r="AC32"/>
      <c r="AF32" s="6"/>
      <c r="AG32" s="9"/>
      <c r="AH32" s="9"/>
      <c r="AJ32" s="27"/>
      <c r="AL32" s="13"/>
      <c r="AP32"/>
      <c r="AR32"/>
      <c r="AV32"/>
      <c r="AW32"/>
      <c r="AX32"/>
      <c r="AY32"/>
      <c r="AZ32"/>
      <c r="BC32"/>
      <c r="BD32"/>
      <c r="BG32"/>
      <c r="BH32"/>
      <c r="BI32"/>
      <c r="BJ32"/>
      <c r="BS32"/>
      <c r="BU32"/>
      <c r="BV32"/>
      <c r="BX32"/>
    </row>
    <row r="33" spans="1:76" ht="15.75">
      <c r="A33" s="263" t="s">
        <v>380</v>
      </c>
      <c r="B33" t="s">
        <v>748</v>
      </c>
      <c r="C33" s="57"/>
      <c r="D33" s="57">
        <v>317</v>
      </c>
      <c r="E33" s="57">
        <v>100</v>
      </c>
      <c r="F33" s="57">
        <v>1</v>
      </c>
      <c r="G33" s="57">
        <v>41073</v>
      </c>
      <c r="H33" s="57">
        <v>5</v>
      </c>
      <c r="I33" s="57">
        <v>41087</v>
      </c>
      <c r="J33" s="57">
        <v>3777.8052480377969</v>
      </c>
      <c r="K33" s="57">
        <v>325.89437819420789</v>
      </c>
      <c r="L33" s="57">
        <v>382.6</v>
      </c>
      <c r="M33" s="57">
        <v>17.399999999999999</v>
      </c>
      <c r="N33" s="57" t="s">
        <v>15</v>
      </c>
      <c r="O33" s="57">
        <v>117.4</v>
      </c>
      <c r="P33" s="57"/>
      <c r="Q33" s="57"/>
      <c r="R33" s="57"/>
      <c r="S33" s="57"/>
      <c r="T33" s="57"/>
      <c r="U33" s="57"/>
      <c r="V33" s="57"/>
      <c r="W33" s="451"/>
      <c r="X33" s="145"/>
      <c r="Y33" s="223"/>
      <c r="Z33" s="22"/>
      <c r="AA33" s="4"/>
      <c r="AB33" s="24"/>
      <c r="AC33"/>
      <c r="AF33" s="6"/>
      <c r="AG33" s="9"/>
      <c r="AH33" s="9"/>
      <c r="AJ33" s="27"/>
      <c r="AL33" s="13"/>
      <c r="AP33"/>
      <c r="AR33"/>
      <c r="AV33"/>
      <c r="AW33"/>
      <c r="AX33"/>
      <c r="AY33"/>
      <c r="AZ33"/>
      <c r="BC33"/>
      <c r="BD33"/>
      <c r="BG33"/>
      <c r="BH33"/>
      <c r="BI33"/>
      <c r="BJ33"/>
      <c r="BS33"/>
      <c r="BU33"/>
      <c r="BV33"/>
      <c r="BX33"/>
    </row>
    <row r="34" spans="1:76" ht="15.75">
      <c r="A34" s="263" t="s">
        <v>380</v>
      </c>
      <c r="B34" t="s">
        <v>768</v>
      </c>
      <c r="C34" s="57"/>
      <c r="D34" s="57">
        <v>349</v>
      </c>
      <c r="E34" s="57">
        <v>100</v>
      </c>
      <c r="F34" s="57">
        <v>3</v>
      </c>
      <c r="G34" s="57">
        <v>41089</v>
      </c>
      <c r="H34" s="57">
        <v>6</v>
      </c>
      <c r="I34" s="57">
        <v>41114</v>
      </c>
      <c r="J34" s="57">
        <v>929.67959680080298</v>
      </c>
      <c r="K34" s="57">
        <v>89.035916824196605</v>
      </c>
      <c r="L34" s="57">
        <v>282.60000000000002</v>
      </c>
      <c r="M34" s="57">
        <v>17.399999999999999</v>
      </c>
      <c r="N34" s="57" t="s">
        <v>15</v>
      </c>
      <c r="O34" s="57">
        <v>317.39999999999998</v>
      </c>
      <c r="P34" s="57"/>
      <c r="Q34" s="57"/>
      <c r="R34" s="57"/>
      <c r="S34" s="57"/>
      <c r="T34" s="57"/>
      <c r="U34" s="57"/>
      <c r="V34" s="57"/>
      <c r="W34" s="451"/>
      <c r="X34" s="145"/>
      <c r="Y34" s="223"/>
      <c r="Z34" s="22"/>
      <c r="AA34" s="4"/>
      <c r="AB34" s="24"/>
      <c r="AC34"/>
      <c r="AF34" s="9"/>
      <c r="AG34" s="9"/>
      <c r="AH34" s="9"/>
      <c r="AJ34" s="27"/>
      <c r="AL34" s="13"/>
      <c r="AP34"/>
      <c r="AR34"/>
      <c r="AV34"/>
      <c r="AW34"/>
      <c r="AX34"/>
      <c r="AY34"/>
      <c r="AZ34"/>
      <c r="BC34"/>
      <c r="BD34"/>
      <c r="BG34"/>
      <c r="BH34"/>
      <c r="BI34"/>
      <c r="BJ34"/>
      <c r="BS34"/>
      <c r="BU34"/>
      <c r="BV34"/>
      <c r="BX34"/>
    </row>
    <row r="35" spans="1:76" ht="15.75">
      <c r="A35" s="263" t="s">
        <v>380</v>
      </c>
      <c r="B35" t="s">
        <v>802</v>
      </c>
      <c r="C35" s="57"/>
      <c r="D35" s="57">
        <v>373</v>
      </c>
      <c r="E35" s="57">
        <v>100</v>
      </c>
      <c r="F35" s="57">
        <v>23.8</v>
      </c>
      <c r="G35" s="57">
        <v>41124</v>
      </c>
      <c r="H35" s="57">
        <v>4.5</v>
      </c>
      <c r="I35" s="57">
        <v>41173</v>
      </c>
      <c r="J35" s="57">
        <v>-1246.1342188737783</v>
      </c>
      <c r="K35" s="57">
        <v>-81.229665470926847</v>
      </c>
      <c r="L35" s="57">
        <v>-1947.4</v>
      </c>
      <c r="M35" s="57">
        <v>17.399999999999999</v>
      </c>
      <c r="N35" s="57" t="s">
        <v>15</v>
      </c>
      <c r="O35" s="57">
        <v>2397.4</v>
      </c>
      <c r="P35" s="57"/>
      <c r="Q35" s="57"/>
      <c r="R35" s="57"/>
      <c r="S35" s="57"/>
      <c r="T35" s="57"/>
      <c r="U35" s="57"/>
      <c r="V35" s="57"/>
      <c r="W35" s="451"/>
      <c r="X35" s="145"/>
      <c r="Y35" s="223"/>
      <c r="Z35" s="22"/>
      <c r="AA35" s="4"/>
      <c r="AB35" s="24"/>
      <c r="AC35" s="4"/>
      <c r="AF35" s="6"/>
      <c r="AG35" s="243"/>
      <c r="AH35" s="9"/>
      <c r="AJ35" s="27"/>
      <c r="AL35" s="13"/>
      <c r="AP35"/>
      <c r="AR35"/>
      <c r="AV35"/>
      <c r="AW35"/>
      <c r="AX35"/>
      <c r="AY35"/>
      <c r="AZ35"/>
      <c r="BC35"/>
      <c r="BD35"/>
      <c r="BG35"/>
      <c r="BH35"/>
      <c r="BI35"/>
      <c r="BJ35"/>
      <c r="BS35"/>
      <c r="BU35"/>
      <c r="BV35"/>
      <c r="BX35"/>
    </row>
    <row r="36" spans="1:76" ht="15.75">
      <c r="A36" s="263" t="s">
        <v>380</v>
      </c>
      <c r="B36" t="s">
        <v>852</v>
      </c>
      <c r="C36" s="57"/>
      <c r="D36" s="57">
        <v>416</v>
      </c>
      <c r="E36" s="57">
        <v>100</v>
      </c>
      <c r="F36" s="57">
        <v>5</v>
      </c>
      <c r="G36" s="57">
        <v>41232</v>
      </c>
      <c r="H36" s="57">
        <v>5.7</v>
      </c>
      <c r="I36" s="57">
        <v>41247</v>
      </c>
      <c r="J36" s="57">
        <v>235.59555495322297</v>
      </c>
      <c r="K36" s="57">
        <v>10.16621569385388</v>
      </c>
      <c r="L36" s="57">
        <v>52.6</v>
      </c>
      <c r="M36" s="57">
        <v>17.399999999999999</v>
      </c>
      <c r="N36" s="57" t="s">
        <v>15</v>
      </c>
      <c r="O36" s="57">
        <v>517.4</v>
      </c>
      <c r="P36" s="57"/>
      <c r="Q36" s="57"/>
      <c r="R36" s="57"/>
      <c r="S36" s="57"/>
      <c r="T36" s="57"/>
      <c r="U36" s="57"/>
      <c r="V36" s="57"/>
      <c r="W36" s="451"/>
      <c r="X36" s="145"/>
      <c r="Y36" s="223"/>
      <c r="Z36" s="22"/>
      <c r="AA36" s="4"/>
      <c r="AB36" s="24"/>
      <c r="AC36" s="4"/>
      <c r="AF36" s="6"/>
      <c r="AG36" s="9"/>
      <c r="AH36" s="9"/>
      <c r="AJ36" s="27"/>
      <c r="AL36" s="13"/>
      <c r="AP36"/>
      <c r="AR36"/>
      <c r="AV36"/>
      <c r="AW36"/>
      <c r="AX36"/>
      <c r="AY36"/>
      <c r="AZ36"/>
      <c r="BC36"/>
      <c r="BD36"/>
      <c r="BG36"/>
      <c r="BH36"/>
      <c r="BI36"/>
      <c r="BJ36"/>
      <c r="BS36"/>
      <c r="BU36"/>
      <c r="BV36"/>
      <c r="BX36"/>
    </row>
    <row r="37" spans="1:76" ht="15.75">
      <c r="A37" s="263" t="s">
        <v>380</v>
      </c>
      <c r="B37" t="s">
        <v>380</v>
      </c>
      <c r="C37" s="57"/>
      <c r="D37" s="57">
        <v>435</v>
      </c>
      <c r="E37" s="57">
        <v>100</v>
      </c>
      <c r="F37" s="57">
        <v>64.305000000000007</v>
      </c>
      <c r="G37" s="57">
        <v>40813</v>
      </c>
      <c r="H37" s="57">
        <v>43.26</v>
      </c>
      <c r="I37" s="57">
        <v>41274</v>
      </c>
      <c r="J37" s="57">
        <v>-31.483783653178861</v>
      </c>
      <c r="K37" s="57">
        <v>-32.809915429955971</v>
      </c>
      <c r="L37" s="57">
        <v>-2112.4499999999998</v>
      </c>
      <c r="M37" s="57">
        <v>7.95</v>
      </c>
      <c r="N37" s="57" t="s">
        <v>145</v>
      </c>
      <c r="O37" s="57">
        <v>6438.45</v>
      </c>
      <c r="P37" s="57"/>
      <c r="Q37" s="57"/>
      <c r="R37" s="57"/>
      <c r="S37" s="57"/>
      <c r="T37" s="57"/>
      <c r="U37" s="57"/>
      <c r="V37" s="57"/>
      <c r="W37" s="451"/>
      <c r="X37" s="145"/>
      <c r="Y37" s="223"/>
      <c r="Z37" s="22"/>
      <c r="AA37" s="4"/>
      <c r="AB37" s="24"/>
      <c r="AC37" s="4"/>
      <c r="AF37" s="6"/>
      <c r="AG37" s="9"/>
      <c r="AH37" s="9"/>
      <c r="AJ37" s="27"/>
      <c r="AL37" s="13"/>
      <c r="AP37"/>
      <c r="AR37"/>
      <c r="AV37"/>
      <c r="AW37"/>
      <c r="AX37"/>
      <c r="AY37"/>
      <c r="AZ37"/>
      <c r="BC37"/>
      <c r="BD37"/>
      <c r="BG37"/>
      <c r="BH37"/>
      <c r="BI37"/>
      <c r="BJ37"/>
      <c r="BS37"/>
      <c r="BU37"/>
      <c r="BV37"/>
      <c r="BX37"/>
    </row>
    <row r="38" spans="1:76" ht="15.75">
      <c r="A38" s="263" t="s">
        <v>380</v>
      </c>
      <c r="B38" t="s">
        <v>902</v>
      </c>
      <c r="C38" s="57"/>
      <c r="D38" s="57">
        <v>466</v>
      </c>
      <c r="E38" s="57">
        <v>200</v>
      </c>
      <c r="F38" s="57">
        <v>1.3</v>
      </c>
      <c r="G38" s="57">
        <v>41549</v>
      </c>
      <c r="H38" s="57">
        <v>1.8</v>
      </c>
      <c r="I38" s="57">
        <v>41565</v>
      </c>
      <c r="J38" s="57">
        <v>582.29074336312533</v>
      </c>
      <c r="K38" s="57">
        <v>29.078522768017208</v>
      </c>
      <c r="L38" s="57">
        <v>81.099999999999994</v>
      </c>
      <c r="M38" s="57">
        <v>18.899999999999999</v>
      </c>
      <c r="N38" s="57" t="s">
        <v>15</v>
      </c>
      <c r="O38" s="57">
        <v>278.89999999999998</v>
      </c>
      <c r="P38" s="57"/>
      <c r="Q38" s="57"/>
      <c r="R38" s="57"/>
      <c r="S38" s="57"/>
      <c r="T38" s="57"/>
      <c r="U38" s="57"/>
      <c r="V38" s="57"/>
      <c r="W38" s="451"/>
      <c r="X38" s="145"/>
      <c r="Y38" s="223"/>
      <c r="Z38" s="22"/>
      <c r="AA38" s="4"/>
      <c r="AB38" s="25"/>
      <c r="AC38" s="4"/>
      <c r="AF38" s="9"/>
      <c r="AG38" s="9"/>
      <c r="AH38" s="9"/>
      <c r="AJ38" s="27"/>
      <c r="AL38" s="13"/>
      <c r="AP38"/>
      <c r="AR38"/>
      <c r="AV38"/>
      <c r="AW38"/>
      <c r="AX38"/>
      <c r="AY38"/>
      <c r="AZ38"/>
      <c r="BC38"/>
      <c r="BD38"/>
      <c r="BG38"/>
      <c r="BH38"/>
      <c r="BI38"/>
      <c r="BJ38"/>
      <c r="BS38"/>
      <c r="BU38"/>
      <c r="BV38"/>
      <c r="BX38"/>
    </row>
    <row r="39" spans="1:76" ht="15.75">
      <c r="A39" s="263" t="s">
        <v>380</v>
      </c>
      <c r="B39" t="s">
        <v>921</v>
      </c>
      <c r="C39" s="57"/>
      <c r="D39" s="57">
        <v>469</v>
      </c>
      <c r="E39" s="57">
        <v>200</v>
      </c>
      <c r="F39" s="57">
        <v>1.5</v>
      </c>
      <c r="G39" s="57">
        <v>41569</v>
      </c>
      <c r="H39" s="57">
        <v>3</v>
      </c>
      <c r="I39" s="57">
        <v>41582</v>
      </c>
      <c r="J39" s="57">
        <v>1774.6077664465311</v>
      </c>
      <c r="K39" s="57">
        <v>88.146754468485426</v>
      </c>
      <c r="L39" s="57">
        <v>281.10000000000002</v>
      </c>
      <c r="M39" s="57">
        <v>18.899999999999999</v>
      </c>
      <c r="N39" s="57" t="s">
        <v>15</v>
      </c>
      <c r="O39" s="57">
        <v>318.89999999999998</v>
      </c>
      <c r="P39" s="57"/>
      <c r="Q39" s="57"/>
      <c r="R39" s="57"/>
      <c r="S39" s="57"/>
      <c r="T39" s="57"/>
      <c r="U39" s="57"/>
      <c r="V39" s="57"/>
      <c r="W39" s="451"/>
      <c r="X39" s="145"/>
      <c r="Y39" s="223"/>
      <c r="Z39" s="22"/>
      <c r="AA39" s="4"/>
      <c r="AB39" s="24"/>
      <c r="AC39"/>
      <c r="AF39" s="9"/>
      <c r="AG39" s="9"/>
      <c r="AH39" s="9"/>
      <c r="AJ39" s="27"/>
      <c r="AL39" s="13"/>
      <c r="AP39"/>
      <c r="AR39"/>
      <c r="AV39"/>
      <c r="AW39"/>
      <c r="AX39"/>
      <c r="AY39"/>
      <c r="AZ39"/>
      <c r="BC39"/>
      <c r="BD39"/>
      <c r="BG39"/>
      <c r="BH39"/>
      <c r="BI39"/>
      <c r="BJ39"/>
      <c r="BS39"/>
      <c r="BU39"/>
      <c r="BV39"/>
      <c r="BX39"/>
    </row>
    <row r="40" spans="1:76" ht="15.75">
      <c r="A40" s="263" t="s">
        <v>45</v>
      </c>
      <c r="B40" t="s">
        <v>45</v>
      </c>
      <c r="C40" s="57"/>
      <c r="D40" s="57">
        <v>216</v>
      </c>
      <c r="E40" s="57">
        <v>104</v>
      </c>
      <c r="F40" s="57">
        <v>22</v>
      </c>
      <c r="G40" s="57">
        <v>40819</v>
      </c>
      <c r="H40" s="57">
        <v>24.07</v>
      </c>
      <c r="I40" s="57">
        <v>40947</v>
      </c>
      <c r="J40" s="57">
        <v>24.653232280616095</v>
      </c>
      <c r="K40" s="57">
        <v>9.0302489165704856</v>
      </c>
      <c r="L40" s="57">
        <v>207.33</v>
      </c>
      <c r="M40" s="57">
        <v>7.95</v>
      </c>
      <c r="N40" s="57" t="s">
        <v>145</v>
      </c>
      <c r="O40" s="57">
        <v>2295.9499999999998</v>
      </c>
      <c r="P40" s="57"/>
      <c r="Q40" s="57"/>
      <c r="R40" s="57"/>
      <c r="S40" s="57"/>
      <c r="T40" s="57"/>
      <c r="U40" s="57"/>
      <c r="V40" s="57"/>
      <c r="W40" s="451"/>
      <c r="X40" s="145"/>
      <c r="Y40" s="223"/>
      <c r="Z40" s="22"/>
      <c r="AA40" s="4"/>
      <c r="AB40" s="24"/>
      <c r="AC40" s="4"/>
      <c r="AF40" s="9"/>
      <c r="AG40" s="9"/>
      <c r="AH40" s="9"/>
      <c r="AJ40" s="27"/>
      <c r="AL40" s="13"/>
      <c r="AP40"/>
      <c r="AR40"/>
      <c r="AV40"/>
      <c r="AW40"/>
      <c r="AX40"/>
      <c r="AY40"/>
      <c r="AZ40"/>
      <c r="BC40"/>
      <c r="BD40"/>
      <c r="BG40"/>
      <c r="BH40"/>
      <c r="BI40"/>
      <c r="BJ40"/>
      <c r="BS40"/>
      <c r="BU40"/>
      <c r="BV40"/>
      <c r="BX40"/>
    </row>
    <row r="41" spans="1:76" ht="15.75">
      <c r="A41" s="263" t="s">
        <v>252</v>
      </c>
      <c r="B41" t="s">
        <v>504</v>
      </c>
      <c r="C41" s="57"/>
      <c r="D41" s="57">
        <v>239</v>
      </c>
      <c r="E41" s="57">
        <v>100</v>
      </c>
      <c r="F41" s="57">
        <v>4.5</v>
      </c>
      <c r="G41" s="57">
        <v>40962</v>
      </c>
      <c r="H41" s="57">
        <v>5</v>
      </c>
      <c r="I41" s="57">
        <v>40968</v>
      </c>
      <c r="J41" s="57">
        <v>410.15461426439037</v>
      </c>
      <c r="K41" s="57">
        <v>6.9747539580658886</v>
      </c>
      <c r="L41" s="57">
        <v>32.6</v>
      </c>
      <c r="M41" s="57">
        <v>17.399999999999999</v>
      </c>
      <c r="N41" s="57" t="s">
        <v>258</v>
      </c>
      <c r="O41" s="57">
        <v>467.4</v>
      </c>
      <c r="P41" s="57"/>
      <c r="Q41" s="57"/>
      <c r="R41" s="57"/>
      <c r="S41" s="57"/>
      <c r="T41" s="57"/>
      <c r="U41" s="57"/>
      <c r="V41" s="57"/>
      <c r="W41" s="451"/>
      <c r="X41" s="145"/>
      <c r="Y41" s="223"/>
      <c r="Z41" s="22"/>
      <c r="AA41" s="59"/>
      <c r="AB41" s="24"/>
      <c r="AC41" s="55"/>
      <c r="AF41" s="9"/>
      <c r="AG41" s="9"/>
      <c r="AH41" s="9"/>
      <c r="AJ41" s="27"/>
      <c r="AL41" s="13"/>
      <c r="AP41"/>
      <c r="AR41"/>
      <c r="AV41"/>
      <c r="AW41"/>
      <c r="AX41"/>
      <c r="AY41"/>
      <c r="AZ41"/>
      <c r="BC41"/>
      <c r="BD41"/>
      <c r="BG41"/>
      <c r="BH41"/>
      <c r="BI41"/>
      <c r="BJ41"/>
      <c r="BS41"/>
      <c r="BU41"/>
      <c r="BV41"/>
      <c r="BX41"/>
    </row>
    <row r="42" spans="1:76" ht="15.75">
      <c r="A42" s="263" t="s">
        <v>57</v>
      </c>
      <c r="C42" s="57"/>
      <c r="D42" s="57">
        <v>11</v>
      </c>
      <c r="E42" s="57">
        <v>900</v>
      </c>
      <c r="F42" s="57">
        <v>10.51</v>
      </c>
      <c r="G42" s="57">
        <v>40087</v>
      </c>
      <c r="H42" s="57">
        <v>20</v>
      </c>
      <c r="I42" s="57">
        <v>40184</v>
      </c>
      <c r="J42" s="57">
        <v>241.78991224499839</v>
      </c>
      <c r="K42" s="57">
        <v>90.135154405589958</v>
      </c>
      <c r="L42" s="57">
        <v>8533.0499999999993</v>
      </c>
      <c r="M42" s="57">
        <v>7.95</v>
      </c>
      <c r="N42" s="57" t="s">
        <v>145</v>
      </c>
      <c r="O42" s="57">
        <v>9466.9500000000007</v>
      </c>
      <c r="P42" s="57"/>
      <c r="Q42" s="57"/>
      <c r="R42" s="57"/>
      <c r="S42" s="57"/>
      <c r="T42" s="57"/>
      <c r="U42" s="57"/>
      <c r="V42" s="57"/>
      <c r="W42" s="451"/>
      <c r="X42" s="145"/>
      <c r="Y42" s="223"/>
      <c r="Z42" s="22"/>
      <c r="AA42" s="4"/>
      <c r="AB42" s="24"/>
      <c r="AC42" s="4"/>
      <c r="AF42" s="9"/>
      <c r="AG42" s="9"/>
      <c r="AH42" s="9"/>
      <c r="AJ42" s="27"/>
      <c r="AL42" s="13"/>
      <c r="AP42"/>
      <c r="AR42"/>
      <c r="AV42"/>
      <c r="AW42"/>
      <c r="AX42"/>
      <c r="AY42"/>
      <c r="AZ42"/>
      <c r="BC42"/>
      <c r="BD42"/>
      <c r="BG42"/>
      <c r="BH42"/>
      <c r="BI42"/>
      <c r="BJ42"/>
      <c r="BS42"/>
      <c r="BU42"/>
      <c r="BV42"/>
      <c r="BX42"/>
    </row>
    <row r="43" spans="1:76" ht="15.75">
      <c r="A43" s="263" t="s">
        <v>57</v>
      </c>
      <c r="B43" t="s">
        <v>14</v>
      </c>
      <c r="C43" s="57"/>
      <c r="D43" s="57">
        <v>50</v>
      </c>
      <c r="E43" s="57">
        <v>300</v>
      </c>
      <c r="F43" s="57">
        <v>4.5699999999999998E-2</v>
      </c>
      <c r="G43" s="57">
        <v>40504</v>
      </c>
      <c r="H43" s="57">
        <v>0.46</v>
      </c>
      <c r="I43" s="57">
        <v>40620</v>
      </c>
      <c r="J43" s="57">
        <v>443.60611076976289</v>
      </c>
      <c r="K43" s="57">
        <v>304.57343887423048</v>
      </c>
      <c r="L43" s="57">
        <v>103.89</v>
      </c>
      <c r="M43" s="57">
        <v>20.399999999999999</v>
      </c>
      <c r="N43" s="57" t="s">
        <v>15</v>
      </c>
      <c r="O43" s="57">
        <v>34.11</v>
      </c>
      <c r="P43" s="57"/>
      <c r="Q43" s="57"/>
      <c r="R43" s="57"/>
      <c r="S43" s="57"/>
      <c r="T43" s="57"/>
      <c r="U43" s="57"/>
      <c r="V43" s="57"/>
      <c r="W43" s="451"/>
      <c r="X43" s="145"/>
      <c r="Y43" s="223"/>
      <c r="Z43" s="22"/>
      <c r="AA43" s="4"/>
      <c r="AB43" s="14"/>
      <c r="AC43"/>
      <c r="AP43"/>
      <c r="AR43"/>
      <c r="AV43"/>
      <c r="AW43"/>
      <c r="AX43"/>
      <c r="AY43"/>
      <c r="AZ43"/>
      <c r="BC43"/>
      <c r="BD43"/>
      <c r="BG43"/>
      <c r="BH43"/>
      <c r="BI43"/>
      <c r="BJ43"/>
      <c r="BS43"/>
      <c r="BU43"/>
      <c r="BV43"/>
      <c r="BX43"/>
    </row>
    <row r="44" spans="1:76" ht="15.75">
      <c r="A44" s="263" t="s">
        <v>57</v>
      </c>
      <c r="B44" t="s">
        <v>285</v>
      </c>
      <c r="C44" s="57"/>
      <c r="D44" s="57">
        <v>70</v>
      </c>
      <c r="E44" s="57">
        <v>300</v>
      </c>
      <c r="F44" s="57">
        <v>0.02</v>
      </c>
      <c r="G44" s="57">
        <v>40623</v>
      </c>
      <c r="H44" s="57">
        <v>0.45</v>
      </c>
      <c r="I44" s="57">
        <v>40712</v>
      </c>
      <c r="J44" s="57">
        <v>669.26677575780673</v>
      </c>
      <c r="K44" s="57">
        <v>411.36363636363632</v>
      </c>
      <c r="L44" s="57">
        <v>108.6</v>
      </c>
      <c r="M44" s="57">
        <v>20.399999999999999</v>
      </c>
      <c r="N44" s="57" t="s">
        <v>15</v>
      </c>
      <c r="O44" s="57">
        <v>26.4</v>
      </c>
      <c r="P44" s="57"/>
      <c r="Q44" s="57"/>
      <c r="R44" s="57"/>
      <c r="S44" s="57"/>
      <c r="T44" s="57"/>
      <c r="U44" s="57"/>
      <c r="V44" s="57"/>
      <c r="W44" s="451"/>
      <c r="X44" s="145"/>
      <c r="Y44" s="223"/>
      <c r="Z44" s="22"/>
      <c r="AA44" s="59"/>
      <c r="AB44" s="14"/>
      <c r="AC44"/>
      <c r="AP44"/>
      <c r="AR44"/>
      <c r="AV44"/>
      <c r="AW44"/>
      <c r="AX44"/>
      <c r="AY44"/>
      <c r="AZ44"/>
      <c r="BC44"/>
      <c r="BD44"/>
      <c r="BG44"/>
      <c r="BH44"/>
      <c r="BI44"/>
      <c r="BJ44"/>
      <c r="BS44"/>
      <c r="BU44"/>
      <c r="BV44"/>
      <c r="BX44"/>
    </row>
    <row r="45" spans="1:76" ht="15.75">
      <c r="A45" s="263" t="s">
        <v>382</v>
      </c>
      <c r="B45" t="s">
        <v>382</v>
      </c>
      <c r="C45" s="57"/>
      <c r="D45" s="57">
        <v>196</v>
      </c>
      <c r="E45" s="57">
        <v>350</v>
      </c>
      <c r="F45" s="57">
        <v>12.5</v>
      </c>
      <c r="G45" s="57">
        <v>40204</v>
      </c>
      <c r="H45" s="57">
        <v>0.25</v>
      </c>
      <c r="I45" s="57">
        <v>40907</v>
      </c>
      <c r="J45" s="57">
        <v>-203.20783104362363</v>
      </c>
      <c r="K45" s="57">
        <v>-98.003627693676634</v>
      </c>
      <c r="L45" s="57">
        <v>-4295.45</v>
      </c>
      <c r="M45" s="57">
        <v>7.95</v>
      </c>
      <c r="N45" s="57" t="s">
        <v>145</v>
      </c>
      <c r="O45" s="57">
        <v>4382.95</v>
      </c>
      <c r="P45" s="57"/>
      <c r="Q45" s="57"/>
      <c r="R45" s="57"/>
      <c r="S45" s="57"/>
      <c r="T45" s="57"/>
      <c r="U45" s="57"/>
      <c r="V45" s="57"/>
      <c r="W45" s="451"/>
      <c r="X45" s="145"/>
      <c r="Y45" s="223"/>
      <c r="Z45" s="22"/>
      <c r="AA45" s="85"/>
      <c r="AB45" s="86"/>
      <c r="AC45"/>
      <c r="AD45" s="261"/>
      <c r="AP45"/>
      <c r="AR45"/>
      <c r="AV45"/>
      <c r="AW45"/>
      <c r="AX45"/>
      <c r="AY45"/>
      <c r="AZ45"/>
      <c r="BC45"/>
      <c r="BD45"/>
      <c r="BG45"/>
      <c r="BH45"/>
      <c r="BI45"/>
      <c r="BJ45"/>
      <c r="BS45"/>
      <c r="BU45"/>
      <c r="BV45"/>
      <c r="BX45"/>
    </row>
    <row r="46" spans="1:76" ht="15.75">
      <c r="A46" s="263" t="s">
        <v>127</v>
      </c>
      <c r="B46" t="s">
        <v>408</v>
      </c>
      <c r="C46" s="57"/>
      <c r="D46" s="57">
        <v>149</v>
      </c>
      <c r="E46" s="57">
        <v>200</v>
      </c>
      <c r="F46" s="57">
        <v>1</v>
      </c>
      <c r="G46" s="57">
        <v>40813</v>
      </c>
      <c r="H46" s="57">
        <v>0.7</v>
      </c>
      <c r="I46" s="57">
        <v>40864</v>
      </c>
      <c r="J46" s="57">
        <v>-319.89214196200453</v>
      </c>
      <c r="K46" s="57">
        <v>-36.043855641845603</v>
      </c>
      <c r="L46" s="57">
        <v>-78.900000000000006</v>
      </c>
      <c r="M46" s="57">
        <v>18.899999999999999</v>
      </c>
      <c r="N46" s="57" t="s">
        <v>15</v>
      </c>
      <c r="O46" s="57">
        <v>218.9</v>
      </c>
      <c r="P46" s="57"/>
      <c r="Q46" s="57"/>
      <c r="R46" s="57"/>
      <c r="S46" s="57"/>
      <c r="T46" s="57"/>
      <c r="U46" s="57"/>
      <c r="V46" s="57"/>
      <c r="W46" s="451"/>
      <c r="X46" s="145"/>
      <c r="Y46" s="223"/>
      <c r="Z46" s="22"/>
      <c r="AA46" s="59"/>
      <c r="AB46" s="248"/>
      <c r="AC46"/>
      <c r="AP46"/>
      <c r="AR46"/>
      <c r="AV46"/>
      <c r="AW46"/>
      <c r="AX46"/>
      <c r="AY46"/>
      <c r="AZ46"/>
      <c r="BC46"/>
      <c r="BD46"/>
      <c r="BG46"/>
      <c r="BH46"/>
      <c r="BI46"/>
      <c r="BJ46"/>
      <c r="BS46"/>
      <c r="BU46"/>
      <c r="BV46"/>
      <c r="BX46"/>
    </row>
    <row r="47" spans="1:76" ht="15.75">
      <c r="A47" s="263" t="s">
        <v>127</v>
      </c>
      <c r="B47" t="s">
        <v>448</v>
      </c>
      <c r="C47" s="57"/>
      <c r="D47" s="57">
        <v>173</v>
      </c>
      <c r="E47" s="57">
        <v>1000</v>
      </c>
      <c r="F47" s="57">
        <v>0.75</v>
      </c>
      <c r="G47" s="57">
        <v>40870</v>
      </c>
      <c r="H47" s="57">
        <v>1.25</v>
      </c>
      <c r="I47" s="57">
        <v>40884</v>
      </c>
      <c r="J47" s="57">
        <v>1226.5348665294059</v>
      </c>
      <c r="K47" s="57">
        <v>60.071712127032903</v>
      </c>
      <c r="L47" s="57">
        <v>469.1</v>
      </c>
      <c r="M47" s="57">
        <v>30.9</v>
      </c>
      <c r="N47" s="57" t="s">
        <v>278</v>
      </c>
      <c r="O47" s="57">
        <v>780.9</v>
      </c>
      <c r="P47" s="57"/>
      <c r="Q47" s="57"/>
      <c r="R47" s="57"/>
      <c r="S47" s="57"/>
      <c r="T47" s="57"/>
      <c r="U47" s="57"/>
      <c r="V47" s="57"/>
      <c r="W47" s="451"/>
      <c r="X47" s="145"/>
      <c r="Y47" s="223"/>
      <c r="Z47" s="22"/>
      <c r="AA47" s="59"/>
      <c r="AB47" s="14"/>
      <c r="AC47"/>
      <c r="AP47"/>
      <c r="AR47"/>
      <c r="AV47"/>
      <c r="AW47"/>
      <c r="AX47"/>
      <c r="AY47"/>
      <c r="AZ47"/>
      <c r="BC47"/>
      <c r="BD47"/>
      <c r="BG47"/>
      <c r="BH47"/>
      <c r="BI47"/>
      <c r="BJ47"/>
      <c r="BS47"/>
      <c r="BU47"/>
      <c r="BV47"/>
      <c r="BX47"/>
    </row>
    <row r="48" spans="1:76" ht="15.75">
      <c r="A48" s="263" t="s">
        <v>127</v>
      </c>
      <c r="B48" t="s">
        <v>127</v>
      </c>
      <c r="C48" s="57"/>
      <c r="D48" s="57">
        <v>177</v>
      </c>
      <c r="E48" s="57">
        <v>200</v>
      </c>
      <c r="F48" s="57">
        <v>13.05</v>
      </c>
      <c r="G48" s="57">
        <v>40809</v>
      </c>
      <c r="H48" s="57">
        <v>10</v>
      </c>
      <c r="I48" s="57">
        <v>40890</v>
      </c>
      <c r="J48" s="57">
        <v>-121.32617492822052</v>
      </c>
      <c r="K48" s="57">
        <v>-23.60434691266067</v>
      </c>
      <c r="L48" s="57">
        <v>-617.95000000000005</v>
      </c>
      <c r="M48" s="57">
        <v>7.95</v>
      </c>
      <c r="N48" s="57" t="s">
        <v>145</v>
      </c>
      <c r="O48" s="57">
        <v>2617.9499999999998</v>
      </c>
      <c r="P48" s="57"/>
      <c r="Q48" s="57"/>
      <c r="R48" s="57"/>
      <c r="S48" s="57"/>
      <c r="T48" s="57"/>
      <c r="U48" s="57"/>
      <c r="V48" s="57"/>
      <c r="W48" s="451"/>
      <c r="X48" s="145"/>
      <c r="Y48" s="223"/>
      <c r="Z48" s="22"/>
      <c r="AA48" s="59"/>
      <c r="AB48" s="14"/>
      <c r="AC48"/>
      <c r="AP48"/>
      <c r="AR48"/>
      <c r="AV48"/>
      <c r="AW48"/>
      <c r="AX48"/>
      <c r="AY48"/>
      <c r="AZ48"/>
      <c r="BC48"/>
      <c r="BD48"/>
      <c r="BG48"/>
      <c r="BH48"/>
      <c r="BI48"/>
      <c r="BJ48"/>
      <c r="BS48"/>
      <c r="BU48"/>
      <c r="BV48"/>
      <c r="BX48"/>
    </row>
    <row r="49" spans="1:76" ht="15.75">
      <c r="A49" s="263" t="s">
        <v>127</v>
      </c>
      <c r="B49" t="s">
        <v>458</v>
      </c>
      <c r="C49" s="57"/>
      <c r="D49" s="57">
        <v>178</v>
      </c>
      <c r="E49" s="57">
        <v>200</v>
      </c>
      <c r="F49" s="57">
        <v>0</v>
      </c>
      <c r="G49" s="57">
        <v>40878</v>
      </c>
      <c r="H49" s="57">
        <v>5.5</v>
      </c>
      <c r="I49" s="57">
        <v>40890</v>
      </c>
      <c r="J49" s="57">
        <v>11011.963460595303</v>
      </c>
      <c r="K49" s="57">
        <v>3635.1443123938889</v>
      </c>
      <c r="L49" s="57">
        <v>1070.55</v>
      </c>
      <c r="M49" s="57">
        <v>29.45</v>
      </c>
      <c r="N49" s="57" t="s">
        <v>404</v>
      </c>
      <c r="O49" s="57">
        <v>29.45</v>
      </c>
      <c r="P49" s="57"/>
      <c r="Q49" s="57"/>
      <c r="R49" s="57"/>
      <c r="S49" s="57"/>
      <c r="T49" s="57"/>
      <c r="U49" s="57"/>
      <c r="V49" s="57"/>
      <c r="W49" s="451"/>
      <c r="X49" s="145"/>
      <c r="Y49" s="223"/>
      <c r="Z49" s="22"/>
      <c r="AA49" s="59"/>
      <c r="AB49" s="14"/>
      <c r="AC49"/>
      <c r="AP49"/>
      <c r="AR49"/>
      <c r="AV49"/>
      <c r="AW49"/>
      <c r="AX49"/>
      <c r="AY49"/>
      <c r="AZ49"/>
      <c r="BC49"/>
      <c r="BD49"/>
      <c r="BG49"/>
      <c r="BH49"/>
      <c r="BI49"/>
      <c r="BJ49"/>
      <c r="BS49"/>
      <c r="BU49"/>
      <c r="BV49"/>
      <c r="BX49"/>
    </row>
    <row r="50" spans="1:76" ht="15.75">
      <c r="A50" s="263" t="s">
        <v>126</v>
      </c>
      <c r="B50" t="s">
        <v>375</v>
      </c>
      <c r="C50" s="57"/>
      <c r="D50" s="57">
        <v>180</v>
      </c>
      <c r="E50" s="57">
        <v>200</v>
      </c>
      <c r="F50" s="57">
        <v>0.5</v>
      </c>
      <c r="G50" s="57">
        <v>40805</v>
      </c>
      <c r="H50" s="57">
        <v>2.75</v>
      </c>
      <c r="I50" s="57">
        <v>40891</v>
      </c>
      <c r="J50" s="57">
        <v>650.05459093415107</v>
      </c>
      <c r="K50" s="57">
        <v>362.57359125315389</v>
      </c>
      <c r="L50" s="57">
        <v>431.1</v>
      </c>
      <c r="M50" s="57">
        <v>18.899999999999999</v>
      </c>
      <c r="N50" s="57" t="s">
        <v>15</v>
      </c>
      <c r="O50" s="57">
        <v>118.9</v>
      </c>
      <c r="P50" s="57"/>
      <c r="Q50" s="57"/>
      <c r="R50" s="57"/>
      <c r="S50" s="57"/>
      <c r="T50" s="57"/>
      <c r="U50" s="57"/>
      <c r="V50" s="57"/>
      <c r="W50" s="451"/>
      <c r="X50" s="145"/>
      <c r="Y50" s="223"/>
      <c r="Z50" s="22"/>
      <c r="AA50" s="69"/>
      <c r="AB50" s="70"/>
      <c r="AC50"/>
      <c r="AP50"/>
      <c r="AR50"/>
      <c r="AV50"/>
      <c r="AW50"/>
      <c r="AX50"/>
      <c r="AY50"/>
      <c r="AZ50"/>
      <c r="BC50"/>
      <c r="BD50"/>
      <c r="BG50"/>
      <c r="BH50"/>
      <c r="BI50"/>
      <c r="BJ50"/>
      <c r="BS50"/>
      <c r="BU50"/>
      <c r="BV50"/>
      <c r="BX50"/>
    </row>
    <row r="51" spans="1:76" ht="15.75">
      <c r="A51" s="263" t="s">
        <v>126</v>
      </c>
      <c r="B51" t="s">
        <v>487</v>
      </c>
      <c r="C51" s="57"/>
      <c r="D51" s="57">
        <v>280</v>
      </c>
      <c r="E51" s="57">
        <v>200</v>
      </c>
      <c r="F51" s="57">
        <v>8.1999999999999993</v>
      </c>
      <c r="G51" s="57">
        <v>40919</v>
      </c>
      <c r="H51" s="57">
        <v>7.5</v>
      </c>
      <c r="I51" s="57">
        <v>41019</v>
      </c>
      <c r="J51" s="57">
        <v>-37.122942184741078</v>
      </c>
      <c r="K51" s="57">
        <v>-9.5786364458375957</v>
      </c>
      <c r="L51" s="57">
        <v>-158.9</v>
      </c>
      <c r="M51" s="57">
        <v>18.899999999999999</v>
      </c>
      <c r="N51" s="57" t="s">
        <v>15</v>
      </c>
      <c r="O51" s="57">
        <v>1658.9</v>
      </c>
      <c r="P51" s="57"/>
      <c r="Q51" s="57"/>
      <c r="R51" s="57"/>
      <c r="S51" s="57"/>
      <c r="T51" s="57"/>
      <c r="U51" s="57"/>
      <c r="V51" s="57"/>
      <c r="W51" s="451"/>
      <c r="X51" s="145"/>
      <c r="Y51" s="223"/>
      <c r="Z51" s="22"/>
      <c r="AA51" s="71"/>
      <c r="AB51" s="70"/>
      <c r="AC51"/>
      <c r="AP51"/>
      <c r="AR51"/>
      <c r="AV51"/>
      <c r="AW51"/>
      <c r="AX51"/>
      <c r="AY51"/>
      <c r="AZ51"/>
      <c r="BC51"/>
      <c r="BD51"/>
      <c r="BG51"/>
      <c r="BH51"/>
      <c r="BI51"/>
      <c r="BJ51"/>
      <c r="BS51"/>
      <c r="BU51"/>
      <c r="BV51"/>
      <c r="BX51"/>
    </row>
    <row r="52" spans="1:76" ht="15.75">
      <c r="A52" s="263" t="s">
        <v>126</v>
      </c>
      <c r="B52" t="s">
        <v>687</v>
      </c>
      <c r="C52" s="57"/>
      <c r="D52" s="57">
        <v>294</v>
      </c>
      <c r="E52" s="57">
        <v>200</v>
      </c>
      <c r="F52" s="57">
        <v>0.9</v>
      </c>
      <c r="G52" s="57">
        <v>41024</v>
      </c>
      <c r="H52" s="57">
        <v>3</v>
      </c>
      <c r="I52" s="57">
        <v>41033</v>
      </c>
      <c r="J52" s="57">
        <v>4477.8502923891137</v>
      </c>
      <c r="K52" s="57">
        <v>201.65912518853696</v>
      </c>
      <c r="L52" s="57">
        <v>401.1</v>
      </c>
      <c r="M52" s="57">
        <v>18.899999999999999</v>
      </c>
      <c r="N52" s="57" t="s">
        <v>15</v>
      </c>
      <c r="O52" s="57">
        <v>198.9</v>
      </c>
      <c r="P52" s="57"/>
      <c r="Q52" s="57"/>
      <c r="R52" s="57"/>
      <c r="S52" s="57"/>
      <c r="T52" s="57"/>
      <c r="U52" s="57"/>
      <c r="V52" s="57"/>
      <c r="W52" s="451"/>
      <c r="X52" s="145"/>
      <c r="Y52" s="223"/>
      <c r="Z52" s="22"/>
      <c r="AA52" s="72"/>
      <c r="AB52" s="73"/>
      <c r="AC52" s="76"/>
      <c r="AP52"/>
      <c r="AR52"/>
      <c r="AV52"/>
      <c r="AW52"/>
      <c r="AX52"/>
      <c r="AY52"/>
      <c r="AZ52"/>
      <c r="BC52"/>
      <c r="BD52"/>
      <c r="BG52"/>
      <c r="BH52"/>
      <c r="BI52"/>
      <c r="BJ52"/>
      <c r="BS52"/>
      <c r="BU52"/>
      <c r="BV52"/>
      <c r="BX52"/>
    </row>
    <row r="53" spans="1:76" ht="15.75">
      <c r="A53" s="263" t="s">
        <v>126</v>
      </c>
      <c r="B53" t="s">
        <v>747</v>
      </c>
      <c r="C53" s="57"/>
      <c r="D53" s="57">
        <v>331</v>
      </c>
      <c r="E53" s="57">
        <v>200</v>
      </c>
      <c r="F53" s="57">
        <v>2</v>
      </c>
      <c r="G53" s="57">
        <v>41071</v>
      </c>
      <c r="H53" s="57">
        <v>2.5</v>
      </c>
      <c r="I53" s="57">
        <v>41096</v>
      </c>
      <c r="J53" s="57">
        <v>258.38477088503561</v>
      </c>
      <c r="K53" s="57">
        <v>19.360229171640007</v>
      </c>
      <c r="L53" s="57">
        <v>81.099999999999994</v>
      </c>
      <c r="M53" s="57">
        <v>18.899999999999999</v>
      </c>
      <c r="N53" s="57" t="s">
        <v>15</v>
      </c>
      <c r="O53" s="57">
        <v>418.9</v>
      </c>
      <c r="P53" s="57"/>
      <c r="Q53" s="57"/>
      <c r="R53" s="57"/>
      <c r="S53" s="57"/>
      <c r="T53" s="57"/>
      <c r="U53" s="57"/>
      <c r="V53" s="57"/>
      <c r="W53" s="451"/>
      <c r="X53" s="145"/>
      <c r="Y53" s="223"/>
      <c r="Z53" s="22"/>
      <c r="AA53" s="1"/>
      <c r="AB53" s="68"/>
      <c r="AC53" s="76"/>
      <c r="AP53"/>
      <c r="AR53"/>
      <c r="AV53"/>
      <c r="AW53"/>
      <c r="AX53"/>
      <c r="AY53"/>
      <c r="AZ53"/>
      <c r="BC53"/>
      <c r="BD53"/>
      <c r="BG53"/>
      <c r="BH53"/>
      <c r="BI53"/>
      <c r="BJ53"/>
      <c r="BS53"/>
      <c r="BU53"/>
      <c r="BV53"/>
      <c r="BX53"/>
    </row>
    <row r="54" spans="1:76" ht="15.75">
      <c r="A54" s="263" t="s">
        <v>126</v>
      </c>
      <c r="B54" t="s">
        <v>781</v>
      </c>
      <c r="C54" s="57"/>
      <c r="D54" s="57">
        <v>381</v>
      </c>
      <c r="E54" s="57">
        <v>200</v>
      </c>
      <c r="F54" s="57">
        <v>6</v>
      </c>
      <c r="G54" s="57">
        <v>41108</v>
      </c>
      <c r="H54" s="57">
        <v>1.5</v>
      </c>
      <c r="I54" s="57">
        <v>41192</v>
      </c>
      <c r="J54" s="57">
        <v>-609.16832167504788</v>
      </c>
      <c r="K54" s="57">
        <v>-75.387644597587993</v>
      </c>
      <c r="L54" s="57">
        <v>-918.9</v>
      </c>
      <c r="M54" s="57">
        <v>18.899999999999999</v>
      </c>
      <c r="N54" s="57" t="s">
        <v>15</v>
      </c>
      <c r="O54" s="57">
        <v>1218.9000000000001</v>
      </c>
      <c r="P54" s="57"/>
      <c r="Q54" s="57"/>
      <c r="R54" s="57"/>
      <c r="S54" s="57"/>
      <c r="T54" s="57"/>
      <c r="U54" s="57"/>
      <c r="V54" s="57"/>
      <c r="W54" s="451"/>
      <c r="X54" s="145"/>
      <c r="Y54" s="223"/>
      <c r="Z54" s="22"/>
      <c r="AA54" s="74"/>
      <c r="AB54" s="75"/>
      <c r="AC54" s="76"/>
      <c r="AP54"/>
      <c r="AR54"/>
      <c r="AV54"/>
      <c r="AW54"/>
      <c r="AX54"/>
      <c r="AY54"/>
      <c r="AZ54"/>
      <c r="BC54"/>
      <c r="BD54"/>
      <c r="BG54"/>
      <c r="BH54"/>
      <c r="BI54"/>
      <c r="BJ54"/>
      <c r="BS54"/>
      <c r="BU54"/>
      <c r="BV54"/>
      <c r="BX54"/>
    </row>
    <row r="55" spans="1:76" ht="16.5" thickBot="1">
      <c r="A55" s="263" t="s">
        <v>126</v>
      </c>
      <c r="B55" t="s">
        <v>830</v>
      </c>
      <c r="C55" s="57"/>
      <c r="D55" s="57">
        <v>389</v>
      </c>
      <c r="E55" s="57">
        <v>200</v>
      </c>
      <c r="F55" s="57">
        <v>2.2000000000000002</v>
      </c>
      <c r="G55" s="57">
        <v>41193</v>
      </c>
      <c r="H55" s="57">
        <v>3.5</v>
      </c>
      <c r="I55" s="57">
        <v>41201</v>
      </c>
      <c r="J55" s="57">
        <v>1926.5065622444392</v>
      </c>
      <c r="K55" s="57">
        <v>52.538679450860741</v>
      </c>
      <c r="L55" s="57">
        <v>241.1</v>
      </c>
      <c r="M55" s="57">
        <v>18.899999999999999</v>
      </c>
      <c r="N55" s="57" t="s">
        <v>15</v>
      </c>
      <c r="O55" s="57">
        <v>458.9</v>
      </c>
      <c r="P55" s="57"/>
      <c r="Q55" s="57"/>
      <c r="R55" s="57"/>
      <c r="S55" s="57"/>
      <c r="T55" s="57"/>
      <c r="U55" s="57"/>
      <c r="V55" s="57"/>
      <c r="W55" s="451"/>
      <c r="X55" s="145"/>
      <c r="Y55" s="223"/>
      <c r="Z55" s="22"/>
      <c r="AA55" s="71"/>
      <c r="AB55" s="78"/>
      <c r="AC55"/>
      <c r="AP55"/>
      <c r="AR55"/>
      <c r="AV55"/>
      <c r="AW55"/>
      <c r="AX55"/>
      <c r="AY55"/>
      <c r="AZ55"/>
      <c r="BC55"/>
      <c r="BD55"/>
      <c r="BG55"/>
      <c r="BH55"/>
      <c r="BI55"/>
      <c r="BJ55"/>
      <c r="BS55"/>
      <c r="BU55"/>
      <c r="BV55"/>
      <c r="BX55"/>
    </row>
    <row r="56" spans="1:76" ht="15.75">
      <c r="A56" s="263" t="s">
        <v>126</v>
      </c>
      <c r="B56" t="s">
        <v>842</v>
      </c>
      <c r="C56" s="57"/>
      <c r="D56" s="57">
        <v>404</v>
      </c>
      <c r="E56" s="57">
        <v>200</v>
      </c>
      <c r="F56" s="57">
        <v>0.1</v>
      </c>
      <c r="G56" s="57">
        <v>41218</v>
      </c>
      <c r="H56" s="57">
        <v>1.2</v>
      </c>
      <c r="I56" s="57">
        <v>41229</v>
      </c>
      <c r="J56" s="57">
        <v>6037.9118685629137</v>
      </c>
      <c r="K56" s="57">
        <v>516.96658097686384</v>
      </c>
      <c r="L56" s="57">
        <v>201.1</v>
      </c>
      <c r="M56" s="57">
        <v>18.899999999999999</v>
      </c>
      <c r="N56" s="57" t="s">
        <v>15</v>
      </c>
      <c r="O56" s="57">
        <v>38.9</v>
      </c>
      <c r="P56" s="57"/>
      <c r="Q56" s="57"/>
      <c r="R56" s="57"/>
      <c r="S56" s="57"/>
      <c r="T56" s="57"/>
      <c r="U56" s="57"/>
      <c r="V56" s="57"/>
      <c r="W56" s="451"/>
      <c r="X56" s="145"/>
      <c r="Y56" s="223"/>
      <c r="Z56" s="22"/>
      <c r="AA56" s="1"/>
      <c r="AB56" s="14"/>
      <c r="AC56"/>
      <c r="AD56" s="117"/>
      <c r="AE56" s="118"/>
      <c r="AF56" s="119"/>
      <c r="AP56"/>
      <c r="AR56"/>
      <c r="AV56"/>
      <c r="AW56"/>
      <c r="AX56"/>
      <c r="AY56"/>
      <c r="AZ56"/>
      <c r="BC56"/>
      <c r="BD56"/>
      <c r="BG56"/>
      <c r="BH56"/>
      <c r="BI56"/>
      <c r="BJ56"/>
      <c r="BS56"/>
      <c r="BU56"/>
      <c r="BV56"/>
      <c r="BX56"/>
    </row>
    <row r="57" spans="1:76" ht="16.5" thickBot="1">
      <c r="A57" s="263" t="s">
        <v>126</v>
      </c>
      <c r="B57" t="s">
        <v>126</v>
      </c>
      <c r="C57" s="57"/>
      <c r="D57" s="57">
        <v>444</v>
      </c>
      <c r="E57" s="57">
        <v>200</v>
      </c>
      <c r="F57" s="57">
        <v>19.5</v>
      </c>
      <c r="G57" s="57">
        <v>40787</v>
      </c>
      <c r="H57" s="57">
        <v>19</v>
      </c>
      <c r="I57" s="57">
        <v>41294</v>
      </c>
      <c r="J57" s="57">
        <v>-2.0166338620978475</v>
      </c>
      <c r="K57" s="57">
        <v>-2.7623178392763545</v>
      </c>
      <c r="L57" s="57">
        <v>-107.95</v>
      </c>
      <c r="M57" s="57">
        <v>7.95</v>
      </c>
      <c r="N57" s="57" t="s">
        <v>145</v>
      </c>
      <c r="O57" s="57">
        <v>3907.95</v>
      </c>
      <c r="P57" s="57"/>
      <c r="Q57" s="57"/>
      <c r="R57" s="57"/>
      <c r="S57" s="57"/>
      <c r="T57" s="57"/>
      <c r="U57" s="57"/>
      <c r="V57" s="57"/>
      <c r="W57" s="451"/>
      <c r="X57" s="145"/>
      <c r="Y57" s="223"/>
      <c r="Z57" s="22"/>
      <c r="AA57" s="52"/>
      <c r="AB57" s="79"/>
      <c r="AC57"/>
      <c r="AD57" s="121"/>
      <c r="AE57" s="122"/>
      <c r="AF57" s="123"/>
      <c r="AP57"/>
      <c r="AR57"/>
      <c r="AV57"/>
      <c r="AW57"/>
      <c r="AX57"/>
      <c r="AY57"/>
      <c r="AZ57"/>
      <c r="BC57"/>
      <c r="BD57"/>
      <c r="BG57"/>
      <c r="BH57"/>
      <c r="BI57"/>
      <c r="BJ57"/>
      <c r="BS57"/>
      <c r="BU57"/>
      <c r="BV57"/>
      <c r="BX57"/>
    </row>
    <row r="58" spans="1:76" ht="16.5" thickBot="1">
      <c r="A58" s="263" t="s">
        <v>126</v>
      </c>
      <c r="B58" t="s">
        <v>875</v>
      </c>
      <c r="C58" s="57"/>
      <c r="D58" s="57">
        <v>447</v>
      </c>
      <c r="E58" s="57">
        <v>200</v>
      </c>
      <c r="F58" s="57">
        <v>0</v>
      </c>
      <c r="G58" s="57">
        <v>41247</v>
      </c>
      <c r="H58" s="57">
        <v>2</v>
      </c>
      <c r="I58" s="57">
        <v>41294</v>
      </c>
      <c r="J58" s="57">
        <v>2025.9601755506192</v>
      </c>
      <c r="K58" s="57">
        <v>1258.2342954159592</v>
      </c>
      <c r="L58" s="57">
        <v>370.55</v>
      </c>
      <c r="M58" s="57">
        <v>29.45</v>
      </c>
      <c r="N58" s="57" t="s">
        <v>404</v>
      </c>
      <c r="O58" s="57">
        <v>29.45</v>
      </c>
      <c r="P58" s="57"/>
      <c r="Q58" s="57"/>
      <c r="R58" s="57"/>
      <c r="S58" s="57"/>
      <c r="T58" s="57"/>
      <c r="U58" s="57"/>
      <c r="V58" s="57"/>
      <c r="W58" s="451"/>
      <c r="X58" s="145"/>
      <c r="Y58" s="223"/>
      <c r="Z58" s="22"/>
      <c r="AA58" s="116"/>
      <c r="AB58" s="117"/>
      <c r="AC58" s="118"/>
      <c r="AD58" s="125"/>
      <c r="AE58" s="126"/>
      <c r="AF58" s="127"/>
      <c r="AP58"/>
      <c r="AR58"/>
      <c r="AV58"/>
      <c r="AW58"/>
      <c r="AX58"/>
      <c r="AY58"/>
      <c r="AZ58"/>
      <c r="BC58"/>
      <c r="BD58"/>
      <c r="BG58"/>
      <c r="BH58"/>
      <c r="BI58"/>
      <c r="BJ58"/>
      <c r="BS58"/>
      <c r="BU58"/>
      <c r="BV58"/>
      <c r="BX58"/>
    </row>
    <row r="59" spans="1:76" ht="15.75">
      <c r="A59" s="263" t="s">
        <v>21</v>
      </c>
      <c r="B59" t="s">
        <v>18</v>
      </c>
      <c r="C59" s="57"/>
      <c r="D59" s="57">
        <v>48</v>
      </c>
      <c r="E59" s="57">
        <v>900</v>
      </c>
      <c r="F59" s="57">
        <v>0</v>
      </c>
      <c r="G59" s="57">
        <v>40548</v>
      </c>
      <c r="H59" s="57">
        <v>0.25</v>
      </c>
      <c r="I59" s="57">
        <v>40620</v>
      </c>
      <c r="J59" s="57">
        <v>1402.552551511551</v>
      </c>
      <c r="K59" s="57">
        <v>1430.6122448979593</v>
      </c>
      <c r="L59" s="57">
        <v>210.3</v>
      </c>
      <c r="M59" s="57">
        <v>14.7</v>
      </c>
      <c r="N59" s="57" t="s">
        <v>403</v>
      </c>
      <c r="O59" s="57">
        <v>14.7</v>
      </c>
      <c r="P59" s="57"/>
      <c r="Q59" s="57"/>
      <c r="R59" s="57"/>
      <c r="S59" s="57"/>
      <c r="T59" s="57"/>
      <c r="U59" s="57"/>
      <c r="V59" s="57"/>
      <c r="W59" s="451"/>
      <c r="X59" s="145"/>
      <c r="Y59" s="223"/>
      <c r="Z59" s="22"/>
      <c r="AA59" s="120"/>
      <c r="AB59" s="121"/>
      <c r="AC59" s="122"/>
      <c r="AP59"/>
      <c r="AR59"/>
      <c r="AV59"/>
      <c r="AW59"/>
      <c r="AX59"/>
      <c r="AY59"/>
      <c r="AZ59"/>
      <c r="BC59"/>
      <c r="BD59"/>
      <c r="BG59"/>
      <c r="BH59"/>
      <c r="BI59"/>
      <c r="BJ59"/>
      <c r="BS59"/>
      <c r="BU59"/>
      <c r="BV59"/>
      <c r="BX59"/>
    </row>
    <row r="60" spans="1:76" ht="16.5" thickBot="1">
      <c r="A60" s="263" t="s">
        <v>21</v>
      </c>
      <c r="B60" t="s">
        <v>238</v>
      </c>
      <c r="C60" s="57"/>
      <c r="D60" s="57">
        <v>55</v>
      </c>
      <c r="E60" s="57">
        <v>900</v>
      </c>
      <c r="F60" s="57">
        <v>0</v>
      </c>
      <c r="G60" s="57">
        <v>40494</v>
      </c>
      <c r="H60" s="57">
        <v>0.1</v>
      </c>
      <c r="I60" s="57">
        <v>40529</v>
      </c>
      <c r="J60" s="57">
        <v>1889.6176983975276</v>
      </c>
      <c r="K60" s="57">
        <v>512.24489795918373</v>
      </c>
      <c r="L60" s="57">
        <v>75.3</v>
      </c>
      <c r="M60" s="57">
        <v>14.7</v>
      </c>
      <c r="N60" s="57" t="s">
        <v>403</v>
      </c>
      <c r="O60" s="57">
        <v>14.7</v>
      </c>
      <c r="P60" s="57"/>
      <c r="Q60" s="57"/>
      <c r="R60" s="57"/>
      <c r="S60" s="57"/>
      <c r="T60" s="57"/>
      <c r="U60" s="57"/>
      <c r="V60" s="57"/>
      <c r="W60" s="451"/>
      <c r="X60" s="145"/>
      <c r="Y60" s="223"/>
      <c r="Z60" s="22"/>
      <c r="AA60" s="124"/>
      <c r="AB60" s="125"/>
      <c r="AC60" s="126"/>
      <c r="AP60"/>
      <c r="AR60"/>
      <c r="AV60"/>
      <c r="AW60"/>
      <c r="AX60"/>
      <c r="AY60"/>
      <c r="AZ60"/>
      <c r="BC60"/>
      <c r="BD60"/>
      <c r="BG60"/>
      <c r="BH60"/>
      <c r="BI60"/>
      <c r="BJ60"/>
      <c r="BS60"/>
      <c r="BU60"/>
      <c r="BV60"/>
      <c r="BX60"/>
    </row>
    <row r="61" spans="1:76" ht="20.25">
      <c r="A61" s="263" t="s">
        <v>21</v>
      </c>
      <c r="B61" t="s">
        <v>274</v>
      </c>
      <c r="C61" s="57"/>
      <c r="D61" s="57">
        <v>56</v>
      </c>
      <c r="E61" s="57">
        <v>700</v>
      </c>
      <c r="F61" s="57">
        <v>0</v>
      </c>
      <c r="G61" s="57">
        <v>40654</v>
      </c>
      <c r="H61" s="57">
        <v>3.1</v>
      </c>
      <c r="I61" s="57">
        <v>40664</v>
      </c>
      <c r="J61" s="57">
        <v>15256.753882734029</v>
      </c>
      <c r="K61" s="57">
        <v>6436.144578313254</v>
      </c>
      <c r="L61" s="57">
        <v>2136.8000000000002</v>
      </c>
      <c r="M61" s="57">
        <v>33.200000000000003</v>
      </c>
      <c r="N61" s="57" t="s">
        <v>404</v>
      </c>
      <c r="O61" s="57">
        <v>33.200000000000003</v>
      </c>
      <c r="P61" s="57"/>
      <c r="Q61" s="57"/>
      <c r="R61" s="57"/>
      <c r="S61" s="57"/>
      <c r="T61" s="57"/>
      <c r="U61" s="57"/>
      <c r="V61" s="57"/>
      <c r="W61" s="451"/>
      <c r="X61" s="145"/>
      <c r="Y61" s="223"/>
      <c r="Z61" s="22"/>
      <c r="AA61" s="53"/>
      <c r="AB61" s="13"/>
      <c r="AC61"/>
      <c r="AP61"/>
      <c r="AR61"/>
      <c r="AV61"/>
      <c r="AW61"/>
      <c r="AX61"/>
      <c r="AY61"/>
      <c r="AZ61"/>
      <c r="BC61"/>
      <c r="BD61"/>
      <c r="BG61"/>
      <c r="BH61"/>
      <c r="BI61"/>
      <c r="BJ61"/>
      <c r="BS61"/>
      <c r="BU61"/>
      <c r="BV61"/>
      <c r="BX61"/>
    </row>
    <row r="62" spans="1:76" ht="15.75">
      <c r="A62" s="263" t="s">
        <v>21</v>
      </c>
      <c r="C62" s="57"/>
      <c r="D62" s="57">
        <v>57</v>
      </c>
      <c r="E62" s="57">
        <v>700</v>
      </c>
      <c r="F62" s="57">
        <v>2.5</v>
      </c>
      <c r="G62" s="57">
        <v>40319</v>
      </c>
      <c r="H62" s="57">
        <v>1</v>
      </c>
      <c r="I62" s="57">
        <v>40664</v>
      </c>
      <c r="J62" s="57">
        <v>-97.420436233650435</v>
      </c>
      <c r="K62" s="57">
        <v>-60.180892516852012</v>
      </c>
      <c r="L62" s="57">
        <v>-1057.95</v>
      </c>
      <c r="M62" s="57">
        <v>7.95</v>
      </c>
      <c r="N62" s="57" t="s">
        <v>145</v>
      </c>
      <c r="O62" s="57">
        <v>1757.95</v>
      </c>
      <c r="P62" s="57"/>
      <c r="Q62" s="57"/>
      <c r="R62" s="57"/>
      <c r="S62" s="57"/>
      <c r="T62" s="57"/>
      <c r="U62" s="57"/>
      <c r="V62" s="57"/>
      <c r="W62" s="451"/>
      <c r="X62" s="145"/>
      <c r="Y62" s="223"/>
      <c r="Z62" s="22"/>
      <c r="AA62"/>
      <c r="AB62" s="13"/>
      <c r="AC62"/>
      <c r="AP62"/>
      <c r="AR62"/>
      <c r="AV62"/>
      <c r="AW62"/>
      <c r="AX62"/>
      <c r="AY62"/>
      <c r="AZ62"/>
      <c r="BC62"/>
      <c r="BD62"/>
      <c r="BG62"/>
      <c r="BH62"/>
      <c r="BI62"/>
      <c r="BJ62"/>
      <c r="BS62"/>
      <c r="BU62"/>
      <c r="BV62"/>
      <c r="BX62"/>
    </row>
    <row r="63" spans="1:76" ht="15.75">
      <c r="A63" s="263" t="s">
        <v>21</v>
      </c>
      <c r="B63" t="s">
        <v>274</v>
      </c>
      <c r="C63" s="57"/>
      <c r="D63" s="57">
        <v>72</v>
      </c>
      <c r="E63" s="57">
        <v>200</v>
      </c>
      <c r="F63" s="57">
        <v>0</v>
      </c>
      <c r="G63" s="57">
        <v>40654</v>
      </c>
      <c r="H63" s="57">
        <v>3.1</v>
      </c>
      <c r="I63" s="57">
        <v>40712</v>
      </c>
      <c r="J63" s="57">
        <v>1917.524710859763</v>
      </c>
      <c r="K63" s="57">
        <v>2005.2631578947369</v>
      </c>
      <c r="L63" s="57">
        <v>590.54999999999995</v>
      </c>
      <c r="M63" s="57">
        <v>29.45</v>
      </c>
      <c r="N63" s="57" t="s">
        <v>404</v>
      </c>
      <c r="O63" s="57">
        <v>29.45</v>
      </c>
      <c r="P63" s="57"/>
      <c r="Q63" s="57"/>
      <c r="R63" s="57"/>
      <c r="S63" s="57"/>
      <c r="T63" s="57"/>
      <c r="U63" s="57"/>
      <c r="V63" s="57"/>
      <c r="W63" s="451"/>
      <c r="X63" s="145"/>
      <c r="Y63" s="223"/>
      <c r="Z63" s="22"/>
      <c r="AA63" s="82"/>
      <c r="AB63" s="13"/>
      <c r="AC63"/>
      <c r="AP63"/>
      <c r="AR63"/>
      <c r="AV63"/>
      <c r="AW63"/>
      <c r="AX63"/>
      <c r="AY63"/>
      <c r="AZ63"/>
      <c r="BC63"/>
      <c r="BD63"/>
      <c r="BG63"/>
      <c r="BH63"/>
      <c r="BI63"/>
      <c r="BJ63"/>
      <c r="BS63"/>
      <c r="BU63"/>
      <c r="BV63"/>
      <c r="BX63"/>
    </row>
    <row r="64" spans="1:76" ht="15.75">
      <c r="A64" s="263" t="s">
        <v>1042</v>
      </c>
      <c r="B64" t="s">
        <v>1024</v>
      </c>
      <c r="C64" s="57"/>
      <c r="D64" s="57">
        <v>521</v>
      </c>
      <c r="E64" s="57">
        <v>100</v>
      </c>
      <c r="F64" s="57">
        <v>7.6</v>
      </c>
      <c r="G64" s="57">
        <v>42121</v>
      </c>
      <c r="H64" s="57">
        <v>1E-4</v>
      </c>
      <c r="I64" s="57">
        <v>42201</v>
      </c>
      <c r="J64" s="57">
        <v>-5150.2209888095922</v>
      </c>
      <c r="K64" s="57">
        <v>-99.99874796544384</v>
      </c>
      <c r="L64" s="57">
        <v>-798.69</v>
      </c>
      <c r="M64" s="57">
        <v>38.700000000000003</v>
      </c>
      <c r="N64" s="57" t="s">
        <v>508</v>
      </c>
      <c r="O64" s="57">
        <v>798.7</v>
      </c>
      <c r="P64" s="57"/>
      <c r="Q64" s="57"/>
      <c r="R64" s="57"/>
      <c r="S64" s="57"/>
      <c r="T64" s="57"/>
      <c r="U64" s="57"/>
      <c r="V64" s="57"/>
      <c r="W64" s="451"/>
      <c r="X64" s="145"/>
      <c r="Y64" s="223"/>
      <c r="Z64" s="22"/>
      <c r="AA64"/>
      <c r="AB64" s="13"/>
      <c r="AC64"/>
      <c r="AP64"/>
      <c r="AR64"/>
      <c r="AV64"/>
      <c r="AW64"/>
      <c r="AX64"/>
      <c r="AY64"/>
      <c r="AZ64"/>
      <c r="BC64"/>
      <c r="BD64"/>
      <c r="BG64"/>
      <c r="BH64"/>
      <c r="BI64"/>
      <c r="BJ64"/>
      <c r="BS64"/>
      <c r="BU64"/>
      <c r="BV64"/>
      <c r="BX64"/>
    </row>
    <row r="65" spans="1:76" ht="15.75">
      <c r="A65" s="263" t="s">
        <v>255</v>
      </c>
      <c r="C65" s="57"/>
      <c r="D65" s="57">
        <v>35</v>
      </c>
      <c r="E65" s="57">
        <v>150</v>
      </c>
      <c r="F65" s="57">
        <v>15.3</v>
      </c>
      <c r="G65" s="57">
        <v>40162</v>
      </c>
      <c r="H65" s="57">
        <v>18.2</v>
      </c>
      <c r="I65" s="57">
        <v>40273</v>
      </c>
      <c r="J65" s="57">
        <v>56.445822984714013</v>
      </c>
      <c r="K65" s="57">
        <v>18.54360711261641</v>
      </c>
      <c r="L65" s="57">
        <v>427.05</v>
      </c>
      <c r="M65" s="57">
        <v>7.95</v>
      </c>
      <c r="N65" s="57" t="s">
        <v>145</v>
      </c>
      <c r="O65" s="57">
        <v>2302.9499999999998</v>
      </c>
      <c r="P65" s="57"/>
      <c r="Q65" s="57"/>
      <c r="R65" s="57"/>
      <c r="S65" s="57"/>
      <c r="T65" s="57"/>
      <c r="U65" s="57"/>
      <c r="V65" s="57"/>
      <c r="W65" s="451"/>
      <c r="X65" s="145"/>
      <c r="Y65" s="223"/>
      <c r="Z65" s="22"/>
      <c r="AA65"/>
      <c r="AB65" s="13"/>
      <c r="AC65"/>
      <c r="AP65"/>
      <c r="AR65"/>
      <c r="AV65"/>
      <c r="AW65"/>
      <c r="AX65"/>
      <c r="AY65"/>
      <c r="AZ65"/>
      <c r="BC65"/>
      <c r="BD65"/>
      <c r="BG65"/>
      <c r="BH65"/>
      <c r="BI65"/>
      <c r="BJ65"/>
      <c r="BS65"/>
      <c r="BU65"/>
      <c r="BV65"/>
      <c r="BX65"/>
    </row>
    <row r="66" spans="1:76" ht="15.75">
      <c r="A66" s="263" t="s">
        <v>255</v>
      </c>
      <c r="B66" t="s">
        <v>397</v>
      </c>
      <c r="C66" s="57"/>
      <c r="D66" s="57">
        <v>131</v>
      </c>
      <c r="E66" s="57">
        <v>700</v>
      </c>
      <c r="F66" s="57">
        <v>0</v>
      </c>
      <c r="G66" s="57">
        <v>40822</v>
      </c>
      <c r="H66" s="57">
        <v>0.14000000000000001</v>
      </c>
      <c r="I66" s="57">
        <v>40838</v>
      </c>
      <c r="J66" s="57">
        <v>4573.3374182097505</v>
      </c>
      <c r="K66" s="57">
        <v>642.42424242424249</v>
      </c>
      <c r="L66" s="57">
        <v>84.8</v>
      </c>
      <c r="M66" s="57">
        <v>13.2</v>
      </c>
      <c r="N66" s="57" t="s">
        <v>403</v>
      </c>
      <c r="O66" s="57">
        <v>13.2</v>
      </c>
      <c r="P66" s="57"/>
      <c r="Q66" s="57"/>
      <c r="R66" s="57"/>
      <c r="S66" s="57"/>
      <c r="T66" s="57"/>
      <c r="U66" s="57"/>
      <c r="V66" s="57"/>
      <c r="W66" s="451"/>
      <c r="X66" s="145"/>
      <c r="Y66" s="223"/>
      <c r="Z66" s="22"/>
      <c r="AA66"/>
      <c r="AB66" s="13"/>
      <c r="AC66"/>
      <c r="AP66"/>
      <c r="AR66"/>
      <c r="AV66"/>
      <c r="AW66"/>
      <c r="AX66"/>
      <c r="AY66"/>
      <c r="AZ66"/>
      <c r="BC66"/>
      <c r="BD66"/>
      <c r="BG66"/>
      <c r="BH66"/>
      <c r="BI66"/>
      <c r="BJ66"/>
      <c r="BS66"/>
      <c r="BU66"/>
      <c r="BV66"/>
      <c r="BX66"/>
    </row>
    <row r="67" spans="1:76" ht="15.75">
      <c r="A67" s="263" t="s">
        <v>255</v>
      </c>
      <c r="B67" t="s">
        <v>412</v>
      </c>
      <c r="C67" s="57"/>
      <c r="D67" s="57">
        <v>165</v>
      </c>
      <c r="E67" s="57">
        <v>700</v>
      </c>
      <c r="F67" s="57">
        <v>0.2</v>
      </c>
      <c r="G67" s="57">
        <v>40843</v>
      </c>
      <c r="H67" s="57">
        <v>0.94</v>
      </c>
      <c r="I67" s="57">
        <v>40869</v>
      </c>
      <c r="J67" s="57">
        <v>1930.0222964324855</v>
      </c>
      <c r="K67" s="57">
        <v>295.43269230769226</v>
      </c>
      <c r="L67" s="57">
        <v>491.6</v>
      </c>
      <c r="M67" s="57">
        <v>26.4</v>
      </c>
      <c r="N67" s="57" t="s">
        <v>15</v>
      </c>
      <c r="O67" s="57">
        <v>166.4</v>
      </c>
      <c r="P67" s="57"/>
      <c r="Q67" s="57"/>
      <c r="R67" s="57"/>
      <c r="S67" s="57"/>
      <c r="T67" s="57"/>
      <c r="U67" s="57"/>
      <c r="V67" s="57"/>
      <c r="W67" s="451"/>
      <c r="X67" s="145"/>
      <c r="Y67" s="223"/>
      <c r="Z67" s="22"/>
      <c r="AA67"/>
      <c r="AB67" s="13"/>
      <c r="AC67"/>
      <c r="AP67"/>
      <c r="AR67"/>
      <c r="AV67"/>
      <c r="AW67"/>
      <c r="AX67"/>
      <c r="AY67"/>
      <c r="AZ67"/>
      <c r="BC67"/>
      <c r="BD67"/>
      <c r="BG67"/>
      <c r="BH67"/>
      <c r="BI67"/>
      <c r="BJ67"/>
      <c r="BS67"/>
      <c r="BU67"/>
      <c r="BV67"/>
      <c r="BX67"/>
    </row>
    <row r="68" spans="1:76" ht="15.75">
      <c r="A68" s="263" t="s">
        <v>255</v>
      </c>
      <c r="B68" t="s">
        <v>454</v>
      </c>
      <c r="C68" s="57"/>
      <c r="D68" s="57">
        <v>179</v>
      </c>
      <c r="E68" s="57">
        <v>700</v>
      </c>
      <c r="F68" s="57">
        <v>1.4</v>
      </c>
      <c r="G68" s="57">
        <v>40877</v>
      </c>
      <c r="H68" s="57">
        <v>1.35</v>
      </c>
      <c r="I68" s="57">
        <v>40890</v>
      </c>
      <c r="J68" s="57">
        <v>-176.74411411644726</v>
      </c>
      <c r="K68" s="57">
        <v>-6.1009538950715365</v>
      </c>
      <c r="L68" s="57">
        <v>-61.4</v>
      </c>
      <c r="M68" s="57">
        <v>26.4</v>
      </c>
      <c r="N68" s="57" t="s">
        <v>15</v>
      </c>
      <c r="O68" s="57">
        <v>1006.4</v>
      </c>
      <c r="P68" s="57"/>
      <c r="Q68" s="57"/>
      <c r="R68" s="57"/>
      <c r="S68" s="57"/>
      <c r="T68" s="57"/>
      <c r="U68" s="57"/>
      <c r="V68" s="57"/>
      <c r="W68" s="451"/>
      <c r="X68" s="145"/>
      <c r="Y68" s="223"/>
      <c r="Z68" s="22"/>
      <c r="AA68"/>
      <c r="AB68" s="13"/>
      <c r="AC68"/>
      <c r="AP68"/>
      <c r="AR68"/>
      <c r="AV68"/>
      <c r="AW68"/>
      <c r="AX68"/>
      <c r="AY68"/>
      <c r="AZ68"/>
      <c r="BC68"/>
      <c r="BD68"/>
      <c r="BG68"/>
      <c r="BH68"/>
      <c r="BI68"/>
      <c r="BJ68"/>
      <c r="BS68"/>
      <c r="BU68"/>
      <c r="BV68"/>
      <c r="BX68"/>
    </row>
    <row r="69" spans="1:76" ht="15.75">
      <c r="A69" s="263" t="s">
        <v>255</v>
      </c>
      <c r="B69" t="s">
        <v>255</v>
      </c>
      <c r="C69" s="57"/>
      <c r="D69" s="57">
        <v>223</v>
      </c>
      <c r="E69" s="57">
        <v>700</v>
      </c>
      <c r="F69" s="57">
        <v>7.5960999999999999</v>
      </c>
      <c r="G69" s="57">
        <v>40779</v>
      </c>
      <c r="H69" s="57">
        <v>4</v>
      </c>
      <c r="I69" s="57">
        <v>40956</v>
      </c>
      <c r="J69" s="57">
        <v>-132.56193896154684</v>
      </c>
      <c r="K69" s="57">
        <v>-47.420012694311225</v>
      </c>
      <c r="L69" s="57">
        <v>-2525.2199999999998</v>
      </c>
      <c r="M69" s="57">
        <v>7.95</v>
      </c>
      <c r="N69" s="57" t="s">
        <v>145</v>
      </c>
      <c r="O69" s="57">
        <v>5325.22</v>
      </c>
      <c r="P69" s="57"/>
      <c r="Q69" s="57"/>
      <c r="R69" s="57"/>
      <c r="S69" s="57"/>
      <c r="T69" s="57"/>
      <c r="U69" s="57"/>
      <c r="V69" s="57"/>
      <c r="W69" s="451"/>
      <c r="X69" s="145"/>
      <c r="Y69" s="223"/>
      <c r="Z69" s="22"/>
      <c r="AA69"/>
      <c r="AB69" s="13"/>
      <c r="AC69"/>
      <c r="AE69" s="13"/>
      <c r="AP69"/>
      <c r="AR69"/>
      <c r="AV69"/>
      <c r="AW69"/>
      <c r="AX69"/>
      <c r="AY69"/>
      <c r="AZ69"/>
      <c r="BC69"/>
      <c r="BD69"/>
      <c r="BG69"/>
      <c r="BH69"/>
      <c r="BI69"/>
      <c r="BJ69"/>
      <c r="BS69"/>
      <c r="BU69"/>
      <c r="BV69"/>
      <c r="BX69"/>
    </row>
    <row r="70" spans="1:76" ht="15.75">
      <c r="A70" s="263" t="s">
        <v>255</v>
      </c>
      <c r="B70" t="s">
        <v>470</v>
      </c>
      <c r="C70" s="57"/>
      <c r="D70" s="57">
        <v>230</v>
      </c>
      <c r="E70" s="57">
        <v>700</v>
      </c>
      <c r="F70" s="57">
        <v>0</v>
      </c>
      <c r="G70" s="57">
        <v>40899</v>
      </c>
      <c r="H70" s="57">
        <v>1.5</v>
      </c>
      <c r="I70" s="57">
        <v>40956</v>
      </c>
      <c r="J70" s="57">
        <v>2211.7690912958442</v>
      </c>
      <c r="K70" s="57">
        <v>3062.6506024096389</v>
      </c>
      <c r="L70" s="57">
        <v>1016.8</v>
      </c>
      <c r="M70" s="57">
        <v>33.200000000000003</v>
      </c>
      <c r="N70" s="57" t="s">
        <v>404</v>
      </c>
      <c r="O70" s="57">
        <v>33.200000000000003</v>
      </c>
      <c r="P70" s="57"/>
      <c r="Q70" s="57"/>
      <c r="R70" s="57"/>
      <c r="S70" s="57"/>
      <c r="T70" s="57"/>
      <c r="U70" s="57"/>
      <c r="V70" s="57"/>
      <c r="W70" s="451"/>
      <c r="X70" s="145"/>
      <c r="Y70" s="223"/>
      <c r="Z70" s="22"/>
      <c r="AA70"/>
      <c r="AB70" s="13"/>
      <c r="AC70"/>
      <c r="AE70" s="27"/>
      <c r="AF70" s="84"/>
      <c r="AP70"/>
      <c r="AR70"/>
      <c r="AV70"/>
      <c r="AW70"/>
      <c r="AX70"/>
      <c r="AY70"/>
      <c r="AZ70"/>
      <c r="BC70"/>
      <c r="BD70"/>
      <c r="BG70"/>
      <c r="BH70"/>
      <c r="BI70"/>
      <c r="BJ70"/>
      <c r="BS70"/>
      <c r="BU70"/>
      <c r="BV70"/>
      <c r="BX70"/>
    </row>
    <row r="71" spans="1:76" ht="15.75">
      <c r="A71" s="263" t="s">
        <v>255</v>
      </c>
      <c r="B71" t="s">
        <v>482</v>
      </c>
      <c r="C71" s="57"/>
      <c r="D71" s="57">
        <v>277</v>
      </c>
      <c r="E71" s="57">
        <v>100</v>
      </c>
      <c r="F71" s="57">
        <v>2.5</v>
      </c>
      <c r="G71" s="57">
        <v>40911</v>
      </c>
      <c r="H71" s="57">
        <v>0.5</v>
      </c>
      <c r="I71" s="57">
        <v>41019</v>
      </c>
      <c r="J71" s="57">
        <v>-571.96614076868173</v>
      </c>
      <c r="K71" s="57">
        <v>-81.301421091997014</v>
      </c>
      <c r="L71" s="57">
        <v>-217.4</v>
      </c>
      <c r="M71" s="57">
        <v>17.399999999999999</v>
      </c>
      <c r="N71" s="57" t="s">
        <v>15</v>
      </c>
      <c r="O71" s="57">
        <v>267.39999999999998</v>
      </c>
      <c r="P71" s="57"/>
      <c r="Q71" s="57"/>
      <c r="R71" s="57"/>
      <c r="S71" s="57"/>
      <c r="T71" s="57"/>
      <c r="U71" s="57"/>
      <c r="V71" s="57"/>
      <c r="W71" s="451"/>
      <c r="X71" s="145"/>
      <c r="Y71" s="223"/>
      <c r="Z71" s="22"/>
      <c r="AA71" s="82"/>
      <c r="AB71" s="27"/>
      <c r="AC71" s="84"/>
      <c r="AE71" s="27"/>
      <c r="AF71" s="84"/>
      <c r="AP71"/>
      <c r="AR71"/>
      <c r="AV71"/>
      <c r="AW71"/>
      <c r="AX71"/>
      <c r="AY71"/>
      <c r="AZ71"/>
      <c r="BC71"/>
      <c r="BD71"/>
      <c r="BG71"/>
      <c r="BH71"/>
      <c r="BI71"/>
      <c r="BJ71"/>
      <c r="BS71"/>
      <c r="BU71"/>
      <c r="BV71"/>
      <c r="BX71"/>
    </row>
    <row r="72" spans="1:76" ht="15.75">
      <c r="A72" s="263" t="s">
        <v>255</v>
      </c>
      <c r="B72" t="s">
        <v>735</v>
      </c>
      <c r="C72" s="57"/>
      <c r="D72" s="57">
        <v>341</v>
      </c>
      <c r="E72" s="57">
        <v>200</v>
      </c>
      <c r="F72" s="57">
        <v>1.4</v>
      </c>
      <c r="G72" s="57">
        <v>41058</v>
      </c>
      <c r="H72" s="57">
        <v>1.5</v>
      </c>
      <c r="I72" s="57">
        <v>41109</v>
      </c>
      <c r="J72" s="57">
        <v>2.6290058013779301</v>
      </c>
      <c r="K72" s="57">
        <v>0.36801605888257349</v>
      </c>
      <c r="L72" s="57">
        <v>1.1000000000000001</v>
      </c>
      <c r="M72" s="57">
        <v>18.899999999999999</v>
      </c>
      <c r="N72" s="57" t="s">
        <v>15</v>
      </c>
      <c r="O72" s="57">
        <v>298.89999999999998</v>
      </c>
      <c r="P72" s="57"/>
      <c r="Q72" s="57"/>
      <c r="R72" s="57"/>
      <c r="S72" s="57"/>
      <c r="T72" s="57"/>
      <c r="U72" s="57"/>
      <c r="V72" s="57"/>
      <c r="W72" s="451"/>
      <c r="X72" s="145"/>
      <c r="Y72" s="223"/>
      <c r="Z72" s="22"/>
      <c r="AA72"/>
      <c r="AC72" s="9"/>
      <c r="AE72" s="27"/>
      <c r="AF72" s="84"/>
      <c r="AH72" s="87"/>
      <c r="AI72" s="88"/>
      <c r="AJ72" s="88"/>
      <c r="AK72" s="88"/>
      <c r="AL72" s="88"/>
      <c r="AP72"/>
      <c r="AR72"/>
      <c r="AV72"/>
      <c r="AW72"/>
      <c r="AX72"/>
      <c r="AY72"/>
      <c r="AZ72"/>
      <c r="BC72"/>
      <c r="BD72"/>
      <c r="BG72"/>
      <c r="BH72"/>
      <c r="BI72"/>
      <c r="BJ72"/>
      <c r="BS72"/>
      <c r="BU72"/>
      <c r="BV72"/>
      <c r="BX72"/>
    </row>
    <row r="73" spans="1:76" ht="15.75">
      <c r="A73" s="263" t="s">
        <v>255</v>
      </c>
      <c r="B73" t="s">
        <v>735</v>
      </c>
      <c r="C73" s="57"/>
      <c r="D73" s="57">
        <v>353</v>
      </c>
      <c r="E73" s="57">
        <v>100</v>
      </c>
      <c r="F73" s="57">
        <v>1.1499999999999999</v>
      </c>
      <c r="G73" s="57">
        <v>41058</v>
      </c>
      <c r="H73" s="57">
        <v>1.5</v>
      </c>
      <c r="I73" s="57">
        <v>41123</v>
      </c>
      <c r="J73" s="57">
        <v>70.084296102418563</v>
      </c>
      <c r="K73" s="57">
        <v>13.29305135951663</v>
      </c>
      <c r="L73" s="57">
        <v>17.600000000000001</v>
      </c>
      <c r="M73" s="57">
        <v>17.399999999999999</v>
      </c>
      <c r="N73" s="57" t="s">
        <v>15</v>
      </c>
      <c r="O73" s="57">
        <v>132.4</v>
      </c>
      <c r="P73" s="57"/>
      <c r="Q73" s="57"/>
      <c r="R73" s="57"/>
      <c r="S73" s="57"/>
      <c r="T73" s="57"/>
      <c r="U73" s="57"/>
      <c r="V73" s="57"/>
      <c r="W73" s="451"/>
      <c r="X73" s="145"/>
      <c r="Y73" s="223"/>
      <c r="Z73" s="22"/>
      <c r="AA73"/>
      <c r="AC73" s="9"/>
      <c r="AE73" s="27"/>
      <c r="AF73" s="84"/>
      <c r="AH73" s="89"/>
      <c r="AI73" s="58"/>
      <c r="AJ73" s="58"/>
      <c r="AK73" s="58"/>
      <c r="AL73" s="58"/>
      <c r="AP73"/>
      <c r="AR73"/>
      <c r="AV73"/>
      <c r="AW73"/>
      <c r="AX73"/>
      <c r="AY73"/>
      <c r="AZ73"/>
      <c r="BC73"/>
      <c r="BD73"/>
      <c r="BG73"/>
      <c r="BH73"/>
      <c r="BI73"/>
      <c r="BJ73"/>
      <c r="BS73"/>
      <c r="BU73"/>
      <c r="BV73"/>
      <c r="BX73"/>
    </row>
    <row r="74" spans="1:76" ht="15.75">
      <c r="A74" s="263" t="s">
        <v>255</v>
      </c>
      <c r="B74" t="s">
        <v>801</v>
      </c>
      <c r="C74" s="57"/>
      <c r="D74" s="57">
        <v>390</v>
      </c>
      <c r="E74" s="57">
        <v>200</v>
      </c>
      <c r="F74" s="57">
        <v>2.41</v>
      </c>
      <c r="G74" s="57">
        <v>41124</v>
      </c>
      <c r="H74" s="57">
        <v>0.75</v>
      </c>
      <c r="I74" s="57">
        <v>41201</v>
      </c>
      <c r="J74" s="57">
        <v>-571.56686102281833</v>
      </c>
      <c r="K74" s="57">
        <v>-70.053902974645638</v>
      </c>
      <c r="L74" s="57">
        <v>-350.9</v>
      </c>
      <c r="M74" s="57">
        <v>18.899999999999999</v>
      </c>
      <c r="N74" s="57" t="s">
        <v>15</v>
      </c>
      <c r="O74" s="57">
        <v>500.9</v>
      </c>
      <c r="P74" s="57"/>
      <c r="Q74" s="57"/>
      <c r="R74" s="57"/>
      <c r="S74" s="57"/>
      <c r="T74" s="57"/>
      <c r="U74" s="57"/>
      <c r="V74" s="57"/>
      <c r="W74" s="451"/>
      <c r="X74" s="145"/>
      <c r="Y74" s="223"/>
      <c r="Z74" s="22"/>
      <c r="AA74"/>
      <c r="AC74" s="9"/>
      <c r="AE74" s="27"/>
      <c r="AF74" s="84"/>
      <c r="AH74" s="89"/>
      <c r="AI74" s="90"/>
      <c r="AJ74" s="91"/>
      <c r="AK74" s="90"/>
      <c r="AL74" s="58"/>
      <c r="AP74"/>
      <c r="AR74"/>
      <c r="AV74"/>
      <c r="AW74"/>
      <c r="AX74"/>
      <c r="AY74"/>
      <c r="AZ74"/>
      <c r="BC74"/>
      <c r="BD74"/>
      <c r="BG74"/>
      <c r="BH74"/>
      <c r="BI74"/>
      <c r="BJ74"/>
      <c r="BS74"/>
      <c r="BU74"/>
      <c r="BV74"/>
      <c r="BX74"/>
    </row>
    <row r="75" spans="1:76" ht="15.75">
      <c r="A75" s="263" t="s">
        <v>255</v>
      </c>
      <c r="B75" t="s">
        <v>255</v>
      </c>
      <c r="C75" s="57"/>
      <c r="D75" s="57">
        <v>413</v>
      </c>
      <c r="E75" s="57">
        <v>2</v>
      </c>
      <c r="F75" s="57">
        <v>7.6</v>
      </c>
      <c r="G75" s="57">
        <v>40779</v>
      </c>
      <c r="H75" s="57">
        <v>9.5</v>
      </c>
      <c r="I75" s="57">
        <v>41233</v>
      </c>
      <c r="J75" s="57">
        <v>-15.882790197911438</v>
      </c>
      <c r="K75" s="57">
        <v>-17.926565874730017</v>
      </c>
      <c r="L75" s="57">
        <v>-4.1500000000000004</v>
      </c>
      <c r="M75" s="57">
        <v>7.95</v>
      </c>
      <c r="N75" s="57" t="s">
        <v>145</v>
      </c>
      <c r="O75" s="57">
        <v>23.15</v>
      </c>
      <c r="P75" s="57"/>
      <c r="Q75" s="57"/>
      <c r="R75" s="57"/>
      <c r="S75" s="57"/>
      <c r="T75" s="57"/>
      <c r="U75" s="57"/>
      <c r="V75" s="57"/>
      <c r="W75" s="451"/>
      <c r="X75" s="145"/>
      <c r="Y75" s="223"/>
      <c r="Z75" s="22"/>
      <c r="AA75"/>
      <c r="AC75" s="9"/>
      <c r="AE75" s="27"/>
      <c r="AF75" s="84"/>
      <c r="AH75" s="89"/>
      <c r="AI75" s="58"/>
      <c r="AJ75" s="58"/>
      <c r="AK75" s="58"/>
      <c r="AL75" s="58"/>
      <c r="AP75"/>
      <c r="AR75"/>
      <c r="AV75"/>
      <c r="AW75"/>
      <c r="AX75"/>
      <c r="AY75"/>
      <c r="AZ75"/>
      <c r="BC75"/>
      <c r="BD75"/>
      <c r="BG75"/>
      <c r="BH75"/>
      <c r="BI75"/>
      <c r="BJ75"/>
      <c r="BS75"/>
      <c r="BU75"/>
      <c r="BV75"/>
      <c r="BX75"/>
    </row>
    <row r="76" spans="1:76" ht="15.75">
      <c r="A76" s="263" t="s">
        <v>255</v>
      </c>
      <c r="B76" t="s">
        <v>836</v>
      </c>
      <c r="C76" s="57"/>
      <c r="D76" s="57">
        <v>421</v>
      </c>
      <c r="E76" s="57">
        <v>100</v>
      </c>
      <c r="F76" s="57">
        <v>0</v>
      </c>
      <c r="G76" s="57">
        <v>41213</v>
      </c>
      <c r="H76" s="57">
        <v>0.6</v>
      </c>
      <c r="I76" s="57">
        <v>41264</v>
      </c>
      <c r="J76" s="57">
        <v>527.78101059143489</v>
      </c>
      <c r="K76" s="57">
        <v>109.05923344947736</v>
      </c>
      <c r="L76" s="57">
        <v>31.3</v>
      </c>
      <c r="M76" s="57">
        <v>28.7</v>
      </c>
      <c r="N76" s="57" t="s">
        <v>404</v>
      </c>
      <c r="O76" s="57">
        <v>28.7</v>
      </c>
      <c r="P76" s="57"/>
      <c r="Q76" s="57"/>
      <c r="R76" s="57"/>
      <c r="S76" s="57"/>
      <c r="T76" s="57"/>
      <c r="U76" s="57"/>
      <c r="V76" s="57"/>
      <c r="W76" s="451"/>
      <c r="X76" s="145"/>
      <c r="Y76" s="223"/>
      <c r="Z76" s="22"/>
      <c r="AA76"/>
      <c r="AC76" s="9"/>
      <c r="AE76" s="27"/>
      <c r="AF76" s="84"/>
      <c r="AH76" s="13"/>
      <c r="AP76"/>
      <c r="AR76"/>
      <c r="AV76"/>
      <c r="AW76"/>
      <c r="AX76"/>
      <c r="AY76"/>
      <c r="AZ76"/>
      <c r="BC76"/>
      <c r="BD76"/>
      <c r="BG76"/>
      <c r="BH76"/>
      <c r="BI76"/>
      <c r="BJ76"/>
      <c r="BS76"/>
      <c r="BU76"/>
      <c r="BV76"/>
      <c r="BX76"/>
    </row>
    <row r="77" spans="1:76" ht="15.75">
      <c r="A77" s="263" t="s">
        <v>255</v>
      </c>
      <c r="B77" t="s">
        <v>836</v>
      </c>
      <c r="C77" s="57"/>
      <c r="D77" s="57">
        <v>422</v>
      </c>
      <c r="E77" s="57">
        <v>100</v>
      </c>
      <c r="F77" s="57">
        <v>2.25</v>
      </c>
      <c r="G77" s="57">
        <v>41213</v>
      </c>
      <c r="H77" s="57">
        <v>0.6</v>
      </c>
      <c r="I77" s="57">
        <v>41264</v>
      </c>
      <c r="J77" s="57">
        <v>-999.27316190228726</v>
      </c>
      <c r="K77" s="57">
        <v>-75.247524752475243</v>
      </c>
      <c r="L77" s="57">
        <v>-182.4</v>
      </c>
      <c r="M77" s="57">
        <v>17.399999999999999</v>
      </c>
      <c r="N77" s="57" t="s">
        <v>15</v>
      </c>
      <c r="O77" s="57">
        <v>242.4</v>
      </c>
      <c r="P77" s="57"/>
      <c r="Q77" s="57"/>
      <c r="R77" s="57"/>
      <c r="S77" s="57"/>
      <c r="T77" s="57"/>
      <c r="U77" s="57"/>
      <c r="V77" s="57"/>
      <c r="W77" s="451"/>
      <c r="X77" s="145"/>
      <c r="Y77" s="223"/>
      <c r="Z77" s="22"/>
      <c r="AA77"/>
      <c r="AC77" s="9"/>
      <c r="AE77" s="27"/>
      <c r="AF77" s="84"/>
      <c r="AH77" s="13"/>
      <c r="AP77"/>
      <c r="AR77"/>
      <c r="AV77"/>
      <c r="AW77"/>
      <c r="AX77"/>
      <c r="AY77"/>
      <c r="AZ77"/>
      <c r="BC77"/>
      <c r="BD77"/>
      <c r="BG77"/>
      <c r="BH77"/>
      <c r="BI77"/>
      <c r="BJ77"/>
      <c r="BS77"/>
      <c r="BU77"/>
      <c r="BV77"/>
      <c r="BX77"/>
    </row>
    <row r="78" spans="1:76" ht="15.75">
      <c r="A78" s="263" t="s">
        <v>255</v>
      </c>
      <c r="B78" t="s">
        <v>255</v>
      </c>
      <c r="C78" s="57"/>
      <c r="D78" s="57">
        <v>423</v>
      </c>
      <c r="E78" s="57">
        <v>100</v>
      </c>
      <c r="F78" s="57">
        <v>15.3</v>
      </c>
      <c r="G78" s="57">
        <v>40162</v>
      </c>
      <c r="H78" s="57">
        <v>9</v>
      </c>
      <c r="I78" s="57">
        <v>41265</v>
      </c>
      <c r="J78" s="57">
        <v>-17.73082229445723</v>
      </c>
      <c r="K78" s="57">
        <v>-41.480542280308207</v>
      </c>
      <c r="L78" s="57">
        <v>-637.95000000000005</v>
      </c>
      <c r="M78" s="57">
        <v>7.95</v>
      </c>
      <c r="N78" s="57" t="s">
        <v>145</v>
      </c>
      <c r="O78" s="57">
        <v>1537.95</v>
      </c>
      <c r="P78" s="57"/>
      <c r="Q78" s="57"/>
      <c r="R78" s="57"/>
      <c r="S78" s="57"/>
      <c r="T78" s="57"/>
      <c r="U78" s="57"/>
      <c r="V78" s="57"/>
      <c r="W78" s="451"/>
      <c r="X78" s="145"/>
      <c r="Y78" s="223"/>
      <c r="Z78" s="22"/>
      <c r="AA78"/>
      <c r="AC78"/>
      <c r="AE78" s="27"/>
      <c r="AF78" s="84"/>
      <c r="AH78" s="13"/>
      <c r="AP78"/>
      <c r="AR78"/>
      <c r="AV78"/>
      <c r="AW78"/>
      <c r="AX78"/>
      <c r="AY78"/>
      <c r="AZ78"/>
      <c r="BC78"/>
      <c r="BD78"/>
      <c r="BG78"/>
      <c r="BH78"/>
      <c r="BI78"/>
      <c r="BJ78"/>
      <c r="BS78"/>
      <c r="BU78"/>
      <c r="BV78"/>
      <c r="BX78"/>
    </row>
    <row r="79" spans="1:76" ht="15.75">
      <c r="A79" s="263" t="s">
        <v>255</v>
      </c>
      <c r="B79" t="s">
        <v>255</v>
      </c>
      <c r="C79" s="57"/>
      <c r="D79" s="57">
        <v>448</v>
      </c>
      <c r="E79" s="57">
        <v>75</v>
      </c>
      <c r="F79" s="57">
        <v>15.3</v>
      </c>
      <c r="G79" s="57">
        <v>40162</v>
      </c>
      <c r="H79" s="57">
        <v>10</v>
      </c>
      <c r="I79" s="57">
        <v>41320</v>
      </c>
      <c r="J79" s="57">
        <v>-13.622000180648174</v>
      </c>
      <c r="K79" s="57">
        <v>-35.090224587822924</v>
      </c>
      <c r="L79" s="57">
        <v>-405.45</v>
      </c>
      <c r="M79" s="57">
        <v>7.95</v>
      </c>
      <c r="N79" s="57" t="s">
        <v>145</v>
      </c>
      <c r="O79" s="57">
        <v>1155.45</v>
      </c>
      <c r="P79" s="57"/>
      <c r="Q79" s="57"/>
      <c r="R79" s="57"/>
      <c r="S79" s="57"/>
      <c r="T79" s="57"/>
      <c r="U79" s="57"/>
      <c r="V79" s="57"/>
      <c r="W79" s="451"/>
      <c r="X79" s="145"/>
      <c r="Y79" s="223"/>
      <c r="Z79" s="22"/>
      <c r="AA79" s="83"/>
      <c r="AC79" s="9"/>
      <c r="AE79" s="27"/>
      <c r="AF79" s="84"/>
      <c r="AH79" s="13"/>
      <c r="AP79"/>
      <c r="AR79"/>
      <c r="AV79"/>
      <c r="AW79"/>
      <c r="AX79"/>
      <c r="AY79"/>
      <c r="AZ79"/>
      <c r="BC79"/>
      <c r="BD79"/>
      <c r="BG79"/>
      <c r="BH79"/>
      <c r="BI79"/>
      <c r="BJ79"/>
      <c r="BS79"/>
      <c r="BU79"/>
      <c r="BV79"/>
      <c r="BX79"/>
    </row>
    <row r="80" spans="1:76" ht="15.75">
      <c r="A80" s="263" t="s">
        <v>255</v>
      </c>
      <c r="B80" t="s">
        <v>255</v>
      </c>
      <c r="C80" s="57"/>
      <c r="D80" s="57">
        <v>450</v>
      </c>
      <c r="E80" s="57">
        <v>25</v>
      </c>
      <c r="F80" s="57">
        <v>8</v>
      </c>
      <c r="G80" s="57">
        <v>41032</v>
      </c>
      <c r="H80" s="57">
        <v>10</v>
      </c>
      <c r="I80" s="57">
        <v>41320</v>
      </c>
      <c r="J80" s="57">
        <v>23.340134326654141</v>
      </c>
      <c r="K80" s="57">
        <v>20.221207020918495</v>
      </c>
      <c r="L80" s="57">
        <v>42.05</v>
      </c>
      <c r="M80" s="57">
        <v>7.95</v>
      </c>
      <c r="N80" s="57" t="s">
        <v>145</v>
      </c>
      <c r="O80" s="57">
        <v>207.95</v>
      </c>
      <c r="P80" s="57"/>
      <c r="Q80" s="57"/>
      <c r="R80" s="57"/>
      <c r="S80" s="57"/>
      <c r="T80" s="57"/>
      <c r="U80" s="57"/>
      <c r="V80" s="57"/>
      <c r="W80" s="451"/>
      <c r="X80" s="145"/>
      <c r="Y80" s="223"/>
      <c r="Z80" s="22"/>
      <c r="AA80" s="7"/>
      <c r="AC80" s="9"/>
      <c r="AE80" s="27"/>
      <c r="AF80" s="84"/>
      <c r="AH80" s="13"/>
      <c r="AP80"/>
      <c r="AR80"/>
      <c r="AV80"/>
      <c r="AW80"/>
      <c r="AX80"/>
      <c r="AY80"/>
      <c r="AZ80"/>
      <c r="BC80"/>
      <c r="BD80"/>
      <c r="BG80"/>
      <c r="BH80"/>
      <c r="BI80"/>
      <c r="BJ80"/>
      <c r="BS80"/>
      <c r="BU80"/>
      <c r="BV80"/>
      <c r="BX80"/>
    </row>
    <row r="81" spans="1:76" ht="15.75">
      <c r="A81" s="263" t="s">
        <v>255</v>
      </c>
      <c r="B81" t="s">
        <v>887</v>
      </c>
      <c r="C81" s="57"/>
      <c r="D81" s="57">
        <v>452</v>
      </c>
      <c r="E81" s="57">
        <v>100</v>
      </c>
      <c r="F81" s="57">
        <v>0</v>
      </c>
      <c r="G81" s="57">
        <v>41270</v>
      </c>
      <c r="H81" s="57">
        <v>1.5</v>
      </c>
      <c r="I81" s="57">
        <v>41320</v>
      </c>
      <c r="J81" s="57">
        <v>1572.5405141493138</v>
      </c>
      <c r="K81" s="57">
        <v>762.06896551724139</v>
      </c>
      <c r="L81" s="57">
        <v>132.6</v>
      </c>
      <c r="M81" s="57">
        <v>17.399999999999999</v>
      </c>
      <c r="N81" s="57" t="s">
        <v>15</v>
      </c>
      <c r="O81" s="57">
        <v>17.399999999999999</v>
      </c>
      <c r="P81" s="57"/>
      <c r="Q81" s="57"/>
      <c r="R81" s="57"/>
      <c r="S81" s="57"/>
      <c r="T81" s="57"/>
      <c r="U81" s="57"/>
      <c r="V81" s="57"/>
      <c r="W81" s="451"/>
      <c r="X81" s="145"/>
      <c r="Y81" s="223"/>
      <c r="Z81" s="22"/>
      <c r="AA81" s="83"/>
      <c r="AC81" s="9"/>
      <c r="AE81" s="27"/>
      <c r="AF81" s="84"/>
      <c r="AH81" s="13"/>
      <c r="AP81"/>
      <c r="AR81"/>
      <c r="AV81"/>
      <c r="AW81"/>
      <c r="AX81"/>
      <c r="AY81"/>
      <c r="AZ81"/>
      <c r="BC81"/>
      <c r="BD81"/>
      <c r="BG81"/>
      <c r="BH81"/>
      <c r="BI81"/>
      <c r="BJ81"/>
      <c r="BS81"/>
      <c r="BU81"/>
      <c r="BV81"/>
      <c r="BX81"/>
    </row>
    <row r="82" spans="1:76" ht="15.75">
      <c r="A82" s="263" t="s">
        <v>400</v>
      </c>
      <c r="B82" t="s">
        <v>359</v>
      </c>
      <c r="C82" s="57"/>
      <c r="D82" s="57">
        <v>138</v>
      </c>
      <c r="E82" s="57">
        <v>5000</v>
      </c>
      <c r="F82" s="57">
        <v>0.1</v>
      </c>
      <c r="G82" s="57">
        <v>40793</v>
      </c>
      <c r="H82" s="57">
        <v>1E-3</v>
      </c>
      <c r="I82" s="57">
        <v>40820</v>
      </c>
      <c r="J82" s="57">
        <v>-6343.1230696575121</v>
      </c>
      <c r="K82" s="57">
        <v>-99.083325694380804</v>
      </c>
      <c r="L82" s="57">
        <v>-540.45000000000005</v>
      </c>
      <c r="M82" s="57">
        <v>45.45</v>
      </c>
      <c r="N82" s="57" t="s">
        <v>405</v>
      </c>
      <c r="O82" s="57">
        <v>545.45000000000005</v>
      </c>
      <c r="P82" s="57"/>
      <c r="Q82" s="57"/>
      <c r="R82" s="57"/>
      <c r="S82" s="57"/>
      <c r="T82" s="57"/>
      <c r="U82" s="57"/>
      <c r="V82" s="57"/>
      <c r="W82" s="451"/>
      <c r="X82" s="145"/>
      <c r="Y82" s="223"/>
      <c r="Z82" s="22"/>
      <c r="AA82" s="83"/>
      <c r="AC82" s="9"/>
      <c r="AE82" s="27"/>
      <c r="AF82" s="84"/>
      <c r="AH82" s="13"/>
      <c r="AP82"/>
      <c r="AR82"/>
      <c r="AV82"/>
      <c r="AW82"/>
      <c r="AX82"/>
      <c r="AY82"/>
      <c r="AZ82"/>
      <c r="BC82"/>
      <c r="BD82"/>
      <c r="BG82"/>
      <c r="BH82"/>
      <c r="BI82"/>
      <c r="BJ82"/>
      <c r="BS82"/>
      <c r="BU82"/>
      <c r="BV82"/>
      <c r="BX82"/>
    </row>
    <row r="83" spans="1:76" ht="15.75">
      <c r="A83" s="263" t="s">
        <v>894</v>
      </c>
      <c r="B83" t="s">
        <v>894</v>
      </c>
      <c r="C83" s="57"/>
      <c r="D83" s="57">
        <v>455</v>
      </c>
      <c r="E83" s="57">
        <v>50</v>
      </c>
      <c r="F83" s="57">
        <v>67.069999999999993</v>
      </c>
      <c r="G83" s="57">
        <v>40085</v>
      </c>
      <c r="H83" s="57">
        <v>13</v>
      </c>
      <c r="I83" s="57">
        <v>41352</v>
      </c>
      <c r="J83" s="57">
        <v>-47.336361545209428</v>
      </c>
      <c r="K83" s="57">
        <v>-80.663106695027437</v>
      </c>
      <c r="L83" s="57">
        <v>-2711.45</v>
      </c>
      <c r="M83" s="57">
        <v>7.95</v>
      </c>
      <c r="N83" s="57" t="s">
        <v>145</v>
      </c>
      <c r="O83" s="57">
        <v>3361.45</v>
      </c>
      <c r="P83" s="57"/>
      <c r="Q83" s="57"/>
      <c r="R83" s="57"/>
      <c r="S83" s="57"/>
      <c r="T83" s="57"/>
      <c r="U83" s="57"/>
      <c r="V83" s="57"/>
      <c r="W83" s="451"/>
      <c r="X83" s="145"/>
      <c r="Y83" s="223"/>
      <c r="Z83" s="22"/>
      <c r="AA83" s="83"/>
      <c r="AC83" s="9"/>
      <c r="AE83" s="27"/>
      <c r="AF83" s="84"/>
      <c r="AH83" s="13"/>
      <c r="AP83"/>
      <c r="AR83"/>
      <c r="AV83"/>
      <c r="AW83"/>
      <c r="AX83"/>
      <c r="AY83"/>
      <c r="AZ83"/>
      <c r="BC83"/>
      <c r="BD83"/>
      <c r="BG83"/>
      <c r="BH83"/>
      <c r="BI83"/>
      <c r="BJ83"/>
      <c r="BS83"/>
      <c r="BU83"/>
      <c r="BV83"/>
      <c r="BX83"/>
    </row>
    <row r="84" spans="1:76" ht="15.75">
      <c r="A84" s="263" t="s">
        <v>894</v>
      </c>
      <c r="B84" t="s">
        <v>894</v>
      </c>
      <c r="C84" s="57"/>
      <c r="D84" s="57">
        <v>456</v>
      </c>
      <c r="E84" s="57">
        <v>50</v>
      </c>
      <c r="F84" s="57">
        <v>23.5</v>
      </c>
      <c r="G84" s="57">
        <v>40801</v>
      </c>
      <c r="H84" s="57">
        <v>13</v>
      </c>
      <c r="I84" s="57">
        <v>41352</v>
      </c>
      <c r="J84" s="57">
        <v>-39.666042775053427</v>
      </c>
      <c r="K84" s="57">
        <v>-45.052622680586666</v>
      </c>
      <c r="L84" s="57">
        <v>-532.95000000000005</v>
      </c>
      <c r="M84" s="57">
        <v>7.95</v>
      </c>
      <c r="N84" s="57" t="s">
        <v>145</v>
      </c>
      <c r="O84" s="57">
        <v>1182.95</v>
      </c>
      <c r="P84" s="57"/>
      <c r="Q84" s="57"/>
      <c r="R84" s="57"/>
      <c r="S84" s="57"/>
      <c r="T84" s="57"/>
      <c r="U84" s="57"/>
      <c r="V84" s="57"/>
      <c r="W84" s="451"/>
      <c r="X84" s="145"/>
      <c r="Y84" s="223"/>
      <c r="Z84" s="22"/>
      <c r="AA84" s="83"/>
      <c r="AC84" s="9"/>
      <c r="AE84" s="27"/>
      <c r="AF84" s="84"/>
      <c r="AH84" s="13"/>
      <c r="AP84"/>
      <c r="AR84"/>
      <c r="AV84"/>
      <c r="AW84"/>
      <c r="AX84"/>
      <c r="AY84"/>
      <c r="AZ84"/>
      <c r="BC84"/>
      <c r="BD84"/>
      <c r="BG84"/>
      <c r="BH84"/>
      <c r="BI84"/>
      <c r="BJ84"/>
      <c r="BS84"/>
      <c r="BU84"/>
      <c r="BV84"/>
      <c r="BX84"/>
    </row>
    <row r="85" spans="1:76" ht="15.75">
      <c r="A85" s="263" t="s">
        <v>894</v>
      </c>
      <c r="B85" t="s">
        <v>896</v>
      </c>
      <c r="C85" s="57"/>
      <c r="D85" s="57">
        <v>457</v>
      </c>
      <c r="E85" s="57">
        <v>100</v>
      </c>
      <c r="F85" s="57">
        <v>0</v>
      </c>
      <c r="G85" s="57">
        <v>41345</v>
      </c>
      <c r="H85" s="57">
        <v>1.7</v>
      </c>
      <c r="I85" s="57">
        <v>41352</v>
      </c>
      <c r="J85" s="57">
        <v>9275.6997101987217</v>
      </c>
      <c r="K85" s="57">
        <v>492.33449477351922</v>
      </c>
      <c r="L85" s="57">
        <v>141.30000000000001</v>
      </c>
      <c r="M85" s="57">
        <v>28.7</v>
      </c>
      <c r="N85" s="57" t="s">
        <v>404</v>
      </c>
      <c r="O85" s="57">
        <v>28.7</v>
      </c>
      <c r="P85" s="57"/>
      <c r="Q85" s="57"/>
      <c r="R85" s="57"/>
      <c r="S85" s="57"/>
      <c r="T85" s="57"/>
      <c r="U85" s="57"/>
      <c r="V85" s="57"/>
      <c r="W85" s="451"/>
      <c r="X85" s="145"/>
      <c r="Y85" s="223"/>
      <c r="Z85" s="22"/>
      <c r="AA85" s="83"/>
      <c r="AC85" s="9"/>
      <c r="AE85" s="27"/>
      <c r="AF85" s="84"/>
      <c r="AH85" s="13"/>
      <c r="AP85"/>
      <c r="AR85"/>
      <c r="AV85"/>
      <c r="AW85"/>
      <c r="AX85"/>
      <c r="AY85"/>
      <c r="AZ85"/>
      <c r="BC85"/>
      <c r="BD85"/>
      <c r="BG85"/>
      <c r="BH85"/>
      <c r="BI85"/>
      <c r="BJ85"/>
      <c r="BS85"/>
      <c r="BU85"/>
      <c r="BV85"/>
      <c r="BX85"/>
    </row>
    <row r="86" spans="1:76" ht="15.75">
      <c r="A86" s="263" t="s">
        <v>738</v>
      </c>
      <c r="B86" t="s">
        <v>739</v>
      </c>
      <c r="C86" s="57"/>
      <c r="D86" s="57">
        <v>314</v>
      </c>
      <c r="E86" s="57">
        <v>500</v>
      </c>
      <c r="F86" s="57">
        <v>0.05</v>
      </c>
      <c r="G86" s="57">
        <v>40911</v>
      </c>
      <c r="H86" s="57">
        <v>0.65</v>
      </c>
      <c r="I86" s="57">
        <v>41082</v>
      </c>
      <c r="J86" s="57">
        <v>408.86985855388838</v>
      </c>
      <c r="K86" s="57">
        <v>571.48760330578511</v>
      </c>
      <c r="L86" s="57">
        <v>276.60000000000002</v>
      </c>
      <c r="M86" s="57">
        <v>23.4</v>
      </c>
      <c r="N86" s="57" t="s">
        <v>15</v>
      </c>
      <c r="O86" s="57">
        <v>48.4</v>
      </c>
      <c r="P86" s="57"/>
      <c r="Q86" s="57"/>
      <c r="R86" s="57"/>
      <c r="S86" s="57"/>
      <c r="T86" s="57"/>
      <c r="U86" s="57"/>
      <c r="V86" s="57"/>
      <c r="W86" s="451"/>
      <c r="X86" s="145"/>
      <c r="Y86" s="223"/>
      <c r="Z86" s="22"/>
      <c r="AA86"/>
      <c r="AC86" s="9"/>
      <c r="AE86" s="27"/>
      <c r="AF86" s="84"/>
      <c r="AH86" s="13"/>
      <c r="AP86"/>
      <c r="AR86"/>
      <c r="AV86"/>
      <c r="AW86"/>
      <c r="AX86"/>
      <c r="AY86"/>
      <c r="AZ86"/>
      <c r="BC86"/>
      <c r="BD86"/>
      <c r="BG86"/>
      <c r="BH86"/>
      <c r="BI86"/>
      <c r="BJ86"/>
      <c r="BS86"/>
      <c r="BU86"/>
      <c r="BV86"/>
      <c r="BX86"/>
    </row>
    <row r="87" spans="1:76" ht="15.75">
      <c r="A87" s="263" t="s">
        <v>738</v>
      </c>
      <c r="B87" t="s">
        <v>738</v>
      </c>
      <c r="C87" s="57"/>
      <c r="D87" s="57">
        <v>442</v>
      </c>
      <c r="E87" s="57">
        <v>517</v>
      </c>
      <c r="F87" s="57">
        <v>2.915</v>
      </c>
      <c r="G87" s="57">
        <v>40785</v>
      </c>
      <c r="H87" s="57">
        <v>1.95</v>
      </c>
      <c r="I87" s="57">
        <v>41278</v>
      </c>
      <c r="J87" s="57">
        <v>-30.155202126196706</v>
      </c>
      <c r="K87" s="57">
        <v>-33.455665162821248</v>
      </c>
      <c r="L87" s="57">
        <v>-506.85500000000002</v>
      </c>
      <c r="M87" s="57">
        <v>7.95</v>
      </c>
      <c r="N87" s="57" t="s">
        <v>145</v>
      </c>
      <c r="O87" s="57">
        <v>1515.0050000000001</v>
      </c>
      <c r="P87" s="57"/>
      <c r="Q87" s="57"/>
      <c r="R87" s="57"/>
      <c r="S87" s="57"/>
      <c r="T87" s="57"/>
      <c r="U87" s="57"/>
      <c r="V87" s="57"/>
      <c r="W87" s="451"/>
      <c r="X87" s="145"/>
      <c r="Y87" s="223"/>
      <c r="Z87" s="22"/>
      <c r="AA87"/>
      <c r="AC87" s="9"/>
      <c r="AE87" s="27"/>
      <c r="AF87" s="84"/>
      <c r="AH87" s="13"/>
      <c r="AP87"/>
      <c r="AR87"/>
      <c r="AV87"/>
      <c r="AW87"/>
      <c r="AX87"/>
      <c r="AY87"/>
      <c r="AZ87"/>
      <c r="BC87"/>
      <c r="BD87"/>
      <c r="BG87"/>
      <c r="BH87"/>
      <c r="BI87"/>
      <c r="BJ87"/>
      <c r="BS87"/>
      <c r="BU87"/>
      <c r="BV87"/>
      <c r="BX87"/>
    </row>
    <row r="88" spans="1:76" ht="15.75">
      <c r="A88" s="263" t="s">
        <v>229</v>
      </c>
      <c r="B88" t="s">
        <v>402</v>
      </c>
      <c r="C88" s="57"/>
      <c r="D88" s="57">
        <v>147</v>
      </c>
      <c r="E88" s="57">
        <v>500</v>
      </c>
      <c r="F88" s="57">
        <v>0.8</v>
      </c>
      <c r="G88" s="57">
        <v>40829</v>
      </c>
      <c r="H88" s="57">
        <v>1.1000000000000001</v>
      </c>
      <c r="I88" s="57">
        <v>40857</v>
      </c>
      <c r="J88" s="57">
        <v>341.01548438178378</v>
      </c>
      <c r="K88" s="57">
        <v>29.900803023145968</v>
      </c>
      <c r="L88" s="57">
        <v>126.6</v>
      </c>
      <c r="M88" s="57">
        <v>23.4</v>
      </c>
      <c r="N88" s="57" t="s">
        <v>15</v>
      </c>
      <c r="O88" s="57">
        <v>423.4</v>
      </c>
      <c r="P88" s="57"/>
      <c r="Q88" s="57"/>
      <c r="R88" s="57"/>
      <c r="S88" s="57"/>
      <c r="T88" s="57"/>
      <c r="U88" s="57"/>
      <c r="V88" s="57"/>
      <c r="W88" s="451"/>
      <c r="X88" s="145"/>
      <c r="Y88" s="223"/>
      <c r="Z88" s="22"/>
      <c r="AA88"/>
      <c r="AC88" s="9"/>
      <c r="AE88" s="27"/>
      <c r="AF88" s="84"/>
      <c r="AH88" s="13"/>
      <c r="AP88"/>
      <c r="AR88"/>
      <c r="AV88"/>
      <c r="AW88"/>
      <c r="AX88"/>
      <c r="AY88"/>
      <c r="AZ88"/>
      <c r="BC88"/>
      <c r="BD88"/>
      <c r="BG88"/>
      <c r="BH88"/>
      <c r="BI88"/>
      <c r="BJ88"/>
      <c r="BS88"/>
      <c r="BU88"/>
      <c r="BV88"/>
      <c r="BX88"/>
    </row>
    <row r="89" spans="1:76" ht="15.75">
      <c r="A89" s="263" t="s">
        <v>58</v>
      </c>
      <c r="C89" s="57"/>
      <c r="D89" s="57">
        <v>39</v>
      </c>
      <c r="E89" s="57">
        <v>800</v>
      </c>
      <c r="F89" s="57">
        <v>12.04</v>
      </c>
      <c r="G89" s="57">
        <v>40088</v>
      </c>
      <c r="H89" s="57">
        <v>15</v>
      </c>
      <c r="I89" s="57">
        <v>40648</v>
      </c>
      <c r="J89" s="57">
        <v>14.273502800689466</v>
      </c>
      <c r="K89" s="57">
        <v>24.481973454219176</v>
      </c>
      <c r="L89" s="57">
        <v>2360.0500000000002</v>
      </c>
      <c r="M89" s="57">
        <v>7.95</v>
      </c>
      <c r="N89" s="57" t="s">
        <v>145</v>
      </c>
      <c r="O89" s="57">
        <v>9639.9500000000007</v>
      </c>
      <c r="P89" s="57"/>
      <c r="Q89" s="57"/>
      <c r="R89" s="57"/>
      <c r="S89" s="57"/>
      <c r="T89" s="57"/>
      <c r="U89" s="57"/>
      <c r="V89" s="57"/>
      <c r="W89" s="451"/>
      <c r="X89" s="145"/>
      <c r="Y89" s="223"/>
      <c r="Z89" s="22"/>
      <c r="AA89"/>
      <c r="AC89" s="9"/>
      <c r="AE89" s="27"/>
      <c r="AF89" s="84"/>
      <c r="AH89" s="13"/>
      <c r="AP89"/>
      <c r="AR89"/>
      <c r="AV89"/>
      <c r="AW89"/>
      <c r="AX89"/>
      <c r="AY89"/>
      <c r="AZ89"/>
      <c r="BC89"/>
      <c r="BD89"/>
      <c r="BG89"/>
      <c r="BH89"/>
      <c r="BI89"/>
      <c r="BJ89"/>
      <c r="BS89"/>
      <c r="BU89"/>
      <c r="BV89"/>
      <c r="BX89"/>
    </row>
    <row r="90" spans="1:76" ht="15.75">
      <c r="A90" s="263" t="s">
        <v>233</v>
      </c>
      <c r="B90" t="s">
        <v>287</v>
      </c>
      <c r="C90" s="57"/>
      <c r="D90" s="57">
        <v>71</v>
      </c>
      <c r="E90" s="57">
        <v>900</v>
      </c>
      <c r="F90" s="57">
        <v>0.02</v>
      </c>
      <c r="G90" s="57">
        <v>40549</v>
      </c>
      <c r="H90" s="57">
        <v>0.4</v>
      </c>
      <c r="I90" s="57">
        <v>40712</v>
      </c>
      <c r="J90" s="57">
        <v>456.80917160705587</v>
      </c>
      <c r="K90" s="57">
        <v>659.49367088607607</v>
      </c>
      <c r="L90" s="57">
        <v>312.60000000000002</v>
      </c>
      <c r="M90" s="57">
        <v>29.4</v>
      </c>
      <c r="N90" s="57" t="s">
        <v>15</v>
      </c>
      <c r="O90" s="57">
        <v>47.4</v>
      </c>
      <c r="P90" s="57"/>
      <c r="Q90" s="57"/>
      <c r="R90" s="57"/>
      <c r="S90" s="57"/>
      <c r="T90" s="57"/>
      <c r="U90" s="57"/>
      <c r="V90" s="57"/>
      <c r="W90" s="451"/>
      <c r="X90" s="145"/>
      <c r="Y90" s="223"/>
      <c r="Z90" s="22"/>
      <c r="AA90"/>
      <c r="AC90" s="9"/>
      <c r="AE90" s="27"/>
      <c r="AF90" s="84"/>
      <c r="AH90" s="13"/>
      <c r="AP90"/>
      <c r="AR90"/>
      <c r="AV90"/>
      <c r="AW90"/>
      <c r="AX90"/>
      <c r="AY90"/>
      <c r="AZ90"/>
      <c r="BC90"/>
      <c r="BD90"/>
      <c r="BG90"/>
      <c r="BH90"/>
      <c r="BI90"/>
      <c r="BJ90"/>
      <c r="BS90"/>
      <c r="BU90"/>
      <c r="BV90"/>
      <c r="BX90"/>
    </row>
    <row r="91" spans="1:76" ht="15.75">
      <c r="A91" s="263" t="s">
        <v>233</v>
      </c>
      <c r="B91" t="s">
        <v>330</v>
      </c>
      <c r="C91" s="57"/>
      <c r="D91" s="57">
        <v>98</v>
      </c>
      <c r="E91" s="57">
        <v>900</v>
      </c>
      <c r="F91" s="57">
        <v>0</v>
      </c>
      <c r="G91" s="57">
        <v>40721</v>
      </c>
      <c r="H91" s="57">
        <v>0.65</v>
      </c>
      <c r="I91" s="57">
        <v>40774</v>
      </c>
      <c r="J91" s="57">
        <v>2536.9320547324819</v>
      </c>
      <c r="K91" s="57">
        <v>3879.5918367346949</v>
      </c>
      <c r="L91" s="57">
        <v>570.29999999999995</v>
      </c>
      <c r="M91" s="57">
        <v>14.7</v>
      </c>
      <c r="N91" s="57" t="s">
        <v>403</v>
      </c>
      <c r="O91" s="57">
        <v>14.7</v>
      </c>
      <c r="P91" s="57"/>
      <c r="Q91" s="57"/>
      <c r="R91" s="57"/>
      <c r="S91" s="57"/>
      <c r="T91" s="57"/>
      <c r="U91" s="57"/>
      <c r="V91" s="57"/>
      <c r="W91" s="451"/>
      <c r="X91" s="145"/>
      <c r="Y91" s="223"/>
      <c r="Z91" s="22"/>
      <c r="AA91"/>
      <c r="AC91" s="9"/>
      <c r="AE91" s="27"/>
      <c r="AF91" s="84"/>
      <c r="AH91" s="13"/>
      <c r="AP91"/>
      <c r="AR91"/>
      <c r="AV91"/>
      <c r="AW91"/>
      <c r="AX91"/>
      <c r="AY91"/>
      <c r="AZ91"/>
      <c r="BC91"/>
      <c r="BD91"/>
      <c r="BG91"/>
      <c r="BH91"/>
      <c r="BI91"/>
      <c r="BJ91"/>
      <c r="BS91"/>
      <c r="BU91"/>
      <c r="BV91"/>
      <c r="BX91"/>
    </row>
    <row r="92" spans="1:76" ht="15.75">
      <c r="A92" s="263" t="s">
        <v>233</v>
      </c>
      <c r="C92" s="57"/>
      <c r="D92" s="57">
        <v>105</v>
      </c>
      <c r="E92" s="57">
        <v>900</v>
      </c>
      <c r="F92" s="57">
        <v>5.5</v>
      </c>
      <c r="G92" s="57">
        <v>40305</v>
      </c>
      <c r="H92" s="57">
        <v>3</v>
      </c>
      <c r="I92" s="57">
        <v>40802</v>
      </c>
      <c r="J92" s="57">
        <v>-44.632859191489899</v>
      </c>
      <c r="K92" s="57">
        <v>-45.54200828971652</v>
      </c>
      <c r="L92" s="57">
        <v>-2257.9499999999998</v>
      </c>
      <c r="M92" s="57">
        <v>7.95</v>
      </c>
      <c r="N92" s="57" t="s">
        <v>145</v>
      </c>
      <c r="O92" s="57">
        <v>4957.95</v>
      </c>
      <c r="P92" s="57"/>
      <c r="Q92" s="57"/>
      <c r="R92" s="57"/>
      <c r="S92" s="57"/>
      <c r="T92" s="57"/>
      <c r="U92" s="57"/>
      <c r="V92" s="57"/>
      <c r="W92" s="451"/>
      <c r="X92" s="145"/>
      <c r="Y92" s="223"/>
      <c r="Z92" s="22"/>
      <c r="AA92"/>
      <c r="AC92" s="9"/>
      <c r="AE92" s="27"/>
      <c r="AF92" s="84"/>
      <c r="AH92" s="13"/>
      <c r="AP92"/>
      <c r="AR92"/>
      <c r="AV92"/>
      <c r="AW92"/>
      <c r="AX92"/>
      <c r="AY92"/>
      <c r="AZ92"/>
      <c r="BC92"/>
      <c r="BD92"/>
      <c r="BG92"/>
      <c r="BH92"/>
      <c r="BI92"/>
      <c r="BJ92"/>
      <c r="BS92"/>
      <c r="BU92"/>
      <c r="BV92"/>
      <c r="BX92"/>
    </row>
    <row r="93" spans="1:76" ht="15.75">
      <c r="A93" s="263" t="s">
        <v>233</v>
      </c>
      <c r="B93" t="s">
        <v>368</v>
      </c>
      <c r="C93" s="57"/>
      <c r="D93" s="57">
        <v>106</v>
      </c>
      <c r="E93" s="57">
        <v>900</v>
      </c>
      <c r="F93" s="57">
        <v>0</v>
      </c>
      <c r="G93" s="57">
        <v>40784</v>
      </c>
      <c r="H93" s="57">
        <v>0.4</v>
      </c>
      <c r="I93" s="57">
        <v>40802</v>
      </c>
      <c r="J93" s="57">
        <v>4743.7110318973891</v>
      </c>
      <c r="K93" s="57">
        <v>937.46397694524524</v>
      </c>
      <c r="L93" s="57">
        <v>325.3</v>
      </c>
      <c r="M93" s="57">
        <v>34.700000000000003</v>
      </c>
      <c r="N93" s="57" t="s">
        <v>404</v>
      </c>
      <c r="O93" s="57">
        <v>34.700000000000003</v>
      </c>
      <c r="P93" s="57"/>
      <c r="Q93" s="57"/>
      <c r="R93" s="57"/>
      <c r="S93" s="57"/>
      <c r="T93" s="57"/>
      <c r="U93" s="57"/>
      <c r="V93" s="57"/>
      <c r="W93" s="451"/>
      <c r="X93" s="145"/>
      <c r="Y93" s="223"/>
      <c r="Z93" s="22"/>
      <c r="AA93"/>
      <c r="AC93" s="9"/>
      <c r="AE93" s="27"/>
      <c r="AF93" s="84"/>
      <c r="AH93" s="13"/>
      <c r="AP93"/>
      <c r="AR93"/>
      <c r="AV93"/>
      <c r="AW93"/>
      <c r="AX93"/>
      <c r="AY93"/>
      <c r="AZ93"/>
      <c r="BC93"/>
      <c r="BD93"/>
      <c r="BG93"/>
      <c r="BH93"/>
      <c r="BI93"/>
      <c r="BJ93"/>
      <c r="BS93"/>
      <c r="BU93"/>
      <c r="BV93"/>
      <c r="BX93"/>
    </row>
    <row r="94" spans="1:76" ht="15.75">
      <c r="A94" s="263" t="s">
        <v>193</v>
      </c>
      <c r="B94" t="s">
        <v>873</v>
      </c>
      <c r="C94" s="57"/>
      <c r="D94" s="57">
        <v>458</v>
      </c>
      <c r="E94" s="57">
        <v>100</v>
      </c>
      <c r="F94" s="57">
        <v>3</v>
      </c>
      <c r="G94" s="57">
        <v>41243</v>
      </c>
      <c r="H94" s="57">
        <v>0.01</v>
      </c>
      <c r="I94" s="57">
        <v>41349</v>
      </c>
      <c r="J94" s="57">
        <v>-1992.680976190916</v>
      </c>
      <c r="K94" s="57">
        <v>-99.676060900550723</v>
      </c>
      <c r="L94" s="57">
        <v>-307.7</v>
      </c>
      <c r="M94" s="57">
        <v>8.6999999999999993</v>
      </c>
      <c r="N94" s="57" t="s">
        <v>233</v>
      </c>
      <c r="O94" s="57">
        <v>308.7</v>
      </c>
      <c r="P94" s="57"/>
      <c r="Q94" s="57"/>
      <c r="R94" s="57"/>
      <c r="S94" s="57"/>
      <c r="T94" s="57"/>
      <c r="U94" s="57"/>
      <c r="V94" s="57"/>
      <c r="W94" s="451"/>
      <c r="X94" s="145"/>
      <c r="Y94" s="223"/>
      <c r="Z94" s="22"/>
      <c r="AA94"/>
      <c r="AC94" s="9"/>
      <c r="AE94" s="27"/>
      <c r="AF94" s="84"/>
      <c r="AH94" s="13"/>
      <c r="AP94"/>
      <c r="AR94"/>
      <c r="AV94"/>
      <c r="AW94"/>
      <c r="AX94"/>
      <c r="AY94"/>
      <c r="AZ94"/>
      <c r="BC94"/>
      <c r="BD94"/>
      <c r="BG94"/>
      <c r="BH94"/>
      <c r="BI94"/>
      <c r="BJ94"/>
      <c r="BS94"/>
      <c r="BU94"/>
      <c r="BV94"/>
      <c r="BX94"/>
    </row>
    <row r="95" spans="1:76" ht="15.75">
      <c r="A95" s="263" t="s">
        <v>41</v>
      </c>
      <c r="B95" t="s">
        <v>366</v>
      </c>
      <c r="C95" s="57"/>
      <c r="D95" s="57">
        <v>118</v>
      </c>
      <c r="E95" s="57">
        <v>500</v>
      </c>
      <c r="F95" s="57">
        <v>2.5</v>
      </c>
      <c r="G95" s="57">
        <v>40786</v>
      </c>
      <c r="H95" s="57">
        <v>2</v>
      </c>
      <c r="I95" s="57">
        <v>40835</v>
      </c>
      <c r="J95" s="57">
        <v>-180.03475171283191</v>
      </c>
      <c r="K95" s="57">
        <v>-21.470080100518302</v>
      </c>
      <c r="L95" s="57">
        <v>-273.39999999999998</v>
      </c>
      <c r="M95" s="57">
        <v>23.4</v>
      </c>
      <c r="N95" s="57" t="s">
        <v>15</v>
      </c>
      <c r="O95" s="57">
        <v>1273.4000000000001</v>
      </c>
      <c r="P95" s="57"/>
      <c r="Q95" s="57"/>
      <c r="R95" s="57"/>
      <c r="S95" s="57"/>
      <c r="T95" s="57"/>
      <c r="U95" s="57"/>
      <c r="V95" s="57"/>
      <c r="W95" s="451"/>
      <c r="X95" s="145"/>
      <c r="Y95" s="223"/>
      <c r="Z95" s="22"/>
      <c r="AA95"/>
      <c r="AC95" s="9"/>
      <c r="AE95" s="27"/>
      <c r="AF95" s="84"/>
      <c r="AH95" s="13"/>
      <c r="AP95"/>
      <c r="AR95"/>
      <c r="AV95"/>
      <c r="AW95"/>
      <c r="AX95"/>
      <c r="AY95"/>
      <c r="AZ95"/>
      <c r="BC95"/>
      <c r="BD95"/>
      <c r="BG95"/>
      <c r="BH95"/>
      <c r="BI95"/>
      <c r="BJ95"/>
      <c r="BS95"/>
      <c r="BU95"/>
      <c r="BV95"/>
      <c r="BX95"/>
    </row>
    <row r="96" spans="1:76" ht="15.75">
      <c r="A96" s="263" t="s">
        <v>41</v>
      </c>
      <c r="B96" t="s">
        <v>393</v>
      </c>
      <c r="C96" s="57"/>
      <c r="D96" s="57">
        <v>156</v>
      </c>
      <c r="E96" s="57">
        <v>500</v>
      </c>
      <c r="F96" s="57">
        <v>0</v>
      </c>
      <c r="G96" s="57">
        <v>40837</v>
      </c>
      <c r="H96" s="57">
        <v>0.8</v>
      </c>
      <c r="I96" s="57">
        <v>40866</v>
      </c>
      <c r="J96" s="57">
        <v>4445.2918359864107</v>
      </c>
      <c r="K96" s="57">
        <v>3318.8034188034198</v>
      </c>
      <c r="L96" s="57">
        <v>388.3</v>
      </c>
      <c r="M96" s="57">
        <v>11.7</v>
      </c>
      <c r="N96" s="57" t="s">
        <v>403</v>
      </c>
      <c r="O96" s="57">
        <v>11.7</v>
      </c>
      <c r="P96" s="57"/>
      <c r="Q96" s="57"/>
      <c r="R96" s="57"/>
      <c r="S96" s="57"/>
      <c r="T96" s="57"/>
      <c r="U96" s="57"/>
      <c r="V96" s="57"/>
      <c r="W96" s="451"/>
      <c r="X96" s="145"/>
      <c r="Y96" s="223"/>
      <c r="Z96" s="22"/>
      <c r="AA96"/>
      <c r="AC96" s="9"/>
      <c r="AE96" s="27"/>
      <c r="AF96" s="84"/>
      <c r="AG96" s="84"/>
      <c r="AH96" s="13"/>
      <c r="AP96"/>
      <c r="AR96"/>
      <c r="AV96"/>
      <c r="AW96"/>
      <c r="AX96"/>
      <c r="AY96"/>
      <c r="AZ96"/>
      <c r="BC96"/>
      <c r="BD96"/>
      <c r="BG96"/>
      <c r="BH96"/>
      <c r="BI96"/>
      <c r="BJ96"/>
      <c r="BS96"/>
      <c r="BU96"/>
      <c r="BV96"/>
      <c r="BX96"/>
    </row>
    <row r="97" spans="1:76" ht="15.75">
      <c r="A97" s="263" t="s">
        <v>41</v>
      </c>
      <c r="B97" t="s">
        <v>450</v>
      </c>
      <c r="C97" s="57"/>
      <c r="D97" s="57">
        <v>244</v>
      </c>
      <c r="E97" s="57">
        <v>500</v>
      </c>
      <c r="F97" s="57">
        <v>0.45</v>
      </c>
      <c r="G97" s="57">
        <v>40877</v>
      </c>
      <c r="H97" s="57">
        <v>1.5</v>
      </c>
      <c r="I97" s="57">
        <v>40974</v>
      </c>
      <c r="J97" s="57">
        <v>415.81133258961535</v>
      </c>
      <c r="K97" s="57">
        <v>201.93236714975845</v>
      </c>
      <c r="L97" s="57">
        <v>501.6</v>
      </c>
      <c r="M97" s="57">
        <v>23.4</v>
      </c>
      <c r="N97" s="57" t="s">
        <v>15</v>
      </c>
      <c r="O97" s="57">
        <v>248.4</v>
      </c>
      <c r="P97" s="57"/>
      <c r="Q97" s="57"/>
      <c r="R97" s="57"/>
      <c r="S97" s="57"/>
      <c r="T97" s="57"/>
      <c r="U97" s="57"/>
      <c r="V97" s="57"/>
      <c r="W97" s="451"/>
      <c r="X97" s="145"/>
      <c r="Y97" s="223"/>
      <c r="Z97" s="22"/>
      <c r="AA97"/>
      <c r="AC97" s="9"/>
      <c r="AE97" s="27"/>
      <c r="AF97" s="84"/>
      <c r="AG97" s="84"/>
      <c r="AH97" s="13"/>
      <c r="AP97"/>
      <c r="AR97"/>
      <c r="AV97"/>
      <c r="AW97"/>
      <c r="AX97"/>
      <c r="AY97"/>
      <c r="AZ97"/>
      <c r="BC97"/>
      <c r="BD97"/>
      <c r="BG97"/>
      <c r="BH97"/>
      <c r="BI97"/>
      <c r="BJ97"/>
      <c r="BS97"/>
      <c r="BU97"/>
      <c r="BV97"/>
      <c r="BX97"/>
    </row>
    <row r="98" spans="1:76" ht="15.75">
      <c r="A98" s="263" t="s">
        <v>41</v>
      </c>
      <c r="B98" t="s">
        <v>511</v>
      </c>
      <c r="C98" s="57"/>
      <c r="D98" s="57">
        <v>272</v>
      </c>
      <c r="E98" s="57">
        <v>500</v>
      </c>
      <c r="F98" s="57">
        <v>0.4</v>
      </c>
      <c r="G98" s="57">
        <v>40983</v>
      </c>
      <c r="H98" s="57">
        <v>1.2</v>
      </c>
      <c r="I98" s="57">
        <v>41009</v>
      </c>
      <c r="J98" s="57">
        <v>1386.9519443541606</v>
      </c>
      <c r="K98" s="57">
        <v>168.57654431512978</v>
      </c>
      <c r="L98" s="57">
        <v>376.6</v>
      </c>
      <c r="M98" s="57">
        <v>23.4</v>
      </c>
      <c r="N98" s="57" t="s">
        <v>15</v>
      </c>
      <c r="O98" s="57">
        <v>223.4</v>
      </c>
      <c r="P98" s="57"/>
      <c r="Q98" s="57"/>
      <c r="R98" s="57"/>
      <c r="S98" s="57"/>
      <c r="T98" s="57"/>
      <c r="U98" s="57"/>
      <c r="V98" s="57"/>
      <c r="W98" s="451"/>
      <c r="X98" s="145"/>
      <c r="Y98" s="223"/>
      <c r="Z98" s="22"/>
      <c r="AA98"/>
      <c r="AC98" s="9"/>
      <c r="AE98" s="27"/>
      <c r="AF98" s="84"/>
      <c r="AG98" s="84"/>
      <c r="AH98" s="13"/>
      <c r="AP98"/>
      <c r="AR98"/>
      <c r="AV98"/>
      <c r="AW98"/>
      <c r="AX98"/>
      <c r="AY98"/>
      <c r="AZ98"/>
      <c r="BC98"/>
      <c r="BD98"/>
      <c r="BG98"/>
      <c r="BH98"/>
      <c r="BI98"/>
      <c r="BJ98"/>
      <c r="BS98"/>
      <c r="BU98"/>
      <c r="BV98"/>
      <c r="BX98"/>
    </row>
    <row r="99" spans="1:76" ht="15.75">
      <c r="A99" s="263" t="s">
        <v>41</v>
      </c>
      <c r="B99" t="s">
        <v>41</v>
      </c>
      <c r="C99" s="57"/>
      <c r="D99" s="57">
        <v>343</v>
      </c>
      <c r="E99" s="57">
        <v>500</v>
      </c>
      <c r="F99" s="57">
        <v>9.25</v>
      </c>
      <c r="G99" s="57">
        <v>40758</v>
      </c>
      <c r="H99" s="57">
        <v>5</v>
      </c>
      <c r="I99" s="57">
        <v>41110</v>
      </c>
      <c r="J99" s="57">
        <v>-63.968643483227936</v>
      </c>
      <c r="K99" s="57">
        <v>-46.038701043611525</v>
      </c>
      <c r="L99" s="57">
        <v>-2132.9499999999998</v>
      </c>
      <c r="M99" s="57">
        <v>7.95</v>
      </c>
      <c r="N99" s="57" t="s">
        <v>145</v>
      </c>
      <c r="O99" s="57">
        <v>4632.95</v>
      </c>
      <c r="P99" s="57"/>
      <c r="Q99" s="57"/>
      <c r="R99" s="57"/>
      <c r="S99" s="57"/>
      <c r="T99" s="57"/>
      <c r="U99" s="57"/>
      <c r="V99" s="57"/>
      <c r="W99" s="451"/>
      <c r="X99" s="145"/>
      <c r="Y99" s="223"/>
      <c r="Z99" s="22"/>
      <c r="AA99"/>
      <c r="AC99" s="9"/>
      <c r="AD99" s="9"/>
      <c r="AF99" s="27"/>
      <c r="AG99" s="84"/>
      <c r="AH99" s="13"/>
      <c r="AP99"/>
      <c r="AR99"/>
      <c r="AV99"/>
      <c r="AW99"/>
      <c r="AX99"/>
      <c r="AY99"/>
      <c r="AZ99"/>
      <c r="BC99"/>
      <c r="BD99"/>
      <c r="BG99"/>
      <c r="BH99"/>
      <c r="BI99"/>
      <c r="BJ99"/>
      <c r="BS99"/>
      <c r="BU99"/>
      <c r="BV99"/>
      <c r="BX99"/>
    </row>
    <row r="100" spans="1:76" ht="15.75">
      <c r="A100" s="263" t="s">
        <v>41</v>
      </c>
      <c r="B100" t="s">
        <v>749</v>
      </c>
      <c r="C100" s="57"/>
      <c r="D100" s="57">
        <v>344</v>
      </c>
      <c r="E100" s="57">
        <v>500</v>
      </c>
      <c r="F100" s="57">
        <v>0</v>
      </c>
      <c r="G100" s="57">
        <v>41073</v>
      </c>
      <c r="H100" s="57">
        <v>0.4</v>
      </c>
      <c r="I100" s="57">
        <v>41110</v>
      </c>
      <c r="J100" s="57">
        <v>1817.1087845071695</v>
      </c>
      <c r="K100" s="57">
        <v>530.91482649842283</v>
      </c>
      <c r="L100" s="57">
        <v>168.3</v>
      </c>
      <c r="M100" s="57">
        <v>31.7</v>
      </c>
      <c r="N100" s="57" t="s">
        <v>404</v>
      </c>
      <c r="O100" s="57">
        <v>31.7</v>
      </c>
      <c r="P100" s="57"/>
      <c r="Q100" s="57"/>
      <c r="R100" s="57"/>
      <c r="S100" s="57"/>
      <c r="T100" s="57"/>
      <c r="U100" s="57"/>
      <c r="V100" s="57"/>
      <c r="W100" s="451"/>
      <c r="X100" s="145"/>
      <c r="Y100" s="223"/>
      <c r="Z100" s="22"/>
      <c r="AA100"/>
      <c r="AC100" s="9"/>
      <c r="AD100" s="9"/>
      <c r="AF100" s="27"/>
      <c r="AG100" s="84"/>
      <c r="AH100" s="13"/>
      <c r="AP100"/>
      <c r="AR100"/>
      <c r="AV100"/>
      <c r="AW100"/>
      <c r="AX100"/>
      <c r="AY100"/>
      <c r="AZ100"/>
      <c r="BC100"/>
      <c r="BD100"/>
      <c r="BG100"/>
      <c r="BH100"/>
      <c r="BI100"/>
      <c r="BJ100"/>
      <c r="BS100"/>
      <c r="BU100"/>
      <c r="BV100"/>
      <c r="BX100"/>
    </row>
    <row r="101" spans="1:76" ht="15.75">
      <c r="A101" s="263" t="s">
        <v>247</v>
      </c>
      <c r="B101" t="s">
        <v>394</v>
      </c>
      <c r="C101" s="57"/>
      <c r="D101" s="57">
        <v>124</v>
      </c>
      <c r="E101" s="57">
        <v>400</v>
      </c>
      <c r="F101" s="57">
        <v>0</v>
      </c>
      <c r="G101" s="57">
        <v>40694</v>
      </c>
      <c r="H101" s="57">
        <v>0.4</v>
      </c>
      <c r="I101" s="57">
        <v>40838</v>
      </c>
      <c r="J101" s="57">
        <v>679.77051460036864</v>
      </c>
      <c r="K101" s="57">
        <v>1361.1872146118724</v>
      </c>
      <c r="L101" s="57">
        <v>149.05000000000001</v>
      </c>
      <c r="M101" s="57">
        <v>10.95</v>
      </c>
      <c r="N101" s="57" t="s">
        <v>403</v>
      </c>
      <c r="O101" s="57">
        <v>10.95</v>
      </c>
      <c r="P101" s="57"/>
      <c r="Q101" s="57"/>
      <c r="R101" s="57"/>
      <c r="S101" s="57"/>
      <c r="T101" s="57"/>
      <c r="U101" s="57"/>
      <c r="V101" s="57"/>
      <c r="W101" s="451"/>
      <c r="X101" s="145"/>
      <c r="Y101" s="223"/>
      <c r="Z101" s="22"/>
      <c r="AA101" s="3"/>
      <c r="AC101"/>
      <c r="AD101" s="9"/>
      <c r="AF101" s="27"/>
      <c r="AG101" s="84"/>
      <c r="AH101" s="13"/>
      <c r="AP101"/>
      <c r="AR101"/>
      <c r="AV101"/>
      <c r="AW101"/>
      <c r="AX101"/>
      <c r="AY101"/>
      <c r="AZ101"/>
      <c r="BC101"/>
      <c r="BD101"/>
      <c r="BG101"/>
      <c r="BH101"/>
      <c r="BI101"/>
      <c r="BJ101"/>
      <c r="BS101"/>
      <c r="BU101"/>
      <c r="BV101"/>
      <c r="BX101"/>
    </row>
    <row r="102" spans="1:76" ht="15.75">
      <c r="A102" s="263" t="s">
        <v>247</v>
      </c>
      <c r="B102" t="s">
        <v>247</v>
      </c>
      <c r="C102" s="57"/>
      <c r="D102" s="57">
        <v>436</v>
      </c>
      <c r="E102" s="57">
        <v>900</v>
      </c>
      <c r="F102" s="57">
        <v>2</v>
      </c>
      <c r="G102" s="57">
        <v>40315</v>
      </c>
      <c r="H102" s="57">
        <v>0.3</v>
      </c>
      <c r="I102" s="57">
        <v>41274</v>
      </c>
      <c r="J102" s="57">
        <v>-72.373026928779154</v>
      </c>
      <c r="K102" s="57">
        <v>-85.065958682485686</v>
      </c>
      <c r="L102" s="57">
        <v>-1537.95</v>
      </c>
      <c r="M102" s="57">
        <v>7.95</v>
      </c>
      <c r="N102" s="57" t="s">
        <v>145</v>
      </c>
      <c r="O102" s="57">
        <v>1807.95</v>
      </c>
      <c r="P102" s="57"/>
      <c r="Q102" s="57"/>
      <c r="R102" s="57"/>
      <c r="S102" s="57"/>
      <c r="T102" s="57"/>
      <c r="U102" s="57"/>
      <c r="V102" s="57"/>
      <c r="W102" s="451"/>
      <c r="X102" s="145"/>
      <c r="Y102" s="223"/>
      <c r="Z102" s="22"/>
      <c r="AA102"/>
      <c r="AC102"/>
      <c r="AD102" s="9"/>
      <c r="AF102" s="27"/>
      <c r="AG102" s="84"/>
      <c r="AH102" s="13"/>
      <c r="AP102"/>
      <c r="AR102"/>
      <c r="AV102"/>
      <c r="AW102"/>
      <c r="AX102"/>
      <c r="AY102"/>
      <c r="AZ102"/>
      <c r="BC102"/>
      <c r="BD102"/>
      <c r="BG102"/>
      <c r="BH102"/>
      <c r="BI102"/>
      <c r="BJ102"/>
      <c r="BS102"/>
      <c r="BU102"/>
      <c r="BV102"/>
      <c r="BX102"/>
    </row>
    <row r="103" spans="1:76" ht="15.75">
      <c r="A103" s="263" t="s">
        <v>59</v>
      </c>
      <c r="C103" s="57"/>
      <c r="D103" s="57">
        <v>9</v>
      </c>
      <c r="E103" s="57">
        <v>900</v>
      </c>
      <c r="F103" s="57">
        <v>4.95</v>
      </c>
      <c r="G103" s="57">
        <v>40088</v>
      </c>
      <c r="H103" s="57">
        <v>5.39</v>
      </c>
      <c r="I103" s="57">
        <v>40136</v>
      </c>
      <c r="J103" s="57">
        <v>63.39965358418705</v>
      </c>
      <c r="K103" s="57">
        <v>8.6949215205189265</v>
      </c>
      <c r="L103" s="57">
        <v>388.05</v>
      </c>
      <c r="M103" s="57">
        <v>7.95</v>
      </c>
      <c r="N103" s="57" t="s">
        <v>145</v>
      </c>
      <c r="O103" s="57">
        <v>4462.95</v>
      </c>
      <c r="P103" s="57"/>
      <c r="Q103" s="57"/>
      <c r="R103" s="57"/>
      <c r="S103" s="57"/>
      <c r="T103" s="57"/>
      <c r="U103" s="57"/>
      <c r="V103" s="57"/>
      <c r="W103" s="451"/>
      <c r="X103" s="145"/>
      <c r="Y103" s="223"/>
      <c r="Z103" s="22"/>
      <c r="AA103"/>
      <c r="AC103"/>
      <c r="AD103" s="9"/>
      <c r="AF103" s="27"/>
      <c r="AG103" s="84"/>
      <c r="AH103" s="13"/>
      <c r="AP103"/>
      <c r="AR103"/>
      <c r="AV103"/>
      <c r="AW103"/>
      <c r="AX103"/>
      <c r="AY103"/>
      <c r="AZ103"/>
      <c r="BC103"/>
      <c r="BD103"/>
      <c r="BG103"/>
      <c r="BH103"/>
      <c r="BI103"/>
      <c r="BJ103"/>
      <c r="BS103"/>
      <c r="BU103"/>
      <c r="BV103"/>
      <c r="BX103"/>
    </row>
    <row r="104" spans="1:76" ht="15.75">
      <c r="A104" s="263" t="s">
        <v>30</v>
      </c>
      <c r="B104" t="s">
        <v>395</v>
      </c>
      <c r="C104" s="57"/>
      <c r="D104" s="57">
        <v>125</v>
      </c>
      <c r="E104" s="57">
        <v>800</v>
      </c>
      <c r="F104" s="57">
        <v>0</v>
      </c>
      <c r="G104" s="57">
        <v>40704</v>
      </c>
      <c r="H104" s="57">
        <v>0.2</v>
      </c>
      <c r="I104" s="57">
        <v>40838</v>
      </c>
      <c r="J104" s="57">
        <v>664.54359853936944</v>
      </c>
      <c r="K104" s="57">
        <v>1046.9534050179211</v>
      </c>
      <c r="L104" s="57">
        <v>146.05000000000001</v>
      </c>
      <c r="M104" s="57">
        <v>13.95</v>
      </c>
      <c r="N104" s="57" t="s">
        <v>403</v>
      </c>
      <c r="O104" s="57">
        <v>13.95</v>
      </c>
      <c r="P104" s="57"/>
      <c r="Q104" s="57"/>
      <c r="R104" s="57"/>
      <c r="S104" s="57"/>
      <c r="T104" s="57"/>
      <c r="U104" s="57"/>
      <c r="V104" s="57"/>
      <c r="W104" s="451"/>
      <c r="X104" s="145"/>
      <c r="Y104" s="223"/>
      <c r="Z104" s="22"/>
      <c r="AA104"/>
      <c r="AC104"/>
      <c r="AD104" s="9"/>
      <c r="AF104" s="27"/>
      <c r="AG104" s="84"/>
      <c r="AH104" s="13"/>
      <c r="AP104"/>
      <c r="AR104"/>
      <c r="AV104"/>
      <c r="AW104"/>
      <c r="AX104"/>
      <c r="AY104"/>
      <c r="AZ104"/>
      <c r="BC104"/>
      <c r="BD104"/>
      <c r="BG104"/>
      <c r="BH104"/>
      <c r="BI104"/>
      <c r="BJ104"/>
      <c r="BS104"/>
      <c r="BU104"/>
      <c r="BV104"/>
      <c r="BX104"/>
    </row>
    <row r="105" spans="1:76" ht="15.75">
      <c r="A105" s="263" t="s">
        <v>30</v>
      </c>
      <c r="B105" t="s">
        <v>30</v>
      </c>
      <c r="C105" s="57"/>
      <c r="D105" s="57">
        <v>194</v>
      </c>
      <c r="E105" s="57">
        <v>800</v>
      </c>
      <c r="F105" s="57">
        <v>6</v>
      </c>
      <c r="G105" s="57">
        <v>40199</v>
      </c>
      <c r="H105" s="57">
        <v>0.65</v>
      </c>
      <c r="I105" s="57">
        <v>40906</v>
      </c>
      <c r="J105" s="57">
        <v>-114.827723029227</v>
      </c>
      <c r="K105" s="57">
        <v>-89.184579706527714</v>
      </c>
      <c r="L105" s="57">
        <v>-4287.95</v>
      </c>
      <c r="M105" s="57">
        <v>7.95</v>
      </c>
      <c r="N105" s="57" t="s">
        <v>145</v>
      </c>
      <c r="O105" s="57">
        <v>4807.95</v>
      </c>
      <c r="P105" s="57"/>
      <c r="Q105" s="57"/>
      <c r="R105" s="57"/>
      <c r="S105" s="57"/>
      <c r="T105" s="57"/>
      <c r="U105" s="57"/>
      <c r="V105" s="57"/>
      <c r="W105" s="451"/>
      <c r="X105" s="145"/>
      <c r="Y105" s="223"/>
      <c r="Z105" s="22"/>
      <c r="AA105"/>
      <c r="AC105"/>
      <c r="AD105" s="9"/>
      <c r="AF105" s="27"/>
      <c r="AG105" s="84"/>
      <c r="AH105" s="13"/>
      <c r="AP105"/>
      <c r="AR105"/>
      <c r="AV105"/>
      <c r="AW105"/>
      <c r="AX105"/>
      <c r="AY105"/>
      <c r="AZ105"/>
      <c r="BC105"/>
      <c r="BD105"/>
      <c r="BG105"/>
      <c r="BH105"/>
      <c r="BI105"/>
      <c r="BJ105"/>
      <c r="BS105"/>
      <c r="BU105"/>
      <c r="BV105"/>
      <c r="BX105"/>
    </row>
    <row r="106" spans="1:76" ht="15.75">
      <c r="A106" s="263" t="s">
        <v>64</v>
      </c>
      <c r="B106" t="s">
        <v>502</v>
      </c>
      <c r="C106" s="57"/>
      <c r="D106" s="57">
        <v>284</v>
      </c>
      <c r="E106" s="57">
        <v>100</v>
      </c>
      <c r="F106" s="57">
        <v>3.25</v>
      </c>
      <c r="G106" s="57">
        <v>40962</v>
      </c>
      <c r="H106" s="57">
        <v>3.9</v>
      </c>
      <c r="I106" s="57">
        <v>41022</v>
      </c>
      <c r="J106" s="57">
        <v>80.527101055048036</v>
      </c>
      <c r="K106" s="57">
        <v>13.901869158878505</v>
      </c>
      <c r="L106" s="57">
        <v>47.6</v>
      </c>
      <c r="M106" s="57">
        <v>17.399999999999999</v>
      </c>
      <c r="N106" s="57" t="s">
        <v>258</v>
      </c>
      <c r="O106" s="57">
        <v>342.4</v>
      </c>
      <c r="P106" s="57"/>
      <c r="Q106" s="57"/>
      <c r="R106" s="57"/>
      <c r="S106" s="57"/>
      <c r="T106" s="57"/>
      <c r="U106" s="57"/>
      <c r="V106" s="57"/>
      <c r="W106" s="451"/>
      <c r="X106" s="145"/>
      <c r="Y106" s="223"/>
      <c r="Z106" s="22"/>
      <c r="AA106"/>
      <c r="AC106"/>
      <c r="AD106" s="9"/>
      <c r="AF106" s="27"/>
      <c r="AG106" s="84"/>
      <c r="AH106" s="13"/>
      <c r="AP106"/>
      <c r="AR106"/>
      <c r="AV106"/>
      <c r="AW106"/>
      <c r="AX106"/>
      <c r="AY106"/>
      <c r="AZ106"/>
      <c r="BC106"/>
      <c r="BD106"/>
      <c r="BG106"/>
      <c r="BH106"/>
      <c r="BI106"/>
      <c r="BJ106"/>
      <c r="BS106"/>
      <c r="BU106"/>
      <c r="BV106"/>
      <c r="BX106"/>
    </row>
    <row r="107" spans="1:76" ht="15.75">
      <c r="A107" s="263" t="s">
        <v>751</v>
      </c>
      <c r="B107" t="s">
        <v>751</v>
      </c>
      <c r="C107" s="57"/>
      <c r="D107" s="57">
        <v>434</v>
      </c>
      <c r="E107" s="57">
        <v>2000</v>
      </c>
      <c r="F107" s="57">
        <v>1.8</v>
      </c>
      <c r="G107" s="57">
        <v>40623</v>
      </c>
      <c r="H107" s="57">
        <v>0.4</v>
      </c>
      <c r="I107" s="57">
        <v>41274</v>
      </c>
      <c r="J107" s="57">
        <v>-84.453671704114328</v>
      </c>
      <c r="K107" s="57">
        <v>-77.826743718732246</v>
      </c>
      <c r="L107" s="57">
        <v>-2807.95</v>
      </c>
      <c r="M107" s="57">
        <v>7.95</v>
      </c>
      <c r="N107" s="57" t="s">
        <v>145</v>
      </c>
      <c r="O107" s="57">
        <v>3607.95</v>
      </c>
      <c r="P107" s="57"/>
      <c r="Q107" s="57"/>
      <c r="R107" s="57"/>
      <c r="S107" s="57"/>
      <c r="T107" s="57"/>
      <c r="U107" s="57"/>
      <c r="V107" s="57"/>
      <c r="W107" s="451"/>
      <c r="X107" s="145"/>
      <c r="Y107" s="223"/>
      <c r="Z107" s="22"/>
      <c r="AA107"/>
      <c r="AC107"/>
      <c r="AD107" s="9"/>
      <c r="AF107" s="27"/>
      <c r="AG107" s="84"/>
      <c r="AH107" s="13"/>
      <c r="AP107"/>
      <c r="AR107"/>
      <c r="AV107"/>
      <c r="AW107"/>
      <c r="AX107"/>
      <c r="AY107"/>
      <c r="AZ107"/>
      <c r="BC107"/>
      <c r="BD107"/>
      <c r="BG107"/>
      <c r="BH107"/>
      <c r="BI107"/>
      <c r="BJ107"/>
      <c r="BS107"/>
      <c r="BU107"/>
      <c r="BV107"/>
      <c r="BX107"/>
    </row>
    <row r="108" spans="1:76" ht="15.75">
      <c r="A108" s="263" t="s">
        <v>172</v>
      </c>
      <c r="C108" s="57"/>
      <c r="D108" s="57">
        <v>24</v>
      </c>
      <c r="E108" s="57">
        <v>500</v>
      </c>
      <c r="F108" s="57">
        <v>13.5</v>
      </c>
      <c r="G108" s="57">
        <v>40305</v>
      </c>
      <c r="H108" s="57">
        <v>14</v>
      </c>
      <c r="I108" s="57">
        <v>40450</v>
      </c>
      <c r="J108" s="57">
        <v>8.8583132356351797</v>
      </c>
      <c r="K108" s="57">
        <v>3.5817074704607146</v>
      </c>
      <c r="L108" s="57">
        <v>242.05</v>
      </c>
      <c r="M108" s="57">
        <v>7.95</v>
      </c>
      <c r="N108" s="57" t="s">
        <v>145</v>
      </c>
      <c r="O108" s="57">
        <v>6757.95</v>
      </c>
      <c r="P108" s="57"/>
      <c r="Q108" s="57"/>
      <c r="R108" s="57"/>
      <c r="S108" s="57"/>
      <c r="T108" s="57"/>
      <c r="U108" s="57"/>
      <c r="V108" s="57"/>
      <c r="W108" s="451"/>
      <c r="X108" s="145"/>
      <c r="Y108" s="223"/>
      <c r="Z108" s="22"/>
      <c r="AA108"/>
      <c r="AC108"/>
      <c r="AD108" s="9"/>
      <c r="AF108" s="27"/>
      <c r="AG108" s="84"/>
      <c r="AH108" s="13"/>
      <c r="AP108"/>
      <c r="AR108"/>
      <c r="AV108"/>
      <c r="AW108"/>
      <c r="AX108"/>
      <c r="AY108"/>
      <c r="AZ108"/>
      <c r="BC108"/>
      <c r="BD108"/>
      <c r="BG108"/>
      <c r="BH108"/>
      <c r="BI108"/>
      <c r="BJ108"/>
      <c r="BS108"/>
      <c r="BU108"/>
      <c r="BV108"/>
      <c r="BX108"/>
    </row>
    <row r="109" spans="1:76" ht="15.75">
      <c r="A109" s="263" t="s">
        <v>65</v>
      </c>
      <c r="B109" t="s">
        <v>65</v>
      </c>
      <c r="C109" s="57"/>
      <c r="D109" s="57">
        <v>121</v>
      </c>
      <c r="E109" s="57">
        <v>100</v>
      </c>
      <c r="F109" s="57">
        <v>32.89</v>
      </c>
      <c r="G109" s="57">
        <v>40809</v>
      </c>
      <c r="H109" s="57">
        <v>23</v>
      </c>
      <c r="I109" s="57">
        <v>40838</v>
      </c>
      <c r="J109" s="57">
        <v>-453.21505739400948</v>
      </c>
      <c r="K109" s="57">
        <v>-30.238553814889528</v>
      </c>
      <c r="L109" s="57">
        <v>-996.95</v>
      </c>
      <c r="M109" s="57">
        <v>7.95</v>
      </c>
      <c r="N109" s="57" t="s">
        <v>145</v>
      </c>
      <c r="O109" s="57">
        <v>3296.95</v>
      </c>
      <c r="P109" s="57"/>
      <c r="Q109" s="57"/>
      <c r="R109" s="57"/>
      <c r="S109" s="57"/>
      <c r="T109" s="57"/>
      <c r="U109" s="57"/>
      <c r="V109" s="57"/>
      <c r="W109" s="451"/>
      <c r="X109" s="145"/>
      <c r="Y109" s="223"/>
      <c r="Z109" s="22"/>
      <c r="AA109"/>
      <c r="AC109"/>
      <c r="AD109" s="9"/>
      <c r="AF109" s="27"/>
      <c r="AG109" s="84"/>
      <c r="AP109"/>
      <c r="AR109"/>
      <c r="AV109"/>
      <c r="AW109"/>
      <c r="AX109"/>
      <c r="AY109"/>
      <c r="AZ109"/>
      <c r="BC109"/>
      <c r="BD109"/>
      <c r="BG109"/>
      <c r="BH109"/>
      <c r="BI109"/>
      <c r="BJ109"/>
      <c r="BS109"/>
      <c r="BU109"/>
      <c r="BV109"/>
      <c r="BX109"/>
    </row>
    <row r="110" spans="1:76" ht="15.75">
      <c r="A110" s="263" t="s">
        <v>65</v>
      </c>
      <c r="B110" t="s">
        <v>398</v>
      </c>
      <c r="C110" s="57"/>
      <c r="D110" s="57">
        <v>133</v>
      </c>
      <c r="E110" s="57">
        <v>100</v>
      </c>
      <c r="F110" s="57">
        <v>0</v>
      </c>
      <c r="G110" s="57">
        <v>40828</v>
      </c>
      <c r="H110" s="57">
        <v>11.7</v>
      </c>
      <c r="I110" s="57">
        <v>40838</v>
      </c>
      <c r="J110" s="57">
        <v>13533.695953345728</v>
      </c>
      <c r="K110" s="57">
        <v>3976.655052264809</v>
      </c>
      <c r="L110" s="57">
        <v>1141.3</v>
      </c>
      <c r="M110" s="57">
        <v>28.7</v>
      </c>
      <c r="N110" s="57" t="s">
        <v>404</v>
      </c>
      <c r="O110" s="57">
        <v>28.7</v>
      </c>
      <c r="P110" s="57"/>
      <c r="Q110" s="57"/>
      <c r="R110" s="57"/>
      <c r="S110" s="57"/>
      <c r="T110" s="57"/>
      <c r="U110" s="57"/>
      <c r="V110" s="57"/>
      <c r="W110" s="451"/>
      <c r="X110" s="145"/>
      <c r="Y110" s="223"/>
      <c r="Z110" s="22"/>
      <c r="AA110"/>
      <c r="AC110"/>
      <c r="AD110" s="9"/>
      <c r="AF110" s="27"/>
      <c r="AG110" s="84"/>
      <c r="AP110"/>
      <c r="AR110"/>
      <c r="AV110"/>
      <c r="AW110"/>
      <c r="AX110"/>
      <c r="AY110"/>
      <c r="AZ110"/>
      <c r="BC110"/>
      <c r="BD110"/>
      <c r="BG110"/>
      <c r="BH110"/>
      <c r="BI110"/>
      <c r="BJ110"/>
      <c r="BS110"/>
      <c r="BU110"/>
      <c r="BV110"/>
      <c r="BX110"/>
    </row>
    <row r="111" spans="1:76" ht="15.75">
      <c r="A111" s="263" t="s">
        <v>65</v>
      </c>
      <c r="B111" t="s">
        <v>903</v>
      </c>
      <c r="C111" s="57"/>
      <c r="D111" s="57">
        <v>470</v>
      </c>
      <c r="E111" s="57">
        <v>200</v>
      </c>
      <c r="F111" s="57">
        <v>0.35</v>
      </c>
      <c r="G111" s="57">
        <v>41558</v>
      </c>
      <c r="H111" s="57">
        <v>1.65</v>
      </c>
      <c r="I111" s="57">
        <v>41585</v>
      </c>
      <c r="J111" s="57">
        <v>1773.0625439197909</v>
      </c>
      <c r="K111" s="57">
        <v>271.20359955005625</v>
      </c>
      <c r="L111" s="57">
        <v>241.1</v>
      </c>
      <c r="M111" s="57">
        <v>18.899999999999999</v>
      </c>
      <c r="N111" s="57" t="s">
        <v>15</v>
      </c>
      <c r="O111" s="57">
        <v>88.9</v>
      </c>
      <c r="P111" s="57"/>
      <c r="Q111" s="57"/>
      <c r="R111" s="57"/>
      <c r="S111" s="57"/>
      <c r="T111" s="57"/>
      <c r="U111" s="57"/>
      <c r="V111" s="57"/>
      <c r="W111" s="451"/>
      <c r="X111" s="145"/>
      <c r="Y111" s="223"/>
      <c r="Z111" s="22"/>
      <c r="AA111"/>
      <c r="AC111"/>
      <c r="AD111" s="9"/>
      <c r="AF111" s="27"/>
      <c r="AG111" s="84"/>
      <c r="AP111"/>
      <c r="AR111"/>
      <c r="AV111"/>
      <c r="AW111"/>
      <c r="AX111"/>
      <c r="AY111"/>
      <c r="AZ111"/>
      <c r="BC111"/>
      <c r="BD111"/>
      <c r="BG111"/>
      <c r="BH111"/>
      <c r="BI111"/>
      <c r="BJ111"/>
      <c r="BS111"/>
      <c r="BU111"/>
      <c r="BV111"/>
      <c r="BX111"/>
    </row>
    <row r="112" spans="1:76" ht="15.75">
      <c r="A112" s="263" t="s">
        <v>65</v>
      </c>
      <c r="B112" t="s">
        <v>65</v>
      </c>
      <c r="C112" s="57"/>
      <c r="D112" s="57">
        <v>503</v>
      </c>
      <c r="E112" s="57">
        <v>200</v>
      </c>
      <c r="F112" s="57">
        <v>32.8797</v>
      </c>
      <c r="G112" s="57">
        <v>41557</v>
      </c>
      <c r="H112" s="57">
        <v>34</v>
      </c>
      <c r="I112" s="57">
        <v>41795</v>
      </c>
      <c r="J112" s="57">
        <v>4.953089278256221</v>
      </c>
      <c r="K112" s="57">
        <v>3.2824059940248165</v>
      </c>
      <c r="L112" s="57">
        <v>216.11</v>
      </c>
      <c r="M112" s="57">
        <v>7.95</v>
      </c>
      <c r="N112" s="57" t="s">
        <v>145</v>
      </c>
      <c r="O112" s="57">
        <v>6583.89</v>
      </c>
      <c r="P112" s="57"/>
      <c r="Q112" s="57"/>
      <c r="R112" s="57"/>
      <c r="S112" s="57"/>
      <c r="T112" s="57"/>
      <c r="U112" s="57"/>
      <c r="V112" s="57"/>
      <c r="W112" s="451"/>
      <c r="X112" s="145"/>
      <c r="Y112" s="223"/>
      <c r="Z112" s="22"/>
      <c r="AA112"/>
      <c r="AC112"/>
      <c r="AD112" s="9"/>
      <c r="AF112" s="27"/>
      <c r="AG112" s="84"/>
      <c r="AP112"/>
      <c r="AR112"/>
      <c r="AV112"/>
      <c r="AW112"/>
      <c r="AX112"/>
      <c r="AY112"/>
      <c r="AZ112"/>
      <c r="BC112"/>
      <c r="BD112"/>
      <c r="BG112"/>
      <c r="BH112"/>
      <c r="BI112"/>
      <c r="BJ112"/>
      <c r="BS112"/>
      <c r="BU112"/>
      <c r="BV112"/>
      <c r="BX112"/>
    </row>
    <row r="113" spans="1:76" ht="15.75">
      <c r="A113" s="263" t="s">
        <v>65</v>
      </c>
      <c r="B113" t="s">
        <v>1005</v>
      </c>
      <c r="C113" s="57"/>
      <c r="D113" s="57">
        <v>504</v>
      </c>
      <c r="E113" s="57">
        <v>200</v>
      </c>
      <c r="F113" s="57">
        <v>0</v>
      </c>
      <c r="G113" s="57">
        <v>41765</v>
      </c>
      <c r="H113" s="57">
        <v>1.2</v>
      </c>
      <c r="I113" s="57">
        <v>41795</v>
      </c>
      <c r="J113" s="57">
        <v>3092.1303515529462</v>
      </c>
      <c r="K113" s="57">
        <v>1169.8412698412701</v>
      </c>
      <c r="L113" s="57">
        <v>221.1</v>
      </c>
      <c r="M113" s="57">
        <v>18.899999999999999</v>
      </c>
      <c r="N113" s="57" t="s">
        <v>15</v>
      </c>
      <c r="O113" s="57">
        <v>18.899999999999999</v>
      </c>
      <c r="P113" s="57"/>
      <c r="Q113" s="57"/>
      <c r="R113" s="57"/>
      <c r="S113" s="57"/>
      <c r="T113" s="57"/>
      <c r="U113" s="57"/>
      <c r="V113" s="57"/>
      <c r="W113" s="451"/>
      <c r="X113" s="145"/>
      <c r="Y113" s="223"/>
      <c r="Z113" s="22"/>
      <c r="AA113"/>
      <c r="AC113"/>
      <c r="AD113" s="9"/>
      <c r="AF113" s="27"/>
      <c r="AG113" s="84"/>
      <c r="AP113"/>
      <c r="AR113"/>
      <c r="AV113"/>
      <c r="AW113"/>
      <c r="AX113"/>
      <c r="AY113"/>
      <c r="AZ113"/>
      <c r="BC113"/>
      <c r="BD113"/>
      <c r="BG113"/>
      <c r="BH113"/>
      <c r="BI113"/>
      <c r="BJ113"/>
      <c r="BS113"/>
      <c r="BU113"/>
      <c r="BV113"/>
      <c r="BX113"/>
    </row>
    <row r="114" spans="1:76" ht="15.75">
      <c r="A114" s="263" t="s">
        <v>81</v>
      </c>
      <c r="B114" t="s">
        <v>81</v>
      </c>
      <c r="C114" s="57"/>
      <c r="D114" s="57">
        <v>215</v>
      </c>
      <c r="E114" s="57">
        <v>115</v>
      </c>
      <c r="F114" s="57">
        <v>2.84</v>
      </c>
      <c r="G114" s="57">
        <v>40164</v>
      </c>
      <c r="H114" s="57">
        <v>1.1000000000000001</v>
      </c>
      <c r="I114" s="57">
        <v>40942</v>
      </c>
      <c r="J114" s="57">
        <v>-45.627066006086963</v>
      </c>
      <c r="K114" s="57">
        <v>-62.188013749813173</v>
      </c>
      <c r="L114" s="57">
        <v>-208.05</v>
      </c>
      <c r="M114" s="57">
        <v>7.95</v>
      </c>
      <c r="N114" s="57" t="s">
        <v>145</v>
      </c>
      <c r="O114" s="57">
        <v>334.55</v>
      </c>
      <c r="P114" s="57"/>
      <c r="Q114" s="57"/>
      <c r="R114" s="57"/>
      <c r="S114" s="57"/>
      <c r="T114" s="57"/>
      <c r="U114" s="57"/>
      <c r="V114" s="57"/>
      <c r="W114" s="451"/>
      <c r="X114" s="145"/>
      <c r="Y114" s="223"/>
      <c r="Z114" s="22"/>
      <c r="AA114"/>
      <c r="AC114"/>
      <c r="AD114" s="9"/>
      <c r="AF114" s="27"/>
      <c r="AG114" s="84"/>
      <c r="AP114"/>
      <c r="AR114"/>
      <c r="AV114"/>
      <c r="AW114"/>
      <c r="AX114"/>
      <c r="AY114"/>
      <c r="AZ114"/>
      <c r="BC114"/>
      <c r="BD114"/>
      <c r="BG114"/>
      <c r="BH114"/>
      <c r="BI114"/>
      <c r="BJ114"/>
      <c r="BS114"/>
      <c r="BU114"/>
      <c r="BV114"/>
      <c r="BX114"/>
    </row>
    <row r="115" spans="1:76" ht="15.75">
      <c r="A115" s="263" t="s">
        <v>740</v>
      </c>
      <c r="B115" t="s">
        <v>740</v>
      </c>
      <c r="C115" s="57"/>
      <c r="D115" s="57">
        <v>334</v>
      </c>
      <c r="E115" s="57">
        <v>200</v>
      </c>
      <c r="F115" s="57">
        <v>26</v>
      </c>
      <c r="G115" s="57">
        <v>41059</v>
      </c>
      <c r="H115" s="57">
        <v>25</v>
      </c>
      <c r="I115" s="57">
        <v>41103</v>
      </c>
      <c r="J115" s="57">
        <v>-33.802643207385081</v>
      </c>
      <c r="K115" s="57">
        <v>-3.992933879933569</v>
      </c>
      <c r="L115" s="57">
        <v>-207.95</v>
      </c>
      <c r="M115" s="57">
        <v>7.95</v>
      </c>
      <c r="N115" s="57" t="s">
        <v>145</v>
      </c>
      <c r="O115" s="57">
        <v>5207.95</v>
      </c>
      <c r="P115" s="57"/>
      <c r="Q115" s="57"/>
      <c r="R115" s="57"/>
      <c r="S115" s="57"/>
      <c r="T115" s="57"/>
      <c r="U115" s="57"/>
      <c r="V115" s="57"/>
      <c r="W115" s="451"/>
      <c r="X115" s="145"/>
      <c r="Y115" s="223"/>
      <c r="Z115" s="22"/>
      <c r="AA115"/>
      <c r="AC115"/>
      <c r="AD115" s="9"/>
      <c r="AF115" s="27"/>
      <c r="AG115" s="84"/>
      <c r="AP115"/>
      <c r="AR115"/>
      <c r="AV115"/>
      <c r="AW115"/>
      <c r="AX115"/>
      <c r="AY115"/>
      <c r="AZ115"/>
      <c r="BC115"/>
      <c r="BD115"/>
      <c r="BG115"/>
      <c r="BH115"/>
      <c r="BI115"/>
      <c r="BJ115"/>
      <c r="BS115"/>
      <c r="BU115"/>
      <c r="BV115"/>
      <c r="BX115"/>
    </row>
    <row r="116" spans="1:76" ht="15.75">
      <c r="A116" s="263" t="s">
        <v>740</v>
      </c>
      <c r="B116" t="s">
        <v>746</v>
      </c>
      <c r="C116" s="57"/>
      <c r="D116" s="57">
        <v>336</v>
      </c>
      <c r="E116" s="57">
        <v>200</v>
      </c>
      <c r="F116" s="57">
        <v>0</v>
      </c>
      <c r="G116" s="57">
        <v>41068</v>
      </c>
      <c r="H116" s="57">
        <v>1.6</v>
      </c>
      <c r="I116" s="57">
        <v>41103</v>
      </c>
      <c r="J116" s="57">
        <v>2487.8682465117272</v>
      </c>
      <c r="K116" s="57">
        <v>986.58743633276765</v>
      </c>
      <c r="L116" s="57">
        <v>290.55</v>
      </c>
      <c r="M116" s="57">
        <v>29.45</v>
      </c>
      <c r="N116" s="57" t="s">
        <v>404</v>
      </c>
      <c r="O116" s="57">
        <v>29.45</v>
      </c>
      <c r="P116" s="57"/>
      <c r="Q116" s="57"/>
      <c r="R116" s="57"/>
      <c r="S116" s="57"/>
      <c r="T116" s="57"/>
      <c r="U116" s="57"/>
      <c r="V116" s="57"/>
      <c r="W116" s="451"/>
      <c r="X116" s="145"/>
      <c r="Y116" s="223"/>
      <c r="Z116" s="22"/>
      <c r="AA116"/>
      <c r="AC116"/>
      <c r="AD116" s="9"/>
      <c r="AF116" s="27"/>
      <c r="AG116" s="84"/>
      <c r="AP116"/>
      <c r="AR116"/>
      <c r="AV116"/>
      <c r="AW116"/>
      <c r="AX116"/>
      <c r="AY116"/>
      <c r="AZ116"/>
      <c r="BC116"/>
      <c r="BD116"/>
      <c r="BG116"/>
      <c r="BH116"/>
      <c r="BI116"/>
      <c r="BJ116"/>
      <c r="BS116"/>
      <c r="BU116"/>
      <c r="BV116"/>
      <c r="BX116"/>
    </row>
    <row r="117" spans="1:76" ht="15.75">
      <c r="A117" s="263" t="s">
        <v>161</v>
      </c>
      <c r="B117" t="s">
        <v>449</v>
      </c>
      <c r="C117" s="57"/>
      <c r="D117" s="57">
        <v>188</v>
      </c>
      <c r="E117" s="57">
        <v>100</v>
      </c>
      <c r="F117" s="57">
        <v>0</v>
      </c>
      <c r="G117" s="57">
        <v>40875</v>
      </c>
      <c r="H117" s="57">
        <v>3.3</v>
      </c>
      <c r="I117" s="57">
        <v>40894</v>
      </c>
      <c r="J117" s="57">
        <v>6984.5048132210286</v>
      </c>
      <c r="K117" s="57">
        <v>3693.1034482758619</v>
      </c>
      <c r="L117" s="57">
        <v>321.3</v>
      </c>
      <c r="M117" s="57">
        <v>8.6999999999999993</v>
      </c>
      <c r="N117" s="57" t="s">
        <v>403</v>
      </c>
      <c r="O117" s="57">
        <v>8.6999999999999993</v>
      </c>
      <c r="P117" s="57"/>
      <c r="Q117" s="57"/>
      <c r="R117" s="57"/>
      <c r="S117" s="57"/>
      <c r="T117" s="57"/>
      <c r="U117" s="57"/>
      <c r="V117" s="57"/>
      <c r="W117" s="451"/>
      <c r="X117" s="145"/>
      <c r="Y117" s="223"/>
      <c r="Z117" s="22"/>
      <c r="AA117"/>
      <c r="AC117"/>
      <c r="AD117" s="9"/>
      <c r="AF117" s="27"/>
      <c r="AG117" s="84"/>
      <c r="AP117"/>
      <c r="AR117"/>
      <c r="AV117"/>
      <c r="AW117"/>
      <c r="AX117"/>
      <c r="AY117"/>
      <c r="AZ117"/>
      <c r="BC117"/>
      <c r="BD117"/>
      <c r="BG117"/>
      <c r="BH117"/>
      <c r="BI117"/>
      <c r="BJ117"/>
      <c r="BS117"/>
      <c r="BU117"/>
      <c r="BV117"/>
      <c r="BX117"/>
    </row>
    <row r="118" spans="1:76" ht="15.75">
      <c r="A118" s="263" t="s">
        <v>161</v>
      </c>
      <c r="B118" t="s">
        <v>161</v>
      </c>
      <c r="C118" s="57"/>
      <c r="D118" s="57">
        <v>209</v>
      </c>
      <c r="E118" s="57">
        <v>100</v>
      </c>
      <c r="F118" s="57">
        <v>74</v>
      </c>
      <c r="G118" s="57">
        <v>40872</v>
      </c>
      <c r="H118" s="57">
        <v>72.5</v>
      </c>
      <c r="I118" s="57">
        <v>40930</v>
      </c>
      <c r="J118" s="57">
        <v>-13.563072125832695</v>
      </c>
      <c r="K118" s="57">
        <v>-2.1321688186340295</v>
      </c>
      <c r="L118" s="57">
        <v>-157.94999999999999</v>
      </c>
      <c r="M118" s="57">
        <v>7.95</v>
      </c>
      <c r="N118" s="57" t="s">
        <v>145</v>
      </c>
      <c r="O118" s="57">
        <v>7407.95</v>
      </c>
      <c r="P118" s="57"/>
      <c r="Q118" s="57"/>
      <c r="R118" s="57"/>
      <c r="S118" s="57"/>
      <c r="T118" s="57"/>
      <c r="U118" s="57"/>
      <c r="V118" s="57"/>
      <c r="W118" s="451"/>
      <c r="X118" s="145"/>
      <c r="Y118" s="223"/>
      <c r="Z118" s="22"/>
      <c r="AA118"/>
      <c r="AC118"/>
      <c r="AD118" s="9"/>
      <c r="AF118" s="27"/>
      <c r="AG118" s="84"/>
      <c r="AP118"/>
      <c r="AR118"/>
      <c r="AV118"/>
      <c r="AW118"/>
      <c r="AX118"/>
      <c r="AY118"/>
      <c r="AZ118"/>
      <c r="BC118"/>
      <c r="BD118"/>
      <c r="BG118"/>
      <c r="BH118"/>
      <c r="BI118"/>
      <c r="BJ118"/>
      <c r="BS118"/>
      <c r="BU118"/>
      <c r="BV118"/>
      <c r="BX118"/>
    </row>
    <row r="119" spans="1:76" ht="15.75">
      <c r="A119" s="263" t="s">
        <v>161</v>
      </c>
      <c r="B119" t="s">
        <v>465</v>
      </c>
      <c r="C119" s="57"/>
      <c r="D119" s="57">
        <v>211</v>
      </c>
      <c r="E119" s="57">
        <v>100</v>
      </c>
      <c r="F119" s="57">
        <v>0</v>
      </c>
      <c r="G119" s="57">
        <v>40897</v>
      </c>
      <c r="H119" s="57">
        <v>4.5</v>
      </c>
      <c r="I119" s="57">
        <v>40930</v>
      </c>
      <c r="J119" s="57">
        <v>3044.2664178774494</v>
      </c>
      <c r="K119" s="57">
        <v>1467.9442508710804</v>
      </c>
      <c r="L119" s="57">
        <v>421.3</v>
      </c>
      <c r="M119" s="57">
        <v>28.7</v>
      </c>
      <c r="N119" s="57" t="s">
        <v>404</v>
      </c>
      <c r="O119" s="57">
        <v>28.7</v>
      </c>
      <c r="P119" s="57"/>
      <c r="Q119" s="57"/>
      <c r="R119" s="57"/>
      <c r="S119" s="57"/>
      <c r="T119" s="57"/>
      <c r="U119" s="57"/>
      <c r="V119" s="57"/>
      <c r="W119" s="451"/>
      <c r="X119" s="145"/>
      <c r="Y119" s="223"/>
      <c r="Z119" s="22"/>
      <c r="AA119"/>
      <c r="AC119"/>
      <c r="AD119" s="9"/>
      <c r="AF119" s="27"/>
      <c r="AG119" s="84"/>
      <c r="AP119"/>
      <c r="AR119"/>
      <c r="AV119"/>
      <c r="AW119"/>
      <c r="AX119"/>
      <c r="AY119"/>
      <c r="AZ119"/>
      <c r="BC119"/>
      <c r="BD119"/>
      <c r="BG119"/>
      <c r="BH119"/>
      <c r="BI119"/>
      <c r="BJ119"/>
      <c r="BS119"/>
      <c r="BU119"/>
      <c r="BV119"/>
      <c r="BX119"/>
    </row>
    <row r="120" spans="1:76" ht="15.75">
      <c r="A120" s="263" t="s">
        <v>106</v>
      </c>
      <c r="C120" s="57"/>
      <c r="D120" s="57">
        <v>18</v>
      </c>
      <c r="E120" s="57">
        <v>200</v>
      </c>
      <c r="F120" s="57">
        <v>26</v>
      </c>
      <c r="G120" s="57">
        <v>40199</v>
      </c>
      <c r="H120" s="57">
        <v>33.090000000000003</v>
      </c>
      <c r="I120" s="57">
        <v>40254</v>
      </c>
      <c r="J120" s="57">
        <v>161.95651929183782</v>
      </c>
      <c r="K120" s="57">
        <v>27.074952716519942</v>
      </c>
      <c r="L120" s="57">
        <v>1410.05</v>
      </c>
      <c r="M120" s="57">
        <v>7.95</v>
      </c>
      <c r="N120" s="57" t="s">
        <v>145</v>
      </c>
      <c r="O120" s="57">
        <v>5207.95</v>
      </c>
      <c r="P120" s="57"/>
      <c r="Q120" s="57"/>
      <c r="R120" s="57"/>
      <c r="S120" s="57"/>
      <c r="T120" s="57"/>
      <c r="U120" s="57"/>
      <c r="V120" s="57"/>
      <c r="W120" s="451"/>
      <c r="X120" s="145"/>
      <c r="Y120" s="223"/>
      <c r="Z120" s="22"/>
      <c r="AA120"/>
      <c r="AC120"/>
      <c r="AD120" s="9"/>
      <c r="AF120" s="27"/>
      <c r="AG120" s="84"/>
      <c r="AP120"/>
      <c r="AR120"/>
      <c r="AV120"/>
      <c r="AW120"/>
      <c r="AX120"/>
      <c r="AY120"/>
      <c r="AZ120"/>
      <c r="BC120"/>
      <c r="BD120"/>
      <c r="BG120"/>
      <c r="BH120"/>
      <c r="BI120"/>
      <c r="BJ120"/>
      <c r="BS120"/>
      <c r="BU120"/>
      <c r="BV120"/>
      <c r="BX120"/>
    </row>
    <row r="121" spans="1:76" ht="15.75">
      <c r="A121" s="263" t="s">
        <v>106</v>
      </c>
      <c r="C121" s="57"/>
      <c r="D121" s="57">
        <v>19</v>
      </c>
      <c r="E121" s="57">
        <v>200</v>
      </c>
      <c r="F121" s="57">
        <v>26</v>
      </c>
      <c r="G121" s="57">
        <v>40199</v>
      </c>
      <c r="H121" s="57">
        <v>33.1</v>
      </c>
      <c r="I121" s="57">
        <v>40246</v>
      </c>
      <c r="J121" s="57">
        <v>186.31235953544385</v>
      </c>
      <c r="K121" s="57">
        <v>27.113355542967959</v>
      </c>
      <c r="L121" s="57">
        <v>1412.05</v>
      </c>
      <c r="M121" s="57">
        <v>7.95</v>
      </c>
      <c r="N121" s="57" t="s">
        <v>145</v>
      </c>
      <c r="O121" s="57">
        <v>5207.95</v>
      </c>
      <c r="P121" s="57"/>
      <c r="Q121" s="57"/>
      <c r="R121" s="57"/>
      <c r="S121" s="57"/>
      <c r="T121" s="57"/>
      <c r="U121" s="57"/>
      <c r="V121" s="57"/>
      <c r="W121" s="451"/>
      <c r="X121" s="145"/>
      <c r="Y121" s="223"/>
      <c r="Z121" s="22"/>
      <c r="AA121"/>
      <c r="AC121"/>
      <c r="AD121" s="9"/>
      <c r="AF121" s="27"/>
      <c r="AG121" s="84"/>
      <c r="AP121"/>
      <c r="AR121"/>
      <c r="AV121"/>
      <c r="AW121"/>
      <c r="AX121"/>
      <c r="AY121"/>
      <c r="AZ121"/>
      <c r="BC121"/>
      <c r="BD121"/>
      <c r="BG121"/>
      <c r="BH121"/>
      <c r="BI121"/>
      <c r="BJ121"/>
      <c r="BS121"/>
      <c r="BU121"/>
      <c r="BV121"/>
      <c r="BX121"/>
    </row>
    <row r="122" spans="1:76" ht="15.75">
      <c r="A122" s="263" t="s">
        <v>105</v>
      </c>
      <c r="B122" t="s">
        <v>342</v>
      </c>
      <c r="C122" s="57"/>
      <c r="D122" s="57">
        <v>104</v>
      </c>
      <c r="E122" s="57">
        <v>1000</v>
      </c>
      <c r="F122" s="57">
        <v>1.22</v>
      </c>
      <c r="G122" s="57">
        <v>40764</v>
      </c>
      <c r="H122" s="57">
        <v>2</v>
      </c>
      <c r="I122" s="57">
        <v>40801</v>
      </c>
      <c r="J122" s="57">
        <v>462.94221415488153</v>
      </c>
      <c r="K122" s="57">
        <v>59.884882884323304</v>
      </c>
      <c r="L122" s="57">
        <v>749.1</v>
      </c>
      <c r="M122" s="57">
        <v>30.9</v>
      </c>
      <c r="N122" s="57" t="s">
        <v>278</v>
      </c>
      <c r="O122" s="57">
        <v>1250.9000000000001</v>
      </c>
      <c r="P122" s="57"/>
      <c r="Q122" s="57"/>
      <c r="R122" s="57"/>
      <c r="S122" s="57"/>
      <c r="T122" s="57"/>
      <c r="U122" s="57"/>
      <c r="V122" s="57"/>
      <c r="W122" s="451"/>
      <c r="X122" s="145"/>
      <c r="Y122" s="223"/>
      <c r="Z122" s="22"/>
      <c r="AA122"/>
      <c r="AC122"/>
      <c r="AD122" s="9"/>
      <c r="AF122" s="27"/>
      <c r="AG122" s="84"/>
      <c r="AP122"/>
      <c r="AR122"/>
      <c r="AV122"/>
      <c r="AW122"/>
      <c r="AX122"/>
      <c r="AY122"/>
      <c r="AZ122"/>
      <c r="BC122"/>
      <c r="BD122"/>
      <c r="BG122"/>
      <c r="BH122"/>
      <c r="BI122"/>
      <c r="BJ122"/>
      <c r="BS122"/>
      <c r="BU122"/>
      <c r="BV122"/>
      <c r="BX122"/>
    </row>
    <row r="123" spans="1:76" ht="15.75">
      <c r="A123" s="263" t="s">
        <v>105</v>
      </c>
      <c r="B123" t="s">
        <v>792</v>
      </c>
      <c r="C123" s="57"/>
      <c r="D123" s="57">
        <v>354</v>
      </c>
      <c r="E123" s="57">
        <v>100</v>
      </c>
      <c r="F123" s="57">
        <v>3.1</v>
      </c>
      <c r="G123" s="57">
        <v>41117</v>
      </c>
      <c r="H123" s="57">
        <v>3.5</v>
      </c>
      <c r="I123" s="57">
        <v>41123</v>
      </c>
      <c r="J123" s="57">
        <v>406.06547807408469</v>
      </c>
      <c r="K123" s="57">
        <v>6.9028711056811236</v>
      </c>
      <c r="L123" s="57">
        <v>22.6</v>
      </c>
      <c r="M123" s="57">
        <v>17.399999999999999</v>
      </c>
      <c r="N123" s="57" t="s">
        <v>258</v>
      </c>
      <c r="O123" s="57">
        <v>327.39999999999998</v>
      </c>
      <c r="P123" s="57"/>
      <c r="Q123" s="57"/>
      <c r="R123" s="57"/>
      <c r="S123" s="57"/>
      <c r="T123" s="57"/>
      <c r="U123" s="57"/>
      <c r="V123" s="57"/>
      <c r="W123" s="451"/>
      <c r="X123" s="145"/>
      <c r="Y123" s="223"/>
      <c r="Z123" s="22"/>
      <c r="AA123"/>
      <c r="AC123"/>
      <c r="AD123" s="9"/>
      <c r="AF123" s="27"/>
      <c r="AG123" s="84"/>
      <c r="AP123"/>
      <c r="AR123"/>
      <c r="AV123"/>
      <c r="AW123"/>
      <c r="AX123"/>
      <c r="AY123"/>
      <c r="AZ123"/>
      <c r="BC123"/>
      <c r="BD123"/>
      <c r="BG123"/>
      <c r="BH123"/>
      <c r="BI123"/>
      <c r="BJ123"/>
      <c r="BS123"/>
      <c r="BU123"/>
      <c r="BV123"/>
      <c r="BX123"/>
    </row>
    <row r="124" spans="1:76" ht="15.75">
      <c r="A124" s="263" t="s">
        <v>424</v>
      </c>
      <c r="B124" t="s">
        <v>813</v>
      </c>
      <c r="C124" s="57"/>
      <c r="D124" s="57">
        <v>367</v>
      </c>
      <c r="E124" s="57">
        <v>200</v>
      </c>
      <c r="F124" s="57">
        <v>1.2</v>
      </c>
      <c r="G124" s="57">
        <v>41151</v>
      </c>
      <c r="H124" s="57">
        <v>2.4</v>
      </c>
      <c r="I124" s="57">
        <v>41163</v>
      </c>
      <c r="J124" s="57">
        <v>1877.7553271476861</v>
      </c>
      <c r="K124" s="57">
        <v>85.399768250289682</v>
      </c>
      <c r="L124" s="57">
        <v>221.1</v>
      </c>
      <c r="M124" s="57">
        <v>18.899999999999999</v>
      </c>
      <c r="N124" s="57" t="s">
        <v>15</v>
      </c>
      <c r="O124" s="57">
        <v>258.89999999999998</v>
      </c>
      <c r="P124" s="57"/>
      <c r="Q124" s="57"/>
      <c r="R124" s="57"/>
      <c r="S124" s="57"/>
      <c r="T124" s="57"/>
      <c r="U124" s="57"/>
      <c r="V124" s="57"/>
      <c r="W124" s="451"/>
      <c r="X124" s="145"/>
      <c r="Y124" s="223"/>
      <c r="Z124" s="22"/>
      <c r="AA124"/>
      <c r="AC124"/>
      <c r="AD124" s="9"/>
      <c r="AF124" s="27"/>
      <c r="AG124" s="84"/>
      <c r="AP124"/>
      <c r="AR124"/>
      <c r="AV124"/>
      <c r="AW124"/>
      <c r="AX124"/>
      <c r="AY124"/>
      <c r="AZ124"/>
      <c r="BC124"/>
      <c r="BD124"/>
      <c r="BG124"/>
      <c r="BH124"/>
      <c r="BI124"/>
      <c r="BJ124"/>
      <c r="BS124"/>
      <c r="BU124"/>
      <c r="BV124"/>
      <c r="BX124"/>
    </row>
    <row r="125" spans="1:76" ht="15.75">
      <c r="A125" s="263" t="s">
        <v>424</v>
      </c>
      <c r="B125" t="s">
        <v>424</v>
      </c>
      <c r="C125" s="57"/>
      <c r="D125" s="57">
        <v>516</v>
      </c>
      <c r="E125" s="57">
        <v>40</v>
      </c>
      <c r="F125" s="57">
        <v>65</v>
      </c>
      <c r="G125" s="57">
        <v>41133</v>
      </c>
      <c r="H125" s="57">
        <v>30</v>
      </c>
      <c r="I125" s="57">
        <v>42153</v>
      </c>
      <c r="J125" s="57">
        <v>-27.777320008553765</v>
      </c>
      <c r="K125" s="57">
        <v>-53.986847907360193</v>
      </c>
      <c r="L125" s="57">
        <v>-1407.95</v>
      </c>
      <c r="M125" s="57">
        <v>7.95</v>
      </c>
      <c r="N125" s="57" t="s">
        <v>145</v>
      </c>
      <c r="O125" s="57">
        <v>2607.9499999999998</v>
      </c>
      <c r="P125" s="57"/>
      <c r="Q125" s="57"/>
      <c r="R125" s="57"/>
      <c r="S125" s="57"/>
      <c r="T125" s="57"/>
      <c r="U125" s="57"/>
      <c r="V125" s="57"/>
      <c r="W125" s="451"/>
      <c r="X125" s="145"/>
      <c r="Y125" s="223"/>
      <c r="Z125" s="22"/>
      <c r="AA125"/>
      <c r="AC125"/>
      <c r="AD125" s="9"/>
      <c r="AF125" s="27"/>
      <c r="AG125" s="84"/>
      <c r="AP125"/>
      <c r="AR125"/>
      <c r="AV125"/>
      <c r="AW125"/>
      <c r="AX125"/>
      <c r="AY125"/>
      <c r="AZ125"/>
      <c r="BC125"/>
      <c r="BD125"/>
      <c r="BG125"/>
      <c r="BH125"/>
      <c r="BI125"/>
      <c r="BJ125"/>
      <c r="BS125"/>
      <c r="BU125"/>
      <c r="BV125"/>
      <c r="BX125"/>
    </row>
    <row r="126" spans="1:76" ht="15.75">
      <c r="A126" s="263" t="s">
        <v>275</v>
      </c>
      <c r="B126" t="s">
        <v>446</v>
      </c>
      <c r="C126" s="57"/>
      <c r="D126" s="57">
        <v>168</v>
      </c>
      <c r="E126" s="57">
        <v>500</v>
      </c>
      <c r="F126" s="57">
        <v>3.4</v>
      </c>
      <c r="G126" s="57">
        <v>40869</v>
      </c>
      <c r="H126" s="57">
        <v>4.6500000000000004</v>
      </c>
      <c r="I126" s="57">
        <v>40877</v>
      </c>
      <c r="J126" s="57">
        <v>1366.1081081720431</v>
      </c>
      <c r="K126" s="57">
        <v>34.90774051293954</v>
      </c>
      <c r="L126" s="57">
        <v>601.6</v>
      </c>
      <c r="M126" s="57">
        <v>23.4</v>
      </c>
      <c r="N126" s="57" t="s">
        <v>278</v>
      </c>
      <c r="O126" s="57">
        <v>1723.4</v>
      </c>
      <c r="P126" s="57"/>
      <c r="Q126" s="57"/>
      <c r="R126" s="57"/>
      <c r="S126" s="57"/>
      <c r="T126" s="57"/>
      <c r="U126" s="57"/>
      <c r="V126" s="57"/>
      <c r="W126" s="451"/>
      <c r="X126" s="145"/>
      <c r="Y126" s="223"/>
      <c r="Z126" s="22"/>
      <c r="AA126"/>
      <c r="AC126"/>
      <c r="AD126" s="9"/>
      <c r="AF126" s="27"/>
      <c r="AG126" s="84"/>
      <c r="AP126"/>
      <c r="AR126"/>
      <c r="AV126"/>
      <c r="AW126"/>
      <c r="AX126"/>
      <c r="AY126"/>
      <c r="AZ126"/>
      <c r="BC126"/>
      <c r="BD126"/>
      <c r="BG126"/>
      <c r="BH126"/>
      <c r="BI126"/>
      <c r="BJ126"/>
      <c r="BS126"/>
      <c r="BU126"/>
      <c r="BV126"/>
      <c r="BX126"/>
    </row>
    <row r="127" spans="1:76" ht="15.75">
      <c r="A127" s="263" t="s">
        <v>82</v>
      </c>
      <c r="C127" s="57"/>
      <c r="D127" s="57">
        <v>40</v>
      </c>
      <c r="E127" s="57">
        <v>500</v>
      </c>
      <c r="F127" s="57">
        <v>17.714099999999998</v>
      </c>
      <c r="G127" s="57">
        <v>40190</v>
      </c>
      <c r="H127" s="57">
        <v>12</v>
      </c>
      <c r="I127" s="57">
        <v>40648</v>
      </c>
      <c r="J127" s="57">
        <v>-31.176867977858286</v>
      </c>
      <c r="K127" s="57">
        <v>-32.318104906937378</v>
      </c>
      <c r="L127" s="57">
        <v>-2865</v>
      </c>
      <c r="M127" s="57">
        <v>7.95</v>
      </c>
      <c r="N127" s="57" t="s">
        <v>145</v>
      </c>
      <c r="O127" s="57">
        <v>8865</v>
      </c>
      <c r="P127" s="57"/>
      <c r="Q127" s="57"/>
      <c r="R127" s="57"/>
      <c r="S127" s="57"/>
      <c r="T127" s="57"/>
      <c r="U127" s="57"/>
      <c r="V127" s="57"/>
      <c r="W127" s="451"/>
      <c r="X127" s="145"/>
      <c r="Y127" s="223"/>
      <c r="Z127" s="22"/>
      <c r="AA127"/>
      <c r="AC127"/>
      <c r="AD127" s="9"/>
      <c r="AF127" s="27"/>
      <c r="AG127" s="84"/>
      <c r="AP127"/>
      <c r="AR127"/>
      <c r="AV127"/>
      <c r="AW127"/>
      <c r="AX127"/>
      <c r="AY127"/>
      <c r="AZ127"/>
      <c r="BC127"/>
      <c r="BD127"/>
      <c r="BG127"/>
      <c r="BH127"/>
      <c r="BI127"/>
      <c r="BJ127"/>
      <c r="BS127"/>
      <c r="BU127"/>
      <c r="BV127"/>
      <c r="BX127"/>
    </row>
    <row r="128" spans="1:76" ht="15.75">
      <c r="A128" s="263" t="s">
        <v>82</v>
      </c>
      <c r="B128" t="s">
        <v>239</v>
      </c>
      <c r="C128" s="57"/>
      <c r="D128" s="57">
        <v>43</v>
      </c>
      <c r="E128" s="57">
        <v>500</v>
      </c>
      <c r="F128" s="57">
        <v>0</v>
      </c>
      <c r="G128" s="57">
        <v>40504</v>
      </c>
      <c r="H128" s="57">
        <v>0.75</v>
      </c>
      <c r="I128" s="57">
        <v>40592</v>
      </c>
      <c r="J128" s="57">
        <v>1438.1569002509609</v>
      </c>
      <c r="K128" s="57">
        <v>3105.1282051282055</v>
      </c>
      <c r="L128" s="57">
        <v>363.3</v>
      </c>
      <c r="M128" s="57">
        <v>11.7</v>
      </c>
      <c r="N128" s="57" t="s">
        <v>403</v>
      </c>
      <c r="O128" s="57">
        <v>11.7</v>
      </c>
      <c r="P128" s="57"/>
      <c r="Q128" s="57"/>
      <c r="R128" s="57"/>
      <c r="S128" s="57"/>
      <c r="T128" s="57"/>
      <c r="U128" s="57"/>
      <c r="V128" s="57"/>
      <c r="W128" s="451"/>
      <c r="X128" s="145"/>
      <c r="Y128" s="223"/>
      <c r="Z128" s="22"/>
      <c r="AA128"/>
      <c r="AC128"/>
      <c r="AD128" s="9"/>
      <c r="AF128" s="27"/>
      <c r="AG128" s="84"/>
      <c r="AP128"/>
      <c r="AR128"/>
      <c r="AV128"/>
      <c r="AW128"/>
      <c r="AX128"/>
      <c r="AY128"/>
      <c r="AZ128"/>
      <c r="BC128"/>
      <c r="BD128"/>
      <c r="BG128"/>
      <c r="BH128"/>
      <c r="BI128"/>
      <c r="BJ128"/>
      <c r="BS128"/>
      <c r="BU128"/>
      <c r="BV128"/>
      <c r="BX128"/>
    </row>
    <row r="129" spans="1:76" ht="15.75">
      <c r="A129" s="263" t="s">
        <v>82</v>
      </c>
      <c r="B129" t="s">
        <v>249</v>
      </c>
      <c r="C129" s="57"/>
      <c r="D129" s="57">
        <v>44</v>
      </c>
      <c r="E129" s="57">
        <v>500</v>
      </c>
      <c r="F129" s="57">
        <v>0</v>
      </c>
      <c r="G129" s="57">
        <v>40604</v>
      </c>
      <c r="H129" s="57">
        <v>0.95</v>
      </c>
      <c r="I129" s="57">
        <v>40648</v>
      </c>
      <c r="J129" s="57">
        <v>3143.860409800674</v>
      </c>
      <c r="K129" s="57">
        <v>3959.82905982906</v>
      </c>
      <c r="L129" s="57">
        <v>463.3</v>
      </c>
      <c r="M129" s="57">
        <v>11.7</v>
      </c>
      <c r="N129" s="57" t="s">
        <v>403</v>
      </c>
      <c r="O129" s="57">
        <v>11.7</v>
      </c>
      <c r="P129" s="57"/>
      <c r="Q129" s="57"/>
      <c r="R129" s="57"/>
      <c r="S129" s="57"/>
      <c r="T129" s="57"/>
      <c r="U129" s="57"/>
      <c r="V129" s="57"/>
      <c r="W129" s="451"/>
      <c r="X129" s="145"/>
      <c r="Y129" s="223"/>
      <c r="Z129" s="22"/>
      <c r="AA129"/>
      <c r="AC129"/>
      <c r="AD129" s="9"/>
      <c r="AF129" s="27"/>
      <c r="AG129" s="84"/>
      <c r="AP129"/>
      <c r="AR129"/>
      <c r="AV129"/>
      <c r="AW129"/>
      <c r="AX129"/>
      <c r="AY129"/>
      <c r="AZ129"/>
      <c r="BC129"/>
      <c r="BD129"/>
      <c r="BG129"/>
      <c r="BH129"/>
      <c r="BI129"/>
      <c r="BJ129"/>
      <c r="BS129"/>
      <c r="BU129"/>
      <c r="BV129"/>
      <c r="BX129"/>
    </row>
    <row r="130" spans="1:76" ht="15.75">
      <c r="A130" s="263" t="s">
        <v>82</v>
      </c>
      <c r="C130" s="57"/>
      <c r="D130" s="57">
        <v>78</v>
      </c>
      <c r="E130" s="57">
        <v>100</v>
      </c>
      <c r="F130" s="57">
        <v>9.75</v>
      </c>
      <c r="G130" s="57">
        <v>40694</v>
      </c>
      <c r="H130" s="57">
        <v>7</v>
      </c>
      <c r="I130" s="57">
        <v>40739</v>
      </c>
      <c r="J130" s="57">
        <v>-275.35431216717103</v>
      </c>
      <c r="K130" s="57">
        <v>-28.785797853400471</v>
      </c>
      <c r="L130" s="57">
        <v>-282.95</v>
      </c>
      <c r="M130" s="57">
        <v>7.95</v>
      </c>
      <c r="N130" s="57" t="s">
        <v>145</v>
      </c>
      <c r="O130" s="57">
        <v>982.95</v>
      </c>
      <c r="P130" s="57"/>
      <c r="Q130" s="57"/>
      <c r="R130" s="57"/>
      <c r="S130" s="57"/>
      <c r="T130" s="57"/>
      <c r="U130" s="57"/>
      <c r="V130" s="57"/>
      <c r="W130" s="451"/>
      <c r="X130" s="145"/>
      <c r="Y130" s="223"/>
      <c r="Z130" s="22"/>
      <c r="AA130"/>
      <c r="AC130"/>
      <c r="AD130" s="9"/>
      <c r="AF130" s="27"/>
      <c r="AG130" s="84"/>
      <c r="AP130"/>
      <c r="AR130"/>
      <c r="AV130"/>
      <c r="AW130"/>
      <c r="AX130"/>
      <c r="AY130"/>
      <c r="AZ130"/>
      <c r="BC130"/>
      <c r="BD130"/>
      <c r="BG130"/>
      <c r="BH130"/>
      <c r="BI130"/>
      <c r="BJ130"/>
      <c r="BS130"/>
      <c r="BU130"/>
      <c r="BV130"/>
      <c r="BX130"/>
    </row>
    <row r="131" spans="1:76" ht="15.75">
      <c r="A131" s="263" t="s">
        <v>82</v>
      </c>
      <c r="B131" t="s">
        <v>308</v>
      </c>
      <c r="C131" s="57"/>
      <c r="D131" s="57">
        <v>79</v>
      </c>
      <c r="E131" s="57">
        <v>100</v>
      </c>
      <c r="F131" s="57">
        <v>0</v>
      </c>
      <c r="G131" s="57">
        <v>40714</v>
      </c>
      <c r="H131" s="57">
        <v>1</v>
      </c>
      <c r="I131" s="57">
        <v>40739</v>
      </c>
      <c r="J131" s="57">
        <v>1822.4786723048735</v>
      </c>
      <c r="K131" s="57">
        <v>248.43205574912895</v>
      </c>
      <c r="L131" s="57">
        <v>71.3</v>
      </c>
      <c r="M131" s="57">
        <v>28.7</v>
      </c>
      <c r="N131" s="57" t="s">
        <v>404</v>
      </c>
      <c r="O131" s="57">
        <v>28.7</v>
      </c>
      <c r="P131" s="57"/>
      <c r="Q131" s="57"/>
      <c r="R131" s="57"/>
      <c r="S131" s="57"/>
      <c r="T131" s="57"/>
      <c r="U131" s="57"/>
      <c r="V131" s="57"/>
      <c r="W131" s="451"/>
      <c r="X131" s="145"/>
      <c r="Y131" s="223"/>
      <c r="Z131" s="22"/>
      <c r="AA131"/>
      <c r="AC131"/>
      <c r="AD131" s="9"/>
      <c r="AF131" s="27"/>
      <c r="AG131" s="84"/>
      <c r="AP131"/>
      <c r="AR131"/>
      <c r="AV131"/>
      <c r="AW131"/>
      <c r="AX131"/>
      <c r="AY131"/>
      <c r="AZ131"/>
      <c r="BC131"/>
      <c r="BD131"/>
      <c r="BG131"/>
      <c r="BH131"/>
      <c r="BI131"/>
      <c r="BJ131"/>
      <c r="BS131"/>
      <c r="BU131"/>
      <c r="BV131"/>
      <c r="BX131"/>
    </row>
    <row r="132" spans="1:76" ht="15.75">
      <c r="A132" s="263" t="s">
        <v>82</v>
      </c>
      <c r="B132" t="s">
        <v>442</v>
      </c>
      <c r="C132" s="57"/>
      <c r="D132" s="57">
        <v>185</v>
      </c>
      <c r="E132" s="57">
        <v>100</v>
      </c>
      <c r="F132" s="57">
        <v>0</v>
      </c>
      <c r="G132" s="57">
        <v>40864</v>
      </c>
      <c r="H132" s="57">
        <v>0.6</v>
      </c>
      <c r="I132" s="57">
        <v>40894</v>
      </c>
      <c r="J132" s="57">
        <v>2349.4095361499008</v>
      </c>
      <c r="K132" s="57">
        <v>589.65517241379314</v>
      </c>
      <c r="L132" s="57">
        <v>51.3</v>
      </c>
      <c r="M132" s="57">
        <v>8.6999999999999993</v>
      </c>
      <c r="N132" s="57" t="s">
        <v>403</v>
      </c>
      <c r="O132" s="57">
        <v>8.6999999999999993</v>
      </c>
      <c r="P132" s="57"/>
      <c r="Q132" s="57"/>
      <c r="R132" s="57"/>
      <c r="S132" s="57"/>
      <c r="T132" s="57"/>
      <c r="U132" s="57"/>
      <c r="V132" s="57"/>
      <c r="W132" s="451"/>
      <c r="X132" s="145"/>
      <c r="Y132" s="223"/>
      <c r="Z132" s="22"/>
      <c r="AA132"/>
      <c r="AC132"/>
      <c r="AD132" s="9"/>
      <c r="AF132" s="27"/>
      <c r="AG132" s="84"/>
      <c r="AP132"/>
      <c r="AR132"/>
      <c r="AV132"/>
      <c r="AW132"/>
      <c r="AX132"/>
      <c r="AY132"/>
      <c r="AZ132"/>
      <c r="BC132"/>
      <c r="BD132"/>
      <c r="BG132"/>
      <c r="BH132"/>
      <c r="BI132"/>
      <c r="BJ132"/>
      <c r="BS132"/>
      <c r="BU132"/>
      <c r="BV132"/>
      <c r="BX132"/>
    </row>
    <row r="133" spans="1:76" ht="15.75">
      <c r="A133" s="263" t="s">
        <v>82</v>
      </c>
      <c r="B133" t="s">
        <v>82</v>
      </c>
      <c r="C133" s="57"/>
      <c r="D133" s="57">
        <v>235</v>
      </c>
      <c r="E133" s="57">
        <v>100</v>
      </c>
      <c r="F133" s="57">
        <v>6.75</v>
      </c>
      <c r="G133" s="57">
        <v>40858</v>
      </c>
      <c r="H133" s="57">
        <v>4</v>
      </c>
      <c r="I133" s="57">
        <v>40963</v>
      </c>
      <c r="J133" s="57">
        <v>-185.96127878041463</v>
      </c>
      <c r="K133" s="57">
        <v>-41.430558606047299</v>
      </c>
      <c r="L133" s="57">
        <v>-282.95</v>
      </c>
      <c r="M133" s="57">
        <v>7.95</v>
      </c>
      <c r="N133" s="57" t="s">
        <v>145</v>
      </c>
      <c r="O133" s="57">
        <v>682.95</v>
      </c>
      <c r="P133" s="57"/>
      <c r="Q133" s="57"/>
      <c r="R133" s="57"/>
      <c r="S133" s="57"/>
      <c r="T133" s="57"/>
      <c r="U133" s="57"/>
      <c r="V133" s="57"/>
      <c r="W133" s="451"/>
      <c r="X133" s="145"/>
      <c r="Y133" s="223"/>
      <c r="Z133" s="22"/>
      <c r="AA133"/>
      <c r="AC133"/>
      <c r="AD133" s="9"/>
      <c r="AF133" s="27"/>
      <c r="AG133" s="84"/>
      <c r="AP133"/>
      <c r="AR133"/>
      <c r="AV133"/>
      <c r="AW133"/>
      <c r="AX133"/>
      <c r="AY133"/>
      <c r="AZ133"/>
      <c r="BC133"/>
      <c r="BD133"/>
      <c r="BG133"/>
      <c r="BH133"/>
      <c r="BI133"/>
      <c r="BJ133"/>
      <c r="BS133"/>
      <c r="BU133"/>
      <c r="BV133"/>
      <c r="BX133"/>
    </row>
    <row r="134" spans="1:76" ht="15.75">
      <c r="A134" s="263" t="s">
        <v>82</v>
      </c>
      <c r="B134" t="s">
        <v>484</v>
      </c>
      <c r="C134" s="57"/>
      <c r="D134" s="57">
        <v>236</v>
      </c>
      <c r="E134" s="57">
        <v>100</v>
      </c>
      <c r="F134" s="57">
        <v>0</v>
      </c>
      <c r="G134" s="57">
        <v>40911</v>
      </c>
      <c r="H134" s="57">
        <v>1.25</v>
      </c>
      <c r="I134" s="57">
        <v>40963</v>
      </c>
      <c r="J134" s="57">
        <v>1384.0824785478144</v>
      </c>
      <c r="K134" s="57">
        <v>618.39080459770128</v>
      </c>
      <c r="L134" s="57">
        <v>107.6</v>
      </c>
      <c r="M134" s="57">
        <v>17.399999999999999</v>
      </c>
      <c r="N134" s="57" t="s">
        <v>15</v>
      </c>
      <c r="O134" s="57">
        <v>17.399999999999999</v>
      </c>
      <c r="P134" s="57"/>
      <c r="Q134" s="57"/>
      <c r="R134" s="57"/>
      <c r="S134" s="57"/>
      <c r="T134" s="57"/>
      <c r="U134" s="57"/>
      <c r="V134" s="57"/>
      <c r="W134" s="451"/>
      <c r="X134" s="145"/>
      <c r="Y134" s="223"/>
      <c r="Z134" s="22"/>
      <c r="AA134"/>
      <c r="AC134"/>
      <c r="AD134" s="9"/>
      <c r="AF134" s="27"/>
      <c r="AG134" s="84"/>
      <c r="AP134"/>
      <c r="AR134"/>
      <c r="AV134"/>
      <c r="AW134"/>
      <c r="AX134"/>
      <c r="AY134"/>
      <c r="AZ134"/>
      <c r="BC134"/>
      <c r="BD134"/>
      <c r="BG134"/>
      <c r="BH134"/>
      <c r="BI134"/>
      <c r="BJ134"/>
      <c r="BS134"/>
      <c r="BU134"/>
      <c r="BV134"/>
      <c r="BX134"/>
    </row>
    <row r="135" spans="1:76" ht="15.75">
      <c r="A135" s="263" t="s">
        <v>82</v>
      </c>
      <c r="B135" t="s">
        <v>82</v>
      </c>
      <c r="C135" s="57"/>
      <c r="D135" s="57">
        <v>289</v>
      </c>
      <c r="E135" s="57">
        <v>1</v>
      </c>
      <c r="F135" s="57">
        <v>8.1367999999999991</v>
      </c>
      <c r="G135" s="57">
        <v>40190</v>
      </c>
      <c r="H135" s="57">
        <v>7.49</v>
      </c>
      <c r="I135" s="57">
        <v>41030</v>
      </c>
      <c r="J135" s="57">
        <v>-33.255905336956964</v>
      </c>
      <c r="K135" s="57">
        <v>-53.440087525175919</v>
      </c>
      <c r="L135" s="57">
        <v>-8.5968</v>
      </c>
      <c r="M135" s="57">
        <v>7.95</v>
      </c>
      <c r="N135" s="57" t="s">
        <v>145</v>
      </c>
      <c r="O135" s="57">
        <v>16.0868</v>
      </c>
      <c r="P135" s="57"/>
      <c r="Q135" s="57"/>
      <c r="R135" s="57"/>
      <c r="S135" s="57"/>
      <c r="T135" s="57"/>
      <c r="U135" s="57"/>
      <c r="V135" s="57"/>
      <c r="W135" s="451"/>
      <c r="X135" s="145"/>
      <c r="Y135" s="223"/>
      <c r="Z135" s="22"/>
      <c r="AA135"/>
      <c r="AC135"/>
      <c r="AD135" s="9"/>
      <c r="AF135" s="27"/>
      <c r="AG135" s="84"/>
      <c r="AP135"/>
      <c r="AR135"/>
      <c r="AV135"/>
      <c r="AW135"/>
      <c r="AX135"/>
      <c r="AY135"/>
      <c r="AZ135"/>
      <c r="BC135"/>
      <c r="BD135"/>
      <c r="BG135"/>
      <c r="BH135"/>
      <c r="BI135"/>
      <c r="BJ135"/>
      <c r="BS135"/>
      <c r="BU135"/>
      <c r="BV135"/>
      <c r="BX135"/>
    </row>
    <row r="136" spans="1:76" ht="15.75">
      <c r="A136" s="263" t="s">
        <v>125</v>
      </c>
      <c r="B136" t="s">
        <v>413</v>
      </c>
      <c r="C136" s="57"/>
      <c r="D136" s="57">
        <v>155</v>
      </c>
      <c r="E136" s="57">
        <v>1000</v>
      </c>
      <c r="F136" s="57">
        <v>0</v>
      </c>
      <c r="G136" s="57">
        <v>40664</v>
      </c>
      <c r="H136" s="57">
        <v>2.25</v>
      </c>
      <c r="I136" s="57">
        <v>40866</v>
      </c>
      <c r="J136" s="57">
        <v>900.04599976582665</v>
      </c>
      <c r="K136" s="57">
        <v>14463.106796116506</v>
      </c>
      <c r="L136" s="57">
        <v>2234.5500000000002</v>
      </c>
      <c r="M136" s="57">
        <v>15.45</v>
      </c>
      <c r="N136" s="57" t="s">
        <v>403</v>
      </c>
      <c r="O136" s="57">
        <v>15.45</v>
      </c>
      <c r="P136" s="57"/>
      <c r="Q136" s="57"/>
      <c r="R136" s="57"/>
      <c r="S136" s="57"/>
      <c r="T136" s="57"/>
      <c r="U136" s="57"/>
      <c r="V136" s="57"/>
      <c r="W136" s="451"/>
      <c r="X136" s="145"/>
      <c r="Y136" s="223"/>
      <c r="Z136" s="22"/>
      <c r="AA136"/>
      <c r="AC136"/>
      <c r="AD136" s="9"/>
      <c r="AF136" s="27"/>
      <c r="AG136" s="84"/>
      <c r="AP136"/>
      <c r="AR136"/>
      <c r="AV136"/>
      <c r="AW136"/>
      <c r="AX136"/>
      <c r="AY136"/>
      <c r="AZ136"/>
      <c r="BC136"/>
      <c r="BD136"/>
      <c r="BG136"/>
      <c r="BH136"/>
      <c r="BI136"/>
      <c r="BJ136"/>
      <c r="BS136"/>
      <c r="BU136"/>
      <c r="BV136"/>
      <c r="BX136"/>
    </row>
    <row r="137" spans="1:76" ht="15.75">
      <c r="A137" s="263" t="s">
        <v>125</v>
      </c>
      <c r="B137" t="s">
        <v>459</v>
      </c>
      <c r="C137" s="57"/>
      <c r="D137" s="57">
        <v>285</v>
      </c>
      <c r="E137" s="57">
        <v>1000</v>
      </c>
      <c r="F137" s="57">
        <v>2</v>
      </c>
      <c r="G137" s="57">
        <v>40878</v>
      </c>
      <c r="H137" s="57">
        <v>2.5</v>
      </c>
      <c r="I137" s="57">
        <v>41022</v>
      </c>
      <c r="J137" s="57">
        <v>53.042843266285523</v>
      </c>
      <c r="K137" s="57">
        <v>23.098133832291108</v>
      </c>
      <c r="L137" s="57">
        <v>469.1</v>
      </c>
      <c r="M137" s="57">
        <v>30.9</v>
      </c>
      <c r="N137" s="57" t="s">
        <v>15</v>
      </c>
      <c r="O137" s="57">
        <v>2030.9</v>
      </c>
      <c r="P137" s="57"/>
      <c r="Q137" s="57"/>
      <c r="R137" s="57"/>
      <c r="S137" s="57"/>
      <c r="T137" s="57"/>
      <c r="U137" s="57"/>
      <c r="V137" s="57"/>
      <c r="W137" s="451"/>
      <c r="X137" s="145"/>
      <c r="Y137" s="223"/>
      <c r="Z137" s="22"/>
      <c r="AA137"/>
      <c r="AC137"/>
      <c r="AD137" s="9"/>
      <c r="AF137" s="27"/>
      <c r="AG137" s="27"/>
      <c r="AP137"/>
      <c r="AR137"/>
      <c r="AV137"/>
      <c r="AW137"/>
      <c r="AX137"/>
      <c r="AY137"/>
      <c r="AZ137"/>
      <c r="BC137"/>
      <c r="BD137"/>
      <c r="BG137"/>
      <c r="BH137"/>
      <c r="BI137"/>
      <c r="BJ137"/>
      <c r="BS137"/>
      <c r="BU137"/>
      <c r="BV137"/>
      <c r="BX137"/>
    </row>
    <row r="138" spans="1:76" ht="15.75">
      <c r="A138" s="263" t="s">
        <v>125</v>
      </c>
      <c r="B138" t="s">
        <v>125</v>
      </c>
      <c r="C138" s="57"/>
      <c r="D138" s="57">
        <v>323</v>
      </c>
      <c r="E138" s="57">
        <v>1000</v>
      </c>
      <c r="F138" s="57">
        <v>7.25</v>
      </c>
      <c r="G138" s="57">
        <v>40645</v>
      </c>
      <c r="H138" s="57">
        <v>3</v>
      </c>
      <c r="I138" s="57">
        <v>41092</v>
      </c>
      <c r="J138" s="57">
        <v>-72.141403326477487</v>
      </c>
      <c r="K138" s="57">
        <v>-58.666014508228912</v>
      </c>
      <c r="L138" s="57">
        <v>-4257.95</v>
      </c>
      <c r="M138" s="57">
        <v>7.95</v>
      </c>
      <c r="N138" s="57" t="s">
        <v>145</v>
      </c>
      <c r="O138" s="57">
        <v>7257.95</v>
      </c>
      <c r="P138" s="57"/>
      <c r="Q138" s="57"/>
      <c r="R138" s="57"/>
      <c r="S138" s="57"/>
      <c r="T138" s="57"/>
      <c r="U138" s="57"/>
      <c r="V138" s="57"/>
      <c r="W138" s="451"/>
      <c r="X138" s="145"/>
      <c r="Y138" s="223"/>
      <c r="Z138" s="22"/>
      <c r="AA138"/>
      <c r="AC138"/>
      <c r="AD138" s="9"/>
      <c r="AF138" s="27"/>
      <c r="AG138" s="27"/>
      <c r="AP138"/>
      <c r="AR138"/>
      <c r="AV138"/>
      <c r="AW138"/>
      <c r="AX138"/>
      <c r="AY138"/>
      <c r="AZ138"/>
      <c r="BC138"/>
      <c r="BD138"/>
      <c r="BG138"/>
      <c r="BH138"/>
      <c r="BI138"/>
      <c r="BJ138"/>
      <c r="BS138"/>
      <c r="BU138"/>
      <c r="BV138"/>
      <c r="BX138"/>
    </row>
    <row r="139" spans="1:76" ht="15.75">
      <c r="A139" s="263" t="s">
        <v>125</v>
      </c>
      <c r="B139" t="s">
        <v>745</v>
      </c>
      <c r="C139" s="57"/>
      <c r="D139" s="57">
        <v>324</v>
      </c>
      <c r="E139" s="57">
        <v>1000</v>
      </c>
      <c r="F139" s="57">
        <v>0</v>
      </c>
      <c r="G139" s="57">
        <v>41067</v>
      </c>
      <c r="H139" s="57">
        <v>1.25</v>
      </c>
      <c r="I139" s="57">
        <v>41092</v>
      </c>
      <c r="J139" s="57">
        <v>5201.6523428845876</v>
      </c>
      <c r="K139" s="57">
        <v>3426.0930888575463</v>
      </c>
      <c r="L139" s="57">
        <v>1214.55</v>
      </c>
      <c r="M139" s="57">
        <v>35.450000000000003</v>
      </c>
      <c r="N139" s="57" t="s">
        <v>404</v>
      </c>
      <c r="O139" s="57">
        <v>35.450000000000003</v>
      </c>
      <c r="P139" s="57"/>
      <c r="Q139" s="57"/>
      <c r="R139" s="57"/>
      <c r="S139" s="57"/>
      <c r="T139" s="57"/>
      <c r="U139" s="57"/>
      <c r="V139" s="57"/>
      <c r="W139" s="451"/>
      <c r="X139" s="145"/>
      <c r="Y139" s="223"/>
      <c r="Z139" s="22"/>
      <c r="AA139"/>
      <c r="AC139"/>
      <c r="AD139" s="9"/>
      <c r="AF139" s="27"/>
      <c r="AG139" s="27"/>
      <c r="AP139"/>
      <c r="AR139"/>
      <c r="AV139"/>
      <c r="AW139"/>
      <c r="AX139"/>
      <c r="AY139"/>
      <c r="AZ139"/>
      <c r="BC139"/>
      <c r="BD139"/>
      <c r="BG139"/>
      <c r="BH139"/>
      <c r="BI139"/>
      <c r="BJ139"/>
      <c r="BS139"/>
      <c r="BU139"/>
      <c r="BV139"/>
      <c r="BX139"/>
    </row>
    <row r="140" spans="1:76" ht="15.75">
      <c r="A140" s="263" t="s">
        <v>237</v>
      </c>
      <c r="B140" t="s">
        <v>399</v>
      </c>
      <c r="C140" s="57"/>
      <c r="D140" s="57">
        <v>134</v>
      </c>
      <c r="E140" s="57">
        <v>100</v>
      </c>
      <c r="F140" s="57">
        <v>0</v>
      </c>
      <c r="G140" s="57">
        <v>40837</v>
      </c>
      <c r="H140" s="57">
        <v>16.5</v>
      </c>
      <c r="I140" s="57">
        <v>40838</v>
      </c>
      <c r="J140" s="57">
        <v>147884.62071071035</v>
      </c>
      <c r="K140" s="57">
        <v>5649.1289198606282</v>
      </c>
      <c r="L140" s="57">
        <v>1621.3</v>
      </c>
      <c r="M140" s="57">
        <v>28.7</v>
      </c>
      <c r="N140" s="57" t="s">
        <v>404</v>
      </c>
      <c r="O140" s="57">
        <v>28.7</v>
      </c>
      <c r="P140" s="57"/>
      <c r="Q140" s="57"/>
      <c r="R140" s="57"/>
      <c r="S140" s="57"/>
      <c r="T140" s="57"/>
      <c r="U140" s="57"/>
      <c r="V140" s="57"/>
      <c r="W140" s="451"/>
      <c r="X140" s="145"/>
      <c r="Y140" s="223"/>
      <c r="Z140" s="22"/>
      <c r="AA140"/>
      <c r="AC140"/>
      <c r="AE140" s="9"/>
      <c r="AG140" s="27"/>
      <c r="AP140"/>
      <c r="AR140"/>
      <c r="AV140"/>
      <c r="AW140"/>
      <c r="AX140"/>
      <c r="AY140"/>
      <c r="AZ140"/>
      <c r="BC140"/>
      <c r="BD140"/>
      <c r="BG140"/>
      <c r="BH140"/>
      <c r="BI140"/>
      <c r="BJ140"/>
      <c r="BS140"/>
      <c r="BU140"/>
      <c r="BV140"/>
      <c r="BX140"/>
    </row>
    <row r="141" spans="1:76" ht="15.75">
      <c r="A141" s="263" t="s">
        <v>237</v>
      </c>
      <c r="B141" t="s">
        <v>237</v>
      </c>
      <c r="C141" s="57"/>
      <c r="D141" s="57">
        <v>135</v>
      </c>
      <c r="E141" s="57">
        <v>102</v>
      </c>
      <c r="F141" s="57">
        <v>38.006100000000004</v>
      </c>
      <c r="G141" s="57">
        <v>40809</v>
      </c>
      <c r="H141" s="57">
        <v>25</v>
      </c>
      <c r="I141" s="57">
        <v>40838</v>
      </c>
      <c r="J141" s="57">
        <v>-529.77799484802756</v>
      </c>
      <c r="K141" s="57">
        <v>-34.35570588699575</v>
      </c>
      <c r="L141" s="57">
        <v>-1334.5722000000001</v>
      </c>
      <c r="M141" s="57">
        <v>7.95</v>
      </c>
      <c r="N141" s="57" t="s">
        <v>145</v>
      </c>
      <c r="O141" s="57">
        <v>3884.5722000000001</v>
      </c>
      <c r="P141" s="57"/>
      <c r="Q141" s="57"/>
      <c r="R141" s="57"/>
      <c r="S141" s="57"/>
      <c r="T141" s="57"/>
      <c r="U141" s="57"/>
      <c r="V141" s="57"/>
      <c r="W141" s="451"/>
      <c r="X141" s="145"/>
      <c r="Y141" s="223"/>
      <c r="Z141" s="22"/>
      <c r="AA141"/>
      <c r="AC141"/>
      <c r="AE141" s="9"/>
      <c r="AG141" s="27"/>
      <c r="AP141"/>
      <c r="AR141"/>
      <c r="AV141"/>
      <c r="AW141"/>
      <c r="AX141"/>
      <c r="AY141"/>
      <c r="AZ141"/>
      <c r="BC141"/>
      <c r="BD141"/>
      <c r="BG141"/>
      <c r="BH141"/>
      <c r="BI141"/>
      <c r="BJ141"/>
      <c r="BS141"/>
      <c r="BU141"/>
      <c r="BV141"/>
      <c r="BX141"/>
    </row>
    <row r="142" spans="1:76" ht="15.75">
      <c r="A142" s="263" t="s">
        <v>237</v>
      </c>
      <c r="B142" t="s">
        <v>237</v>
      </c>
      <c r="C142" s="57"/>
      <c r="D142" s="57">
        <v>139</v>
      </c>
      <c r="E142" s="57">
        <v>2</v>
      </c>
      <c r="F142" s="57">
        <v>38.006100000000004</v>
      </c>
      <c r="G142" s="57">
        <v>40809</v>
      </c>
      <c r="H142" s="57">
        <v>44.5</v>
      </c>
      <c r="I142" s="57">
        <v>40843</v>
      </c>
      <c r="J142" s="57">
        <v>62.554206887535784</v>
      </c>
      <c r="K142" s="57">
        <v>6.0000809888259115</v>
      </c>
      <c r="L142" s="57">
        <v>5.0377999999999998</v>
      </c>
      <c r="M142" s="57">
        <v>7.95</v>
      </c>
      <c r="N142" s="57" t="s">
        <v>145</v>
      </c>
      <c r="O142" s="57">
        <v>83.962199999999996</v>
      </c>
      <c r="P142" s="57"/>
      <c r="Q142" s="57"/>
      <c r="R142" s="57"/>
      <c r="S142" s="57"/>
      <c r="T142" s="57"/>
      <c r="U142" s="57"/>
      <c r="V142" s="57"/>
      <c r="W142" s="451"/>
      <c r="X142" s="145"/>
      <c r="Y142" s="223"/>
      <c r="Z142" s="22"/>
      <c r="AA142"/>
      <c r="AC142"/>
      <c r="AE142" s="9"/>
      <c r="AG142" s="27"/>
      <c r="AP142"/>
      <c r="AR142"/>
      <c r="AV142"/>
      <c r="AW142"/>
      <c r="AX142"/>
      <c r="AY142"/>
      <c r="AZ142"/>
      <c r="BC142"/>
      <c r="BD142"/>
      <c r="BG142"/>
      <c r="BH142"/>
      <c r="BI142"/>
      <c r="BJ142"/>
      <c r="BS142"/>
      <c r="BU142"/>
      <c r="BV142"/>
      <c r="BX142"/>
    </row>
    <row r="143" spans="1:76" ht="15.75">
      <c r="A143" s="263" t="s">
        <v>321</v>
      </c>
      <c r="B143" t="s">
        <v>478</v>
      </c>
      <c r="C143" s="57"/>
      <c r="D143" s="57">
        <v>207</v>
      </c>
      <c r="E143" s="57">
        <v>100</v>
      </c>
      <c r="F143" s="57">
        <v>10.1</v>
      </c>
      <c r="G143" s="57">
        <v>40906</v>
      </c>
      <c r="H143" s="57">
        <v>7</v>
      </c>
      <c r="I143" s="57">
        <v>40928</v>
      </c>
      <c r="J143" s="57">
        <v>-636.60360586937895</v>
      </c>
      <c r="K143" s="57">
        <v>-31.866848355071049</v>
      </c>
      <c r="L143" s="57">
        <v>-327.39999999999998</v>
      </c>
      <c r="M143" s="57">
        <v>17.399999999999999</v>
      </c>
      <c r="N143" s="57" t="s">
        <v>15</v>
      </c>
      <c r="O143" s="57">
        <v>1027.4000000000001</v>
      </c>
      <c r="P143" s="57"/>
      <c r="Q143" s="57"/>
      <c r="R143" s="57"/>
      <c r="S143" s="57"/>
      <c r="T143" s="57"/>
      <c r="U143" s="57"/>
      <c r="V143" s="57"/>
      <c r="W143" s="451"/>
      <c r="X143" s="145"/>
      <c r="Y143" s="223"/>
      <c r="Z143" s="22"/>
      <c r="AA143"/>
      <c r="AC143"/>
      <c r="AE143" s="9"/>
      <c r="AG143" s="27"/>
      <c r="AP143"/>
      <c r="AR143"/>
      <c r="AV143"/>
      <c r="AW143"/>
      <c r="AX143"/>
      <c r="AY143"/>
      <c r="AZ143"/>
      <c r="BC143"/>
      <c r="BD143"/>
      <c r="BG143"/>
      <c r="BH143"/>
      <c r="BI143"/>
      <c r="BJ143"/>
      <c r="BS143"/>
      <c r="BU143"/>
      <c r="BV143"/>
      <c r="BX143"/>
    </row>
    <row r="144" spans="1:76" ht="15.75">
      <c r="A144" s="263" t="s">
        <v>321</v>
      </c>
      <c r="B144" t="s">
        <v>494</v>
      </c>
      <c r="C144" s="57"/>
      <c r="D144" s="57">
        <v>221</v>
      </c>
      <c r="E144" s="57">
        <v>100</v>
      </c>
      <c r="F144" s="57">
        <v>6.1</v>
      </c>
      <c r="G144" s="57">
        <v>40933</v>
      </c>
      <c r="H144" s="57">
        <v>3</v>
      </c>
      <c r="I144" s="57">
        <v>40966</v>
      </c>
      <c r="J144" s="57">
        <v>-816.05352939890145</v>
      </c>
      <c r="K144" s="57">
        <v>-52.183614918712145</v>
      </c>
      <c r="L144" s="57">
        <v>-327.39999999999998</v>
      </c>
      <c r="M144" s="57">
        <v>17.399999999999999</v>
      </c>
      <c r="N144" s="57" t="s">
        <v>15</v>
      </c>
      <c r="O144" s="57">
        <v>627.4</v>
      </c>
      <c r="P144" s="57"/>
      <c r="Q144" s="57"/>
      <c r="R144" s="57"/>
      <c r="S144" s="57"/>
      <c r="T144" s="57"/>
      <c r="U144" s="57"/>
      <c r="V144" s="57"/>
      <c r="W144" s="451"/>
      <c r="X144" s="145"/>
      <c r="Y144" s="223"/>
      <c r="Z144" s="22"/>
      <c r="AA144"/>
      <c r="AC144"/>
      <c r="AE144" s="9"/>
      <c r="AG144" s="27"/>
      <c r="AP144"/>
      <c r="AR144"/>
      <c r="AV144"/>
      <c r="AW144"/>
      <c r="AX144"/>
      <c r="AY144"/>
      <c r="AZ144"/>
      <c r="BC144"/>
      <c r="BD144"/>
      <c r="BG144"/>
      <c r="BH144"/>
      <c r="BI144"/>
      <c r="BJ144"/>
      <c r="BS144"/>
      <c r="BU144"/>
      <c r="BV144"/>
      <c r="BX144"/>
    </row>
    <row r="145" spans="1:76" ht="15.75">
      <c r="A145" s="263" t="s">
        <v>321</v>
      </c>
      <c r="B145" t="s">
        <v>501</v>
      </c>
      <c r="C145" s="57"/>
      <c r="D145" s="57">
        <v>240</v>
      </c>
      <c r="E145" s="57">
        <v>100</v>
      </c>
      <c r="F145" s="57">
        <v>7.5</v>
      </c>
      <c r="G145" s="57">
        <v>40961</v>
      </c>
      <c r="H145" s="57">
        <v>9.5</v>
      </c>
      <c r="I145" s="57">
        <v>40970</v>
      </c>
      <c r="J145" s="57">
        <v>865.67377194814537</v>
      </c>
      <c r="K145" s="57">
        <v>23.794631222309089</v>
      </c>
      <c r="L145" s="57">
        <v>182.6</v>
      </c>
      <c r="M145" s="57">
        <v>17.399999999999999</v>
      </c>
      <c r="N145" s="57" t="s">
        <v>15</v>
      </c>
      <c r="O145" s="57">
        <v>767.4</v>
      </c>
      <c r="P145" s="57"/>
      <c r="Q145" s="57"/>
      <c r="R145" s="57"/>
      <c r="S145" s="57"/>
      <c r="T145" s="57"/>
      <c r="U145" s="57"/>
      <c r="V145" s="57"/>
      <c r="W145" s="451"/>
      <c r="X145" s="145"/>
      <c r="Y145" s="223"/>
      <c r="Z145" s="22"/>
      <c r="AA145"/>
      <c r="AC145"/>
      <c r="AE145" s="9"/>
      <c r="AG145" s="27"/>
      <c r="AP145"/>
      <c r="AR145"/>
      <c r="AV145"/>
      <c r="AW145"/>
      <c r="AX145"/>
      <c r="AY145"/>
      <c r="AZ145"/>
      <c r="BC145"/>
      <c r="BD145"/>
      <c r="BG145"/>
      <c r="BH145"/>
      <c r="BI145"/>
      <c r="BJ145"/>
      <c r="BS145"/>
      <c r="BU145"/>
      <c r="BV145"/>
      <c r="BX145"/>
    </row>
    <row r="146" spans="1:76" ht="15.75">
      <c r="A146" s="263" t="s">
        <v>321</v>
      </c>
      <c r="B146" t="s">
        <v>507</v>
      </c>
      <c r="C146" s="57"/>
      <c r="D146" s="57">
        <v>248</v>
      </c>
      <c r="E146" s="57">
        <v>100</v>
      </c>
      <c r="F146" s="57">
        <v>4</v>
      </c>
      <c r="G146" s="57">
        <v>40976</v>
      </c>
      <c r="H146" s="57">
        <v>5.5</v>
      </c>
      <c r="I146" s="57">
        <v>40983</v>
      </c>
      <c r="J146" s="57">
        <v>1678.2291417991146</v>
      </c>
      <c r="K146" s="57">
        <v>31.768088164829887</v>
      </c>
      <c r="L146" s="57">
        <v>132.6</v>
      </c>
      <c r="M146" s="57">
        <v>17.399999999999999</v>
      </c>
      <c r="N146" s="57" t="s">
        <v>15</v>
      </c>
      <c r="O146" s="57">
        <v>417.4</v>
      </c>
      <c r="P146" s="57"/>
      <c r="Q146" s="57"/>
      <c r="R146" s="57"/>
      <c r="S146" s="57"/>
      <c r="T146" s="57"/>
      <c r="U146" s="57"/>
      <c r="V146" s="57"/>
      <c r="W146" s="451"/>
      <c r="X146" s="145"/>
      <c r="Y146" s="223"/>
      <c r="Z146" s="22"/>
      <c r="AA146"/>
      <c r="AC146"/>
      <c r="AE146" s="9"/>
      <c r="AG146" s="27"/>
      <c r="AP146"/>
      <c r="AR146"/>
      <c r="AV146"/>
      <c r="AW146"/>
      <c r="AX146"/>
      <c r="AY146"/>
      <c r="AZ146"/>
      <c r="BC146"/>
      <c r="BD146"/>
      <c r="BG146"/>
      <c r="BH146"/>
      <c r="BI146"/>
      <c r="BJ146"/>
      <c r="BS146"/>
      <c r="BU146"/>
      <c r="BV146"/>
      <c r="BX146"/>
    </row>
    <row r="147" spans="1:76" ht="15.75">
      <c r="A147" s="263" t="s">
        <v>321</v>
      </c>
      <c r="B147" t="s">
        <v>515</v>
      </c>
      <c r="C147" s="57"/>
      <c r="D147" s="57">
        <v>271</v>
      </c>
      <c r="E147" s="57">
        <v>100</v>
      </c>
      <c r="F147" s="57">
        <v>2</v>
      </c>
      <c r="G147" s="57">
        <v>40984</v>
      </c>
      <c r="H147" s="57">
        <v>7.2</v>
      </c>
      <c r="I147" s="57">
        <v>40997</v>
      </c>
      <c r="J147" s="57">
        <v>3362.2458970991697</v>
      </c>
      <c r="K147" s="57">
        <v>231.1867525298988</v>
      </c>
      <c r="L147" s="57">
        <v>502.6</v>
      </c>
      <c r="M147" s="57">
        <v>17.399999999999999</v>
      </c>
      <c r="N147" s="57" t="s">
        <v>15</v>
      </c>
      <c r="O147" s="57">
        <v>217.4</v>
      </c>
      <c r="P147" s="57"/>
      <c r="Q147" s="57"/>
      <c r="R147" s="57"/>
      <c r="S147" s="57"/>
      <c r="T147" s="57"/>
      <c r="U147" s="57"/>
      <c r="V147" s="57"/>
      <c r="W147" s="451"/>
      <c r="X147" s="145"/>
      <c r="Y147" s="223"/>
      <c r="Z147" s="22"/>
      <c r="AA147"/>
      <c r="AC147"/>
      <c r="AE147" s="9"/>
      <c r="AG147" s="27"/>
      <c r="AP147"/>
      <c r="AR147"/>
      <c r="AV147"/>
      <c r="AW147"/>
      <c r="AX147"/>
      <c r="AY147"/>
      <c r="AZ147"/>
      <c r="BC147"/>
      <c r="BD147"/>
      <c r="BG147"/>
      <c r="BH147"/>
      <c r="BI147"/>
      <c r="BJ147"/>
      <c r="BS147"/>
      <c r="BU147"/>
      <c r="BV147"/>
      <c r="BX147"/>
    </row>
    <row r="148" spans="1:76" ht="15.75">
      <c r="A148" s="263" t="s">
        <v>321</v>
      </c>
      <c r="B148" t="s">
        <v>654</v>
      </c>
      <c r="C148" s="57"/>
      <c r="D148" s="57">
        <v>276</v>
      </c>
      <c r="E148" s="57">
        <v>100</v>
      </c>
      <c r="F148" s="57">
        <v>0.25</v>
      </c>
      <c r="G148" s="57">
        <v>41002</v>
      </c>
      <c r="H148" s="57">
        <v>3.5</v>
      </c>
      <c r="I148" s="57">
        <v>41015</v>
      </c>
      <c r="J148" s="57">
        <v>5926.4342243817282</v>
      </c>
      <c r="K148" s="57">
        <v>725.47169811320759</v>
      </c>
      <c r="L148" s="57">
        <v>307.60000000000002</v>
      </c>
      <c r="M148" s="57">
        <v>17.399999999999999</v>
      </c>
      <c r="N148" s="57" t="s">
        <v>15</v>
      </c>
      <c r="O148" s="57">
        <v>42.4</v>
      </c>
      <c r="P148" s="57"/>
      <c r="Q148" s="57"/>
      <c r="R148" s="57"/>
      <c r="S148" s="57"/>
      <c r="T148" s="57"/>
      <c r="U148" s="57"/>
      <c r="V148" s="57"/>
      <c r="W148" s="451"/>
      <c r="X148" s="145"/>
      <c r="Y148" s="223"/>
      <c r="Z148" s="22"/>
      <c r="AA148"/>
      <c r="AC148"/>
      <c r="AE148" s="9"/>
      <c r="AG148" s="27"/>
      <c r="AP148"/>
      <c r="AR148"/>
      <c r="AV148"/>
      <c r="AW148"/>
      <c r="AX148"/>
      <c r="AY148"/>
      <c r="AZ148"/>
      <c r="BC148"/>
      <c r="BD148"/>
      <c r="BG148"/>
      <c r="BH148"/>
      <c r="BI148"/>
      <c r="BJ148"/>
      <c r="BS148"/>
      <c r="BU148"/>
      <c r="BV148"/>
      <c r="BX148"/>
    </row>
    <row r="149" spans="1:76" ht="15.75">
      <c r="A149" s="263" t="s">
        <v>321</v>
      </c>
      <c r="B149" t="s">
        <v>684</v>
      </c>
      <c r="C149" s="57"/>
      <c r="D149" s="57">
        <v>291</v>
      </c>
      <c r="E149" s="57">
        <v>100</v>
      </c>
      <c r="F149" s="57">
        <v>3</v>
      </c>
      <c r="G149" s="57">
        <v>41017</v>
      </c>
      <c r="H149" s="57">
        <v>5</v>
      </c>
      <c r="I149" s="57">
        <v>41033</v>
      </c>
      <c r="J149" s="57">
        <v>1036.7033185650455</v>
      </c>
      <c r="K149" s="57">
        <v>57.529930686830497</v>
      </c>
      <c r="L149" s="57">
        <v>182.6</v>
      </c>
      <c r="M149" s="57">
        <v>17.399999999999999</v>
      </c>
      <c r="N149" s="57" t="s">
        <v>15</v>
      </c>
      <c r="O149" s="57">
        <v>317.39999999999998</v>
      </c>
      <c r="P149" s="57"/>
      <c r="Q149" s="57"/>
      <c r="R149" s="57"/>
      <c r="S149" s="57"/>
      <c r="T149" s="57"/>
      <c r="U149" s="57"/>
      <c r="V149" s="57"/>
      <c r="W149" s="451"/>
      <c r="X149" s="145"/>
      <c r="Y149" s="223"/>
      <c r="Z149" s="22"/>
      <c r="AA149"/>
      <c r="AC149"/>
      <c r="AE149" s="9"/>
      <c r="AG149" s="27"/>
      <c r="AP149"/>
      <c r="AR149"/>
      <c r="AV149"/>
      <c r="AW149"/>
      <c r="AX149"/>
      <c r="AY149"/>
      <c r="AZ149"/>
      <c r="BC149"/>
      <c r="BD149"/>
      <c r="BG149"/>
      <c r="BH149"/>
      <c r="BI149"/>
      <c r="BJ149"/>
      <c r="BS149"/>
      <c r="BU149"/>
      <c r="BV149"/>
      <c r="BX149"/>
    </row>
    <row r="150" spans="1:76" ht="15.75">
      <c r="A150" s="263" t="s">
        <v>321</v>
      </c>
      <c r="B150" t="s">
        <v>734</v>
      </c>
      <c r="C150" s="57"/>
      <c r="D150" s="57">
        <v>304</v>
      </c>
      <c r="E150" s="57">
        <v>100</v>
      </c>
      <c r="F150" s="57">
        <v>1</v>
      </c>
      <c r="G150" s="57">
        <v>41051</v>
      </c>
      <c r="H150" s="57">
        <v>4.5</v>
      </c>
      <c r="I150" s="57">
        <v>41061</v>
      </c>
      <c r="J150" s="57">
        <v>4904.3614651018488</v>
      </c>
      <c r="K150" s="57">
        <v>283.30494037478707</v>
      </c>
      <c r="L150" s="57">
        <v>332.6</v>
      </c>
      <c r="M150" s="57">
        <v>17.399999999999999</v>
      </c>
      <c r="N150" s="57" t="s">
        <v>15</v>
      </c>
      <c r="O150" s="57">
        <v>117.4</v>
      </c>
      <c r="P150" s="57"/>
      <c r="Q150" s="57"/>
      <c r="R150" s="57"/>
      <c r="S150" s="57"/>
      <c r="T150" s="57"/>
      <c r="U150" s="57"/>
      <c r="V150" s="57"/>
      <c r="W150" s="451"/>
      <c r="X150" s="145"/>
      <c r="Y150" s="223"/>
      <c r="Z150" s="22"/>
      <c r="AA150"/>
      <c r="AC150"/>
      <c r="AE150" s="9"/>
      <c r="AG150" s="27"/>
      <c r="AH150" s="84"/>
      <c r="AP150"/>
      <c r="AR150"/>
      <c r="AV150"/>
      <c r="AW150"/>
      <c r="AX150"/>
      <c r="AY150"/>
      <c r="AZ150"/>
      <c r="BC150"/>
      <c r="BD150"/>
      <c r="BG150"/>
      <c r="BH150"/>
      <c r="BI150"/>
      <c r="BJ150"/>
      <c r="BS150"/>
      <c r="BU150"/>
      <c r="BV150"/>
      <c r="BX150"/>
    </row>
    <row r="151" spans="1:76" ht="15.75">
      <c r="A151" s="263" t="s">
        <v>321</v>
      </c>
      <c r="B151" t="s">
        <v>787</v>
      </c>
      <c r="C151" s="57"/>
      <c r="D151" s="57">
        <v>345</v>
      </c>
      <c r="E151" s="57">
        <v>100</v>
      </c>
      <c r="F151" s="57">
        <v>8.1</v>
      </c>
      <c r="G151" s="57">
        <v>41075</v>
      </c>
      <c r="H151" s="57">
        <v>4.5</v>
      </c>
      <c r="I151" s="57">
        <v>41110</v>
      </c>
      <c r="J151" s="57">
        <v>-635.14241431707183</v>
      </c>
      <c r="K151" s="57">
        <v>-45.612762871646119</v>
      </c>
      <c r="L151" s="57">
        <v>-377.4</v>
      </c>
      <c r="M151" s="57">
        <v>17.399999999999999</v>
      </c>
      <c r="N151" s="57" t="s">
        <v>15</v>
      </c>
      <c r="O151" s="57">
        <v>827.4</v>
      </c>
      <c r="P151" s="57"/>
      <c r="Q151" s="57"/>
      <c r="R151" s="57"/>
      <c r="S151" s="57"/>
      <c r="T151" s="57"/>
      <c r="U151" s="57"/>
      <c r="V151" s="57"/>
      <c r="W151" s="451"/>
      <c r="X151" s="145"/>
      <c r="Y151" s="223"/>
      <c r="Z151" s="22"/>
      <c r="AA151"/>
      <c r="AC151"/>
      <c r="AE151" s="9"/>
      <c r="AG151" s="27"/>
      <c r="AH151" s="84"/>
      <c r="AP151"/>
      <c r="AR151"/>
      <c r="AV151"/>
      <c r="AW151"/>
      <c r="AX151"/>
      <c r="AY151"/>
      <c r="AZ151"/>
      <c r="BC151"/>
      <c r="BD151"/>
      <c r="BG151"/>
      <c r="BH151"/>
      <c r="BI151"/>
      <c r="BJ151"/>
      <c r="BS151"/>
      <c r="BU151"/>
      <c r="BV151"/>
      <c r="BX151"/>
    </row>
    <row r="152" spans="1:76" ht="15.75">
      <c r="A152" s="263" t="s">
        <v>321</v>
      </c>
      <c r="B152" t="s">
        <v>794</v>
      </c>
      <c r="C152" s="57"/>
      <c r="D152" s="57">
        <v>370</v>
      </c>
      <c r="E152" s="57">
        <v>100</v>
      </c>
      <c r="F152" s="57">
        <v>21.5</v>
      </c>
      <c r="G152" s="57">
        <v>41117</v>
      </c>
      <c r="H152" s="57">
        <v>8.6</v>
      </c>
      <c r="I152" s="57">
        <v>41169</v>
      </c>
      <c r="J152" s="57">
        <v>-648.82342599632614</v>
      </c>
      <c r="K152" s="57">
        <v>-60.321122081756947</v>
      </c>
      <c r="L152" s="57">
        <v>-1307.4000000000001</v>
      </c>
      <c r="M152" s="57">
        <v>17.399999999999999</v>
      </c>
      <c r="N152" s="57" t="s">
        <v>15</v>
      </c>
      <c r="O152" s="57">
        <v>2167.4</v>
      </c>
      <c r="P152" s="57"/>
      <c r="Q152" s="57"/>
      <c r="R152" s="57"/>
      <c r="S152" s="57"/>
      <c r="T152" s="57"/>
      <c r="U152" s="57"/>
      <c r="V152" s="57"/>
      <c r="W152" s="451"/>
      <c r="X152" s="145"/>
      <c r="Y152" s="223"/>
      <c r="Z152" s="22"/>
      <c r="AA152"/>
      <c r="AC152"/>
      <c r="AE152" s="9"/>
      <c r="AG152" s="27"/>
      <c r="AH152" s="84"/>
      <c r="AP152"/>
      <c r="AR152"/>
      <c r="AV152"/>
      <c r="AW152"/>
      <c r="AX152"/>
      <c r="AY152"/>
      <c r="AZ152"/>
      <c r="BC152"/>
      <c r="BD152"/>
      <c r="BG152"/>
      <c r="BH152"/>
      <c r="BI152"/>
      <c r="BJ152"/>
      <c r="BS152"/>
      <c r="BU152"/>
      <c r="BV152"/>
      <c r="BX152"/>
    </row>
    <row r="153" spans="1:76" ht="15.75">
      <c r="A153" s="263" t="s">
        <v>321</v>
      </c>
      <c r="B153" t="s">
        <v>825</v>
      </c>
      <c r="C153" s="57"/>
      <c r="D153" s="57">
        <v>393</v>
      </c>
      <c r="E153" s="57">
        <v>100</v>
      </c>
      <c r="F153" s="57">
        <v>4.5999999999999996</v>
      </c>
      <c r="G153" s="57">
        <v>41179</v>
      </c>
      <c r="H153" s="57">
        <v>9</v>
      </c>
      <c r="I153" s="57">
        <v>41205</v>
      </c>
      <c r="J153" s="57">
        <v>890.09468476210407</v>
      </c>
      <c r="K153" s="57">
        <v>88.521156263091754</v>
      </c>
      <c r="L153" s="57">
        <v>422.6</v>
      </c>
      <c r="M153" s="57">
        <v>17.399999999999999</v>
      </c>
      <c r="N153" s="57" t="s">
        <v>15</v>
      </c>
      <c r="O153" s="57">
        <v>477.4</v>
      </c>
      <c r="P153" s="57"/>
      <c r="Q153" s="57"/>
      <c r="R153" s="57"/>
      <c r="S153" s="57"/>
      <c r="T153" s="57"/>
      <c r="U153" s="57"/>
      <c r="V153" s="57"/>
      <c r="W153" s="451"/>
      <c r="X153" s="145"/>
      <c r="Y153" s="223"/>
      <c r="Z153" s="22"/>
      <c r="AA153"/>
      <c r="AC153"/>
      <c r="AE153" s="9"/>
      <c r="AG153" s="27"/>
      <c r="AH153" s="84"/>
      <c r="AP153"/>
      <c r="AR153"/>
      <c r="AV153"/>
      <c r="AW153"/>
      <c r="AX153"/>
      <c r="AY153"/>
      <c r="AZ153"/>
      <c r="BC153"/>
      <c r="BD153"/>
      <c r="BG153"/>
      <c r="BH153"/>
      <c r="BI153"/>
      <c r="BJ153"/>
      <c r="BS153"/>
      <c r="BU153"/>
      <c r="BV153"/>
      <c r="BX153"/>
    </row>
    <row r="154" spans="1:76" ht="15.75">
      <c r="A154" s="263" t="s">
        <v>321</v>
      </c>
      <c r="B154" t="s">
        <v>837</v>
      </c>
      <c r="C154" s="57"/>
      <c r="D154" s="57">
        <v>398</v>
      </c>
      <c r="E154" s="57">
        <v>100</v>
      </c>
      <c r="F154" s="57">
        <v>0.3</v>
      </c>
      <c r="G154" s="57">
        <v>41214</v>
      </c>
      <c r="H154" s="57">
        <v>2.5</v>
      </c>
      <c r="I154" s="57">
        <v>41221</v>
      </c>
      <c r="J154" s="57">
        <v>8670.5160220549114</v>
      </c>
      <c r="K154" s="57">
        <v>427.42616033755269</v>
      </c>
      <c r="L154" s="57">
        <v>202.6</v>
      </c>
      <c r="M154" s="57">
        <v>17.399999999999999</v>
      </c>
      <c r="N154" s="57" t="s">
        <v>15</v>
      </c>
      <c r="O154" s="57">
        <v>47.4</v>
      </c>
      <c r="P154" s="57"/>
      <c r="Q154" s="57"/>
      <c r="R154" s="57"/>
      <c r="S154" s="57"/>
      <c r="T154" s="57"/>
      <c r="U154" s="57"/>
      <c r="V154" s="57"/>
      <c r="W154" s="451"/>
      <c r="X154" s="145"/>
      <c r="Y154" s="223"/>
      <c r="Z154" s="22"/>
      <c r="AA154"/>
      <c r="AC154"/>
      <c r="AE154" s="9"/>
      <c r="AG154" s="27"/>
      <c r="AH154" s="84"/>
      <c r="AP154"/>
      <c r="AR154"/>
      <c r="AV154"/>
      <c r="AW154"/>
      <c r="AX154"/>
      <c r="AY154"/>
      <c r="AZ154"/>
      <c r="BC154"/>
      <c r="BD154"/>
      <c r="BG154"/>
      <c r="BH154"/>
      <c r="BI154"/>
      <c r="BJ154"/>
      <c r="BS154"/>
      <c r="BU154"/>
      <c r="BV154"/>
      <c r="BX154"/>
    </row>
    <row r="155" spans="1:76" ht="15.75">
      <c r="A155" s="263" t="s">
        <v>321</v>
      </c>
      <c r="B155" t="s">
        <v>854</v>
      </c>
      <c r="C155" s="57"/>
      <c r="D155" s="57">
        <v>419</v>
      </c>
      <c r="E155" s="57">
        <v>100</v>
      </c>
      <c r="F155" s="57">
        <v>5.4</v>
      </c>
      <c r="G155" s="57">
        <v>41232</v>
      </c>
      <c r="H155" s="57">
        <v>4</v>
      </c>
      <c r="I155" s="57">
        <v>41264</v>
      </c>
      <c r="J155" s="57">
        <v>-378.48055405640957</v>
      </c>
      <c r="K155" s="57">
        <v>-28.238249013275933</v>
      </c>
      <c r="L155" s="57">
        <v>-157.4</v>
      </c>
      <c r="M155" s="57">
        <v>17.399999999999999</v>
      </c>
      <c r="N155" s="57" t="s">
        <v>15</v>
      </c>
      <c r="O155" s="57">
        <v>557.4</v>
      </c>
      <c r="P155" s="57"/>
      <c r="Q155" s="57"/>
      <c r="R155" s="57"/>
      <c r="S155" s="57"/>
      <c r="T155" s="57"/>
      <c r="U155" s="57"/>
      <c r="V155" s="57"/>
      <c r="W155" s="451"/>
      <c r="X155" s="145"/>
      <c r="Y155" s="223"/>
      <c r="Z155" s="22"/>
      <c r="AA155"/>
      <c r="AC155"/>
      <c r="AE155" s="9"/>
      <c r="AG155" s="27"/>
      <c r="AH155" s="84"/>
      <c r="AP155"/>
      <c r="AR155"/>
      <c r="AV155"/>
      <c r="AW155"/>
      <c r="AX155"/>
      <c r="AY155"/>
      <c r="AZ155"/>
      <c r="BC155"/>
      <c r="BD155"/>
      <c r="BG155"/>
      <c r="BH155"/>
      <c r="BI155"/>
      <c r="BJ155"/>
      <c r="BS155"/>
      <c r="BU155"/>
      <c r="BV155"/>
      <c r="BX155"/>
    </row>
    <row r="156" spans="1:76" ht="15.75">
      <c r="A156" s="263" t="s">
        <v>321</v>
      </c>
      <c r="B156" t="s">
        <v>321</v>
      </c>
      <c r="C156" s="57"/>
      <c r="D156" s="57">
        <v>430</v>
      </c>
      <c r="E156" s="57">
        <v>100</v>
      </c>
      <c r="F156" s="57">
        <v>86.55</v>
      </c>
      <c r="G156" s="57">
        <v>40745</v>
      </c>
      <c r="H156" s="57">
        <v>46</v>
      </c>
      <c r="I156" s="57">
        <v>41274</v>
      </c>
      <c r="J156" s="57">
        <v>-43.675734937455275</v>
      </c>
      <c r="K156" s="57">
        <v>-46.900305323244389</v>
      </c>
      <c r="L156" s="57">
        <v>-4062.95</v>
      </c>
      <c r="M156" s="57">
        <v>7.95</v>
      </c>
      <c r="N156" s="57" t="s">
        <v>145</v>
      </c>
      <c r="O156" s="57">
        <v>8662.9500000000007</v>
      </c>
      <c r="P156" s="57"/>
      <c r="Q156" s="57"/>
      <c r="R156" s="57"/>
      <c r="S156" s="57"/>
      <c r="T156" s="57"/>
      <c r="U156" s="57"/>
      <c r="V156" s="57"/>
      <c r="W156" s="451"/>
      <c r="X156" s="145"/>
      <c r="Y156" s="223"/>
      <c r="Z156" s="22"/>
      <c r="AA156"/>
      <c r="AC156"/>
      <c r="AE156" s="9"/>
      <c r="AG156" s="27"/>
      <c r="AH156" s="84"/>
      <c r="AP156"/>
      <c r="AR156"/>
      <c r="AV156"/>
      <c r="AW156"/>
      <c r="AX156"/>
      <c r="AY156"/>
      <c r="AZ156"/>
      <c r="BC156"/>
      <c r="BD156"/>
      <c r="BG156"/>
      <c r="BH156"/>
      <c r="BI156"/>
      <c r="BJ156"/>
      <c r="BS156"/>
      <c r="BU156"/>
      <c r="BV156"/>
      <c r="BX156"/>
    </row>
    <row r="157" spans="1:76" ht="15.75">
      <c r="A157" s="263" t="s">
        <v>732</v>
      </c>
      <c r="B157" t="s">
        <v>744</v>
      </c>
      <c r="C157" s="57"/>
      <c r="D157" s="57">
        <v>322</v>
      </c>
      <c r="E157" s="57">
        <v>200</v>
      </c>
      <c r="F157" s="57">
        <v>4.3</v>
      </c>
      <c r="G157" s="57">
        <v>41067</v>
      </c>
      <c r="H157" s="57">
        <v>2.5</v>
      </c>
      <c r="I157" s="57">
        <v>41089</v>
      </c>
      <c r="J157" s="57">
        <v>-935.83184049622184</v>
      </c>
      <c r="K157" s="57">
        <v>-43.110706565024458</v>
      </c>
      <c r="L157" s="57">
        <v>-378.9</v>
      </c>
      <c r="M157" s="57">
        <v>18.899999999999999</v>
      </c>
      <c r="N157" s="57" t="s">
        <v>15</v>
      </c>
      <c r="O157" s="57">
        <v>878.9</v>
      </c>
      <c r="P157" s="57"/>
      <c r="Q157" s="57"/>
      <c r="R157" s="57"/>
      <c r="S157" s="57"/>
      <c r="T157" s="57"/>
      <c r="U157" s="57"/>
      <c r="V157" s="57"/>
      <c r="W157" s="451"/>
      <c r="X157" s="145"/>
      <c r="Y157" s="223"/>
      <c r="Z157" s="22"/>
      <c r="AA157"/>
      <c r="AC157"/>
      <c r="AE157" s="9"/>
      <c r="AG157" s="27"/>
      <c r="AH157" s="84"/>
      <c r="AP157"/>
      <c r="AR157"/>
      <c r="AV157"/>
      <c r="AW157"/>
      <c r="AX157"/>
      <c r="AY157"/>
      <c r="AZ157"/>
      <c r="BC157"/>
      <c r="BD157"/>
      <c r="BG157"/>
      <c r="BH157"/>
      <c r="BI157"/>
      <c r="BJ157"/>
      <c r="BS157"/>
      <c r="BU157"/>
      <c r="BV157"/>
      <c r="BX157"/>
    </row>
    <row r="158" spans="1:76" ht="15.75">
      <c r="A158" s="263" t="s">
        <v>732</v>
      </c>
      <c r="B158" t="s">
        <v>767</v>
      </c>
      <c r="C158" s="57"/>
      <c r="D158" s="57">
        <v>348</v>
      </c>
      <c r="E158" s="57">
        <v>200</v>
      </c>
      <c r="F158" s="57">
        <v>3</v>
      </c>
      <c r="G158" s="57">
        <v>41089</v>
      </c>
      <c r="H158" s="57">
        <v>5.5</v>
      </c>
      <c r="I158" s="57">
        <v>41114</v>
      </c>
      <c r="J158" s="57">
        <v>839.67775506007331</v>
      </c>
      <c r="K158" s="57">
        <v>77.734690580061397</v>
      </c>
      <c r="L158" s="57">
        <v>481.1</v>
      </c>
      <c r="M158" s="57">
        <v>18.899999999999999</v>
      </c>
      <c r="N158" s="57" t="s">
        <v>15</v>
      </c>
      <c r="O158" s="57">
        <v>618.9</v>
      </c>
      <c r="P158" s="57"/>
      <c r="Q158" s="57"/>
      <c r="R158" s="57"/>
      <c r="S158" s="57"/>
      <c r="T158" s="57"/>
      <c r="U158" s="57"/>
      <c r="V158" s="57"/>
      <c r="W158" s="451"/>
      <c r="X158" s="145"/>
      <c r="Y158" s="223"/>
      <c r="Z158" s="22"/>
      <c r="AA158"/>
      <c r="AC158"/>
      <c r="AE158" s="9"/>
      <c r="AG158" s="27"/>
      <c r="AH158" s="84"/>
      <c r="AP158"/>
      <c r="AR158"/>
      <c r="AV158"/>
      <c r="AW158"/>
      <c r="AX158"/>
      <c r="AY158"/>
      <c r="AZ158"/>
      <c r="BC158"/>
      <c r="BD158"/>
      <c r="BG158"/>
      <c r="BH158"/>
      <c r="BI158"/>
      <c r="BJ158"/>
      <c r="BS158"/>
      <c r="BU158"/>
      <c r="BV158"/>
      <c r="BX158"/>
    </row>
    <row r="159" spans="1:76" ht="15.75">
      <c r="A159" s="263" t="s">
        <v>732</v>
      </c>
      <c r="B159" t="s">
        <v>808</v>
      </c>
      <c r="C159" s="57"/>
      <c r="D159" s="57">
        <v>365</v>
      </c>
      <c r="E159" s="57">
        <v>200</v>
      </c>
      <c r="F159" s="57">
        <v>0.75</v>
      </c>
      <c r="G159" s="57">
        <v>41137</v>
      </c>
      <c r="H159" s="57">
        <v>2.5499999999999998</v>
      </c>
      <c r="I159" s="57">
        <v>41156</v>
      </c>
      <c r="J159" s="57">
        <v>2122.9627589220272</v>
      </c>
      <c r="K159" s="57">
        <v>201.95381882770869</v>
      </c>
      <c r="L159" s="57">
        <v>341.1</v>
      </c>
      <c r="M159" s="57">
        <v>18.899999999999999</v>
      </c>
      <c r="N159" s="57" t="s">
        <v>15</v>
      </c>
      <c r="O159" s="57">
        <v>168.9</v>
      </c>
      <c r="P159" s="57"/>
      <c r="Q159" s="57"/>
      <c r="R159" s="57"/>
      <c r="S159" s="57"/>
      <c r="T159" s="57"/>
      <c r="U159" s="57"/>
      <c r="V159" s="57"/>
      <c r="W159" s="451"/>
      <c r="X159" s="145"/>
      <c r="Y159" s="223"/>
      <c r="Z159" s="22"/>
      <c r="AA159"/>
      <c r="AC159"/>
      <c r="AE159" s="9"/>
      <c r="AG159" s="27"/>
      <c r="AH159" s="84"/>
      <c r="AP159"/>
      <c r="AR159"/>
      <c r="AV159"/>
      <c r="AW159"/>
      <c r="AX159"/>
      <c r="AY159"/>
      <c r="AZ159"/>
      <c r="BC159"/>
      <c r="BD159"/>
      <c r="BG159"/>
      <c r="BH159"/>
      <c r="BI159"/>
      <c r="BJ159"/>
      <c r="BS159"/>
      <c r="BU159"/>
      <c r="BV159"/>
      <c r="BX159"/>
    </row>
    <row r="160" spans="1:76" ht="15.75">
      <c r="A160" s="263" t="s">
        <v>732</v>
      </c>
      <c r="B160" t="s">
        <v>818</v>
      </c>
      <c r="C160" s="57"/>
      <c r="D160" s="57">
        <v>397</v>
      </c>
      <c r="E160" s="57">
        <v>200</v>
      </c>
      <c r="F160" s="57">
        <v>1.5</v>
      </c>
      <c r="G160" s="57">
        <v>41163</v>
      </c>
      <c r="H160" s="57">
        <v>2</v>
      </c>
      <c r="I160" s="57">
        <v>41221</v>
      </c>
      <c r="J160" s="57">
        <v>142.59352616994667</v>
      </c>
      <c r="K160" s="57">
        <v>25.431169645656944</v>
      </c>
      <c r="L160" s="57">
        <v>81.099999999999994</v>
      </c>
      <c r="M160" s="57">
        <v>18.899999999999999</v>
      </c>
      <c r="N160" s="57" t="s">
        <v>15</v>
      </c>
      <c r="O160" s="57">
        <v>318.89999999999998</v>
      </c>
      <c r="P160" s="57"/>
      <c r="Q160" s="57"/>
      <c r="R160" s="57"/>
      <c r="S160" s="57"/>
      <c r="T160" s="57"/>
      <c r="U160" s="57"/>
      <c r="V160" s="57"/>
      <c r="W160" s="451"/>
      <c r="X160" s="145"/>
      <c r="Y160" s="223"/>
      <c r="Z160" s="22"/>
      <c r="AA160"/>
      <c r="AC160"/>
      <c r="AE160" s="9"/>
      <c r="AG160" s="27"/>
      <c r="AH160" s="84"/>
      <c r="AP160"/>
      <c r="AR160"/>
      <c r="AV160"/>
      <c r="AW160"/>
      <c r="AX160"/>
      <c r="AY160"/>
      <c r="AZ160"/>
      <c r="BC160"/>
      <c r="BD160"/>
      <c r="BG160"/>
      <c r="BH160"/>
      <c r="BI160"/>
      <c r="BJ160"/>
      <c r="BS160"/>
      <c r="BU160"/>
      <c r="BV160"/>
      <c r="BX160"/>
    </row>
    <row r="161" spans="1:76" ht="15.75">
      <c r="A161" s="263" t="s">
        <v>732</v>
      </c>
      <c r="B161" t="s">
        <v>849</v>
      </c>
      <c r="C161" s="57"/>
      <c r="D161" s="57">
        <v>420</v>
      </c>
      <c r="E161" s="57">
        <v>200</v>
      </c>
      <c r="F161" s="57">
        <v>5.7</v>
      </c>
      <c r="G161" s="57">
        <v>41229</v>
      </c>
      <c r="H161" s="57">
        <v>2.1</v>
      </c>
      <c r="I161" s="57">
        <v>41264</v>
      </c>
      <c r="J161" s="57">
        <v>-1058.4706405084858</v>
      </c>
      <c r="K161" s="57">
        <v>-63.758736733108975</v>
      </c>
      <c r="L161" s="57">
        <v>-738.9</v>
      </c>
      <c r="M161" s="57">
        <v>18.899999999999999</v>
      </c>
      <c r="N161" s="57" t="s">
        <v>15</v>
      </c>
      <c r="O161" s="57">
        <v>1158.9000000000001</v>
      </c>
      <c r="P161" s="57"/>
      <c r="Q161" s="57"/>
      <c r="R161" s="57"/>
      <c r="S161" s="57"/>
      <c r="T161" s="57"/>
      <c r="U161" s="57"/>
      <c r="V161" s="57"/>
      <c r="W161" s="451"/>
      <c r="X161" s="145"/>
      <c r="Y161" s="223"/>
      <c r="Z161" s="22"/>
      <c r="AA161"/>
      <c r="AC161"/>
      <c r="AE161" s="9"/>
      <c r="AG161" s="27"/>
      <c r="AH161" s="84"/>
      <c r="AP161"/>
      <c r="AR161"/>
      <c r="AV161"/>
      <c r="AW161"/>
      <c r="AX161"/>
      <c r="AY161"/>
      <c r="AZ161"/>
      <c r="BC161"/>
      <c r="BD161"/>
      <c r="BG161"/>
      <c r="BH161"/>
      <c r="BI161"/>
      <c r="BJ161"/>
      <c r="BS161"/>
      <c r="BU161"/>
      <c r="BV161"/>
      <c r="BX161"/>
    </row>
    <row r="162" spans="1:76" ht="15.75">
      <c r="A162" s="263" t="s">
        <v>732</v>
      </c>
      <c r="B162" t="s">
        <v>732</v>
      </c>
      <c r="C162" s="57"/>
      <c r="D162" s="57">
        <v>438</v>
      </c>
      <c r="E162" s="57">
        <v>200</v>
      </c>
      <c r="F162" s="57">
        <v>40</v>
      </c>
      <c r="G162" s="57">
        <v>41047</v>
      </c>
      <c r="H162" s="57">
        <v>26.5</v>
      </c>
      <c r="I162" s="57">
        <v>41274</v>
      </c>
      <c r="J162" s="57">
        <v>-66.363749714922534</v>
      </c>
      <c r="K162" s="57">
        <v>-33.815770577988125</v>
      </c>
      <c r="L162" s="57">
        <v>-2707.95</v>
      </c>
      <c r="M162" s="57">
        <v>7.95</v>
      </c>
      <c r="N162" s="57" t="s">
        <v>145</v>
      </c>
      <c r="O162" s="57">
        <v>8007.95</v>
      </c>
      <c r="P162" s="57"/>
      <c r="Q162" s="57"/>
      <c r="R162" s="57"/>
      <c r="S162" s="57"/>
      <c r="T162" s="57"/>
      <c r="U162" s="57"/>
      <c r="V162" s="57"/>
      <c r="W162" s="451"/>
      <c r="X162" s="145"/>
      <c r="Y162" s="223"/>
      <c r="Z162" s="22"/>
      <c r="AA162"/>
      <c r="AC162"/>
      <c r="AE162" s="9"/>
      <c r="AG162" s="27"/>
      <c r="AH162" s="84"/>
      <c r="AP162"/>
      <c r="AR162"/>
      <c r="AV162"/>
      <c r="AW162"/>
      <c r="AX162"/>
      <c r="AY162"/>
      <c r="AZ162"/>
      <c r="BC162"/>
      <c r="BD162"/>
      <c r="BG162"/>
      <c r="BH162"/>
      <c r="BI162"/>
      <c r="BJ162"/>
      <c r="BS162"/>
      <c r="BU162"/>
      <c r="BV162"/>
      <c r="BX162"/>
    </row>
    <row r="163" spans="1:76" ht="15.75">
      <c r="A163" s="263" t="s">
        <v>187</v>
      </c>
      <c r="C163" s="57"/>
      <c r="D163" s="57">
        <v>22</v>
      </c>
      <c r="E163" s="57">
        <v>100</v>
      </c>
      <c r="F163" s="57">
        <v>120</v>
      </c>
      <c r="G163" s="57">
        <v>40312</v>
      </c>
      <c r="H163" s="57">
        <v>140</v>
      </c>
      <c r="I163" s="57">
        <v>40382</v>
      </c>
      <c r="J163" s="57">
        <v>80.033236717114036</v>
      </c>
      <c r="K163" s="57">
        <v>16.589426171827835</v>
      </c>
      <c r="L163" s="57">
        <v>1992.05</v>
      </c>
      <c r="M163" s="57">
        <v>7.95</v>
      </c>
      <c r="N163" s="57" t="s">
        <v>145</v>
      </c>
      <c r="O163" s="57">
        <v>12007.95</v>
      </c>
      <c r="P163" s="57"/>
      <c r="Q163" s="57"/>
      <c r="R163" s="57"/>
      <c r="S163" s="57"/>
      <c r="T163" s="57"/>
      <c r="U163" s="57"/>
      <c r="V163" s="57"/>
      <c r="W163" s="451"/>
      <c r="X163" s="145"/>
      <c r="Y163" s="223"/>
      <c r="Z163" s="22"/>
      <c r="AA163"/>
      <c r="AC163"/>
      <c r="AE163" s="9"/>
      <c r="AG163" s="27"/>
      <c r="AH163" s="84"/>
      <c r="AP163"/>
      <c r="AR163"/>
      <c r="AV163"/>
      <c r="AW163"/>
      <c r="AX163"/>
      <c r="AY163"/>
      <c r="AZ163"/>
      <c r="BC163"/>
      <c r="BD163"/>
      <c r="BG163"/>
      <c r="BH163"/>
      <c r="BI163"/>
      <c r="BJ163"/>
      <c r="BS163"/>
      <c r="BU163"/>
      <c r="BV163"/>
      <c r="BX163"/>
    </row>
    <row r="164" spans="1:76" ht="15.75">
      <c r="A164" s="263" t="s">
        <v>421</v>
      </c>
      <c r="B164" t="s">
        <v>421</v>
      </c>
      <c r="C164" s="57"/>
      <c r="D164" s="57">
        <v>309</v>
      </c>
      <c r="E164" s="57">
        <v>200</v>
      </c>
      <c r="F164" s="57">
        <v>22</v>
      </c>
      <c r="G164" s="57">
        <v>41046</v>
      </c>
      <c r="H164" s="57">
        <v>21</v>
      </c>
      <c r="I164" s="57">
        <v>41075</v>
      </c>
      <c r="J164" s="57">
        <v>-60.823100937078536</v>
      </c>
      <c r="K164" s="57">
        <v>-4.7176124956045395</v>
      </c>
      <c r="L164" s="57">
        <v>-207.95</v>
      </c>
      <c r="M164" s="57">
        <v>7.95</v>
      </c>
      <c r="N164" s="57" t="s">
        <v>145</v>
      </c>
      <c r="O164" s="57">
        <v>4407.95</v>
      </c>
      <c r="P164" s="57"/>
      <c r="Q164" s="57"/>
      <c r="R164" s="57"/>
      <c r="S164" s="57"/>
      <c r="T164" s="57"/>
      <c r="U164" s="57"/>
      <c r="V164" s="57"/>
      <c r="W164" s="451"/>
      <c r="X164" s="145"/>
      <c r="Y164" s="223"/>
      <c r="Z164" s="22"/>
      <c r="AA164"/>
      <c r="AC164"/>
      <c r="AE164" s="9"/>
      <c r="AG164" s="27"/>
      <c r="AH164" s="84"/>
      <c r="AP164"/>
      <c r="AR164"/>
      <c r="AV164"/>
      <c r="AW164"/>
      <c r="AX164"/>
      <c r="AY164"/>
      <c r="AZ164"/>
      <c r="BC164"/>
      <c r="BD164"/>
      <c r="BG164"/>
      <c r="BH164"/>
      <c r="BI164"/>
      <c r="BJ164"/>
      <c r="BS164"/>
      <c r="BU164"/>
      <c r="BV164"/>
      <c r="BX164"/>
    </row>
    <row r="165" spans="1:76" ht="15.75">
      <c r="A165" s="263" t="s">
        <v>421</v>
      </c>
      <c r="B165" t="s">
        <v>737</v>
      </c>
      <c r="C165" s="57"/>
      <c r="D165" s="57">
        <v>313</v>
      </c>
      <c r="E165" s="57">
        <v>200</v>
      </c>
      <c r="F165" s="57">
        <v>0</v>
      </c>
      <c r="G165" s="57">
        <v>41058</v>
      </c>
      <c r="H165" s="57">
        <v>3.5</v>
      </c>
      <c r="I165" s="57">
        <v>41075</v>
      </c>
      <c r="J165" s="57">
        <v>6802.7120300307079</v>
      </c>
      <c r="K165" s="57">
        <v>2276.9100169779285</v>
      </c>
      <c r="L165" s="57">
        <v>670.55</v>
      </c>
      <c r="M165" s="57">
        <v>29.45</v>
      </c>
      <c r="N165" s="57" t="s">
        <v>404</v>
      </c>
      <c r="O165" s="57">
        <v>29.45</v>
      </c>
      <c r="P165" s="57"/>
      <c r="Q165" s="57"/>
      <c r="R165" s="57"/>
      <c r="S165" s="57"/>
      <c r="T165" s="57"/>
      <c r="U165" s="57"/>
      <c r="V165" s="57"/>
      <c r="W165" s="451"/>
      <c r="X165" s="145"/>
      <c r="Y165" s="223"/>
      <c r="Z165" s="22"/>
      <c r="AA165"/>
      <c r="AC165"/>
      <c r="AE165" s="9"/>
      <c r="AG165" s="27"/>
      <c r="AH165" s="84"/>
      <c r="AP165"/>
      <c r="AR165"/>
      <c r="AV165"/>
      <c r="AW165"/>
      <c r="AX165"/>
      <c r="AY165"/>
      <c r="AZ165"/>
      <c r="BC165"/>
      <c r="BD165"/>
      <c r="BG165"/>
      <c r="BH165"/>
      <c r="BI165"/>
      <c r="BJ165"/>
      <c r="BS165"/>
      <c r="BU165"/>
      <c r="BV165"/>
      <c r="BX165"/>
    </row>
    <row r="166" spans="1:76" ht="15.75">
      <c r="A166" s="263" t="s">
        <v>423</v>
      </c>
      <c r="B166" t="s">
        <v>423</v>
      </c>
      <c r="C166" s="57"/>
      <c r="D166" s="57">
        <v>273</v>
      </c>
      <c r="E166" s="57">
        <v>100</v>
      </c>
      <c r="F166" s="57">
        <v>16.93</v>
      </c>
      <c r="G166" s="57">
        <v>40858</v>
      </c>
      <c r="H166" s="57">
        <v>19</v>
      </c>
      <c r="I166" s="57">
        <v>41009</v>
      </c>
      <c r="J166" s="57">
        <v>26.928962131703535</v>
      </c>
      <c r="K166" s="57">
        <v>11.702284017754788</v>
      </c>
      <c r="L166" s="57">
        <v>199.05</v>
      </c>
      <c r="M166" s="57">
        <v>7.95</v>
      </c>
      <c r="N166" s="57" t="s">
        <v>145</v>
      </c>
      <c r="O166" s="57">
        <v>1700.95</v>
      </c>
      <c r="P166" s="57"/>
      <c r="Q166" s="57"/>
      <c r="R166" s="57"/>
      <c r="S166" s="57"/>
      <c r="T166" s="57"/>
      <c r="U166" s="57"/>
      <c r="V166" s="57"/>
      <c r="W166" s="451"/>
      <c r="X166" s="145"/>
      <c r="Y166" s="223"/>
      <c r="Z166" s="22"/>
      <c r="AA166"/>
      <c r="AC166"/>
      <c r="AE166" s="9"/>
      <c r="AG166" s="27"/>
      <c r="AH166" s="84"/>
      <c r="AP166"/>
      <c r="AR166"/>
      <c r="AV166"/>
      <c r="AW166"/>
      <c r="AX166"/>
      <c r="AY166"/>
      <c r="AZ166"/>
      <c r="BC166"/>
      <c r="BD166"/>
      <c r="BG166"/>
      <c r="BH166"/>
      <c r="BI166"/>
      <c r="BJ166"/>
      <c r="BS166"/>
      <c r="BU166"/>
      <c r="BV166"/>
      <c r="BX166"/>
    </row>
    <row r="167" spans="1:76" ht="15.75">
      <c r="A167" s="263" t="s">
        <v>423</v>
      </c>
      <c r="B167" t="s">
        <v>655</v>
      </c>
      <c r="C167" s="57"/>
      <c r="D167" s="57">
        <v>274</v>
      </c>
      <c r="E167" s="57">
        <v>100</v>
      </c>
      <c r="F167" s="57">
        <v>0.01</v>
      </c>
      <c r="G167" s="57">
        <v>41007</v>
      </c>
      <c r="H167" s="57">
        <v>2.15</v>
      </c>
      <c r="I167" s="57">
        <v>41009</v>
      </c>
      <c r="J167" s="57">
        <v>36125.710427321908</v>
      </c>
      <c r="K167" s="57">
        <v>623.90572390572402</v>
      </c>
      <c r="L167" s="57">
        <v>185.3</v>
      </c>
      <c r="M167" s="57">
        <v>28.7</v>
      </c>
      <c r="N167" s="57" t="s">
        <v>404</v>
      </c>
      <c r="O167" s="57">
        <v>29.7</v>
      </c>
      <c r="P167" s="57"/>
      <c r="Q167" s="57"/>
      <c r="R167" s="57"/>
      <c r="S167" s="57"/>
      <c r="T167" s="57"/>
      <c r="U167" s="57"/>
      <c r="V167" s="57"/>
      <c r="W167" s="451"/>
      <c r="X167" s="145"/>
      <c r="Y167" s="223"/>
      <c r="Z167" s="22"/>
      <c r="AA167"/>
      <c r="AC167"/>
      <c r="AE167" s="9"/>
      <c r="AG167" s="27"/>
      <c r="AH167" s="84"/>
      <c r="AP167"/>
      <c r="AR167"/>
      <c r="AV167"/>
      <c r="AW167"/>
      <c r="AX167"/>
      <c r="AY167"/>
      <c r="AZ167"/>
      <c r="BC167"/>
      <c r="BD167"/>
      <c r="BG167"/>
      <c r="BH167"/>
      <c r="BI167"/>
      <c r="BJ167"/>
      <c r="BS167"/>
      <c r="BU167"/>
      <c r="BV167"/>
      <c r="BX167"/>
    </row>
    <row r="168" spans="1:76" ht="15.75">
      <c r="A168" s="263" t="s">
        <v>423</v>
      </c>
      <c r="B168" t="s">
        <v>423</v>
      </c>
      <c r="C168" s="57"/>
      <c r="D168" s="57">
        <v>407</v>
      </c>
      <c r="E168" s="57">
        <v>100</v>
      </c>
      <c r="F168" s="57">
        <v>18</v>
      </c>
      <c r="G168" s="57">
        <v>41117</v>
      </c>
      <c r="H168" s="57">
        <v>15</v>
      </c>
      <c r="I168" s="57">
        <v>41230</v>
      </c>
      <c r="J168" s="57">
        <v>-60.314957516317442</v>
      </c>
      <c r="K168" s="57">
        <v>-17.033103791587152</v>
      </c>
      <c r="L168" s="57">
        <v>-307.95</v>
      </c>
      <c r="M168" s="57">
        <v>7.95</v>
      </c>
      <c r="N168" s="57" t="s">
        <v>145</v>
      </c>
      <c r="O168" s="57">
        <v>1807.95</v>
      </c>
      <c r="P168" s="57"/>
      <c r="Q168" s="57"/>
      <c r="R168" s="57"/>
      <c r="S168" s="57"/>
      <c r="T168" s="57"/>
      <c r="U168" s="57"/>
      <c r="V168" s="57"/>
      <c r="W168" s="451"/>
      <c r="X168" s="145"/>
      <c r="Y168" s="223"/>
      <c r="Z168" s="22"/>
      <c r="AA168"/>
      <c r="AC168"/>
      <c r="AE168" s="9"/>
      <c r="AG168" s="27"/>
      <c r="AH168" s="84"/>
      <c r="AP168"/>
      <c r="AR168"/>
      <c r="AV168"/>
      <c r="AW168"/>
      <c r="AX168"/>
      <c r="AY168"/>
      <c r="AZ168"/>
      <c r="BC168"/>
      <c r="BD168"/>
      <c r="BG168"/>
      <c r="BH168"/>
      <c r="BI168"/>
      <c r="BJ168"/>
      <c r="BS168"/>
      <c r="BU168"/>
      <c r="BV168"/>
      <c r="BX168"/>
    </row>
    <row r="169" spans="1:76" ht="15.75">
      <c r="A169" s="263" t="s">
        <v>423</v>
      </c>
      <c r="B169" t="s">
        <v>423</v>
      </c>
      <c r="C169" s="57"/>
      <c r="D169" s="57">
        <v>408</v>
      </c>
      <c r="E169" s="57">
        <v>100</v>
      </c>
      <c r="F169" s="57">
        <v>14.984999999999999</v>
      </c>
      <c r="G169" s="57">
        <v>41159</v>
      </c>
      <c r="H169" s="57">
        <v>15</v>
      </c>
      <c r="I169" s="57">
        <v>41230</v>
      </c>
      <c r="J169" s="57">
        <v>-2.2058242496648046</v>
      </c>
      <c r="K169" s="57">
        <v>-0.4281589166583617</v>
      </c>
      <c r="L169" s="57">
        <v>-6.45</v>
      </c>
      <c r="M169" s="57">
        <v>7.95</v>
      </c>
      <c r="N169" s="57" t="s">
        <v>145</v>
      </c>
      <c r="O169" s="57">
        <v>1506.45</v>
      </c>
      <c r="P169" s="57"/>
      <c r="Q169" s="57"/>
      <c r="R169" s="57"/>
      <c r="S169" s="57"/>
      <c r="T169" s="57"/>
      <c r="U169" s="57"/>
      <c r="V169" s="57"/>
      <c r="W169" s="451"/>
      <c r="X169" s="145"/>
      <c r="Y169" s="223"/>
      <c r="Z169" s="22"/>
      <c r="AA169"/>
      <c r="AC169"/>
      <c r="AE169" s="9"/>
      <c r="AG169" s="27"/>
      <c r="AH169" s="84"/>
      <c r="AP169"/>
      <c r="AR169"/>
      <c r="AV169"/>
      <c r="AW169"/>
      <c r="AX169"/>
      <c r="AY169"/>
      <c r="AZ169"/>
      <c r="BC169"/>
      <c r="BD169"/>
      <c r="BG169"/>
      <c r="BH169"/>
      <c r="BI169"/>
      <c r="BJ169"/>
      <c r="BS169"/>
      <c r="BU169"/>
      <c r="BV169"/>
      <c r="BX169"/>
    </row>
    <row r="170" spans="1:76" ht="15.75">
      <c r="A170" s="263" t="s">
        <v>423</v>
      </c>
      <c r="B170" t="s">
        <v>845</v>
      </c>
      <c r="C170" s="57"/>
      <c r="D170" s="57">
        <v>409</v>
      </c>
      <c r="E170" s="57">
        <v>200</v>
      </c>
      <c r="F170" s="57">
        <v>0</v>
      </c>
      <c r="G170" s="57">
        <v>41221</v>
      </c>
      <c r="H170" s="57">
        <v>2</v>
      </c>
      <c r="I170" s="57">
        <v>41230</v>
      </c>
      <c r="J170" s="57">
        <v>10580.014250097678</v>
      </c>
      <c r="K170" s="57">
        <v>1258.2342954159592</v>
      </c>
      <c r="L170" s="57">
        <v>370.55</v>
      </c>
      <c r="M170" s="57">
        <v>29.45</v>
      </c>
      <c r="N170" s="57" t="s">
        <v>404</v>
      </c>
      <c r="O170" s="57">
        <v>29.45</v>
      </c>
      <c r="P170" s="57"/>
      <c r="Q170" s="57"/>
      <c r="R170" s="57"/>
      <c r="S170" s="57"/>
      <c r="T170" s="57"/>
      <c r="U170" s="57"/>
      <c r="V170" s="57"/>
      <c r="W170" s="451"/>
      <c r="X170" s="145"/>
      <c r="Y170" s="223"/>
      <c r="Z170" s="22"/>
      <c r="AA170"/>
      <c r="AC170"/>
      <c r="AE170" s="9"/>
      <c r="AG170" s="27"/>
      <c r="AH170" s="84"/>
      <c r="AP170"/>
      <c r="AR170"/>
      <c r="AV170"/>
      <c r="AW170"/>
      <c r="AX170"/>
      <c r="AY170"/>
      <c r="AZ170"/>
      <c r="BC170"/>
      <c r="BD170"/>
      <c r="BG170"/>
      <c r="BH170"/>
      <c r="BI170"/>
      <c r="BJ170"/>
      <c r="BS170"/>
      <c r="BU170"/>
      <c r="BV170"/>
      <c r="BX170"/>
    </row>
    <row r="171" spans="1:76" ht="15.75">
      <c r="A171" s="263" t="s">
        <v>423</v>
      </c>
      <c r="B171" t="s">
        <v>423</v>
      </c>
      <c r="C171" s="57"/>
      <c r="D171" s="57">
        <v>507</v>
      </c>
      <c r="E171" s="57">
        <v>200</v>
      </c>
      <c r="F171" s="57">
        <v>31.44</v>
      </c>
      <c r="G171" s="57">
        <v>41537</v>
      </c>
      <c r="H171" s="57">
        <v>21</v>
      </c>
      <c r="I171" s="57">
        <v>41897</v>
      </c>
      <c r="J171" s="57">
        <v>-41.044457263633326</v>
      </c>
      <c r="K171" s="57">
        <v>-33.290448621733027</v>
      </c>
      <c r="L171" s="57">
        <v>-2095.9499999999998</v>
      </c>
      <c r="M171" s="57">
        <v>7.95</v>
      </c>
      <c r="N171" s="57" t="s">
        <v>145</v>
      </c>
      <c r="O171" s="57">
        <v>6295.95</v>
      </c>
      <c r="P171" s="57"/>
      <c r="Q171" s="57"/>
      <c r="R171" s="57"/>
      <c r="S171" s="57"/>
      <c r="T171" s="57"/>
      <c r="U171" s="57"/>
      <c r="V171" s="57"/>
      <c r="W171" s="451"/>
      <c r="X171" s="145"/>
      <c r="Y171" s="223"/>
      <c r="Z171" s="22"/>
      <c r="AA171"/>
      <c r="AC171"/>
      <c r="AE171" s="9"/>
      <c r="AG171" s="27"/>
      <c r="AH171" s="84"/>
      <c r="AP171"/>
      <c r="AR171"/>
      <c r="AV171"/>
      <c r="AW171"/>
      <c r="AX171"/>
      <c r="AY171"/>
      <c r="AZ171"/>
      <c r="BC171"/>
      <c r="BD171"/>
      <c r="BG171"/>
      <c r="BH171"/>
      <c r="BI171"/>
      <c r="BJ171"/>
      <c r="BS171"/>
      <c r="BU171"/>
      <c r="BV171"/>
      <c r="BX171"/>
    </row>
    <row r="172" spans="1:76" ht="15.75">
      <c r="A172" s="263" t="s">
        <v>48</v>
      </c>
      <c r="C172" s="57"/>
      <c r="D172" s="57">
        <v>107</v>
      </c>
      <c r="E172" s="57">
        <v>100</v>
      </c>
      <c r="F172" s="57">
        <v>33</v>
      </c>
      <c r="G172" s="57">
        <v>40694</v>
      </c>
      <c r="H172" s="57">
        <v>30</v>
      </c>
      <c r="I172" s="57">
        <v>40802</v>
      </c>
      <c r="J172" s="57">
        <v>-33.024515120106763</v>
      </c>
      <c r="K172" s="57">
        <v>-9.3093910125606563</v>
      </c>
      <c r="L172" s="57">
        <v>-307.95</v>
      </c>
      <c r="M172" s="57">
        <v>7.95</v>
      </c>
      <c r="N172" s="57" t="s">
        <v>145</v>
      </c>
      <c r="O172" s="57">
        <v>3307.95</v>
      </c>
      <c r="P172" s="57"/>
      <c r="Q172" s="57"/>
      <c r="R172" s="57"/>
      <c r="S172" s="57"/>
      <c r="T172" s="57"/>
      <c r="U172" s="57"/>
      <c r="V172" s="57"/>
      <c r="W172" s="451"/>
      <c r="X172" s="145"/>
      <c r="Y172" s="223"/>
      <c r="Z172" s="22"/>
      <c r="AA172"/>
      <c r="AC172"/>
      <c r="AE172" s="9"/>
      <c r="AG172" s="27"/>
      <c r="AH172" s="84"/>
      <c r="AP172"/>
      <c r="AR172"/>
      <c r="AV172"/>
      <c r="AW172"/>
      <c r="AX172"/>
      <c r="AY172"/>
      <c r="AZ172"/>
      <c r="BC172"/>
      <c r="BD172"/>
      <c r="BG172"/>
      <c r="BH172"/>
      <c r="BI172"/>
      <c r="BJ172"/>
      <c r="BS172"/>
      <c r="BU172"/>
      <c r="BV172"/>
      <c r="BX172"/>
    </row>
    <row r="173" spans="1:76" ht="15.75">
      <c r="A173" s="263" t="s">
        <v>48</v>
      </c>
      <c r="B173" t="s">
        <v>369</v>
      </c>
      <c r="C173" s="57"/>
      <c r="D173" s="57">
        <v>108</v>
      </c>
      <c r="E173" s="57">
        <v>100</v>
      </c>
      <c r="F173" s="57">
        <v>0</v>
      </c>
      <c r="G173" s="57">
        <v>40696</v>
      </c>
      <c r="H173" s="57">
        <v>4.9000000000000004</v>
      </c>
      <c r="I173" s="57">
        <v>40802</v>
      </c>
      <c r="J173" s="57">
        <v>977.06652636204763</v>
      </c>
      <c r="K173" s="57">
        <v>1607.3170731707321</v>
      </c>
      <c r="L173" s="57">
        <v>461.3</v>
      </c>
      <c r="M173" s="57">
        <v>28.7</v>
      </c>
      <c r="N173" s="57" t="s">
        <v>404</v>
      </c>
      <c r="O173" s="57">
        <v>28.7</v>
      </c>
      <c r="P173" s="57"/>
      <c r="Q173" s="57"/>
      <c r="R173" s="57"/>
      <c r="S173" s="57"/>
      <c r="T173" s="57"/>
      <c r="U173" s="57"/>
      <c r="V173" s="57"/>
      <c r="W173" s="451"/>
      <c r="X173" s="145"/>
      <c r="Y173" s="223"/>
      <c r="Z173" s="22"/>
      <c r="AA173"/>
      <c r="AC173"/>
      <c r="AE173" s="9"/>
      <c r="AG173" s="27"/>
      <c r="AH173" s="84"/>
      <c r="AP173"/>
      <c r="AR173"/>
      <c r="AV173"/>
      <c r="AW173"/>
      <c r="AX173"/>
      <c r="AY173"/>
      <c r="AZ173"/>
      <c r="BC173"/>
      <c r="BD173"/>
      <c r="BG173"/>
      <c r="BH173"/>
      <c r="BI173"/>
      <c r="BJ173"/>
      <c r="BS173"/>
      <c r="BU173"/>
      <c r="BV173"/>
      <c r="BX173"/>
    </row>
    <row r="174" spans="1:76" ht="15.75">
      <c r="A174" s="263" t="s">
        <v>378</v>
      </c>
      <c r="B174" t="s">
        <v>378</v>
      </c>
      <c r="C174" s="57"/>
      <c r="D174" s="57">
        <v>120</v>
      </c>
      <c r="E174" s="57">
        <v>200</v>
      </c>
      <c r="F174" s="57">
        <v>19.57</v>
      </c>
      <c r="G174" s="57">
        <v>40812</v>
      </c>
      <c r="H174" s="57">
        <v>18</v>
      </c>
      <c r="I174" s="57">
        <v>40838</v>
      </c>
      <c r="J174" s="57">
        <v>-120.24662990810675</v>
      </c>
      <c r="K174" s="57">
        <v>-8.2089266818801967</v>
      </c>
      <c r="L174" s="57">
        <v>-321.95</v>
      </c>
      <c r="M174" s="57">
        <v>7.95</v>
      </c>
      <c r="N174" s="57" t="s">
        <v>145</v>
      </c>
      <c r="O174" s="57">
        <v>3921.95</v>
      </c>
      <c r="P174" s="57"/>
      <c r="Q174" s="57"/>
      <c r="R174" s="57"/>
      <c r="S174" s="57"/>
      <c r="T174" s="57"/>
      <c r="U174" s="57"/>
      <c r="V174" s="57"/>
      <c r="W174" s="451"/>
      <c r="X174" s="145"/>
      <c r="Y174" s="223"/>
      <c r="Z174" s="22"/>
      <c r="AA174"/>
      <c r="AC174"/>
      <c r="AE174" s="9"/>
      <c r="AG174" s="84"/>
      <c r="AH174" s="84"/>
      <c r="AP174"/>
      <c r="AR174"/>
      <c r="AV174"/>
      <c r="AW174"/>
      <c r="AX174"/>
      <c r="AY174"/>
      <c r="AZ174"/>
      <c r="BC174"/>
      <c r="BD174"/>
      <c r="BG174"/>
      <c r="BH174"/>
      <c r="BI174"/>
      <c r="BJ174"/>
      <c r="BS174"/>
      <c r="BU174"/>
      <c r="BV174"/>
      <c r="BX174"/>
    </row>
    <row r="175" spans="1:76" ht="15.75">
      <c r="A175" s="263" t="s">
        <v>378</v>
      </c>
      <c r="B175" t="s">
        <v>390</v>
      </c>
      <c r="C175" s="57"/>
      <c r="D175" s="57">
        <v>129</v>
      </c>
      <c r="E175" s="57">
        <v>200</v>
      </c>
      <c r="F175" s="57">
        <v>0</v>
      </c>
      <c r="G175" s="57">
        <v>40814</v>
      </c>
      <c r="H175" s="57">
        <v>1.6</v>
      </c>
      <c r="I175" s="57">
        <v>40838</v>
      </c>
      <c r="J175" s="57">
        <v>3628.1411928296025</v>
      </c>
      <c r="K175" s="57">
        <v>986.58743633276765</v>
      </c>
      <c r="L175" s="57">
        <v>290.55</v>
      </c>
      <c r="M175" s="57">
        <v>29.45</v>
      </c>
      <c r="N175" s="57" t="s">
        <v>404</v>
      </c>
      <c r="O175" s="57">
        <v>29.45</v>
      </c>
      <c r="P175" s="57"/>
      <c r="Q175" s="57"/>
      <c r="R175" s="57"/>
      <c r="S175" s="57"/>
      <c r="T175" s="57"/>
      <c r="U175" s="57"/>
      <c r="V175" s="57"/>
      <c r="W175" s="451"/>
      <c r="X175" s="145"/>
      <c r="Y175" s="223"/>
      <c r="Z175" s="22"/>
      <c r="AA175"/>
      <c r="AC175"/>
      <c r="AE175" s="9"/>
      <c r="AG175" s="84"/>
      <c r="AH175" s="84"/>
      <c r="AP175"/>
      <c r="AR175"/>
      <c r="AV175"/>
      <c r="AW175"/>
      <c r="AX175"/>
      <c r="AY175"/>
      <c r="AZ175"/>
      <c r="BC175"/>
      <c r="BD175"/>
      <c r="BG175"/>
      <c r="BH175"/>
      <c r="BI175"/>
      <c r="BJ175"/>
      <c r="BS175"/>
      <c r="BU175"/>
      <c r="BV175"/>
      <c r="BX175"/>
    </row>
    <row r="176" spans="1:76" ht="15.75">
      <c r="A176" s="263" t="s">
        <v>62</v>
      </c>
      <c r="C176" s="57"/>
      <c r="D176" s="57">
        <v>25</v>
      </c>
      <c r="E176" s="57">
        <v>20</v>
      </c>
      <c r="F176" s="57">
        <v>490.5</v>
      </c>
      <c r="G176" s="57">
        <v>40086</v>
      </c>
      <c r="H176" s="57">
        <v>615</v>
      </c>
      <c r="I176" s="57">
        <v>40471</v>
      </c>
      <c r="J176" s="57">
        <v>21.367850804277637</v>
      </c>
      <c r="K176" s="57">
        <v>25.280735795150719</v>
      </c>
      <c r="L176" s="57">
        <v>2482.0500000000002</v>
      </c>
      <c r="M176" s="57">
        <v>7.95</v>
      </c>
      <c r="N176" s="57" t="s">
        <v>145</v>
      </c>
      <c r="O176" s="57">
        <v>9817.9500000000007</v>
      </c>
      <c r="P176" s="57"/>
      <c r="Q176" s="57"/>
      <c r="R176" s="57"/>
      <c r="S176" s="57"/>
      <c r="T176" s="57"/>
      <c r="U176" s="57"/>
      <c r="V176" s="57"/>
      <c r="W176" s="451"/>
      <c r="X176" s="145"/>
      <c r="Y176" s="223"/>
      <c r="Z176" s="22"/>
      <c r="AA176"/>
      <c r="AC176"/>
      <c r="AE176" s="9"/>
      <c r="AG176" s="84"/>
      <c r="AH176" s="84"/>
      <c r="AP176"/>
      <c r="AR176"/>
      <c r="AV176"/>
      <c r="AW176"/>
      <c r="AX176"/>
      <c r="AY176"/>
      <c r="AZ176"/>
      <c r="BC176"/>
      <c r="BD176"/>
      <c r="BG176"/>
      <c r="BH176"/>
      <c r="BI176"/>
      <c r="BJ176"/>
      <c r="BS176"/>
      <c r="BU176"/>
      <c r="BV176"/>
      <c r="BX176"/>
    </row>
    <row r="177" spans="1:76" ht="15.75">
      <c r="A177" s="263" t="s">
        <v>62</v>
      </c>
      <c r="C177" s="57"/>
      <c r="D177" s="57">
        <v>33</v>
      </c>
      <c r="E177" s="57">
        <v>7</v>
      </c>
      <c r="F177" s="57">
        <v>450</v>
      </c>
      <c r="G177" s="57">
        <v>40417</v>
      </c>
      <c r="H177" s="57">
        <v>605.62</v>
      </c>
      <c r="I177" s="57">
        <v>40546</v>
      </c>
      <c r="J177" s="57">
        <v>83.323137639060093</v>
      </c>
      <c r="K177" s="57">
        <v>34.243417406862044</v>
      </c>
      <c r="L177" s="57">
        <v>1081.3900000000001</v>
      </c>
      <c r="M177" s="57">
        <v>7.95</v>
      </c>
      <c r="N177" s="57" t="s">
        <v>145</v>
      </c>
      <c r="O177" s="57">
        <v>3157.95</v>
      </c>
      <c r="P177" s="57"/>
      <c r="Q177" s="57"/>
      <c r="R177" s="57"/>
      <c r="S177" s="57"/>
      <c r="T177" s="57"/>
      <c r="U177" s="57"/>
      <c r="V177" s="57"/>
      <c r="W177" s="451"/>
      <c r="X177" s="145"/>
      <c r="Y177" s="223"/>
      <c r="Z177" s="22"/>
      <c r="AA177"/>
      <c r="AC177"/>
      <c r="AD177" s="9"/>
      <c r="AF177" s="27"/>
      <c r="AG177" s="84"/>
      <c r="AH177" s="84"/>
      <c r="AP177"/>
      <c r="AR177"/>
      <c r="AV177"/>
      <c r="AW177"/>
      <c r="AX177"/>
      <c r="AY177"/>
      <c r="AZ177"/>
      <c r="BC177"/>
      <c r="BD177"/>
      <c r="BG177"/>
      <c r="BH177"/>
      <c r="BI177"/>
      <c r="BJ177"/>
      <c r="BS177"/>
      <c r="BU177"/>
      <c r="BV177"/>
      <c r="BX177"/>
    </row>
    <row r="178" spans="1:76" ht="15.75">
      <c r="A178" s="263" t="s">
        <v>62</v>
      </c>
      <c r="C178" s="57"/>
      <c r="D178" s="57">
        <v>36</v>
      </c>
      <c r="E178" s="57">
        <v>23</v>
      </c>
      <c r="F178" s="57">
        <v>450</v>
      </c>
      <c r="G178" s="57">
        <v>40417</v>
      </c>
      <c r="H178" s="57">
        <v>640</v>
      </c>
      <c r="I178" s="57">
        <v>40564</v>
      </c>
      <c r="J178" s="57">
        <v>87.265484327584957</v>
      </c>
      <c r="K178" s="57">
        <v>42.113062913028159</v>
      </c>
      <c r="L178" s="57">
        <v>4362.05</v>
      </c>
      <c r="M178" s="57">
        <v>7.95</v>
      </c>
      <c r="N178" s="57" t="s">
        <v>145</v>
      </c>
      <c r="O178" s="57">
        <v>10357.950000000001</v>
      </c>
      <c r="P178" s="57"/>
      <c r="Q178" s="57"/>
      <c r="R178" s="57"/>
      <c r="S178" s="57"/>
      <c r="T178" s="57"/>
      <c r="U178" s="57"/>
      <c r="V178" s="57"/>
      <c r="W178" s="451"/>
      <c r="X178" s="145"/>
      <c r="Y178" s="223"/>
      <c r="Z178" s="22"/>
      <c r="AA178"/>
      <c r="AC178"/>
      <c r="AD178" s="9"/>
      <c r="AF178" s="27"/>
      <c r="AG178" s="84"/>
      <c r="AH178" s="84"/>
      <c r="AP178"/>
      <c r="AR178"/>
      <c r="AV178"/>
      <c r="AW178"/>
      <c r="AX178"/>
      <c r="AY178"/>
      <c r="AZ178"/>
      <c r="BC178"/>
      <c r="BD178"/>
      <c r="BG178"/>
      <c r="BH178"/>
      <c r="BI178"/>
      <c r="BJ178"/>
      <c r="BS178"/>
      <c r="BU178"/>
      <c r="BV178"/>
      <c r="BX178"/>
    </row>
    <row r="179" spans="1:76" ht="15.75">
      <c r="A179" s="263" t="s">
        <v>62</v>
      </c>
      <c r="B179" t="s">
        <v>294</v>
      </c>
      <c r="C179" s="57"/>
      <c r="D179" s="57">
        <v>77</v>
      </c>
      <c r="E179" s="57">
        <v>200</v>
      </c>
      <c r="F179" s="57">
        <v>41</v>
      </c>
      <c r="G179" s="57">
        <v>40648</v>
      </c>
      <c r="H179" s="57">
        <v>68.3</v>
      </c>
      <c r="I179" s="57">
        <v>40739</v>
      </c>
      <c r="J179" s="57">
        <v>203.77247033287097</v>
      </c>
      <c r="K179" s="57">
        <v>66.202289844139742</v>
      </c>
      <c r="L179" s="57">
        <v>5441.1</v>
      </c>
      <c r="M179" s="57">
        <v>18.899999999999999</v>
      </c>
      <c r="N179" s="57" t="s">
        <v>278</v>
      </c>
      <c r="O179" s="57">
        <v>8218.9</v>
      </c>
      <c r="P179" s="57"/>
      <c r="Q179" s="57"/>
      <c r="R179" s="57"/>
      <c r="S179" s="57"/>
      <c r="T179" s="57"/>
      <c r="U179" s="57"/>
      <c r="V179" s="57"/>
      <c r="W179" s="451"/>
      <c r="X179" s="145"/>
      <c r="Y179" s="223"/>
      <c r="Z179" s="22"/>
      <c r="AA179"/>
      <c r="AC179"/>
      <c r="AD179" s="9"/>
      <c r="AF179" s="27"/>
      <c r="AG179" s="84"/>
      <c r="AH179" s="84"/>
      <c r="AP179"/>
      <c r="AR179"/>
      <c r="AV179"/>
      <c r="AW179"/>
      <c r="AX179"/>
      <c r="AY179"/>
      <c r="AZ179"/>
      <c r="BC179"/>
      <c r="BD179"/>
      <c r="BG179"/>
      <c r="BH179"/>
      <c r="BI179"/>
      <c r="BJ179"/>
      <c r="BS179"/>
      <c r="BU179"/>
      <c r="BV179"/>
      <c r="BX179"/>
    </row>
    <row r="180" spans="1:76" ht="15.75">
      <c r="A180" s="263" t="s">
        <v>62</v>
      </c>
      <c r="B180" t="s">
        <v>331</v>
      </c>
      <c r="C180" s="57"/>
      <c r="D180" s="57">
        <v>99</v>
      </c>
      <c r="E180" s="57">
        <v>100</v>
      </c>
      <c r="F180" s="57">
        <v>55.4</v>
      </c>
      <c r="G180" s="57">
        <v>40773</v>
      </c>
      <c r="H180" s="57">
        <v>75.900000000000006</v>
      </c>
      <c r="I180" s="57">
        <v>40785</v>
      </c>
      <c r="J180" s="57">
        <v>948.09120601356005</v>
      </c>
      <c r="K180" s="57">
        <v>36.574657213805033</v>
      </c>
      <c r="L180" s="57">
        <v>2032.6</v>
      </c>
      <c r="M180" s="57">
        <v>17.399999999999999</v>
      </c>
      <c r="N180" s="57" t="s">
        <v>278</v>
      </c>
      <c r="O180" s="57">
        <v>5557.4</v>
      </c>
      <c r="P180" s="57"/>
      <c r="Q180" s="57"/>
      <c r="R180" s="57"/>
      <c r="S180" s="57"/>
      <c r="T180" s="57"/>
      <c r="U180" s="57"/>
      <c r="V180" s="57"/>
      <c r="W180" s="451"/>
      <c r="X180" s="145"/>
      <c r="Y180" s="223"/>
      <c r="Z180" s="22"/>
      <c r="AA180"/>
      <c r="AC180"/>
      <c r="AD180" s="9"/>
      <c r="AF180" s="27"/>
      <c r="AG180" s="84"/>
      <c r="AH180" s="84"/>
      <c r="AP180"/>
      <c r="AR180"/>
      <c r="AV180"/>
      <c r="AW180"/>
      <c r="AX180"/>
      <c r="AY180"/>
      <c r="AZ180"/>
      <c r="BC180"/>
      <c r="BD180"/>
      <c r="BG180"/>
      <c r="BH180"/>
      <c r="BI180"/>
      <c r="BJ180"/>
      <c r="BS180"/>
      <c r="BU180"/>
      <c r="BV180"/>
      <c r="BX180"/>
    </row>
    <row r="181" spans="1:76" ht="15.75">
      <c r="A181" s="263" t="s">
        <v>62</v>
      </c>
      <c r="B181" t="s">
        <v>374</v>
      </c>
      <c r="C181" s="57"/>
      <c r="D181" s="57">
        <v>140</v>
      </c>
      <c r="E181" s="57">
        <v>100</v>
      </c>
      <c r="F181" s="57">
        <v>12.1</v>
      </c>
      <c r="G181" s="57">
        <v>40769</v>
      </c>
      <c r="H181" s="57">
        <v>5.7</v>
      </c>
      <c r="I181" s="57">
        <v>40843</v>
      </c>
      <c r="J181" s="57">
        <v>-378.325967069103</v>
      </c>
      <c r="K181" s="57">
        <v>-53.560371517027853</v>
      </c>
      <c r="L181" s="57">
        <v>-657.4</v>
      </c>
      <c r="M181" s="57">
        <v>17.399999999999999</v>
      </c>
      <c r="N181" s="57" t="s">
        <v>278</v>
      </c>
      <c r="O181" s="57">
        <v>1227.4000000000001</v>
      </c>
      <c r="P181" s="57"/>
      <c r="Q181" s="57"/>
      <c r="R181" s="57"/>
      <c r="S181" s="57"/>
      <c r="T181" s="57"/>
      <c r="U181" s="57"/>
      <c r="V181" s="57"/>
      <c r="W181" s="451"/>
      <c r="X181" s="145"/>
      <c r="Y181" s="223"/>
      <c r="Z181" s="22"/>
      <c r="AA181"/>
      <c r="AC181"/>
      <c r="AD181" s="9"/>
      <c r="AF181" s="27"/>
      <c r="AG181" s="84"/>
      <c r="AH181" s="84"/>
      <c r="AP181"/>
      <c r="AR181"/>
      <c r="AV181"/>
      <c r="AW181"/>
      <c r="AX181"/>
      <c r="AY181"/>
      <c r="AZ181"/>
      <c r="BC181"/>
      <c r="BD181"/>
      <c r="BG181"/>
      <c r="BH181"/>
      <c r="BI181"/>
      <c r="BJ181"/>
      <c r="BS181"/>
      <c r="BU181"/>
      <c r="BV181"/>
      <c r="BX181"/>
    </row>
    <row r="182" spans="1:76" ht="15.75">
      <c r="A182" s="263" t="s">
        <v>62</v>
      </c>
      <c r="B182" t="s">
        <v>374</v>
      </c>
      <c r="C182" s="57"/>
      <c r="D182" s="57">
        <v>144</v>
      </c>
      <c r="E182" s="57">
        <v>200</v>
      </c>
      <c r="F182" s="57">
        <v>12.1</v>
      </c>
      <c r="G182" s="57">
        <v>40769</v>
      </c>
      <c r="H182" s="57">
        <v>5.4</v>
      </c>
      <c r="I182" s="57">
        <v>40854</v>
      </c>
      <c r="J182" s="57">
        <v>-349.79284476375938</v>
      </c>
      <c r="K182" s="57">
        <v>-55.717741604821839</v>
      </c>
      <c r="L182" s="57">
        <v>-1358.9</v>
      </c>
      <c r="M182" s="57">
        <v>18.899999999999999</v>
      </c>
      <c r="N182" s="57" t="s">
        <v>278</v>
      </c>
      <c r="O182" s="57">
        <v>2438.9</v>
      </c>
      <c r="P182" s="57"/>
      <c r="Q182" s="57"/>
      <c r="R182" s="57"/>
      <c r="S182" s="57"/>
      <c r="T182" s="57"/>
      <c r="U182" s="57"/>
      <c r="V182" s="57"/>
      <c r="W182" s="451"/>
      <c r="X182" s="145"/>
      <c r="Y182" s="223"/>
      <c r="Z182" s="22"/>
      <c r="AA182"/>
      <c r="AC182"/>
      <c r="AD182" s="9"/>
      <c r="AF182" s="27"/>
      <c r="AG182" s="84"/>
      <c r="AH182" s="84"/>
      <c r="AP182"/>
      <c r="AR182"/>
      <c r="AV182"/>
      <c r="AW182"/>
      <c r="AX182"/>
      <c r="AY182"/>
      <c r="AZ182"/>
      <c r="BC182"/>
      <c r="BD182"/>
      <c r="BG182"/>
      <c r="BH182"/>
      <c r="BI182"/>
      <c r="BJ182"/>
      <c r="BS182"/>
      <c r="BU182"/>
      <c r="BV182"/>
      <c r="BX182"/>
    </row>
    <row r="183" spans="1:76" ht="15.75">
      <c r="A183" s="263" t="s">
        <v>62</v>
      </c>
      <c r="B183" t="s">
        <v>374</v>
      </c>
      <c r="C183" s="57"/>
      <c r="D183" s="57">
        <v>166</v>
      </c>
      <c r="E183" s="57">
        <v>200</v>
      </c>
      <c r="F183" s="57">
        <v>12.1</v>
      </c>
      <c r="G183" s="57">
        <v>40769</v>
      </c>
      <c r="H183" s="57">
        <v>0.5</v>
      </c>
      <c r="I183" s="57">
        <v>40875</v>
      </c>
      <c r="J183" s="57">
        <v>-1099.8662801950086</v>
      </c>
      <c r="K183" s="57">
        <v>-95.899790889335364</v>
      </c>
      <c r="L183" s="57">
        <v>-2338.9</v>
      </c>
      <c r="M183" s="57">
        <v>18.899999999999999</v>
      </c>
      <c r="N183" s="57" t="s">
        <v>278</v>
      </c>
      <c r="O183" s="57">
        <v>2438.9</v>
      </c>
      <c r="P183" s="57"/>
      <c r="Q183" s="57"/>
      <c r="R183" s="57"/>
      <c r="S183" s="57"/>
      <c r="T183" s="57"/>
      <c r="U183" s="57"/>
      <c r="V183" s="57"/>
      <c r="W183" s="451"/>
      <c r="X183" s="145"/>
      <c r="Y183" s="223"/>
      <c r="Z183" s="22"/>
      <c r="AA183"/>
      <c r="AC183"/>
      <c r="AD183" s="9"/>
      <c r="AF183" s="27"/>
      <c r="AG183" s="84"/>
      <c r="AH183" s="84"/>
      <c r="AP183"/>
      <c r="AR183"/>
      <c r="AV183"/>
      <c r="AW183"/>
      <c r="AX183"/>
      <c r="AY183"/>
      <c r="AZ183"/>
      <c r="BC183"/>
      <c r="BD183"/>
      <c r="BG183"/>
      <c r="BH183"/>
      <c r="BI183"/>
      <c r="BJ183"/>
      <c r="BS183"/>
      <c r="BU183"/>
      <c r="BV183"/>
      <c r="BX183"/>
    </row>
    <row r="184" spans="1:76" ht="15.75">
      <c r="A184" s="263" t="s">
        <v>62</v>
      </c>
      <c r="B184" t="s">
        <v>444</v>
      </c>
      <c r="C184" s="57"/>
      <c r="D184" s="57">
        <v>170</v>
      </c>
      <c r="E184" s="57">
        <v>100</v>
      </c>
      <c r="F184" s="57">
        <v>40</v>
      </c>
      <c r="G184" s="57">
        <v>40869</v>
      </c>
      <c r="H184" s="57">
        <v>49</v>
      </c>
      <c r="I184" s="57">
        <v>40878</v>
      </c>
      <c r="J184" s="57">
        <v>805.43446036520663</v>
      </c>
      <c r="K184" s="57">
        <v>21.96943296659531</v>
      </c>
      <c r="L184" s="57">
        <v>882.6</v>
      </c>
      <c r="M184" s="57">
        <v>17.399999999999999</v>
      </c>
      <c r="N184" s="57" t="s">
        <v>278</v>
      </c>
      <c r="O184" s="57">
        <v>4017.4</v>
      </c>
      <c r="P184" s="57"/>
      <c r="Q184" s="57"/>
      <c r="R184" s="57"/>
      <c r="S184" s="57"/>
      <c r="T184" s="57"/>
      <c r="U184" s="57"/>
      <c r="V184" s="57"/>
      <c r="W184" s="451"/>
      <c r="X184" s="145"/>
      <c r="Y184" s="223"/>
      <c r="Z184" s="22"/>
      <c r="AA184"/>
      <c r="AC184"/>
      <c r="AD184" s="9"/>
      <c r="AF184" s="27"/>
      <c r="AG184" s="84"/>
      <c r="AH184" s="84"/>
      <c r="AP184"/>
      <c r="AR184"/>
      <c r="AV184"/>
      <c r="AW184"/>
      <c r="AX184"/>
      <c r="AY184"/>
      <c r="AZ184"/>
      <c r="BC184"/>
      <c r="BD184"/>
      <c r="BG184"/>
      <c r="BH184"/>
      <c r="BI184"/>
      <c r="BJ184"/>
      <c r="BS184"/>
      <c r="BU184"/>
      <c r="BV184"/>
      <c r="BX184"/>
    </row>
    <row r="185" spans="1:76" ht="15.75">
      <c r="A185" s="263" t="s">
        <v>62</v>
      </c>
      <c r="B185" t="s">
        <v>891</v>
      </c>
      <c r="C185" s="57"/>
      <c r="D185" s="57">
        <v>459</v>
      </c>
      <c r="E185" s="57">
        <v>100</v>
      </c>
      <c r="F185" s="57">
        <v>49</v>
      </c>
      <c r="G185" s="57">
        <v>41277</v>
      </c>
      <c r="H185" s="57">
        <v>1E-3</v>
      </c>
      <c r="I185" s="57">
        <v>41447</v>
      </c>
      <c r="J185" s="57">
        <v>-2332.8358415525299</v>
      </c>
      <c r="K185" s="57">
        <v>-99.997962800741561</v>
      </c>
      <c r="L185" s="57">
        <v>-4908.6000000000004</v>
      </c>
      <c r="M185" s="57">
        <v>8.6999999999999993</v>
      </c>
      <c r="N185" s="57" t="s">
        <v>233</v>
      </c>
      <c r="O185" s="57">
        <v>4908.7</v>
      </c>
      <c r="P185" s="57"/>
      <c r="Q185" s="57"/>
      <c r="R185" s="57"/>
      <c r="S185" s="57"/>
      <c r="T185" s="57"/>
      <c r="U185" s="57"/>
      <c r="V185" s="57"/>
      <c r="W185" s="451"/>
      <c r="X185" s="145"/>
      <c r="Y185" s="223"/>
      <c r="Z185" s="22"/>
      <c r="AA185"/>
      <c r="AC185"/>
      <c r="AD185" s="9"/>
      <c r="AF185" s="27"/>
      <c r="AG185" s="84"/>
      <c r="AH185" s="84"/>
      <c r="AP185"/>
      <c r="AR185"/>
      <c r="AV185"/>
      <c r="AW185"/>
      <c r="AX185"/>
      <c r="AY185"/>
      <c r="AZ185"/>
      <c r="BC185"/>
      <c r="BD185"/>
      <c r="BG185"/>
      <c r="BH185"/>
      <c r="BI185"/>
      <c r="BJ185"/>
      <c r="BS185"/>
      <c r="BU185"/>
      <c r="BV185"/>
      <c r="BX185"/>
    </row>
    <row r="186" spans="1:76" ht="15.75">
      <c r="A186" s="263" t="s">
        <v>62</v>
      </c>
      <c r="B186" t="s">
        <v>62</v>
      </c>
      <c r="C186" s="57"/>
      <c r="D186" s="57">
        <v>523</v>
      </c>
      <c r="E186" s="57">
        <v>10</v>
      </c>
      <c r="F186" s="57">
        <v>580</v>
      </c>
      <c r="G186" s="57">
        <v>41816</v>
      </c>
      <c r="H186" s="57">
        <v>671</v>
      </c>
      <c r="I186" s="57">
        <v>42202</v>
      </c>
      <c r="J186" s="57">
        <v>13.651688612553414</v>
      </c>
      <c r="K186" s="57">
        <v>15.531297617920272</v>
      </c>
      <c r="L186" s="57">
        <v>902.05</v>
      </c>
      <c r="M186" s="57">
        <v>7.95</v>
      </c>
      <c r="N186" s="57" t="s">
        <v>145</v>
      </c>
      <c r="O186" s="57">
        <v>5807.95</v>
      </c>
      <c r="P186" s="57"/>
      <c r="Q186" s="57"/>
      <c r="R186" s="57"/>
      <c r="S186" s="57"/>
      <c r="T186" s="57"/>
      <c r="U186" s="57"/>
      <c r="V186" s="57"/>
      <c r="W186" s="451"/>
      <c r="X186" s="145"/>
      <c r="Y186" s="223"/>
      <c r="Z186" s="22"/>
      <c r="AA186"/>
      <c r="AC186"/>
      <c r="AD186" s="9"/>
      <c r="AF186" s="27"/>
      <c r="AG186" s="84"/>
      <c r="AH186" s="84"/>
      <c r="AP186"/>
      <c r="AR186"/>
      <c r="AV186"/>
      <c r="AW186"/>
      <c r="AX186"/>
      <c r="AY186"/>
      <c r="AZ186"/>
      <c r="BC186"/>
      <c r="BD186"/>
      <c r="BG186"/>
      <c r="BH186"/>
      <c r="BI186"/>
      <c r="BJ186"/>
      <c r="BS186"/>
      <c r="BU186"/>
      <c r="BV186"/>
      <c r="BX186"/>
    </row>
    <row r="187" spans="1:76" ht="15.75">
      <c r="A187" s="263" t="s">
        <v>430</v>
      </c>
      <c r="B187" t="s">
        <v>901</v>
      </c>
      <c r="C187" s="57"/>
      <c r="D187" s="57">
        <v>465</v>
      </c>
      <c r="E187" s="57">
        <v>200</v>
      </c>
      <c r="F187" s="57">
        <v>0.3</v>
      </c>
      <c r="G187" s="57">
        <v>41549</v>
      </c>
      <c r="H187" s="57">
        <v>0.82</v>
      </c>
      <c r="I187" s="57">
        <v>41565</v>
      </c>
      <c r="J187" s="57">
        <v>1669.1568624369686</v>
      </c>
      <c r="K187" s="57">
        <v>107.85804816223067</v>
      </c>
      <c r="L187" s="57">
        <v>85.1</v>
      </c>
      <c r="M187" s="57">
        <v>18.899999999999999</v>
      </c>
      <c r="N187" s="57" t="s">
        <v>15</v>
      </c>
      <c r="O187" s="57">
        <v>78.900000000000006</v>
      </c>
      <c r="P187" s="57"/>
      <c r="Q187" s="57"/>
      <c r="R187" s="57"/>
      <c r="S187" s="57"/>
      <c r="T187" s="57"/>
      <c r="U187" s="57"/>
      <c r="V187" s="57"/>
      <c r="W187" s="451"/>
      <c r="X187" s="145"/>
      <c r="Y187" s="223"/>
      <c r="Z187" s="22"/>
      <c r="AA187"/>
      <c r="AC187"/>
      <c r="AD187" s="9"/>
      <c r="AF187" s="27"/>
      <c r="AG187" s="84"/>
      <c r="AP187"/>
      <c r="AR187"/>
      <c r="AV187"/>
      <c r="AW187"/>
      <c r="AX187"/>
      <c r="AY187"/>
      <c r="AZ187"/>
      <c r="BC187"/>
      <c r="BD187"/>
      <c r="BG187"/>
      <c r="BH187"/>
      <c r="BI187"/>
      <c r="BJ187"/>
      <c r="BS187"/>
      <c r="BU187"/>
      <c r="BV187"/>
      <c r="BX187"/>
    </row>
    <row r="188" spans="1:76" ht="15.75">
      <c r="A188" s="263" t="s">
        <v>430</v>
      </c>
      <c r="B188" t="s">
        <v>924</v>
      </c>
      <c r="C188" s="57"/>
      <c r="D188" s="57">
        <v>477</v>
      </c>
      <c r="E188" s="57">
        <v>200</v>
      </c>
      <c r="F188" s="57">
        <v>2.65</v>
      </c>
      <c r="G188" s="57">
        <v>41585</v>
      </c>
      <c r="H188" s="57">
        <v>1.25</v>
      </c>
      <c r="I188" s="57">
        <v>41629</v>
      </c>
      <c r="J188" s="57">
        <v>-652.40046717764301</v>
      </c>
      <c r="K188" s="57">
        <v>-54.454363271998538</v>
      </c>
      <c r="L188" s="57">
        <v>-298.89999999999998</v>
      </c>
      <c r="M188" s="57">
        <v>18.899999999999999</v>
      </c>
      <c r="N188" s="57" t="s">
        <v>15</v>
      </c>
      <c r="O188" s="57">
        <v>548.9</v>
      </c>
      <c r="P188" s="57"/>
      <c r="Q188" s="57"/>
      <c r="R188" s="57"/>
      <c r="S188" s="57"/>
      <c r="T188" s="57"/>
      <c r="U188" s="57"/>
      <c r="V188" s="57"/>
      <c r="W188" s="451"/>
      <c r="X188" s="145"/>
      <c r="Y188" s="223"/>
      <c r="Z188" s="22"/>
      <c r="AA188"/>
      <c r="AC188"/>
      <c r="AD188" s="9"/>
      <c r="AF188" s="27"/>
      <c r="AG188" s="84"/>
      <c r="AP188"/>
      <c r="AR188"/>
      <c r="AV188"/>
      <c r="AW188"/>
      <c r="AX188"/>
      <c r="AY188"/>
      <c r="AZ188"/>
      <c r="BC188"/>
      <c r="BD188"/>
      <c r="BG188"/>
      <c r="BH188"/>
      <c r="BI188"/>
      <c r="BJ188"/>
      <c r="BS188"/>
      <c r="BU188"/>
      <c r="BV188"/>
      <c r="BX188"/>
    </row>
    <row r="189" spans="1:76" ht="15.75">
      <c r="A189" s="263" t="s">
        <v>430</v>
      </c>
      <c r="B189" t="s">
        <v>984</v>
      </c>
      <c r="C189" s="57"/>
      <c r="D189" s="57">
        <v>487</v>
      </c>
      <c r="E189" s="57">
        <v>200</v>
      </c>
      <c r="F189" s="57">
        <v>1</v>
      </c>
      <c r="G189" s="57">
        <v>41639</v>
      </c>
      <c r="H189" s="57">
        <v>2</v>
      </c>
      <c r="I189" s="57">
        <v>41674</v>
      </c>
      <c r="J189" s="57">
        <v>628.68595154684328</v>
      </c>
      <c r="K189" s="57">
        <v>82.731841023298301</v>
      </c>
      <c r="L189" s="57">
        <v>181.1</v>
      </c>
      <c r="M189" s="57">
        <v>18.899999999999999</v>
      </c>
      <c r="N189" s="57" t="s">
        <v>15</v>
      </c>
      <c r="O189" s="57">
        <v>218.9</v>
      </c>
      <c r="P189" s="57"/>
      <c r="Q189" s="57"/>
      <c r="R189" s="57"/>
      <c r="S189" s="57"/>
      <c r="T189" s="57"/>
      <c r="U189" s="57"/>
      <c r="V189" s="57"/>
      <c r="W189" s="451"/>
      <c r="X189" s="145"/>
      <c r="Y189" s="223"/>
      <c r="Z189" s="22"/>
      <c r="AA189"/>
      <c r="AC189"/>
      <c r="AD189" s="9"/>
      <c r="AF189" s="27"/>
      <c r="AG189" s="84"/>
      <c r="AP189"/>
      <c r="AR189"/>
      <c r="AV189"/>
      <c r="AW189"/>
      <c r="AX189"/>
      <c r="AY189"/>
      <c r="AZ189"/>
      <c r="BC189"/>
      <c r="BD189"/>
      <c r="BG189"/>
      <c r="BH189"/>
      <c r="BI189"/>
      <c r="BJ189"/>
      <c r="BS189"/>
      <c r="BU189"/>
      <c r="BV189"/>
      <c r="BX189"/>
    </row>
    <row r="190" spans="1:76" ht="15.75">
      <c r="A190" s="263" t="s">
        <v>259</v>
      </c>
      <c r="C190" s="57"/>
      <c r="D190" s="57">
        <v>4</v>
      </c>
      <c r="E190" s="57">
        <v>20</v>
      </c>
      <c r="F190" s="57">
        <v>159.18</v>
      </c>
      <c r="G190" s="57">
        <v>40042</v>
      </c>
      <c r="H190" s="57">
        <v>167.02</v>
      </c>
      <c r="I190" s="57">
        <v>40064</v>
      </c>
      <c r="J190" s="57">
        <v>75.627781151371721</v>
      </c>
      <c r="K190" s="57">
        <v>4.663878052983657</v>
      </c>
      <c r="L190" s="57">
        <v>148.85</v>
      </c>
      <c r="M190" s="57">
        <v>7.95</v>
      </c>
      <c r="N190" s="57" t="s">
        <v>145</v>
      </c>
      <c r="O190" s="57">
        <v>3191.55</v>
      </c>
      <c r="P190" s="57"/>
      <c r="Q190" s="57"/>
      <c r="R190" s="57"/>
      <c r="S190" s="57"/>
      <c r="T190" s="57"/>
      <c r="U190" s="57"/>
      <c r="V190" s="57"/>
      <c r="W190" s="451"/>
      <c r="X190" s="145"/>
      <c r="Y190" s="223"/>
      <c r="Z190" s="22"/>
      <c r="AA190"/>
      <c r="AC190"/>
      <c r="AD190" s="9"/>
      <c r="AF190" s="27"/>
      <c r="AG190" s="84"/>
      <c r="AP190"/>
      <c r="AR190"/>
      <c r="AV190"/>
      <c r="AW190"/>
      <c r="AX190"/>
      <c r="AY190"/>
      <c r="AZ190"/>
      <c r="BC190"/>
      <c r="BD190"/>
      <c r="BG190"/>
      <c r="BH190"/>
      <c r="BI190"/>
      <c r="BJ190"/>
      <c r="BS190"/>
      <c r="BU190"/>
      <c r="BV190"/>
      <c r="BX190"/>
    </row>
    <row r="191" spans="1:76" ht="15.75">
      <c r="A191" s="263" t="s">
        <v>241</v>
      </c>
      <c r="B191" t="s">
        <v>49</v>
      </c>
      <c r="C191" s="57"/>
      <c r="D191" s="57">
        <v>65</v>
      </c>
      <c r="E191" s="57">
        <v>1000</v>
      </c>
      <c r="F191" s="57">
        <v>2.1999999999999999E-2</v>
      </c>
      <c r="G191" s="57">
        <v>40633</v>
      </c>
      <c r="H191" s="57">
        <v>0.3</v>
      </c>
      <c r="I191" s="57">
        <v>40684</v>
      </c>
      <c r="J191" s="57">
        <v>1241.9870285569818</v>
      </c>
      <c r="K191" s="57">
        <v>467.10775047258977</v>
      </c>
      <c r="L191" s="57">
        <v>247.1</v>
      </c>
      <c r="M191" s="57">
        <v>30.9</v>
      </c>
      <c r="N191" s="57" t="s">
        <v>15</v>
      </c>
      <c r="O191" s="57">
        <v>52.9</v>
      </c>
      <c r="P191" s="57"/>
      <c r="Q191" s="57"/>
      <c r="R191" s="57"/>
      <c r="S191" s="57"/>
      <c r="T191" s="57"/>
      <c r="U191" s="57"/>
      <c r="V191" s="57"/>
      <c r="W191" s="451"/>
      <c r="X191" s="145"/>
      <c r="Y191" s="223"/>
      <c r="Z191" s="22"/>
      <c r="AA191"/>
      <c r="AC191"/>
      <c r="AD191" s="9"/>
      <c r="AF191" s="27"/>
      <c r="AG191" s="84"/>
      <c r="AP191"/>
      <c r="AR191"/>
      <c r="AV191"/>
      <c r="AW191"/>
      <c r="AX191"/>
      <c r="AY191"/>
      <c r="AZ191"/>
      <c r="BC191"/>
      <c r="BD191"/>
      <c r="BG191"/>
      <c r="BH191"/>
      <c r="BI191"/>
      <c r="BJ191"/>
      <c r="BS191"/>
      <c r="BU191"/>
      <c r="BV191"/>
      <c r="BX191"/>
    </row>
    <row r="192" spans="1:76" ht="15.75">
      <c r="A192" s="263" t="s">
        <v>241</v>
      </c>
      <c r="C192" s="57"/>
      <c r="D192" s="57">
        <v>76</v>
      </c>
      <c r="E192" s="57">
        <v>1000</v>
      </c>
      <c r="F192" s="57">
        <v>29.4</v>
      </c>
      <c r="G192" s="57">
        <v>40630</v>
      </c>
      <c r="H192" s="57">
        <v>29.58</v>
      </c>
      <c r="I192" s="57">
        <v>40717</v>
      </c>
      <c r="J192" s="57">
        <v>2.4473507297521975</v>
      </c>
      <c r="K192" s="57">
        <v>0.58504588045069006</v>
      </c>
      <c r="L192" s="57">
        <v>172.05</v>
      </c>
      <c r="M192" s="57">
        <v>7.95</v>
      </c>
      <c r="N192" s="57" t="s">
        <v>145</v>
      </c>
      <c r="O192" s="57">
        <v>29407.95</v>
      </c>
      <c r="P192" s="57"/>
      <c r="Q192" s="57"/>
      <c r="R192" s="57"/>
      <c r="S192" s="57"/>
      <c r="T192" s="57"/>
      <c r="U192" s="57"/>
      <c r="V192" s="57"/>
      <c r="W192" s="451"/>
      <c r="X192" s="145"/>
      <c r="Y192" s="223"/>
      <c r="Z192" s="22"/>
      <c r="AA192"/>
      <c r="AC192"/>
      <c r="AD192" s="9"/>
      <c r="AF192" s="27"/>
      <c r="AG192" s="84"/>
      <c r="AP192"/>
      <c r="AR192"/>
      <c r="AV192"/>
      <c r="AW192"/>
      <c r="AX192"/>
      <c r="AY192"/>
      <c r="AZ192"/>
      <c r="BC192"/>
      <c r="BD192"/>
      <c r="BG192"/>
      <c r="BH192"/>
      <c r="BI192"/>
      <c r="BJ192"/>
      <c r="BS192"/>
      <c r="BU192"/>
      <c r="BV192"/>
      <c r="BX192"/>
    </row>
    <row r="193" spans="1:76" ht="15.75">
      <c r="A193" s="263" t="s">
        <v>84</v>
      </c>
      <c r="C193" s="57"/>
      <c r="D193" s="57">
        <v>15</v>
      </c>
      <c r="E193" s="57">
        <v>300</v>
      </c>
      <c r="F193" s="57">
        <v>16.600000000000001</v>
      </c>
      <c r="G193" s="57">
        <v>40177</v>
      </c>
      <c r="H193" s="57">
        <v>20</v>
      </c>
      <c r="I193" s="57">
        <v>40254</v>
      </c>
      <c r="J193" s="57">
        <v>88.721157781788619</v>
      </c>
      <c r="K193" s="57">
        <v>20.289898655760386</v>
      </c>
      <c r="L193" s="57">
        <v>1012.05</v>
      </c>
      <c r="M193" s="57">
        <v>7.95</v>
      </c>
      <c r="N193" s="57" t="s">
        <v>145</v>
      </c>
      <c r="O193" s="57">
        <v>4987.95</v>
      </c>
      <c r="P193" s="57"/>
      <c r="Q193" s="57"/>
      <c r="R193" s="57"/>
      <c r="S193" s="57"/>
      <c r="T193" s="57"/>
      <c r="U193" s="57"/>
      <c r="V193" s="57"/>
      <c r="W193" s="451"/>
      <c r="X193" s="145"/>
      <c r="Y193" s="223"/>
      <c r="Z193" s="22"/>
      <c r="AA193"/>
      <c r="AC193"/>
      <c r="AD193" s="9"/>
      <c r="AF193" s="27"/>
      <c r="AG193" s="84"/>
      <c r="AP193"/>
      <c r="AR193"/>
      <c r="AV193"/>
      <c r="AW193"/>
      <c r="AX193"/>
      <c r="AY193"/>
      <c r="AZ193"/>
      <c r="BC193"/>
      <c r="BD193"/>
      <c r="BG193"/>
      <c r="BH193"/>
      <c r="BI193"/>
      <c r="BJ193"/>
      <c r="BS193"/>
      <c r="BU193"/>
      <c r="BV193"/>
      <c r="BX193"/>
    </row>
    <row r="194" spans="1:76" ht="15.75">
      <c r="A194" s="263" t="s">
        <v>184</v>
      </c>
      <c r="C194" s="57"/>
      <c r="D194" s="57">
        <v>2</v>
      </c>
      <c r="E194" s="57">
        <v>15</v>
      </c>
      <c r="F194" s="57">
        <v>92.52</v>
      </c>
      <c r="G194" s="57">
        <v>40023</v>
      </c>
      <c r="H194" s="57">
        <v>99.25</v>
      </c>
      <c r="I194" s="57">
        <v>40029</v>
      </c>
      <c r="J194" s="57">
        <v>392.40503024749336</v>
      </c>
      <c r="K194" s="57">
        <v>6.6630843632455692</v>
      </c>
      <c r="L194" s="57">
        <v>93</v>
      </c>
      <c r="M194" s="57">
        <v>7.95</v>
      </c>
      <c r="N194" s="57" t="s">
        <v>145</v>
      </c>
      <c r="O194" s="57">
        <v>1395.75</v>
      </c>
      <c r="P194" s="57"/>
      <c r="Q194" s="57"/>
      <c r="R194" s="57"/>
      <c r="S194" s="57"/>
      <c r="T194" s="57"/>
      <c r="U194" s="57"/>
      <c r="V194" s="57"/>
      <c r="W194" s="451"/>
      <c r="X194" s="145"/>
      <c r="Y194" s="223"/>
      <c r="Z194" s="22"/>
      <c r="AA194"/>
      <c r="AC194"/>
      <c r="AD194" s="9"/>
      <c r="AF194" s="27"/>
      <c r="AG194" s="84"/>
      <c r="AP194"/>
      <c r="AR194"/>
      <c r="AV194"/>
      <c r="AW194"/>
      <c r="AX194"/>
      <c r="AY194"/>
      <c r="AZ194"/>
      <c r="BC194"/>
      <c r="BD194"/>
      <c r="BG194"/>
      <c r="BH194"/>
      <c r="BI194"/>
      <c r="BJ194"/>
      <c r="BS194"/>
      <c r="BU194"/>
      <c r="BV194"/>
      <c r="BX194"/>
    </row>
    <row r="195" spans="1:76" ht="15.75">
      <c r="A195" s="263" t="s">
        <v>184</v>
      </c>
      <c r="C195" s="57"/>
      <c r="D195" s="57">
        <v>3</v>
      </c>
      <c r="E195" s="57">
        <v>50</v>
      </c>
      <c r="F195" s="57">
        <v>96.9</v>
      </c>
      <c r="G195" s="57">
        <v>40058</v>
      </c>
      <c r="H195" s="57">
        <v>103</v>
      </c>
      <c r="I195" s="57">
        <v>40065</v>
      </c>
      <c r="J195" s="57">
        <v>309.78043902909985</v>
      </c>
      <c r="K195" s="57">
        <v>6.1210191739045188</v>
      </c>
      <c r="L195" s="57">
        <v>297.05</v>
      </c>
      <c r="M195" s="57">
        <v>7.95</v>
      </c>
      <c r="N195" s="57" t="s">
        <v>145</v>
      </c>
      <c r="O195" s="57">
        <v>4852.95</v>
      </c>
      <c r="P195" s="57"/>
      <c r="Q195" s="57"/>
      <c r="R195" s="57"/>
      <c r="S195" s="57"/>
      <c r="T195" s="57"/>
      <c r="U195" s="57"/>
      <c r="V195" s="57"/>
      <c r="W195" s="451"/>
      <c r="X195" s="145"/>
      <c r="Y195" s="223"/>
      <c r="Z195" s="22"/>
      <c r="AA195"/>
      <c r="AC195"/>
      <c r="AD195" s="9"/>
      <c r="AF195" s="27"/>
      <c r="AG195" s="84"/>
      <c r="AP195"/>
      <c r="AR195"/>
      <c r="AV195"/>
      <c r="AW195"/>
      <c r="AX195"/>
      <c r="AY195"/>
      <c r="AZ195"/>
      <c r="BC195"/>
      <c r="BD195"/>
      <c r="BG195"/>
      <c r="BH195"/>
      <c r="BI195"/>
      <c r="BJ195"/>
      <c r="BS195"/>
      <c r="BU195"/>
      <c r="BV195"/>
      <c r="BX195"/>
    </row>
    <row r="196" spans="1:76" ht="15.75">
      <c r="A196" s="263" t="s">
        <v>85</v>
      </c>
      <c r="C196" s="57"/>
      <c r="D196" s="57">
        <v>41</v>
      </c>
      <c r="E196" s="57">
        <v>900</v>
      </c>
      <c r="F196" s="57">
        <v>4.75</v>
      </c>
      <c r="G196" s="57">
        <v>40099</v>
      </c>
      <c r="H196" s="57">
        <v>5.15</v>
      </c>
      <c r="I196" s="57">
        <v>40226</v>
      </c>
      <c r="J196" s="57">
        <v>22.703050155300986</v>
      </c>
      <c r="K196" s="57">
        <v>8.2198017721430361</v>
      </c>
      <c r="L196" s="57">
        <v>352.05</v>
      </c>
      <c r="M196" s="57">
        <v>7.95</v>
      </c>
      <c r="N196" s="57" t="s">
        <v>145</v>
      </c>
      <c r="O196" s="57">
        <v>4282.95</v>
      </c>
      <c r="P196" s="57"/>
      <c r="Q196" s="57"/>
      <c r="R196" s="57"/>
      <c r="S196" s="57"/>
      <c r="T196" s="57"/>
      <c r="U196" s="57"/>
      <c r="V196" s="57"/>
      <c r="W196" s="451"/>
      <c r="X196" s="145"/>
      <c r="Y196" s="223"/>
      <c r="Z196" s="22"/>
      <c r="AA196"/>
      <c r="AC196"/>
      <c r="AD196" s="9"/>
      <c r="AF196" s="27"/>
      <c r="AG196" s="84"/>
      <c r="AP196"/>
      <c r="AR196"/>
      <c r="AV196"/>
      <c r="AW196"/>
      <c r="AX196"/>
      <c r="AY196"/>
      <c r="AZ196"/>
      <c r="BC196"/>
      <c r="BD196"/>
      <c r="BG196"/>
      <c r="BH196"/>
      <c r="BI196"/>
      <c r="BJ196"/>
      <c r="BS196"/>
      <c r="BU196"/>
      <c r="BV196"/>
      <c r="BX196"/>
    </row>
    <row r="197" spans="1:76" ht="15.75">
      <c r="A197" s="263" t="s">
        <v>86</v>
      </c>
      <c r="C197" s="57"/>
      <c r="D197" s="57">
        <v>30</v>
      </c>
      <c r="E197" s="57">
        <v>150</v>
      </c>
      <c r="F197" s="57">
        <v>32</v>
      </c>
      <c r="G197" s="57">
        <v>40200</v>
      </c>
      <c r="H197" s="57">
        <v>36</v>
      </c>
      <c r="I197" s="57">
        <v>40238</v>
      </c>
      <c r="J197" s="57">
        <v>111.5441495787658</v>
      </c>
      <c r="K197" s="57">
        <v>12.313979970673582</v>
      </c>
      <c r="L197" s="57">
        <v>592.04999999999995</v>
      </c>
      <c r="M197" s="57">
        <v>7.95</v>
      </c>
      <c r="N197" s="57" t="s">
        <v>145</v>
      </c>
      <c r="O197" s="57">
        <v>4807.95</v>
      </c>
      <c r="P197" s="57"/>
      <c r="Q197" s="57"/>
      <c r="R197" s="57"/>
      <c r="S197" s="57"/>
      <c r="T197" s="57"/>
      <c r="U197" s="57"/>
      <c r="V197" s="57"/>
      <c r="W197" s="451"/>
      <c r="X197" s="145"/>
      <c r="Y197" s="223"/>
      <c r="Z197" s="22"/>
      <c r="AA197"/>
      <c r="AC197"/>
      <c r="AD197" s="9"/>
      <c r="AF197" s="27"/>
      <c r="AG197" s="84"/>
      <c r="AP197"/>
      <c r="AR197"/>
      <c r="AV197"/>
      <c r="AW197"/>
      <c r="AX197"/>
      <c r="AY197"/>
      <c r="AZ197"/>
      <c r="BC197"/>
      <c r="BD197"/>
      <c r="BG197"/>
      <c r="BH197"/>
      <c r="BI197"/>
      <c r="BJ197"/>
      <c r="BS197"/>
      <c r="BU197"/>
      <c r="BV197"/>
      <c r="BX197"/>
    </row>
    <row r="198" spans="1:76" ht="15.75">
      <c r="A198" s="263" t="s">
        <v>90</v>
      </c>
      <c r="B198" t="s">
        <v>904</v>
      </c>
      <c r="C198" s="57"/>
      <c r="D198" s="57">
        <v>462</v>
      </c>
      <c r="E198" s="57">
        <v>100</v>
      </c>
      <c r="F198" s="57">
        <v>1E-4</v>
      </c>
      <c r="G198" s="57">
        <v>41561</v>
      </c>
      <c r="H198" s="57">
        <v>4</v>
      </c>
      <c r="I198" s="57">
        <v>41565</v>
      </c>
      <c r="J198" s="57">
        <v>34921.308900722579</v>
      </c>
      <c r="K198" s="57">
        <v>4492.4225028702649</v>
      </c>
      <c r="L198" s="57">
        <v>391.29</v>
      </c>
      <c r="M198" s="57">
        <v>8.6999999999999993</v>
      </c>
      <c r="N198" s="57" t="s">
        <v>403</v>
      </c>
      <c r="O198" s="57">
        <v>8.7100000000000009</v>
      </c>
      <c r="P198" s="57"/>
      <c r="Q198" s="57"/>
      <c r="R198" s="57"/>
      <c r="S198" s="57"/>
      <c r="T198" s="57"/>
      <c r="U198" s="57"/>
      <c r="V198" s="57"/>
      <c r="W198" s="451"/>
      <c r="X198" s="145"/>
      <c r="Y198" s="223"/>
      <c r="Z198" s="22"/>
      <c r="AA198"/>
      <c r="AC198"/>
      <c r="AD198" s="9"/>
      <c r="AF198" s="27"/>
      <c r="AG198" s="84"/>
      <c r="AP198"/>
      <c r="AR198"/>
      <c r="AV198"/>
      <c r="AW198"/>
      <c r="AX198"/>
      <c r="AY198"/>
      <c r="AZ198"/>
      <c r="BC198"/>
      <c r="BD198"/>
      <c r="BG198"/>
      <c r="BH198"/>
      <c r="BI198"/>
      <c r="BJ198"/>
      <c r="BS198"/>
      <c r="BU198"/>
      <c r="BV198"/>
      <c r="BX198"/>
    </row>
    <row r="199" spans="1:76" ht="15.75">
      <c r="A199" s="263" t="s">
        <v>90</v>
      </c>
      <c r="B199" t="s">
        <v>925</v>
      </c>
      <c r="C199" s="57"/>
      <c r="D199" s="57">
        <v>474</v>
      </c>
      <c r="E199" s="57">
        <v>100</v>
      </c>
      <c r="F199" s="57">
        <v>1E-4</v>
      </c>
      <c r="G199" s="57">
        <v>41585</v>
      </c>
      <c r="H199" s="57">
        <v>2.7</v>
      </c>
      <c r="I199" s="57">
        <v>41607</v>
      </c>
      <c r="J199" s="57">
        <v>5697.2355062222578</v>
      </c>
      <c r="K199" s="57">
        <v>2999.8851894374284</v>
      </c>
      <c r="L199" s="57">
        <v>261.29000000000002</v>
      </c>
      <c r="M199" s="57">
        <v>8.6999999999999993</v>
      </c>
      <c r="N199" s="57" t="s">
        <v>403</v>
      </c>
      <c r="O199" s="57">
        <v>8.7100000000000009</v>
      </c>
      <c r="P199" s="57"/>
      <c r="Q199" s="57"/>
      <c r="R199" s="57"/>
      <c r="S199" s="57"/>
      <c r="T199" s="57"/>
      <c r="U199" s="57"/>
      <c r="V199" s="57"/>
      <c r="W199" s="451"/>
      <c r="X199" s="145"/>
      <c r="Y199" s="223"/>
      <c r="Z199" s="22"/>
      <c r="AA199"/>
      <c r="AC199"/>
      <c r="AD199" s="9"/>
      <c r="AF199" s="27"/>
      <c r="AG199" s="84"/>
      <c r="AP199"/>
      <c r="AR199"/>
      <c r="AV199"/>
      <c r="AW199"/>
      <c r="AX199"/>
      <c r="AY199"/>
      <c r="AZ199"/>
      <c r="BC199"/>
      <c r="BD199"/>
      <c r="BG199"/>
      <c r="BH199"/>
      <c r="BI199"/>
      <c r="BJ199"/>
      <c r="BS199"/>
      <c r="BU199"/>
      <c r="BV199"/>
      <c r="BX199"/>
    </row>
    <row r="200" spans="1:76" ht="15.75">
      <c r="A200" s="263" t="s">
        <v>90</v>
      </c>
      <c r="B200" t="s">
        <v>90</v>
      </c>
      <c r="C200" s="57"/>
      <c r="D200" s="57">
        <v>481</v>
      </c>
      <c r="E200" s="57">
        <v>100</v>
      </c>
      <c r="F200" s="57">
        <v>181.5325</v>
      </c>
      <c r="G200" s="57">
        <v>41556</v>
      </c>
      <c r="H200" s="57">
        <v>175</v>
      </c>
      <c r="I200" s="57">
        <v>41657</v>
      </c>
      <c r="J200" s="57">
        <v>-13.402572093888905</v>
      </c>
      <c r="K200" s="57">
        <v>-3.6407285862167669</v>
      </c>
      <c r="L200" s="57">
        <v>-661.2</v>
      </c>
      <c r="M200" s="57">
        <v>7.95</v>
      </c>
      <c r="N200" s="57" t="s">
        <v>145</v>
      </c>
      <c r="O200" s="57">
        <v>18161.2</v>
      </c>
      <c r="P200" s="57"/>
      <c r="Q200" s="57"/>
      <c r="R200" s="57"/>
      <c r="S200" s="57"/>
      <c r="T200" s="57"/>
      <c r="U200" s="57"/>
      <c r="V200" s="57"/>
      <c r="W200" s="451"/>
      <c r="X200" s="145"/>
      <c r="Y200" s="223"/>
      <c r="Z200" s="22"/>
      <c r="AA200"/>
      <c r="AC200"/>
      <c r="AD200" s="9"/>
      <c r="AF200" s="27"/>
      <c r="AG200" s="84"/>
      <c r="AP200"/>
      <c r="AR200"/>
      <c r="AV200"/>
      <c r="AW200"/>
      <c r="AX200"/>
      <c r="AY200"/>
      <c r="AZ200"/>
      <c r="BC200"/>
      <c r="BD200"/>
      <c r="BG200"/>
      <c r="BH200"/>
      <c r="BI200"/>
      <c r="BJ200"/>
      <c r="BS200"/>
      <c r="BU200"/>
      <c r="BV200"/>
      <c r="BX200"/>
    </row>
    <row r="201" spans="1:76" ht="15.75">
      <c r="A201" s="263" t="s">
        <v>90</v>
      </c>
      <c r="B201" t="s">
        <v>985</v>
      </c>
      <c r="C201" s="57"/>
      <c r="D201" s="57">
        <v>482</v>
      </c>
      <c r="E201" s="57">
        <v>100</v>
      </c>
      <c r="F201" s="57">
        <v>0</v>
      </c>
      <c r="G201" s="57">
        <v>41634</v>
      </c>
      <c r="H201" s="57">
        <v>10</v>
      </c>
      <c r="I201" s="57">
        <v>41657</v>
      </c>
      <c r="J201" s="57">
        <v>6429.213267643494</v>
      </c>
      <c r="K201" s="57">
        <v>5647.1264367816093</v>
      </c>
      <c r="L201" s="57">
        <v>982.6</v>
      </c>
      <c r="M201" s="57">
        <v>17.399999999999999</v>
      </c>
      <c r="N201" s="57" t="s">
        <v>15</v>
      </c>
      <c r="O201" s="57">
        <v>17.399999999999999</v>
      </c>
      <c r="P201" s="57"/>
      <c r="Q201" s="57"/>
      <c r="R201" s="57"/>
      <c r="S201" s="57"/>
      <c r="T201" s="57"/>
      <c r="U201" s="57"/>
      <c r="V201" s="57"/>
      <c r="W201" s="451"/>
      <c r="X201" s="145"/>
      <c r="Y201" s="223"/>
      <c r="Z201" s="22"/>
      <c r="AA201"/>
      <c r="AC201"/>
      <c r="AD201" s="9"/>
      <c r="AF201" s="27"/>
      <c r="AG201" s="84"/>
      <c r="AP201"/>
      <c r="AR201"/>
      <c r="AV201"/>
      <c r="AW201"/>
      <c r="AX201"/>
      <c r="AY201"/>
      <c r="AZ201"/>
      <c r="BC201"/>
      <c r="BD201"/>
      <c r="BG201"/>
      <c r="BH201"/>
      <c r="BI201"/>
      <c r="BJ201"/>
      <c r="BS201"/>
      <c r="BU201"/>
      <c r="BV201"/>
      <c r="BX201"/>
    </row>
    <row r="202" spans="1:76" ht="15.75">
      <c r="A202" s="263" t="s">
        <v>261</v>
      </c>
      <c r="C202" s="57"/>
      <c r="D202" s="57">
        <v>7</v>
      </c>
      <c r="E202" s="57">
        <v>200</v>
      </c>
      <c r="F202" s="57">
        <v>31</v>
      </c>
      <c r="G202" s="57">
        <v>40039</v>
      </c>
      <c r="H202" s="57">
        <v>33</v>
      </c>
      <c r="I202" s="57">
        <v>40065</v>
      </c>
      <c r="J202" s="57">
        <v>85.970022739526883</v>
      </c>
      <c r="K202" s="57">
        <v>6.3152892661828739</v>
      </c>
      <c r="L202" s="57">
        <v>392.05</v>
      </c>
      <c r="M202" s="57">
        <v>7.95</v>
      </c>
      <c r="N202" s="57" t="s">
        <v>145</v>
      </c>
      <c r="O202" s="57">
        <v>6207.95</v>
      </c>
      <c r="P202" s="57"/>
      <c r="Q202" s="57"/>
      <c r="R202" s="57"/>
      <c r="S202" s="57"/>
      <c r="T202" s="57"/>
      <c r="U202" s="57"/>
      <c r="V202" s="57"/>
      <c r="W202" s="451"/>
      <c r="X202" s="145"/>
      <c r="Y202" s="223"/>
      <c r="Z202" s="22"/>
      <c r="AA202"/>
      <c r="AC202"/>
      <c r="AD202" s="9"/>
      <c r="AF202" s="27"/>
      <c r="AG202" s="84"/>
      <c r="AP202"/>
      <c r="AR202"/>
      <c r="AV202"/>
      <c r="AW202"/>
      <c r="AX202"/>
      <c r="AY202"/>
      <c r="AZ202"/>
      <c r="BC202"/>
      <c r="BD202"/>
      <c r="BG202"/>
      <c r="BH202"/>
      <c r="BI202"/>
      <c r="BJ202"/>
      <c r="BS202"/>
      <c r="BU202"/>
      <c r="BV202"/>
      <c r="BX202"/>
    </row>
    <row r="203" spans="1:76" ht="15.75">
      <c r="A203" s="263" t="s">
        <v>261</v>
      </c>
      <c r="C203" s="57"/>
      <c r="D203" s="57">
        <v>23</v>
      </c>
      <c r="E203" s="57">
        <v>285</v>
      </c>
      <c r="F203" s="57">
        <v>35.28</v>
      </c>
      <c r="G203" s="57">
        <v>40113</v>
      </c>
      <c r="H203" s="57">
        <v>41</v>
      </c>
      <c r="I203" s="57">
        <v>40246</v>
      </c>
      <c r="J203" s="57">
        <v>41.018722183840339</v>
      </c>
      <c r="K203" s="57">
        <v>16.121338600283213</v>
      </c>
      <c r="L203" s="57">
        <v>1622.25</v>
      </c>
      <c r="M203" s="57">
        <v>7.95</v>
      </c>
      <c r="N203" s="57" t="s">
        <v>145</v>
      </c>
      <c r="O203" s="57">
        <v>10062.75</v>
      </c>
      <c r="P203" s="57"/>
      <c r="Q203" s="57"/>
      <c r="R203" s="57"/>
      <c r="S203" s="57"/>
      <c r="T203" s="57"/>
      <c r="U203" s="57"/>
      <c r="V203" s="57"/>
      <c r="W203" s="451"/>
      <c r="X203" s="145"/>
      <c r="Y203" s="223"/>
      <c r="Z203" s="22"/>
      <c r="AA203"/>
      <c r="AC203"/>
      <c r="AD203" s="9"/>
      <c r="AF203" s="27"/>
      <c r="AG203" s="84"/>
      <c r="AP203"/>
      <c r="AR203"/>
      <c r="AV203"/>
      <c r="AW203"/>
      <c r="AX203"/>
      <c r="AY203"/>
      <c r="AZ203"/>
      <c r="BC203"/>
      <c r="BD203"/>
      <c r="BG203"/>
      <c r="BH203"/>
      <c r="BI203"/>
      <c r="BJ203"/>
      <c r="BS203"/>
      <c r="BU203"/>
      <c r="BV203"/>
      <c r="BX203"/>
    </row>
    <row r="204" spans="1:76" ht="15.75">
      <c r="A204" s="263" t="s">
        <v>261</v>
      </c>
      <c r="B204" t="s">
        <v>261</v>
      </c>
      <c r="C204" s="57"/>
      <c r="D204" s="57">
        <v>249</v>
      </c>
      <c r="E204" s="57">
        <v>50</v>
      </c>
      <c r="F204" s="57">
        <v>31.48</v>
      </c>
      <c r="G204" s="57">
        <v>39973</v>
      </c>
      <c r="H204" s="57">
        <v>37.03</v>
      </c>
      <c r="I204" s="57">
        <v>40983</v>
      </c>
      <c r="J204" s="57">
        <v>5.6859720992239078</v>
      </c>
      <c r="K204" s="57">
        <v>17.03909731660293</v>
      </c>
      <c r="L204" s="57">
        <v>269.55</v>
      </c>
      <c r="M204" s="57">
        <v>7.95</v>
      </c>
      <c r="N204" s="57" t="s">
        <v>145</v>
      </c>
      <c r="O204" s="57">
        <v>1581.95</v>
      </c>
      <c r="P204" s="57"/>
      <c r="Q204" s="57"/>
      <c r="R204" s="57"/>
      <c r="S204" s="57"/>
      <c r="T204" s="57"/>
      <c r="U204" s="57"/>
      <c r="V204" s="57"/>
      <c r="W204" s="451"/>
      <c r="X204" s="145"/>
      <c r="Y204" s="223"/>
      <c r="Z204" s="22"/>
      <c r="AA204"/>
      <c r="AC204"/>
      <c r="AD204" s="9"/>
      <c r="AF204" s="27"/>
      <c r="AG204" s="84"/>
      <c r="AP204"/>
      <c r="AR204"/>
      <c r="AV204"/>
      <c r="AW204"/>
      <c r="AX204"/>
      <c r="AY204"/>
      <c r="AZ204"/>
      <c r="BC204"/>
      <c r="BD204"/>
      <c r="BG204"/>
      <c r="BH204"/>
      <c r="BI204"/>
      <c r="BJ204"/>
      <c r="BS204"/>
      <c r="BU204"/>
      <c r="BV204"/>
      <c r="BX204"/>
    </row>
    <row r="205" spans="1:76" ht="15.75">
      <c r="A205" s="263" t="s">
        <v>190</v>
      </c>
      <c r="C205" s="57"/>
      <c r="D205" s="57">
        <v>16</v>
      </c>
      <c r="E205" s="57">
        <v>900</v>
      </c>
      <c r="F205" s="57">
        <v>8.52</v>
      </c>
      <c r="G205" s="57">
        <v>40093</v>
      </c>
      <c r="H205" s="57">
        <v>10</v>
      </c>
      <c r="I205" s="57">
        <v>40260</v>
      </c>
      <c r="J205" s="57">
        <v>34.780459432789591</v>
      </c>
      <c r="K205" s="57">
        <v>17.24933070173725</v>
      </c>
      <c r="L205" s="57">
        <v>1324.05</v>
      </c>
      <c r="M205" s="57">
        <v>7.95</v>
      </c>
      <c r="N205" s="57" t="s">
        <v>145</v>
      </c>
      <c r="O205" s="57">
        <v>7675.95</v>
      </c>
      <c r="P205" s="57"/>
      <c r="Q205" s="57"/>
      <c r="R205" s="57"/>
      <c r="S205" s="57"/>
      <c r="T205" s="57"/>
      <c r="U205" s="57"/>
      <c r="V205" s="57"/>
      <c r="W205" s="451"/>
      <c r="X205" s="145"/>
      <c r="Y205" s="223"/>
      <c r="Z205" s="22"/>
      <c r="AA205"/>
      <c r="AC205"/>
      <c r="AD205" s="9"/>
      <c r="AF205" s="27"/>
      <c r="AG205" s="84"/>
      <c r="AP205"/>
      <c r="AR205"/>
      <c r="AV205"/>
      <c r="AW205"/>
      <c r="AX205"/>
      <c r="AY205"/>
      <c r="AZ205"/>
      <c r="BC205"/>
      <c r="BD205"/>
      <c r="BG205"/>
      <c r="BH205"/>
      <c r="BI205"/>
      <c r="BJ205"/>
      <c r="BS205"/>
      <c r="BU205"/>
      <c r="BV205"/>
      <c r="BX205"/>
    </row>
    <row r="206" spans="1:76" ht="15.75">
      <c r="A206" s="263" t="s">
        <v>190</v>
      </c>
      <c r="C206" s="57"/>
      <c r="D206" s="57">
        <v>21</v>
      </c>
      <c r="E206" s="57">
        <v>10</v>
      </c>
      <c r="F206" s="57">
        <v>8.2438000000000002</v>
      </c>
      <c r="G206" s="57">
        <v>40099</v>
      </c>
      <c r="H206" s="57">
        <v>14</v>
      </c>
      <c r="I206" s="57">
        <v>40372</v>
      </c>
      <c r="J206" s="57">
        <v>58.49772204966763</v>
      </c>
      <c r="K206" s="57">
        <v>54.887816966853997</v>
      </c>
      <c r="L206" s="57">
        <v>49.612000000000002</v>
      </c>
      <c r="M206" s="57">
        <v>7.95</v>
      </c>
      <c r="N206" s="57" t="s">
        <v>145</v>
      </c>
      <c r="O206" s="57">
        <v>90.388000000000005</v>
      </c>
      <c r="P206" s="57"/>
      <c r="Q206" s="57"/>
      <c r="R206" s="57"/>
      <c r="S206" s="57"/>
      <c r="T206" s="57"/>
      <c r="U206" s="57"/>
      <c r="V206" s="57"/>
      <c r="W206" s="451"/>
      <c r="X206" s="145"/>
      <c r="Y206" s="223"/>
      <c r="Z206" s="22"/>
      <c r="AA206"/>
      <c r="AC206"/>
      <c r="AD206" s="9"/>
      <c r="AF206" s="27"/>
      <c r="AG206" s="27"/>
      <c r="AP206"/>
      <c r="AR206"/>
      <c r="AV206"/>
      <c r="AW206"/>
      <c r="AX206"/>
      <c r="AY206"/>
      <c r="AZ206"/>
      <c r="BC206"/>
      <c r="BD206"/>
      <c r="BG206"/>
      <c r="BH206"/>
      <c r="BI206"/>
      <c r="BJ206"/>
      <c r="BS206"/>
      <c r="BU206"/>
      <c r="BV206"/>
      <c r="BX206"/>
    </row>
    <row r="207" spans="1:76" ht="15.75">
      <c r="A207" s="263" t="s">
        <v>142</v>
      </c>
      <c r="C207" s="57"/>
      <c r="D207" s="57">
        <v>1</v>
      </c>
      <c r="E207" s="57">
        <v>200</v>
      </c>
      <c r="F207" s="57">
        <v>45.05</v>
      </c>
      <c r="G207" s="57">
        <v>40093</v>
      </c>
      <c r="H207" s="57">
        <v>46</v>
      </c>
      <c r="I207" s="57">
        <v>40123</v>
      </c>
      <c r="J207" s="57">
        <v>24.316845721349221</v>
      </c>
      <c r="K207" s="57">
        <v>2.0187514900836776</v>
      </c>
      <c r="L207" s="57">
        <v>182.05</v>
      </c>
      <c r="M207" s="57">
        <v>7.95</v>
      </c>
      <c r="N207" s="57" t="s">
        <v>145</v>
      </c>
      <c r="O207" s="57">
        <v>9017.9500000000007</v>
      </c>
      <c r="P207" s="57"/>
      <c r="Q207" s="57"/>
      <c r="R207" s="57"/>
      <c r="S207" s="57"/>
      <c r="T207" s="57"/>
      <c r="U207" s="57"/>
      <c r="V207" s="57"/>
      <c r="W207" s="451"/>
      <c r="X207" s="145"/>
      <c r="Y207" s="223"/>
      <c r="Z207" s="22"/>
      <c r="AA207"/>
      <c r="AC207"/>
      <c r="AD207" s="9"/>
      <c r="AF207" s="27"/>
      <c r="AG207" s="27"/>
      <c r="AI207" s="13"/>
      <c r="AP207"/>
      <c r="AR207"/>
      <c r="AV207"/>
      <c r="AW207"/>
      <c r="AX207"/>
      <c r="AY207"/>
      <c r="AZ207"/>
      <c r="BC207"/>
      <c r="BD207"/>
      <c r="BG207"/>
      <c r="BH207"/>
      <c r="BI207"/>
      <c r="BJ207"/>
      <c r="BS207"/>
      <c r="BU207"/>
      <c r="BV207"/>
      <c r="BX207"/>
    </row>
    <row r="208" spans="1:76" ht="15.75">
      <c r="A208" s="263" t="s">
        <v>438</v>
      </c>
      <c r="B208" t="s">
        <v>440</v>
      </c>
      <c r="C208" s="57"/>
      <c r="D208" s="57">
        <v>184</v>
      </c>
      <c r="E208" s="57">
        <v>200</v>
      </c>
      <c r="F208" s="57">
        <v>0</v>
      </c>
      <c r="G208" s="57">
        <v>40862</v>
      </c>
      <c r="H208" s="57">
        <v>0.6</v>
      </c>
      <c r="I208" s="57">
        <v>40894</v>
      </c>
      <c r="J208" s="57">
        <v>2898.8722045808877</v>
      </c>
      <c r="K208" s="57">
        <v>1169.8412698412701</v>
      </c>
      <c r="L208" s="57">
        <v>110.55</v>
      </c>
      <c r="M208" s="57">
        <v>9.4499999999999993</v>
      </c>
      <c r="N208" s="57" t="s">
        <v>403</v>
      </c>
      <c r="O208" s="57">
        <v>9.4499999999999993</v>
      </c>
      <c r="P208" s="57"/>
      <c r="Q208" s="57"/>
      <c r="R208" s="57"/>
      <c r="S208" s="57"/>
      <c r="T208" s="57"/>
      <c r="U208" s="57"/>
      <c r="V208" s="57"/>
      <c r="W208" s="451"/>
      <c r="X208" s="145"/>
      <c r="Y208" s="223"/>
      <c r="Z208" s="22"/>
      <c r="AA208"/>
      <c r="AC208"/>
      <c r="AD208" s="9"/>
      <c r="AF208" s="27"/>
      <c r="AG208" s="27"/>
      <c r="AI208" s="13"/>
      <c r="AP208"/>
      <c r="AR208"/>
      <c r="AV208"/>
      <c r="AW208"/>
      <c r="AX208"/>
      <c r="AY208"/>
      <c r="AZ208"/>
      <c r="BC208"/>
      <c r="BD208"/>
      <c r="BG208"/>
      <c r="BH208"/>
      <c r="BI208"/>
      <c r="BJ208"/>
      <c r="BS208"/>
      <c r="BU208"/>
      <c r="BV208"/>
      <c r="BX208"/>
    </row>
    <row r="209" spans="1:76" ht="15.75">
      <c r="A209" s="263" t="s">
        <v>438</v>
      </c>
      <c r="B209" t="s">
        <v>438</v>
      </c>
      <c r="C209" s="57"/>
      <c r="D209" s="57">
        <v>225</v>
      </c>
      <c r="E209" s="57">
        <v>200</v>
      </c>
      <c r="F209" s="57">
        <v>14</v>
      </c>
      <c r="G209" s="57">
        <v>40861</v>
      </c>
      <c r="H209" s="57">
        <v>12</v>
      </c>
      <c r="I209" s="57">
        <v>40956</v>
      </c>
      <c r="J209" s="57">
        <v>-60.315651547277525</v>
      </c>
      <c r="K209" s="57">
        <v>-14.528392599583324</v>
      </c>
      <c r="L209" s="57">
        <v>-407.95</v>
      </c>
      <c r="M209" s="57">
        <v>7.95</v>
      </c>
      <c r="N209" s="57" t="s">
        <v>145</v>
      </c>
      <c r="O209" s="57">
        <v>2807.95</v>
      </c>
      <c r="P209" s="57"/>
      <c r="Q209" s="57"/>
      <c r="R209" s="57"/>
      <c r="S209" s="57"/>
      <c r="T209" s="57"/>
      <c r="U209" s="57"/>
      <c r="V209" s="57"/>
      <c r="W209" s="451"/>
      <c r="X209" s="145"/>
      <c r="Y209" s="223"/>
      <c r="Z209" s="22"/>
      <c r="AA209"/>
      <c r="AC209"/>
      <c r="AE209" s="9"/>
      <c r="AG209" s="27"/>
      <c r="AI209" s="13"/>
      <c r="AP209"/>
      <c r="AR209"/>
      <c r="AV209"/>
      <c r="AW209"/>
      <c r="AX209"/>
      <c r="AY209"/>
      <c r="AZ209"/>
      <c r="BC209"/>
      <c r="BD209"/>
      <c r="BG209"/>
      <c r="BH209"/>
      <c r="BI209"/>
      <c r="BJ209"/>
      <c r="BS209"/>
      <c r="BU209"/>
      <c r="BV209"/>
      <c r="BX209"/>
    </row>
    <row r="210" spans="1:76" ht="15.75">
      <c r="A210" s="263" t="s">
        <v>438</v>
      </c>
      <c r="B210" t="s">
        <v>483</v>
      </c>
      <c r="C210" s="57"/>
      <c r="D210" s="57">
        <v>228</v>
      </c>
      <c r="E210" s="57">
        <v>200</v>
      </c>
      <c r="F210" s="57">
        <v>0</v>
      </c>
      <c r="G210" s="57">
        <v>40911</v>
      </c>
      <c r="H210" s="57">
        <v>2.25</v>
      </c>
      <c r="I210" s="57">
        <v>40956</v>
      </c>
      <c r="J210" s="57">
        <v>2211.5379789408244</v>
      </c>
      <c r="K210" s="57">
        <v>1428.0135823429539</v>
      </c>
      <c r="L210" s="57">
        <v>420.55</v>
      </c>
      <c r="M210" s="57">
        <v>29.45</v>
      </c>
      <c r="N210" s="57" t="s">
        <v>404</v>
      </c>
      <c r="O210" s="57">
        <v>29.45</v>
      </c>
      <c r="P210" s="57"/>
      <c r="Q210" s="57"/>
      <c r="R210" s="57"/>
      <c r="S210" s="57"/>
      <c r="T210" s="57"/>
      <c r="U210" s="57"/>
      <c r="V210" s="57"/>
      <c r="W210" s="451"/>
      <c r="X210" s="145"/>
      <c r="Y210" s="223"/>
      <c r="Z210" s="22"/>
      <c r="AA210"/>
      <c r="AC210"/>
      <c r="AE210" s="9"/>
      <c r="AG210" s="27"/>
      <c r="AI210" s="13"/>
      <c r="AP210"/>
      <c r="AR210"/>
      <c r="AV210"/>
      <c r="AW210"/>
      <c r="AX210"/>
      <c r="AY210"/>
      <c r="AZ210"/>
      <c r="BC210"/>
      <c r="BD210"/>
      <c r="BG210"/>
      <c r="BH210"/>
      <c r="BI210"/>
      <c r="BJ210"/>
      <c r="BS210"/>
      <c r="BU210"/>
      <c r="BV210"/>
      <c r="BX210"/>
    </row>
    <row r="211" spans="1:76" ht="15.75">
      <c r="A211" s="263" t="s">
        <v>438</v>
      </c>
      <c r="B211" t="s">
        <v>438</v>
      </c>
      <c r="C211" s="57"/>
      <c r="D211" s="57">
        <v>250</v>
      </c>
      <c r="E211" s="57">
        <v>8</v>
      </c>
      <c r="F211" s="57">
        <v>14</v>
      </c>
      <c r="G211" s="57">
        <v>40861</v>
      </c>
      <c r="H211" s="57">
        <v>18.100000000000001</v>
      </c>
      <c r="I211" s="57">
        <v>40983</v>
      </c>
      <c r="J211" s="57">
        <v>56.7947513165769</v>
      </c>
      <c r="K211" s="57">
        <v>20.716965402250946</v>
      </c>
      <c r="L211" s="57">
        <v>24.85</v>
      </c>
      <c r="M211" s="57">
        <v>7.95</v>
      </c>
      <c r="N211" s="57" t="s">
        <v>145</v>
      </c>
      <c r="O211" s="57">
        <v>119.95</v>
      </c>
      <c r="P211" s="57"/>
      <c r="Q211" s="57"/>
      <c r="R211" s="57"/>
      <c r="S211" s="57"/>
      <c r="T211" s="57"/>
      <c r="U211" s="57"/>
      <c r="V211" s="57"/>
      <c r="W211" s="451"/>
      <c r="X211" s="145"/>
      <c r="Y211" s="223"/>
      <c r="Z211" s="22"/>
      <c r="AA211"/>
      <c r="AC211"/>
      <c r="AE211" s="9"/>
      <c r="AG211" s="27"/>
      <c r="AI211" s="13"/>
      <c r="AP211"/>
      <c r="AR211"/>
      <c r="AV211"/>
      <c r="AW211"/>
      <c r="AX211"/>
      <c r="AY211"/>
      <c r="AZ211"/>
      <c r="BC211"/>
      <c r="BD211"/>
      <c r="BG211"/>
      <c r="BH211"/>
      <c r="BI211"/>
      <c r="BJ211"/>
      <c r="BS211"/>
      <c r="BU211"/>
      <c r="BV211"/>
      <c r="BX211"/>
    </row>
    <row r="212" spans="1:76" ht="15.75">
      <c r="A212" s="263" t="s">
        <v>438</v>
      </c>
      <c r="B212" t="s">
        <v>438</v>
      </c>
      <c r="C212" s="57"/>
      <c r="D212" s="57">
        <v>496</v>
      </c>
      <c r="E212" s="57">
        <v>200</v>
      </c>
      <c r="F212" s="57">
        <v>15.22</v>
      </c>
      <c r="G212" s="57">
        <v>41561</v>
      </c>
      <c r="H212" s="57">
        <v>16</v>
      </c>
      <c r="I212" s="57">
        <v>41723</v>
      </c>
      <c r="J212" s="57">
        <v>10.672888218766056</v>
      </c>
      <c r="K212" s="57">
        <v>4.850996903618995</v>
      </c>
      <c r="L212" s="57">
        <v>148.05000000000001</v>
      </c>
      <c r="M212" s="57">
        <v>7.95</v>
      </c>
      <c r="N212" s="57" t="s">
        <v>145</v>
      </c>
      <c r="O212" s="57">
        <v>3051.95</v>
      </c>
      <c r="P212" s="57"/>
      <c r="Q212" s="57"/>
      <c r="R212" s="57"/>
      <c r="S212" s="57"/>
      <c r="T212" s="57"/>
      <c r="U212" s="57"/>
      <c r="V212" s="57"/>
      <c r="W212" s="451"/>
      <c r="X212" s="145"/>
      <c r="Y212" s="223"/>
      <c r="Z212" s="22"/>
      <c r="AA212"/>
      <c r="AC212"/>
      <c r="AE212" s="9"/>
      <c r="AG212" s="27"/>
      <c r="AI212" s="13"/>
      <c r="AP212"/>
      <c r="AR212"/>
      <c r="AV212"/>
      <c r="AW212"/>
      <c r="AX212"/>
      <c r="AY212"/>
      <c r="AZ212"/>
      <c r="BC212"/>
      <c r="BD212"/>
      <c r="BG212"/>
      <c r="BH212"/>
      <c r="BI212"/>
      <c r="BJ212"/>
      <c r="BS212"/>
      <c r="BU212"/>
      <c r="BV212"/>
      <c r="BX212"/>
    </row>
    <row r="213" spans="1:76" ht="15.75">
      <c r="A213" s="263" t="s">
        <v>438</v>
      </c>
      <c r="B213" t="s">
        <v>1001</v>
      </c>
      <c r="C213" s="57"/>
      <c r="D213" s="57">
        <v>497</v>
      </c>
      <c r="E213" s="57">
        <v>200</v>
      </c>
      <c r="F213" s="57">
        <v>0</v>
      </c>
      <c r="G213" s="57">
        <v>41710</v>
      </c>
      <c r="H213" s="57">
        <v>1</v>
      </c>
      <c r="I213" s="57">
        <v>41723</v>
      </c>
      <c r="J213" s="57">
        <v>5378.4812431108539</v>
      </c>
      <c r="K213" s="57">
        <v>579.11714770797971</v>
      </c>
      <c r="L213" s="57">
        <v>170.55</v>
      </c>
      <c r="M213" s="57">
        <v>29.45</v>
      </c>
      <c r="N213" s="57" t="s">
        <v>404</v>
      </c>
      <c r="O213" s="57">
        <v>29.45</v>
      </c>
      <c r="P213" s="57"/>
      <c r="Q213" s="57"/>
      <c r="R213" s="57"/>
      <c r="S213" s="57"/>
      <c r="T213" s="57"/>
      <c r="U213" s="57"/>
      <c r="V213" s="57"/>
      <c r="W213" s="451"/>
      <c r="X213" s="145"/>
      <c r="Y213" s="223"/>
      <c r="Z213" s="22"/>
      <c r="AA213"/>
      <c r="AC213"/>
      <c r="AE213" s="9"/>
      <c r="AG213" s="27"/>
      <c r="AI213" s="13"/>
      <c r="AP213"/>
      <c r="AR213"/>
      <c r="AV213"/>
      <c r="AW213"/>
      <c r="AX213"/>
      <c r="AY213"/>
      <c r="AZ213"/>
      <c r="BC213"/>
      <c r="BD213"/>
      <c r="BG213"/>
      <c r="BH213"/>
      <c r="BI213"/>
      <c r="BJ213"/>
      <c r="BS213"/>
      <c r="BU213"/>
      <c r="BV213"/>
      <c r="BX213"/>
    </row>
    <row r="214" spans="1:76" ht="15.75">
      <c r="A214" s="263" t="s">
        <v>94</v>
      </c>
      <c r="B214" t="s">
        <v>94</v>
      </c>
      <c r="C214" s="57"/>
      <c r="D214" s="57">
        <v>224</v>
      </c>
      <c r="E214" s="57">
        <v>100</v>
      </c>
      <c r="F214" s="57">
        <v>50</v>
      </c>
      <c r="G214" s="57">
        <v>40199</v>
      </c>
      <c r="H214" s="57">
        <v>49</v>
      </c>
      <c r="I214" s="57">
        <v>40956</v>
      </c>
      <c r="J214" s="57">
        <v>-1.0507103409673868</v>
      </c>
      <c r="K214" s="57">
        <v>-2.155572639503196</v>
      </c>
      <c r="L214" s="57">
        <v>-107.95</v>
      </c>
      <c r="M214" s="57">
        <v>7.95</v>
      </c>
      <c r="N214" s="57" t="s">
        <v>145</v>
      </c>
      <c r="O214" s="57">
        <v>5007.95</v>
      </c>
      <c r="P214" s="57"/>
      <c r="Q214" s="57"/>
      <c r="R214" s="57"/>
      <c r="S214" s="57"/>
      <c r="T214" s="57"/>
      <c r="U214" s="57"/>
      <c r="V214" s="57"/>
      <c r="W214" s="451"/>
      <c r="X214" s="145"/>
      <c r="Y214" s="223"/>
      <c r="Z214" s="22"/>
      <c r="AA214"/>
      <c r="AC214"/>
      <c r="AE214" s="9"/>
      <c r="AG214" s="27"/>
      <c r="AI214" s="13"/>
      <c r="AP214"/>
      <c r="AR214"/>
      <c r="AV214"/>
      <c r="AW214"/>
      <c r="AX214"/>
      <c r="AY214"/>
      <c r="AZ214"/>
      <c r="BC214"/>
      <c r="BD214"/>
      <c r="BG214"/>
      <c r="BH214"/>
      <c r="BI214"/>
      <c r="BJ214"/>
      <c r="BS214"/>
      <c r="BU214"/>
      <c r="BV214"/>
      <c r="BX214"/>
    </row>
    <row r="215" spans="1:76" ht="15.75">
      <c r="A215" s="263" t="s">
        <v>94</v>
      </c>
      <c r="B215" t="s">
        <v>485</v>
      </c>
      <c r="C215" s="57"/>
      <c r="D215" s="57">
        <v>231</v>
      </c>
      <c r="E215" s="57">
        <v>100</v>
      </c>
      <c r="F215" s="57">
        <v>0</v>
      </c>
      <c r="G215" s="57">
        <v>40918</v>
      </c>
      <c r="H215" s="57">
        <v>10.5</v>
      </c>
      <c r="I215" s="57">
        <v>40956</v>
      </c>
      <c r="J215" s="57">
        <v>3457.5569393181249</v>
      </c>
      <c r="K215" s="57">
        <v>3558.5365853658536</v>
      </c>
      <c r="L215" s="57">
        <v>1021.3</v>
      </c>
      <c r="M215" s="57">
        <v>28.7</v>
      </c>
      <c r="N215" s="57" t="s">
        <v>404</v>
      </c>
      <c r="O215" s="57">
        <v>28.7</v>
      </c>
      <c r="P215" s="57"/>
      <c r="Q215" s="57"/>
      <c r="R215" s="57"/>
      <c r="S215" s="57"/>
      <c r="T215" s="57"/>
      <c r="U215" s="57"/>
      <c r="V215" s="57"/>
      <c r="W215" s="451"/>
      <c r="X215" s="145"/>
      <c r="Y215" s="223"/>
      <c r="Z215" s="22"/>
      <c r="AA215"/>
      <c r="AC215"/>
      <c r="AE215" s="9"/>
      <c r="AG215" s="27"/>
      <c r="AI215" s="13"/>
      <c r="AP215"/>
      <c r="AR215"/>
      <c r="AV215"/>
      <c r="AW215"/>
      <c r="AX215"/>
      <c r="AY215"/>
      <c r="AZ215"/>
      <c r="BC215"/>
      <c r="BD215"/>
      <c r="BG215"/>
      <c r="BH215"/>
      <c r="BI215"/>
      <c r="BJ215"/>
      <c r="BS215"/>
      <c r="BU215"/>
      <c r="BV215"/>
      <c r="BX215"/>
    </row>
    <row r="216" spans="1:76" ht="15.75">
      <c r="A216" s="263" t="s">
        <v>132</v>
      </c>
      <c r="B216" t="s">
        <v>329</v>
      </c>
      <c r="C216" s="57"/>
      <c r="D216" s="57">
        <v>93</v>
      </c>
      <c r="E216" s="57">
        <v>2000</v>
      </c>
      <c r="F216" s="57">
        <v>0.25</v>
      </c>
      <c r="G216" s="57">
        <v>40764</v>
      </c>
      <c r="H216" s="57">
        <v>0.55000000000000004</v>
      </c>
      <c r="I216" s="57">
        <v>40769</v>
      </c>
      <c r="J216" s="57">
        <v>5114.5964449908752</v>
      </c>
      <c r="K216" s="57">
        <v>101.50210661293276</v>
      </c>
      <c r="L216" s="57">
        <v>554.1</v>
      </c>
      <c r="M216" s="57">
        <v>45.9</v>
      </c>
      <c r="N216" s="57" t="s">
        <v>278</v>
      </c>
      <c r="O216" s="57">
        <v>545.9</v>
      </c>
      <c r="P216" s="57"/>
      <c r="Q216" s="57"/>
      <c r="R216" s="57"/>
      <c r="S216" s="57"/>
      <c r="T216" s="57"/>
      <c r="U216" s="57"/>
      <c r="V216" s="57"/>
      <c r="W216" s="451"/>
      <c r="X216" s="145"/>
      <c r="Y216" s="223"/>
      <c r="Z216" s="22"/>
      <c r="AA216"/>
      <c r="AC216"/>
      <c r="AE216" s="9"/>
      <c r="AG216" s="27"/>
      <c r="AI216" s="13"/>
      <c r="AP216"/>
      <c r="AR216"/>
      <c r="AV216"/>
      <c r="AW216"/>
      <c r="AX216"/>
      <c r="AY216"/>
      <c r="AZ216"/>
      <c r="BC216"/>
      <c r="BD216"/>
      <c r="BG216"/>
      <c r="BH216"/>
      <c r="BI216"/>
      <c r="BJ216"/>
      <c r="BS216"/>
      <c r="BU216"/>
      <c r="BV216"/>
      <c r="BX216"/>
    </row>
    <row r="217" spans="1:76" ht="15.75">
      <c r="A217" s="263" t="s">
        <v>132</v>
      </c>
      <c r="B217" t="s">
        <v>447</v>
      </c>
      <c r="C217" s="57"/>
      <c r="D217" s="57">
        <v>174</v>
      </c>
      <c r="E217" s="57">
        <v>300</v>
      </c>
      <c r="F217" s="57">
        <v>7</v>
      </c>
      <c r="G217" s="57">
        <v>40869</v>
      </c>
      <c r="H217" s="57">
        <v>8.75</v>
      </c>
      <c r="I217" s="57">
        <v>40886</v>
      </c>
      <c r="J217" s="57">
        <v>458.34584269356878</v>
      </c>
      <c r="K217" s="57">
        <v>23.79739671760046</v>
      </c>
      <c r="L217" s="57">
        <v>504.6</v>
      </c>
      <c r="M217" s="57">
        <v>20.399999999999999</v>
      </c>
      <c r="N217" s="57" t="s">
        <v>278</v>
      </c>
      <c r="O217" s="57">
        <v>2120.4</v>
      </c>
      <c r="P217" s="57"/>
      <c r="Q217" s="57"/>
      <c r="R217" s="57"/>
      <c r="S217" s="57"/>
      <c r="T217" s="57"/>
      <c r="U217" s="57"/>
      <c r="V217" s="57"/>
      <c r="W217" s="451"/>
      <c r="X217" s="145"/>
      <c r="Y217" s="223"/>
      <c r="Z217" s="22"/>
      <c r="AA217"/>
      <c r="AC217"/>
      <c r="AE217" s="9"/>
      <c r="AG217" s="27"/>
      <c r="AI217" s="13"/>
      <c r="AP217"/>
      <c r="AR217"/>
      <c r="AV217"/>
      <c r="AW217"/>
      <c r="AX217"/>
      <c r="AY217"/>
      <c r="AZ217"/>
      <c r="BC217"/>
      <c r="BD217"/>
      <c r="BG217"/>
      <c r="BH217"/>
      <c r="BI217"/>
      <c r="BJ217"/>
      <c r="BS217"/>
      <c r="BU217"/>
      <c r="BV217"/>
      <c r="BX217"/>
    </row>
    <row r="218" spans="1:76" ht="15.75">
      <c r="A218" s="263" t="s">
        <v>379</v>
      </c>
      <c r="B218" t="s">
        <v>406</v>
      </c>
      <c r="C218" s="57"/>
      <c r="D218" s="57">
        <v>161</v>
      </c>
      <c r="E218" s="57">
        <v>100</v>
      </c>
      <c r="F218" s="57">
        <v>0</v>
      </c>
      <c r="G218" s="57">
        <v>40814</v>
      </c>
      <c r="H218" s="57">
        <v>1.6</v>
      </c>
      <c r="I218" s="57">
        <v>40866</v>
      </c>
      <c r="J218" s="57">
        <v>2043.8952657581735</v>
      </c>
      <c r="K218" s="57">
        <v>1739.0804597701151</v>
      </c>
      <c r="L218" s="57">
        <v>151.30000000000001</v>
      </c>
      <c r="M218" s="57">
        <v>8.6999999999999993</v>
      </c>
      <c r="N218" s="57" t="s">
        <v>403</v>
      </c>
      <c r="O218" s="57">
        <v>8.6999999999999993</v>
      </c>
      <c r="P218" s="57"/>
      <c r="Q218" s="57"/>
      <c r="R218" s="57"/>
      <c r="S218" s="57"/>
      <c r="T218" s="57"/>
      <c r="U218" s="57"/>
      <c r="V218" s="57"/>
      <c r="W218" s="451"/>
      <c r="X218" s="145"/>
      <c r="Y218" s="223"/>
      <c r="Z218" s="22"/>
      <c r="AA218"/>
      <c r="AC218"/>
      <c r="AE218" s="9"/>
      <c r="AG218" s="27"/>
      <c r="AI218" s="13"/>
      <c r="AP218"/>
      <c r="AR218"/>
      <c r="AV218"/>
      <c r="AW218"/>
      <c r="AX218"/>
      <c r="AY218"/>
      <c r="AZ218"/>
      <c r="BC218"/>
      <c r="BD218"/>
      <c r="BG218"/>
      <c r="BH218"/>
      <c r="BI218"/>
      <c r="BJ218"/>
      <c r="BS218"/>
      <c r="BU218"/>
      <c r="BV218"/>
      <c r="BX218"/>
    </row>
    <row r="219" spans="1:76" ht="15.75">
      <c r="A219" s="263" t="s">
        <v>379</v>
      </c>
      <c r="B219" t="s">
        <v>379</v>
      </c>
      <c r="C219" s="57"/>
      <c r="D219" s="57">
        <v>189</v>
      </c>
      <c r="E219" s="57">
        <v>100</v>
      </c>
      <c r="F219" s="57">
        <v>47.3</v>
      </c>
      <c r="G219" s="57">
        <v>40808</v>
      </c>
      <c r="H219" s="57">
        <v>30</v>
      </c>
      <c r="I219" s="57">
        <v>40900</v>
      </c>
      <c r="J219" s="57">
        <v>-181.30671344940711</v>
      </c>
      <c r="K219" s="57">
        <v>-36.681476165852317</v>
      </c>
      <c r="L219" s="57">
        <v>-1737.95</v>
      </c>
      <c r="M219" s="57">
        <v>7.95</v>
      </c>
      <c r="N219" s="57" t="s">
        <v>145</v>
      </c>
      <c r="O219" s="57">
        <v>4737.95</v>
      </c>
      <c r="P219" s="57"/>
      <c r="Q219" s="57"/>
      <c r="R219" s="57"/>
      <c r="S219" s="57"/>
      <c r="T219" s="57"/>
      <c r="U219" s="57"/>
      <c r="V219" s="57"/>
      <c r="W219" s="451"/>
      <c r="X219" s="145"/>
      <c r="Y219" s="223"/>
      <c r="Z219" s="22"/>
      <c r="AA219"/>
      <c r="AC219"/>
      <c r="AE219" s="9"/>
      <c r="AG219" s="27"/>
      <c r="AH219" s="84"/>
      <c r="AI219" s="13"/>
      <c r="AP219"/>
      <c r="AR219"/>
      <c r="AV219"/>
      <c r="AW219"/>
      <c r="AX219"/>
      <c r="AY219"/>
      <c r="AZ219"/>
      <c r="BC219"/>
      <c r="BD219"/>
      <c r="BG219"/>
      <c r="BH219"/>
      <c r="BI219"/>
      <c r="BJ219"/>
      <c r="BS219"/>
      <c r="BU219"/>
      <c r="BV219"/>
      <c r="BX219"/>
    </row>
    <row r="220" spans="1:76" ht="15.75">
      <c r="A220" s="263" t="s">
        <v>379</v>
      </c>
      <c r="B220" t="s">
        <v>468</v>
      </c>
      <c r="C220" s="57"/>
      <c r="D220" s="57">
        <v>190</v>
      </c>
      <c r="E220" s="57">
        <v>100</v>
      </c>
      <c r="F220" s="57">
        <v>0</v>
      </c>
      <c r="G220" s="57">
        <v>40899</v>
      </c>
      <c r="H220" s="57">
        <v>13</v>
      </c>
      <c r="I220" s="57">
        <v>40900</v>
      </c>
      <c r="J220" s="57">
        <v>139182.61835496791</v>
      </c>
      <c r="K220" s="57">
        <v>4429.6167247386766</v>
      </c>
      <c r="L220" s="57">
        <v>1271.3</v>
      </c>
      <c r="M220" s="57">
        <v>28.7</v>
      </c>
      <c r="N220" s="57" t="s">
        <v>404</v>
      </c>
      <c r="O220" s="57">
        <v>28.7</v>
      </c>
      <c r="P220" s="57"/>
      <c r="Q220" s="57"/>
      <c r="R220" s="57"/>
      <c r="S220" s="57"/>
      <c r="T220" s="57"/>
      <c r="U220" s="57"/>
      <c r="V220" s="57"/>
      <c r="W220" s="451"/>
      <c r="X220" s="145"/>
      <c r="Y220" s="223"/>
      <c r="Z220" s="22"/>
      <c r="AA220"/>
      <c r="AC220"/>
      <c r="AE220" s="9"/>
      <c r="AG220" s="27"/>
      <c r="AH220" s="84"/>
      <c r="AI220" s="13"/>
      <c r="AP220"/>
      <c r="AR220"/>
      <c r="AV220"/>
      <c r="AW220"/>
      <c r="AX220"/>
      <c r="AY220"/>
      <c r="AZ220"/>
      <c r="BC220"/>
      <c r="BD220"/>
      <c r="BG220"/>
      <c r="BH220"/>
      <c r="BI220"/>
      <c r="BJ220"/>
      <c r="BS220"/>
      <c r="BU220"/>
      <c r="BV220"/>
      <c r="BX220"/>
    </row>
    <row r="221" spans="1:76" ht="15.75">
      <c r="A221" s="263" t="s">
        <v>251</v>
      </c>
      <c r="B221" t="s">
        <v>361</v>
      </c>
      <c r="C221" s="57"/>
      <c r="D221" s="57">
        <v>115</v>
      </c>
      <c r="E221" s="57">
        <v>1000</v>
      </c>
      <c r="F221" s="57">
        <v>1.77</v>
      </c>
      <c r="G221" s="57">
        <v>40695</v>
      </c>
      <c r="H221" s="57">
        <v>0.32</v>
      </c>
      <c r="I221" s="57">
        <v>40816</v>
      </c>
      <c r="J221" s="57">
        <v>-521.17198383737957</v>
      </c>
      <c r="K221" s="57">
        <v>-82.231106668887762</v>
      </c>
      <c r="L221" s="57">
        <v>-1480.9</v>
      </c>
      <c r="M221" s="57">
        <v>30.9</v>
      </c>
      <c r="N221" s="57" t="s">
        <v>278</v>
      </c>
      <c r="O221" s="57">
        <v>1800.9</v>
      </c>
      <c r="P221" s="57"/>
      <c r="Q221" s="57"/>
      <c r="R221" s="57"/>
      <c r="S221" s="57"/>
      <c r="T221" s="57"/>
      <c r="U221" s="57"/>
      <c r="V221" s="57"/>
      <c r="W221" s="451"/>
      <c r="X221" s="145"/>
      <c r="Y221" s="223"/>
      <c r="Z221" s="22"/>
      <c r="AA221"/>
      <c r="AC221"/>
      <c r="AE221" s="9"/>
      <c r="AG221" s="27"/>
      <c r="AH221" s="84"/>
      <c r="AI221" s="13"/>
      <c r="AP221"/>
      <c r="AR221"/>
      <c r="AV221"/>
      <c r="AW221"/>
      <c r="AX221"/>
      <c r="AY221"/>
      <c r="AZ221"/>
      <c r="BC221"/>
      <c r="BD221"/>
      <c r="BG221"/>
      <c r="BH221"/>
      <c r="BI221"/>
      <c r="BJ221"/>
      <c r="BS221"/>
      <c r="BU221"/>
      <c r="BV221"/>
      <c r="BX221"/>
    </row>
    <row r="222" spans="1:76" ht="15.75">
      <c r="A222" s="263" t="s">
        <v>19</v>
      </c>
      <c r="B222" t="s">
        <v>197</v>
      </c>
      <c r="C222" s="57"/>
      <c r="D222" s="57">
        <v>54</v>
      </c>
      <c r="E222" s="57">
        <v>1000</v>
      </c>
      <c r="F222" s="57">
        <v>2.4024000000000001</v>
      </c>
      <c r="G222" s="57">
        <v>40645</v>
      </c>
      <c r="H222" s="57">
        <v>2.98</v>
      </c>
      <c r="I222" s="57">
        <v>40647</v>
      </c>
      <c r="J222" s="57">
        <v>3698.8176505295055</v>
      </c>
      <c r="K222" s="57">
        <v>22.467431060699461</v>
      </c>
      <c r="L222" s="57">
        <v>546.70000000000005</v>
      </c>
      <c r="M222" s="57">
        <v>30.9</v>
      </c>
      <c r="N222" s="57" t="s">
        <v>258</v>
      </c>
      <c r="O222" s="57">
        <v>2433.3000000000002</v>
      </c>
      <c r="P222" s="57"/>
      <c r="Q222" s="57"/>
      <c r="R222" s="57"/>
      <c r="S222" s="57"/>
      <c r="T222" s="57"/>
      <c r="U222" s="57"/>
      <c r="V222" s="57"/>
      <c r="W222" s="451"/>
      <c r="X222" s="145"/>
      <c r="Y222" s="223"/>
      <c r="Z222" s="22"/>
      <c r="AA222"/>
      <c r="AC222"/>
      <c r="AE222" s="9"/>
      <c r="AG222" s="27"/>
      <c r="AH222" s="84"/>
      <c r="AI222" s="13"/>
      <c r="AP222"/>
      <c r="AR222"/>
      <c r="AV222"/>
      <c r="AW222"/>
      <c r="AX222"/>
      <c r="AY222"/>
      <c r="AZ222"/>
      <c r="BC222"/>
      <c r="BD222"/>
      <c r="BG222"/>
      <c r="BH222"/>
      <c r="BI222"/>
      <c r="BJ222"/>
      <c r="BS222"/>
      <c r="BU222"/>
      <c r="BV222"/>
      <c r="BX222"/>
    </row>
    <row r="223" spans="1:76" ht="15.75">
      <c r="A223" s="263" t="s">
        <v>87</v>
      </c>
      <c r="C223" s="57"/>
      <c r="D223" s="57">
        <v>66</v>
      </c>
      <c r="E223" s="57">
        <v>500</v>
      </c>
      <c r="F223" s="57">
        <v>2.2000000000000002</v>
      </c>
      <c r="G223" s="57">
        <v>40105</v>
      </c>
      <c r="H223" s="57">
        <v>5.5</v>
      </c>
      <c r="I223" s="57">
        <v>40694</v>
      </c>
      <c r="J223" s="57">
        <v>56.33576392440952</v>
      </c>
      <c r="K223" s="57">
        <v>148.20614648675482</v>
      </c>
      <c r="L223" s="57">
        <v>1642.05</v>
      </c>
      <c r="M223" s="57">
        <v>7.95</v>
      </c>
      <c r="N223" s="57" t="s">
        <v>145</v>
      </c>
      <c r="O223" s="57">
        <v>1107.95</v>
      </c>
      <c r="P223" s="57"/>
      <c r="Q223" s="57"/>
      <c r="R223" s="57"/>
      <c r="S223" s="57"/>
      <c r="T223" s="57"/>
      <c r="U223" s="57"/>
      <c r="V223" s="57"/>
      <c r="W223" s="451"/>
      <c r="X223" s="145"/>
      <c r="Y223" s="223"/>
      <c r="Z223" s="22"/>
      <c r="AA223"/>
      <c r="AC223"/>
      <c r="AE223" s="9"/>
      <c r="AG223" s="27"/>
      <c r="AH223" s="84"/>
      <c r="AI223" s="13"/>
      <c r="AP223"/>
      <c r="AR223"/>
      <c r="AV223"/>
      <c r="AW223"/>
      <c r="AX223"/>
      <c r="AY223"/>
      <c r="AZ223"/>
      <c r="BC223"/>
      <c r="BD223"/>
      <c r="BG223"/>
      <c r="BH223"/>
      <c r="BI223"/>
      <c r="BJ223"/>
      <c r="BS223"/>
      <c r="BU223"/>
      <c r="BV223"/>
      <c r="BX223"/>
    </row>
    <row r="224" spans="1:76" ht="15.75">
      <c r="A224" s="263" t="s">
        <v>250</v>
      </c>
      <c r="B224" t="s">
        <v>978</v>
      </c>
      <c r="C224" s="57"/>
      <c r="D224" s="57">
        <v>475</v>
      </c>
      <c r="E224" s="57">
        <v>100</v>
      </c>
      <c r="F224" s="57">
        <v>0.95</v>
      </c>
      <c r="G224" s="57">
        <v>41628</v>
      </c>
      <c r="H224" s="57">
        <v>0.8</v>
      </c>
      <c r="I224" s="57">
        <v>41629</v>
      </c>
      <c r="J224" s="57">
        <v>-12411.361551678374</v>
      </c>
      <c r="K224" s="57">
        <v>-28.825622775800699</v>
      </c>
      <c r="L224" s="57">
        <v>-32.4</v>
      </c>
      <c r="M224" s="57">
        <v>17.399999999999999</v>
      </c>
      <c r="N224" s="57" t="s">
        <v>15</v>
      </c>
      <c r="O224" s="57">
        <v>112.4</v>
      </c>
      <c r="P224" s="57"/>
      <c r="Q224" s="57"/>
      <c r="R224" s="57"/>
      <c r="S224" s="57"/>
      <c r="T224" s="57"/>
      <c r="U224" s="57"/>
      <c r="V224" s="57"/>
      <c r="W224" s="451"/>
      <c r="X224" s="145"/>
      <c r="Y224" s="223"/>
      <c r="Z224" s="22"/>
      <c r="AA224"/>
      <c r="AC224"/>
      <c r="AE224" s="9"/>
      <c r="AG224" s="27"/>
      <c r="AH224" s="84"/>
      <c r="AI224" s="13"/>
      <c r="AP224"/>
      <c r="AR224"/>
      <c r="AV224"/>
      <c r="AW224"/>
      <c r="AX224"/>
      <c r="AY224"/>
      <c r="AZ224"/>
      <c r="BC224"/>
      <c r="BD224"/>
      <c r="BG224"/>
      <c r="BH224"/>
      <c r="BI224"/>
      <c r="BJ224"/>
      <c r="BS224"/>
      <c r="BU224"/>
      <c r="BV224"/>
      <c r="BX224"/>
    </row>
    <row r="225" spans="1:76" ht="15.75">
      <c r="A225" s="263" t="s">
        <v>250</v>
      </c>
      <c r="B225" t="s">
        <v>981</v>
      </c>
      <c r="C225" s="57"/>
      <c r="D225" s="57">
        <v>479</v>
      </c>
      <c r="E225" s="57">
        <v>100</v>
      </c>
      <c r="F225" s="57">
        <v>0.5</v>
      </c>
      <c r="G225" s="57">
        <v>41631</v>
      </c>
      <c r="H225" s="57">
        <v>1.6</v>
      </c>
      <c r="I225" s="57">
        <v>41656</v>
      </c>
      <c r="J225" s="57">
        <v>1262.2120440807259</v>
      </c>
      <c r="K225" s="57">
        <v>137.38872403560836</v>
      </c>
      <c r="L225" s="57">
        <v>92.6</v>
      </c>
      <c r="M225" s="57">
        <v>17.399999999999999</v>
      </c>
      <c r="N225" s="57" t="s">
        <v>15</v>
      </c>
      <c r="O225" s="57">
        <v>67.400000000000006</v>
      </c>
      <c r="P225" s="57"/>
      <c r="Q225" s="57"/>
      <c r="R225" s="57"/>
      <c r="S225" s="57"/>
      <c r="T225" s="57"/>
      <c r="U225" s="57"/>
      <c r="V225" s="57"/>
      <c r="W225" s="451"/>
      <c r="X225" s="145"/>
      <c r="Y225" s="223"/>
      <c r="Z225" s="22"/>
      <c r="AA225"/>
      <c r="AC225"/>
      <c r="AE225" s="9"/>
      <c r="AG225" s="27"/>
      <c r="AH225" s="84"/>
      <c r="AI225" s="13"/>
      <c r="AP225"/>
      <c r="AR225"/>
      <c r="AV225"/>
      <c r="AW225"/>
      <c r="AX225"/>
      <c r="AY225"/>
      <c r="AZ225"/>
      <c r="BC225"/>
      <c r="BD225"/>
      <c r="BG225"/>
      <c r="BH225"/>
      <c r="BI225"/>
      <c r="BJ225"/>
      <c r="BS225"/>
      <c r="BU225"/>
      <c r="BV225"/>
      <c r="BX225"/>
    </row>
    <row r="226" spans="1:76" ht="15.75">
      <c r="A226" s="263" t="s">
        <v>250</v>
      </c>
      <c r="B226" t="s">
        <v>994</v>
      </c>
      <c r="C226" s="57"/>
      <c r="D226" s="57">
        <v>491</v>
      </c>
      <c r="E226" s="57">
        <v>100</v>
      </c>
      <c r="F226" s="57">
        <v>1.66</v>
      </c>
      <c r="G226" s="57">
        <v>41667</v>
      </c>
      <c r="H226" s="57">
        <v>1.2</v>
      </c>
      <c r="I226" s="57">
        <v>41719</v>
      </c>
      <c r="J226" s="57">
        <v>-303.57824160728677</v>
      </c>
      <c r="K226" s="57">
        <v>-34.56924754634678</v>
      </c>
      <c r="L226" s="57">
        <v>-63.4</v>
      </c>
      <c r="M226" s="57">
        <v>17.399999999999999</v>
      </c>
      <c r="N226" s="57" t="s">
        <v>15</v>
      </c>
      <c r="O226" s="57">
        <v>183.4</v>
      </c>
      <c r="P226" s="57"/>
      <c r="Q226" s="57"/>
      <c r="R226" s="57"/>
      <c r="S226" s="57"/>
      <c r="T226" s="57"/>
      <c r="U226" s="57"/>
      <c r="V226" s="57"/>
      <c r="W226" s="451"/>
      <c r="X226" s="145"/>
      <c r="Y226" s="223"/>
      <c r="Z226" s="22"/>
      <c r="AA226"/>
      <c r="AC226"/>
      <c r="AE226" s="9"/>
      <c r="AG226" s="27"/>
      <c r="AH226" s="84"/>
      <c r="AI226" s="13"/>
      <c r="AP226"/>
      <c r="AR226"/>
      <c r="AV226"/>
      <c r="AW226"/>
      <c r="AX226"/>
      <c r="AY226"/>
      <c r="AZ226"/>
      <c r="BC226"/>
      <c r="BD226"/>
      <c r="BG226"/>
      <c r="BH226"/>
      <c r="BI226"/>
      <c r="BJ226"/>
      <c r="BS226"/>
      <c r="BU226"/>
      <c r="BV226"/>
      <c r="BX226"/>
    </row>
    <row r="227" spans="1:76" ht="15.75">
      <c r="A227" s="263" t="s">
        <v>250</v>
      </c>
      <c r="B227" t="s">
        <v>250</v>
      </c>
      <c r="C227" s="57"/>
      <c r="D227" s="57">
        <v>511</v>
      </c>
      <c r="E227" s="57">
        <v>100</v>
      </c>
      <c r="F227" s="57">
        <v>13.135999999999999</v>
      </c>
      <c r="G227" s="57">
        <v>41568</v>
      </c>
      <c r="H227" s="57">
        <v>16</v>
      </c>
      <c r="I227" s="57">
        <v>42048</v>
      </c>
      <c r="J227" s="57">
        <v>14.539040369566234</v>
      </c>
      <c r="K227" s="57">
        <v>21.06995573379745</v>
      </c>
      <c r="L227" s="57">
        <v>278.45</v>
      </c>
      <c r="M227" s="57">
        <v>7.95</v>
      </c>
      <c r="N227" s="57" t="s">
        <v>145</v>
      </c>
      <c r="O227" s="57">
        <v>1321.55</v>
      </c>
      <c r="P227" s="57"/>
      <c r="Q227" s="57"/>
      <c r="R227" s="57"/>
      <c r="S227" s="57"/>
      <c r="T227" s="57"/>
      <c r="U227" s="57"/>
      <c r="V227" s="57"/>
      <c r="W227" s="451"/>
      <c r="X227" s="145"/>
      <c r="Y227" s="223"/>
      <c r="Z227" s="22"/>
      <c r="AA227"/>
      <c r="AC227"/>
      <c r="AE227" s="9"/>
      <c r="AG227" s="27"/>
      <c r="AH227" s="84"/>
      <c r="AI227" s="13"/>
      <c r="AP227"/>
      <c r="AR227"/>
      <c r="AV227"/>
      <c r="AW227"/>
      <c r="AX227"/>
      <c r="AY227"/>
      <c r="AZ227"/>
      <c r="BC227"/>
      <c r="BD227"/>
      <c r="BG227"/>
      <c r="BH227"/>
      <c r="BI227"/>
      <c r="BJ227"/>
      <c r="BS227"/>
      <c r="BU227"/>
      <c r="BV227"/>
      <c r="BX227"/>
    </row>
    <row r="228" spans="1:76" ht="15.75">
      <c r="A228" s="263" t="s">
        <v>141</v>
      </c>
      <c r="B228" t="s">
        <v>690</v>
      </c>
      <c r="C228" s="57"/>
      <c r="D228" s="57">
        <v>371</v>
      </c>
      <c r="E228" s="57">
        <v>200</v>
      </c>
      <c r="F228" s="57">
        <v>3.25</v>
      </c>
      <c r="G228" s="57">
        <v>41026</v>
      </c>
      <c r="H228" s="57">
        <v>2.6</v>
      </c>
      <c r="I228" s="57">
        <v>41170</v>
      </c>
      <c r="J228" s="57">
        <v>-63.825765694683753</v>
      </c>
      <c r="K228" s="57">
        <v>-22.260427567648374</v>
      </c>
      <c r="L228" s="57">
        <v>-148.9</v>
      </c>
      <c r="M228" s="57">
        <v>18.899999999999999</v>
      </c>
      <c r="N228" s="57" t="s">
        <v>258</v>
      </c>
      <c r="O228" s="57">
        <v>668.9</v>
      </c>
      <c r="P228" s="57"/>
      <c r="Q228" s="57"/>
      <c r="R228" s="57"/>
      <c r="S228" s="57"/>
      <c r="T228" s="57"/>
      <c r="U228" s="57"/>
      <c r="V228" s="57"/>
      <c r="W228" s="451"/>
      <c r="X228" s="145"/>
      <c r="Y228" s="223"/>
      <c r="Z228" s="22"/>
      <c r="AA228"/>
      <c r="AC228"/>
      <c r="AE228" s="9"/>
      <c r="AG228" s="27"/>
      <c r="AH228" s="84"/>
      <c r="AI228" s="13"/>
      <c r="AP228"/>
      <c r="AR228"/>
      <c r="AV228"/>
      <c r="AW228"/>
      <c r="AX228"/>
      <c r="AY228"/>
      <c r="AZ228"/>
      <c r="BC228"/>
      <c r="BD228"/>
      <c r="BG228"/>
      <c r="BH228"/>
      <c r="BI228"/>
      <c r="BJ228"/>
      <c r="BS228"/>
      <c r="BU228"/>
      <c r="BV228"/>
      <c r="BX228"/>
    </row>
    <row r="229" spans="1:76" ht="15.75">
      <c r="A229" s="263" t="s">
        <v>433</v>
      </c>
      <c r="B229" t="s">
        <v>433</v>
      </c>
      <c r="C229" s="57"/>
      <c r="D229" s="57">
        <v>200</v>
      </c>
      <c r="E229" s="57">
        <v>102</v>
      </c>
      <c r="F229" s="57">
        <v>14.8241</v>
      </c>
      <c r="G229" s="57">
        <v>40869</v>
      </c>
      <c r="H229" s="57">
        <v>16</v>
      </c>
      <c r="I229" s="57">
        <v>40925</v>
      </c>
      <c r="J229" s="57">
        <v>46.335789894509801</v>
      </c>
      <c r="K229" s="57">
        <v>7.3678418313795948</v>
      </c>
      <c r="L229" s="57">
        <v>111.9918</v>
      </c>
      <c r="M229" s="57">
        <v>7.95</v>
      </c>
      <c r="N229" s="57" t="s">
        <v>145</v>
      </c>
      <c r="O229" s="57">
        <v>1520.0082</v>
      </c>
      <c r="P229" s="57"/>
      <c r="Q229" s="57"/>
      <c r="R229" s="57"/>
      <c r="S229" s="57"/>
      <c r="T229" s="57"/>
      <c r="U229" s="57"/>
      <c r="V229" s="57"/>
      <c r="W229" s="451"/>
      <c r="X229" s="145"/>
      <c r="Y229" s="223"/>
      <c r="Z229" s="22"/>
      <c r="AA229"/>
      <c r="AC229"/>
      <c r="AE229" s="9"/>
      <c r="AG229" s="27"/>
      <c r="AH229" s="84"/>
      <c r="AI229" s="13"/>
      <c r="AP229"/>
      <c r="AR229"/>
      <c r="AV229"/>
      <c r="AW229"/>
      <c r="AX229"/>
      <c r="AY229"/>
      <c r="AZ229"/>
      <c r="BC229"/>
      <c r="BD229"/>
      <c r="BG229"/>
      <c r="BH229"/>
      <c r="BI229"/>
      <c r="BJ229"/>
      <c r="BS229"/>
      <c r="BU229"/>
      <c r="BV229"/>
      <c r="BX229"/>
    </row>
    <row r="230" spans="1:76" ht="15.75">
      <c r="A230" s="263" t="s">
        <v>107</v>
      </c>
      <c r="B230" t="s">
        <v>191</v>
      </c>
      <c r="C230" s="57"/>
      <c r="D230" s="57">
        <v>42</v>
      </c>
      <c r="E230" s="57">
        <v>900</v>
      </c>
      <c r="F230" s="57">
        <v>5.5236000000000001</v>
      </c>
      <c r="G230" s="57">
        <v>40562</v>
      </c>
      <c r="H230" s="57">
        <v>6.1</v>
      </c>
      <c r="I230" s="57">
        <v>40596</v>
      </c>
      <c r="J230" s="57">
        <v>100.22723004912804</v>
      </c>
      <c r="K230" s="57">
        <v>9.7859473987329544</v>
      </c>
      <c r="L230" s="57">
        <v>489.36</v>
      </c>
      <c r="M230" s="57">
        <v>29.4</v>
      </c>
      <c r="N230" s="57" t="s">
        <v>278</v>
      </c>
      <c r="O230" s="57">
        <v>5000.6400000000003</v>
      </c>
      <c r="P230" s="57"/>
      <c r="Q230" s="57"/>
      <c r="R230" s="57"/>
      <c r="S230" s="57"/>
      <c r="T230" s="57"/>
      <c r="U230" s="57"/>
      <c r="V230" s="57"/>
      <c r="W230" s="451"/>
      <c r="X230" s="145"/>
      <c r="Y230" s="223"/>
      <c r="Z230" s="22"/>
      <c r="AA230"/>
      <c r="AC230"/>
      <c r="AE230" s="9"/>
      <c r="AG230" s="27"/>
      <c r="AH230" s="84"/>
      <c r="AI230" s="13"/>
      <c r="AP230"/>
      <c r="AR230"/>
      <c r="AV230"/>
      <c r="AW230"/>
      <c r="AX230"/>
      <c r="AY230"/>
      <c r="AZ230"/>
      <c r="BC230"/>
      <c r="BD230"/>
      <c r="BG230"/>
      <c r="BH230"/>
      <c r="BI230"/>
      <c r="BJ230"/>
      <c r="BS230"/>
      <c r="BU230"/>
      <c r="BV230"/>
      <c r="BX230"/>
    </row>
    <row r="231" spans="1:76" ht="15.75">
      <c r="A231" s="263" t="s">
        <v>107</v>
      </c>
      <c r="B231" t="s">
        <v>176</v>
      </c>
      <c r="C231" s="57"/>
      <c r="D231" s="57">
        <v>64</v>
      </c>
      <c r="E231" s="57">
        <v>900</v>
      </c>
      <c r="F231" s="57">
        <v>2.3E-2</v>
      </c>
      <c r="G231" s="57">
        <v>40623</v>
      </c>
      <c r="H231" s="57">
        <v>0.9</v>
      </c>
      <c r="I231" s="57">
        <v>40684</v>
      </c>
      <c r="J231" s="57">
        <v>1665.2456269592101</v>
      </c>
      <c r="K231" s="57">
        <v>1516.7664670658685</v>
      </c>
      <c r="L231" s="57">
        <v>759.9</v>
      </c>
      <c r="M231" s="57">
        <v>29.4</v>
      </c>
      <c r="N231" s="57" t="s">
        <v>15</v>
      </c>
      <c r="O231" s="57">
        <v>50.1</v>
      </c>
      <c r="P231" s="57"/>
      <c r="Q231" s="57"/>
      <c r="R231" s="57"/>
      <c r="S231" s="57"/>
      <c r="T231" s="57"/>
      <c r="U231" s="57"/>
      <c r="V231" s="57"/>
      <c r="W231" s="451"/>
      <c r="X231" s="145"/>
      <c r="Y231" s="223"/>
      <c r="Z231" s="22"/>
      <c r="AA231"/>
      <c r="AC231"/>
      <c r="AE231" s="9"/>
      <c r="AG231" s="27"/>
      <c r="AH231" s="84"/>
      <c r="AI231" s="13"/>
      <c r="AP231"/>
      <c r="AR231"/>
      <c r="AV231"/>
      <c r="AW231"/>
      <c r="AX231"/>
      <c r="AY231"/>
      <c r="AZ231"/>
      <c r="BC231"/>
      <c r="BD231"/>
      <c r="BG231"/>
      <c r="BH231"/>
      <c r="BI231"/>
      <c r="BJ231"/>
      <c r="BS231"/>
      <c r="BU231"/>
      <c r="BV231"/>
      <c r="BX231"/>
    </row>
    <row r="232" spans="1:76" ht="15.75">
      <c r="A232" s="263" t="s">
        <v>107</v>
      </c>
      <c r="B232" t="s">
        <v>289</v>
      </c>
      <c r="C232" s="57"/>
      <c r="D232" s="57">
        <v>75</v>
      </c>
      <c r="E232" s="57">
        <v>900</v>
      </c>
      <c r="F232" s="57">
        <v>0</v>
      </c>
      <c r="G232" s="57">
        <v>40688</v>
      </c>
      <c r="H232" s="57">
        <v>0.65</v>
      </c>
      <c r="I232" s="57">
        <v>40712</v>
      </c>
      <c r="J232" s="57">
        <v>5602.3916208675655</v>
      </c>
      <c r="K232" s="57">
        <v>3879.5918367346949</v>
      </c>
      <c r="L232" s="57">
        <v>570.29999999999995</v>
      </c>
      <c r="M232" s="57">
        <v>14.7</v>
      </c>
      <c r="N232" s="57" t="s">
        <v>403</v>
      </c>
      <c r="O232" s="57">
        <v>14.7</v>
      </c>
      <c r="P232" s="57"/>
      <c r="Q232" s="57"/>
      <c r="R232" s="57"/>
      <c r="S232" s="57"/>
      <c r="T232" s="57"/>
      <c r="U232" s="57"/>
      <c r="V232" s="57"/>
      <c r="W232" s="451"/>
      <c r="X232" s="145"/>
      <c r="Y232" s="223"/>
      <c r="Z232" s="22"/>
      <c r="AA232"/>
      <c r="AC232"/>
      <c r="AE232" s="9"/>
      <c r="AG232" s="27"/>
      <c r="AH232" s="84"/>
      <c r="AI232" s="13"/>
      <c r="AP232"/>
      <c r="AR232"/>
      <c r="AV232"/>
      <c r="AW232"/>
      <c r="AX232"/>
      <c r="AY232"/>
      <c r="AZ232"/>
      <c r="BC232"/>
      <c r="BD232"/>
      <c r="BG232"/>
      <c r="BH232"/>
      <c r="BI232"/>
      <c r="BJ232"/>
      <c r="BS232"/>
      <c r="BU232"/>
      <c r="BV232"/>
      <c r="BX232"/>
    </row>
    <row r="233" spans="1:76" ht="15.75">
      <c r="A233" s="263" t="s">
        <v>107</v>
      </c>
      <c r="C233" s="57"/>
      <c r="D233" s="57">
        <v>85</v>
      </c>
      <c r="E233" s="57">
        <v>900</v>
      </c>
      <c r="F233" s="57">
        <v>9</v>
      </c>
      <c r="G233" s="57">
        <v>40616</v>
      </c>
      <c r="H233" s="57">
        <v>5</v>
      </c>
      <c r="I233" s="57">
        <v>40743</v>
      </c>
      <c r="J233" s="57">
        <v>-169.21275412727155</v>
      </c>
      <c r="K233" s="57">
        <v>-44.498917728895712</v>
      </c>
      <c r="L233" s="57">
        <v>-3607.95</v>
      </c>
      <c r="M233" s="57">
        <v>7.95</v>
      </c>
      <c r="N233" s="57" t="s">
        <v>145</v>
      </c>
      <c r="O233" s="57">
        <v>8107.95</v>
      </c>
      <c r="P233" s="57"/>
      <c r="Q233" s="57"/>
      <c r="R233" s="57"/>
      <c r="S233" s="57"/>
      <c r="T233" s="57"/>
      <c r="U233" s="57"/>
      <c r="V233" s="57"/>
      <c r="W233" s="451"/>
      <c r="X233" s="145"/>
      <c r="Y233" s="223"/>
      <c r="Z233" s="22"/>
      <c r="AA233"/>
      <c r="AC233"/>
      <c r="AE233" s="9"/>
      <c r="AG233" s="27"/>
      <c r="AH233" s="84"/>
      <c r="AI233" s="13"/>
      <c r="AP233"/>
      <c r="AR233"/>
      <c r="AV233"/>
      <c r="AW233"/>
      <c r="AX233"/>
      <c r="AY233"/>
      <c r="AZ233"/>
      <c r="BC233"/>
      <c r="BD233"/>
      <c r="BG233"/>
      <c r="BH233"/>
      <c r="BI233"/>
      <c r="BJ233"/>
      <c r="BS233"/>
      <c r="BU233"/>
      <c r="BV233"/>
      <c r="BX233"/>
    </row>
    <row r="234" spans="1:76" ht="15.75">
      <c r="A234" s="263" t="s">
        <v>107</v>
      </c>
      <c r="B234" t="s">
        <v>293</v>
      </c>
      <c r="C234" s="57"/>
      <c r="D234" s="57">
        <v>86</v>
      </c>
      <c r="E234" s="57">
        <v>900</v>
      </c>
      <c r="F234" s="57">
        <v>0</v>
      </c>
      <c r="G234" s="57">
        <v>40715</v>
      </c>
      <c r="H234" s="57">
        <v>1.95</v>
      </c>
      <c r="I234" s="57">
        <v>40743</v>
      </c>
      <c r="J234" s="57">
        <v>5114.5422280918247</v>
      </c>
      <c r="K234" s="57">
        <v>4957.6368876080696</v>
      </c>
      <c r="L234" s="57">
        <v>1720.3</v>
      </c>
      <c r="M234" s="57">
        <v>34.700000000000003</v>
      </c>
      <c r="N234" s="57" t="s">
        <v>404</v>
      </c>
      <c r="O234" s="57">
        <v>34.700000000000003</v>
      </c>
      <c r="P234" s="57"/>
      <c r="Q234" s="57"/>
      <c r="R234" s="57"/>
      <c r="S234" s="57"/>
      <c r="T234" s="57"/>
      <c r="U234" s="57"/>
      <c r="V234" s="57"/>
      <c r="W234" s="451"/>
      <c r="X234" s="145"/>
      <c r="Y234" s="223"/>
      <c r="Z234" s="22"/>
      <c r="AA234"/>
      <c r="AC234"/>
      <c r="AE234" s="9"/>
      <c r="AG234" s="27"/>
      <c r="AH234" s="84"/>
      <c r="AI234" s="13"/>
      <c r="AP234"/>
      <c r="AR234"/>
      <c r="AV234"/>
      <c r="AW234"/>
      <c r="AX234"/>
      <c r="AY234"/>
      <c r="AZ234"/>
      <c r="BC234"/>
      <c r="BD234"/>
      <c r="BG234"/>
      <c r="BH234"/>
      <c r="BI234"/>
      <c r="BJ234"/>
      <c r="BS234"/>
      <c r="BU234"/>
      <c r="BV234"/>
      <c r="BX234"/>
    </row>
    <row r="235" spans="1:76" ht="15.75">
      <c r="A235" s="263" t="s">
        <v>88</v>
      </c>
      <c r="C235" s="57"/>
      <c r="D235" s="57">
        <v>29</v>
      </c>
      <c r="E235" s="57">
        <v>25</v>
      </c>
      <c r="F235" s="57">
        <v>1.35</v>
      </c>
      <c r="G235" s="57">
        <v>40200</v>
      </c>
      <c r="H235" s="57">
        <v>2.23</v>
      </c>
      <c r="I235" s="57">
        <v>40483</v>
      </c>
      <c r="J235" s="57">
        <v>37.584164099449431</v>
      </c>
      <c r="K235" s="57">
        <v>33.693045563549148</v>
      </c>
      <c r="L235" s="57">
        <v>14.05</v>
      </c>
      <c r="M235" s="57">
        <v>7.95</v>
      </c>
      <c r="N235" s="57" t="s">
        <v>145</v>
      </c>
      <c r="O235" s="57">
        <v>41.7</v>
      </c>
      <c r="P235" s="57"/>
      <c r="Q235" s="57"/>
      <c r="R235" s="57"/>
      <c r="S235" s="57"/>
      <c r="T235" s="57"/>
      <c r="U235" s="57"/>
      <c r="V235" s="57"/>
      <c r="W235" s="451"/>
      <c r="X235" s="145"/>
      <c r="Y235" s="223"/>
      <c r="Z235" s="22"/>
      <c r="AA235"/>
      <c r="AC235"/>
      <c r="AE235" s="9"/>
      <c r="AG235" s="27"/>
      <c r="AH235" s="84"/>
      <c r="AI235" s="13"/>
      <c r="AP235"/>
      <c r="AR235"/>
      <c r="AV235"/>
      <c r="AW235"/>
      <c r="AX235"/>
      <c r="AY235"/>
      <c r="AZ235"/>
      <c r="BC235"/>
      <c r="BD235"/>
      <c r="BG235"/>
      <c r="BH235"/>
      <c r="BI235"/>
      <c r="BJ235"/>
      <c r="BS235"/>
      <c r="BU235"/>
      <c r="BV235"/>
      <c r="BX235"/>
    </row>
    <row r="236" spans="1:76" ht="15.75">
      <c r="A236" s="263" t="s">
        <v>54</v>
      </c>
      <c r="B236" t="s">
        <v>175</v>
      </c>
      <c r="C236" s="57"/>
      <c r="D236" s="57">
        <v>53</v>
      </c>
      <c r="E236" s="57">
        <v>500</v>
      </c>
      <c r="F236" s="57">
        <v>3.3323999999999998</v>
      </c>
      <c r="G236" s="57">
        <v>40553</v>
      </c>
      <c r="H236" s="57">
        <v>3.4</v>
      </c>
      <c r="I236" s="57">
        <v>40676</v>
      </c>
      <c r="J236" s="57">
        <v>1.8359010936993845</v>
      </c>
      <c r="K236" s="57">
        <v>0.61553030303030098</v>
      </c>
      <c r="L236" s="57">
        <v>10.4</v>
      </c>
      <c r="M236" s="57">
        <v>23.4</v>
      </c>
      <c r="N236" s="57" t="s">
        <v>258</v>
      </c>
      <c r="O236" s="57">
        <v>1689.6</v>
      </c>
      <c r="P236" s="57"/>
      <c r="Q236" s="57"/>
      <c r="R236" s="57"/>
      <c r="S236" s="57"/>
      <c r="T236" s="57"/>
      <c r="U236" s="57"/>
      <c r="V236" s="57"/>
      <c r="W236" s="451"/>
      <c r="X236" s="145"/>
      <c r="Y236" s="223"/>
      <c r="Z236" s="22"/>
      <c r="AA236"/>
      <c r="AC236"/>
      <c r="AE236" s="9"/>
      <c r="AG236" s="27"/>
      <c r="AH236" s="84"/>
      <c r="AI236" s="13"/>
      <c r="AP236"/>
      <c r="AR236"/>
      <c r="AV236"/>
      <c r="AW236"/>
      <c r="AX236"/>
      <c r="AY236"/>
      <c r="AZ236"/>
      <c r="BC236"/>
      <c r="BD236"/>
      <c r="BG236"/>
      <c r="BH236"/>
      <c r="BI236"/>
      <c r="BJ236"/>
      <c r="BS236"/>
      <c r="BU236"/>
      <c r="BV236"/>
      <c r="BX236"/>
    </row>
    <row r="237" spans="1:76" ht="15.75">
      <c r="A237" s="263" t="s">
        <v>422</v>
      </c>
      <c r="B237" t="s">
        <v>422</v>
      </c>
      <c r="C237" s="57"/>
      <c r="D237" s="57">
        <v>172</v>
      </c>
      <c r="E237" s="57">
        <v>100</v>
      </c>
      <c r="F237" s="57">
        <v>19.61</v>
      </c>
      <c r="G237" s="57">
        <v>40870</v>
      </c>
      <c r="H237" s="57">
        <v>23.770399999999999</v>
      </c>
      <c r="I237" s="57">
        <v>40882</v>
      </c>
      <c r="J237" s="57">
        <v>572.91498174613901</v>
      </c>
      <c r="K237" s="57">
        <v>20.726275425988472</v>
      </c>
      <c r="L237" s="57">
        <v>408.09</v>
      </c>
      <c r="M237" s="57">
        <v>7.95</v>
      </c>
      <c r="N237" s="57" t="s">
        <v>145</v>
      </c>
      <c r="O237" s="57">
        <v>1968.95</v>
      </c>
      <c r="P237" s="57"/>
      <c r="Q237" s="57"/>
      <c r="R237" s="57"/>
      <c r="S237" s="57"/>
      <c r="T237" s="57"/>
      <c r="U237" s="57"/>
      <c r="V237" s="57"/>
      <c r="W237" s="451"/>
      <c r="X237" s="145"/>
      <c r="Y237" s="223"/>
      <c r="Z237" s="22"/>
      <c r="AA237"/>
      <c r="AC237"/>
      <c r="AE237" s="9"/>
      <c r="AG237" s="27"/>
      <c r="AH237" s="84"/>
      <c r="AI237" s="13"/>
      <c r="AP237"/>
      <c r="AR237"/>
      <c r="AV237"/>
      <c r="AW237"/>
      <c r="AX237"/>
      <c r="AY237"/>
      <c r="AZ237"/>
      <c r="BC237"/>
      <c r="BD237"/>
      <c r="BG237"/>
      <c r="BH237"/>
      <c r="BI237"/>
      <c r="BJ237"/>
      <c r="BS237"/>
      <c r="BU237"/>
      <c r="BV237"/>
      <c r="BX237"/>
    </row>
    <row r="238" spans="1:76" ht="15.75">
      <c r="A238" s="263" t="s">
        <v>271</v>
      </c>
      <c r="B238" t="s">
        <v>692</v>
      </c>
      <c r="C238" s="57"/>
      <c r="D238" s="57">
        <v>292</v>
      </c>
      <c r="E238" s="57">
        <v>100</v>
      </c>
      <c r="F238" s="57">
        <v>2</v>
      </c>
      <c r="G238" s="57">
        <v>41029</v>
      </c>
      <c r="H238" s="57">
        <v>3</v>
      </c>
      <c r="I238" s="57">
        <v>41033</v>
      </c>
      <c r="J238" s="57">
        <v>2938.6469372179649</v>
      </c>
      <c r="K238" s="57">
        <v>37.994480220791175</v>
      </c>
      <c r="L238" s="57">
        <v>82.6</v>
      </c>
      <c r="M238" s="57">
        <v>17.399999999999999</v>
      </c>
      <c r="N238" s="57" t="s">
        <v>15</v>
      </c>
      <c r="O238" s="57">
        <v>217.4</v>
      </c>
      <c r="P238" s="57"/>
      <c r="Q238" s="57"/>
      <c r="R238" s="57"/>
      <c r="S238" s="57"/>
      <c r="T238" s="57"/>
      <c r="U238" s="57"/>
      <c r="V238" s="57"/>
      <c r="W238" s="451"/>
      <c r="X238" s="145"/>
      <c r="Y238" s="223"/>
      <c r="Z238" s="22"/>
      <c r="AA238"/>
      <c r="AC238"/>
      <c r="AE238" s="9"/>
      <c r="AG238" s="27"/>
      <c r="AH238" s="84"/>
      <c r="AI238" s="13"/>
      <c r="AP238"/>
      <c r="AR238"/>
      <c r="AV238"/>
      <c r="AW238"/>
      <c r="AX238"/>
      <c r="AY238"/>
      <c r="AZ238"/>
      <c r="BC238"/>
      <c r="BD238"/>
      <c r="BG238"/>
      <c r="BH238"/>
      <c r="BI238"/>
      <c r="BJ238"/>
      <c r="BS238"/>
      <c r="BU238"/>
      <c r="BV238"/>
      <c r="BX238"/>
    </row>
    <row r="239" spans="1:76" ht="15.75">
      <c r="A239" s="263" t="s">
        <v>271</v>
      </c>
      <c r="B239" t="s">
        <v>743</v>
      </c>
      <c r="C239" s="57"/>
      <c r="D239" s="57">
        <v>339</v>
      </c>
      <c r="E239" s="57">
        <v>100</v>
      </c>
      <c r="F239" s="57">
        <v>7</v>
      </c>
      <c r="G239" s="57">
        <v>41066</v>
      </c>
      <c r="H239" s="57">
        <v>4.5</v>
      </c>
      <c r="I239" s="57">
        <v>41106</v>
      </c>
      <c r="J239" s="57">
        <v>-425.57720887960784</v>
      </c>
      <c r="K239" s="57">
        <v>-37.273487594089772</v>
      </c>
      <c r="L239" s="57">
        <v>-267.39999999999998</v>
      </c>
      <c r="M239" s="57">
        <v>17.399999999999999</v>
      </c>
      <c r="N239" s="57" t="s">
        <v>15</v>
      </c>
      <c r="O239" s="57">
        <v>717.4</v>
      </c>
      <c r="P239" s="57"/>
      <c r="Q239" s="57"/>
      <c r="R239" s="57"/>
      <c r="S239" s="57"/>
      <c r="T239" s="57"/>
      <c r="U239" s="57"/>
      <c r="V239" s="57"/>
      <c r="W239" s="451"/>
      <c r="X239" s="145"/>
      <c r="Y239" s="223"/>
      <c r="Z239" s="22"/>
      <c r="AA239"/>
      <c r="AC239"/>
      <c r="AE239" s="9"/>
      <c r="AG239" s="27"/>
      <c r="AH239" s="84"/>
      <c r="AI239" s="13"/>
      <c r="AP239"/>
      <c r="AR239"/>
      <c r="AV239"/>
      <c r="AW239"/>
      <c r="AX239"/>
      <c r="AY239"/>
      <c r="AZ239"/>
      <c r="BC239"/>
      <c r="BD239"/>
      <c r="BG239"/>
      <c r="BH239"/>
      <c r="BI239"/>
      <c r="BJ239"/>
      <c r="BS239"/>
      <c r="BU239"/>
      <c r="BV239"/>
      <c r="BX239"/>
    </row>
    <row r="240" spans="1:76" ht="15.75">
      <c r="A240" s="263" t="s">
        <v>271</v>
      </c>
      <c r="B240" t="s">
        <v>778</v>
      </c>
      <c r="C240" s="57"/>
      <c r="D240" s="57">
        <v>346</v>
      </c>
      <c r="E240" s="57">
        <v>100</v>
      </c>
      <c r="F240" s="57">
        <v>3</v>
      </c>
      <c r="G240" s="57">
        <v>41107</v>
      </c>
      <c r="H240" s="57">
        <v>5.35</v>
      </c>
      <c r="I240" s="57">
        <v>41113</v>
      </c>
      <c r="J240" s="57">
        <v>3176.1322943891623</v>
      </c>
      <c r="K240" s="57">
        <v>68.557025834908629</v>
      </c>
      <c r="L240" s="57">
        <v>217.6</v>
      </c>
      <c r="M240" s="57">
        <v>17.399999999999999</v>
      </c>
      <c r="N240" s="57" t="s">
        <v>15</v>
      </c>
      <c r="O240" s="57">
        <v>317.39999999999998</v>
      </c>
      <c r="P240" s="57"/>
      <c r="Q240" s="57"/>
      <c r="R240" s="57"/>
      <c r="S240" s="57"/>
      <c r="T240" s="57"/>
      <c r="U240" s="57"/>
      <c r="V240" s="57"/>
      <c r="W240" s="451"/>
      <c r="X240" s="145"/>
      <c r="Y240" s="223"/>
      <c r="Z240" s="22"/>
      <c r="AA240"/>
      <c r="AC240"/>
      <c r="AE240" s="9"/>
      <c r="AG240" s="27"/>
      <c r="AH240" s="84"/>
      <c r="AI240" s="13"/>
      <c r="AP240"/>
      <c r="AR240"/>
      <c r="AV240"/>
      <c r="AW240"/>
      <c r="AX240"/>
      <c r="AY240"/>
      <c r="AZ240"/>
      <c r="BC240"/>
      <c r="BD240"/>
      <c r="BG240"/>
      <c r="BH240"/>
      <c r="BI240"/>
      <c r="BJ240"/>
      <c r="BS240"/>
      <c r="BU240"/>
      <c r="BV240"/>
      <c r="BX240"/>
    </row>
    <row r="241" spans="1:76" ht="15.75">
      <c r="A241" s="263" t="s">
        <v>271</v>
      </c>
      <c r="B241" t="s">
        <v>814</v>
      </c>
      <c r="C241" s="57"/>
      <c r="D241" s="57">
        <v>388</v>
      </c>
      <c r="E241" s="57">
        <v>100</v>
      </c>
      <c r="F241" s="57">
        <v>0.2</v>
      </c>
      <c r="G241" s="57">
        <v>41158</v>
      </c>
      <c r="H241" s="57">
        <v>1.49</v>
      </c>
      <c r="I241" s="57">
        <v>41201</v>
      </c>
      <c r="J241" s="57">
        <v>1173.3269640851515</v>
      </c>
      <c r="K241" s="57">
        <v>298.39572192513373</v>
      </c>
      <c r="L241" s="57">
        <v>111.6</v>
      </c>
      <c r="M241" s="57">
        <v>17.399999999999999</v>
      </c>
      <c r="N241" s="57" t="s">
        <v>15</v>
      </c>
      <c r="O241" s="57">
        <v>37.4</v>
      </c>
      <c r="P241" s="57"/>
      <c r="Q241" s="57"/>
      <c r="R241" s="57"/>
      <c r="S241" s="57"/>
      <c r="T241" s="57"/>
      <c r="U241" s="57"/>
      <c r="V241" s="57"/>
      <c r="W241" s="451"/>
      <c r="X241" s="145"/>
      <c r="Y241" s="223"/>
      <c r="Z241" s="22"/>
      <c r="AA241"/>
      <c r="AC241"/>
      <c r="AE241" s="9"/>
      <c r="AG241" s="27"/>
      <c r="AH241" s="84"/>
      <c r="AI241" s="13"/>
      <c r="AP241"/>
      <c r="AR241"/>
      <c r="AV241"/>
      <c r="AW241"/>
      <c r="AX241"/>
      <c r="AY241"/>
      <c r="AZ241"/>
      <c r="BC241"/>
      <c r="BD241"/>
      <c r="BG241"/>
      <c r="BH241"/>
      <c r="BI241"/>
      <c r="BJ241"/>
      <c r="BS241"/>
      <c r="BU241"/>
      <c r="BV241"/>
      <c r="BX241"/>
    </row>
    <row r="242" spans="1:76" ht="15.75">
      <c r="A242" s="263" t="s">
        <v>271</v>
      </c>
      <c r="B242" t="s">
        <v>876</v>
      </c>
      <c r="C242" s="57"/>
      <c r="D242" s="57">
        <v>431</v>
      </c>
      <c r="E242" s="57">
        <v>100</v>
      </c>
      <c r="F242" s="57">
        <v>3</v>
      </c>
      <c r="G242" s="57">
        <v>41248</v>
      </c>
      <c r="H242" s="57">
        <v>3.5</v>
      </c>
      <c r="I242" s="57">
        <v>41274</v>
      </c>
      <c r="J242" s="57">
        <v>137.25452474142298</v>
      </c>
      <c r="K242" s="57">
        <v>10.270951480781353</v>
      </c>
      <c r="L242" s="57">
        <v>32.6</v>
      </c>
      <c r="M242" s="57">
        <v>17.399999999999999</v>
      </c>
      <c r="N242" s="57" t="s">
        <v>15</v>
      </c>
      <c r="O242" s="57">
        <v>317.39999999999998</v>
      </c>
      <c r="P242" s="57"/>
      <c r="Q242" s="57"/>
      <c r="R242" s="57"/>
      <c r="S242" s="57"/>
      <c r="T242" s="57"/>
      <c r="U242" s="57"/>
      <c r="V242" s="57"/>
      <c r="W242" s="451"/>
      <c r="X242" s="145"/>
      <c r="Y242" s="223"/>
      <c r="Z242" s="22"/>
      <c r="AA242"/>
      <c r="AC242"/>
      <c r="AE242" s="9"/>
      <c r="AG242" s="27"/>
      <c r="AH242" s="84"/>
      <c r="AI242" s="13"/>
      <c r="AP242"/>
      <c r="AR242"/>
      <c r="AV242"/>
      <c r="AW242"/>
      <c r="AX242"/>
      <c r="AY242"/>
      <c r="AZ242"/>
      <c r="BC242"/>
      <c r="BD242"/>
      <c r="BG242"/>
      <c r="BH242"/>
      <c r="BI242"/>
      <c r="BJ242"/>
      <c r="BS242"/>
      <c r="BU242"/>
      <c r="BV242"/>
      <c r="BX242"/>
    </row>
    <row r="243" spans="1:76" ht="15.75">
      <c r="A243" s="263" t="s">
        <v>271</v>
      </c>
      <c r="B243" t="s">
        <v>893</v>
      </c>
      <c r="C243" s="57"/>
      <c r="D243" s="57">
        <v>443</v>
      </c>
      <c r="E243" s="57">
        <v>100</v>
      </c>
      <c r="F243" s="57">
        <v>4.74</v>
      </c>
      <c r="G243" s="57">
        <v>41276</v>
      </c>
      <c r="H243" s="57">
        <v>2.75</v>
      </c>
      <c r="I243" s="57">
        <v>41292</v>
      </c>
      <c r="J243" s="57">
        <v>-1324.2367955217826</v>
      </c>
      <c r="K243" s="57">
        <v>-44.037444037444047</v>
      </c>
      <c r="L243" s="57">
        <v>-216.4</v>
      </c>
      <c r="M243" s="57">
        <v>17.399999999999999</v>
      </c>
      <c r="N243" s="57" t="s">
        <v>15</v>
      </c>
      <c r="O243" s="57">
        <v>491.4</v>
      </c>
      <c r="P243" s="57"/>
      <c r="Q243" s="57"/>
      <c r="R243" s="57"/>
      <c r="S243" s="57"/>
      <c r="T243" s="57"/>
      <c r="U243" s="57"/>
      <c r="V243" s="57"/>
      <c r="W243" s="451"/>
      <c r="X243" s="145"/>
      <c r="Y243" s="223"/>
      <c r="Z243" s="22"/>
      <c r="AA243"/>
      <c r="AC243"/>
      <c r="AE243" s="9"/>
      <c r="AG243" s="27"/>
      <c r="AH243" s="84"/>
      <c r="AI243" s="13"/>
      <c r="AP243"/>
      <c r="AR243"/>
      <c r="AV243"/>
      <c r="AW243"/>
      <c r="AX243"/>
      <c r="AY243"/>
      <c r="AZ243"/>
      <c r="BC243"/>
      <c r="BD243"/>
      <c r="BG243"/>
      <c r="BH243"/>
      <c r="BI243"/>
      <c r="BJ243"/>
      <c r="BS243"/>
      <c r="BU243"/>
      <c r="BV243"/>
      <c r="BX243"/>
    </row>
    <row r="244" spans="1:76" ht="15.75">
      <c r="A244" s="263" t="s">
        <v>271</v>
      </c>
      <c r="B244" t="s">
        <v>271</v>
      </c>
      <c r="C244" s="57"/>
      <c r="D244" s="57">
        <v>453</v>
      </c>
      <c r="E244" s="57">
        <v>100</v>
      </c>
      <c r="F244" s="57">
        <v>95</v>
      </c>
      <c r="G244" s="57">
        <v>41018</v>
      </c>
      <c r="H244" s="57">
        <v>92.5</v>
      </c>
      <c r="I244" s="57">
        <v>41332</v>
      </c>
      <c r="J244" s="57">
        <v>-3.1972069487445434</v>
      </c>
      <c r="K244" s="57">
        <v>-2.7129928112789781</v>
      </c>
      <c r="L244" s="57">
        <v>-257.95</v>
      </c>
      <c r="M244" s="57">
        <v>7.95</v>
      </c>
      <c r="N244" s="57" t="s">
        <v>145</v>
      </c>
      <c r="O244" s="57">
        <v>9507.9500000000007</v>
      </c>
      <c r="P244" s="57"/>
      <c r="Q244" s="57"/>
      <c r="R244" s="57"/>
      <c r="S244" s="57"/>
      <c r="T244" s="57"/>
      <c r="U244" s="57"/>
      <c r="V244" s="57"/>
      <c r="W244" s="451"/>
      <c r="X244" s="145"/>
      <c r="Y244" s="223"/>
      <c r="Z244" s="22"/>
      <c r="AA244"/>
      <c r="AC244"/>
      <c r="AE244" s="9"/>
      <c r="AG244" s="27"/>
      <c r="AH244" s="84"/>
      <c r="AI244" s="13"/>
      <c r="AP244"/>
      <c r="AR244"/>
      <c r="AV244"/>
      <c r="AW244"/>
      <c r="AX244"/>
      <c r="AY244"/>
      <c r="AZ244"/>
      <c r="BC244"/>
      <c r="BD244"/>
      <c r="BG244"/>
      <c r="BH244"/>
      <c r="BI244"/>
      <c r="BJ244"/>
      <c r="BS244"/>
      <c r="BU244"/>
      <c r="BV244"/>
      <c r="BX244"/>
    </row>
    <row r="245" spans="1:76" ht="15.75">
      <c r="A245" s="263" t="s">
        <v>271</v>
      </c>
      <c r="B245" t="s">
        <v>895</v>
      </c>
      <c r="C245" s="57"/>
      <c r="D245" s="57">
        <v>454</v>
      </c>
      <c r="E245" s="57">
        <v>100</v>
      </c>
      <c r="F245" s="57">
        <v>0</v>
      </c>
      <c r="G245" s="57">
        <v>41330</v>
      </c>
      <c r="H245" s="57">
        <v>2</v>
      </c>
      <c r="I245" s="57">
        <v>41332</v>
      </c>
      <c r="J245" s="57">
        <v>35430.91944902992</v>
      </c>
      <c r="K245" s="57">
        <v>596.8641114982579</v>
      </c>
      <c r="L245" s="57">
        <v>171.3</v>
      </c>
      <c r="M245" s="57">
        <v>28.7</v>
      </c>
      <c r="N245" s="57" t="s">
        <v>404</v>
      </c>
      <c r="O245" s="57">
        <v>28.7</v>
      </c>
      <c r="P245" s="57"/>
      <c r="Q245" s="57"/>
      <c r="R245" s="57"/>
      <c r="S245" s="57"/>
      <c r="T245" s="57"/>
      <c r="U245" s="57"/>
      <c r="V245" s="57"/>
      <c r="W245" s="451"/>
      <c r="X245" s="145"/>
      <c r="Y245" s="223"/>
      <c r="Z245" s="22"/>
      <c r="AA245"/>
      <c r="AC245"/>
      <c r="AE245" s="9"/>
      <c r="AG245" s="27"/>
      <c r="AH245" s="84"/>
      <c r="AI245" s="13"/>
      <c r="AP245"/>
      <c r="AR245"/>
      <c r="AV245"/>
      <c r="AW245"/>
      <c r="AX245"/>
      <c r="AY245"/>
      <c r="AZ245"/>
      <c r="BC245"/>
      <c r="BD245"/>
      <c r="BG245"/>
      <c r="BH245"/>
      <c r="BI245"/>
      <c r="BJ245"/>
      <c r="BS245"/>
      <c r="BU245"/>
      <c r="BV245"/>
      <c r="BX245"/>
    </row>
    <row r="246" spans="1:76" ht="15.75">
      <c r="A246" s="263" t="s">
        <v>271</v>
      </c>
      <c r="B246" t="s">
        <v>271</v>
      </c>
      <c r="C246" s="57"/>
      <c r="D246" s="57">
        <v>463</v>
      </c>
      <c r="E246" s="57">
        <v>2</v>
      </c>
      <c r="F246" s="57">
        <v>95</v>
      </c>
      <c r="G246" s="57">
        <v>41018</v>
      </c>
      <c r="H246" s="57">
        <v>102</v>
      </c>
      <c r="I246" s="57">
        <v>41409</v>
      </c>
      <c r="J246" s="57">
        <v>2.810361868697711</v>
      </c>
      <c r="K246" s="57">
        <v>3.0563273553927819</v>
      </c>
      <c r="L246" s="57">
        <v>6.05</v>
      </c>
      <c r="M246" s="57">
        <v>7.95</v>
      </c>
      <c r="N246" s="57" t="s">
        <v>145</v>
      </c>
      <c r="O246" s="57">
        <v>197.95</v>
      </c>
      <c r="P246" s="57"/>
      <c r="Q246" s="57"/>
      <c r="R246" s="57"/>
      <c r="S246" s="57"/>
      <c r="T246" s="57"/>
      <c r="U246" s="57"/>
      <c r="V246" s="57"/>
      <c r="W246" s="451"/>
      <c r="X246" s="145"/>
      <c r="Y246" s="223"/>
      <c r="Z246" s="22"/>
      <c r="AA246"/>
      <c r="AC246"/>
      <c r="AE246" s="9"/>
      <c r="AG246" s="27"/>
      <c r="AH246" s="84"/>
      <c r="AI246" s="13"/>
      <c r="AP246"/>
      <c r="AR246"/>
      <c r="AV246"/>
      <c r="AW246"/>
      <c r="AX246"/>
      <c r="AY246"/>
      <c r="AZ246"/>
      <c r="BC246"/>
      <c r="BD246"/>
      <c r="BG246"/>
      <c r="BH246"/>
      <c r="BI246"/>
      <c r="BJ246"/>
      <c r="BS246"/>
      <c r="BU246"/>
      <c r="BV246"/>
      <c r="BX246"/>
    </row>
    <row r="247" spans="1:76" ht="15.75">
      <c r="A247" s="263" t="s">
        <v>271</v>
      </c>
      <c r="B247" t="s">
        <v>271</v>
      </c>
      <c r="C247" s="57"/>
      <c r="D247" s="57">
        <v>464</v>
      </c>
      <c r="E247" s="57">
        <v>98</v>
      </c>
      <c r="F247" s="57">
        <v>94.56</v>
      </c>
      <c r="G247" s="57">
        <v>41551</v>
      </c>
      <c r="H247" s="57">
        <v>95.35</v>
      </c>
      <c r="I247" s="57">
        <v>41564</v>
      </c>
      <c r="J247" s="57">
        <v>20.951708241253883</v>
      </c>
      <c r="K247" s="57">
        <v>0.74901642402070889</v>
      </c>
      <c r="L247" s="57">
        <v>69.47</v>
      </c>
      <c r="M247" s="57">
        <v>7.95</v>
      </c>
      <c r="N247" s="57" t="s">
        <v>145</v>
      </c>
      <c r="O247" s="57">
        <v>9274.83</v>
      </c>
      <c r="P247" s="57"/>
      <c r="Q247" s="57"/>
      <c r="R247" s="57"/>
      <c r="S247" s="57"/>
      <c r="T247" s="57"/>
      <c r="U247" s="57"/>
      <c r="V247" s="57"/>
      <c r="W247" s="451"/>
      <c r="X247" s="145"/>
      <c r="Y247" s="223"/>
      <c r="Z247" s="22"/>
      <c r="AA247"/>
      <c r="AC247"/>
      <c r="AE247" s="9"/>
      <c r="AG247" s="27"/>
      <c r="AH247" s="84"/>
      <c r="AI247" s="13"/>
      <c r="AP247"/>
      <c r="AR247"/>
      <c r="AV247"/>
      <c r="AW247"/>
      <c r="AX247"/>
      <c r="AY247"/>
      <c r="AZ247"/>
      <c r="BC247"/>
      <c r="BD247"/>
      <c r="BG247"/>
      <c r="BH247"/>
      <c r="BI247"/>
      <c r="BJ247"/>
      <c r="BS247"/>
      <c r="BU247"/>
      <c r="BV247"/>
      <c r="BX247"/>
    </row>
    <row r="248" spans="1:76" ht="15.75">
      <c r="A248" s="263" t="s">
        <v>44</v>
      </c>
      <c r="B248" t="s">
        <v>683</v>
      </c>
      <c r="C248" s="57"/>
      <c r="D248" s="57">
        <v>290</v>
      </c>
      <c r="E248" s="57">
        <v>100</v>
      </c>
      <c r="F248" s="57">
        <v>2.75</v>
      </c>
      <c r="G248" s="57">
        <v>41016</v>
      </c>
      <c r="H248" s="57">
        <v>3.5</v>
      </c>
      <c r="I248" s="57">
        <v>41032</v>
      </c>
      <c r="J248" s="57">
        <v>410.1925356991257</v>
      </c>
      <c r="K248" s="57">
        <v>19.699042407660741</v>
      </c>
      <c r="L248" s="57">
        <v>57.6</v>
      </c>
      <c r="M248" s="57">
        <v>17.399999999999999</v>
      </c>
      <c r="N248" s="57" t="s">
        <v>258</v>
      </c>
      <c r="O248" s="57">
        <v>292.39999999999998</v>
      </c>
      <c r="P248" s="57"/>
      <c r="Q248" s="57"/>
      <c r="R248" s="57"/>
      <c r="S248" s="57"/>
      <c r="T248" s="57"/>
      <c r="U248" s="57"/>
      <c r="V248" s="57"/>
      <c r="W248" s="451"/>
      <c r="X248" s="145"/>
      <c r="Y248" s="223"/>
      <c r="Z248" s="22"/>
      <c r="AA248"/>
      <c r="AC248"/>
      <c r="AE248" s="9"/>
      <c r="AG248" s="27"/>
      <c r="AH248" s="84"/>
      <c r="AJ248" s="13"/>
      <c r="AP248"/>
      <c r="AR248"/>
      <c r="AV248"/>
      <c r="AW248"/>
      <c r="AX248"/>
      <c r="AY248"/>
      <c r="AZ248"/>
      <c r="BC248"/>
      <c r="BD248"/>
      <c r="BG248"/>
      <c r="BH248"/>
      <c r="BI248"/>
      <c r="BJ248"/>
      <c r="BS248"/>
      <c r="BU248"/>
      <c r="BV248"/>
      <c r="BX248"/>
    </row>
    <row r="249" spans="1:76" ht="15.75">
      <c r="A249" s="263" t="s">
        <v>152</v>
      </c>
      <c r="B249" t="s">
        <v>152</v>
      </c>
      <c r="C249" s="57"/>
      <c r="D249" s="57">
        <v>214</v>
      </c>
      <c r="E249" s="57">
        <v>760</v>
      </c>
      <c r="F249" s="57">
        <v>10.5222</v>
      </c>
      <c r="G249" s="57">
        <v>40189</v>
      </c>
      <c r="H249" s="57">
        <v>12.29</v>
      </c>
      <c r="I249" s="57">
        <v>40935</v>
      </c>
      <c r="J249" s="57">
        <v>7.5983905656466737</v>
      </c>
      <c r="K249" s="57">
        <v>16.800669061603081</v>
      </c>
      <c r="L249" s="57">
        <v>1343.528</v>
      </c>
      <c r="M249" s="57">
        <v>0</v>
      </c>
      <c r="N249" s="57" t="s">
        <v>320</v>
      </c>
      <c r="O249" s="57">
        <v>7996.8720000000003</v>
      </c>
      <c r="P249" s="57"/>
      <c r="Q249" s="57"/>
      <c r="R249" s="57"/>
      <c r="S249" s="57"/>
      <c r="T249" s="57"/>
      <c r="U249" s="57"/>
      <c r="V249" s="57"/>
      <c r="W249" s="451"/>
      <c r="X249" s="145"/>
      <c r="Y249" s="223"/>
      <c r="Z249" s="22"/>
      <c r="AA249"/>
      <c r="AC249"/>
      <c r="AE249" s="9"/>
      <c r="AG249" s="27"/>
      <c r="AH249" s="84"/>
      <c r="AJ249" s="13"/>
      <c r="AP249"/>
      <c r="AR249"/>
      <c r="AV249"/>
      <c r="AW249"/>
      <c r="AX249"/>
      <c r="AY249"/>
      <c r="AZ249"/>
      <c r="BC249"/>
      <c r="BD249"/>
      <c r="BG249"/>
      <c r="BH249"/>
      <c r="BI249"/>
      <c r="BJ249"/>
      <c r="BS249"/>
      <c r="BU249"/>
      <c r="BV249"/>
      <c r="BX249"/>
    </row>
    <row r="250" spans="1:76" ht="15.75">
      <c r="A250" s="263" t="s">
        <v>290</v>
      </c>
      <c r="B250" t="s">
        <v>290</v>
      </c>
      <c r="C250" s="57"/>
      <c r="D250" s="57">
        <v>394</v>
      </c>
      <c r="E250" s="57">
        <v>243</v>
      </c>
      <c r="F250" s="57">
        <v>13.8041</v>
      </c>
      <c r="G250" s="57">
        <v>40687</v>
      </c>
      <c r="H250" s="57">
        <v>10.43</v>
      </c>
      <c r="I250" s="57">
        <v>41218</v>
      </c>
      <c r="J250" s="57">
        <v>-19.265908450651217</v>
      </c>
      <c r="K250" s="57">
        <v>-24.44273802710789</v>
      </c>
      <c r="L250" s="57">
        <v>-819.90629999999999</v>
      </c>
      <c r="M250" s="57">
        <v>0</v>
      </c>
      <c r="N250" s="57" t="s">
        <v>320</v>
      </c>
      <c r="O250" s="57">
        <v>3354.3962999999999</v>
      </c>
      <c r="P250" s="57"/>
      <c r="Q250" s="57"/>
      <c r="R250" s="57"/>
      <c r="S250" s="57"/>
      <c r="T250" s="57"/>
      <c r="U250" s="57"/>
      <c r="V250" s="57"/>
      <c r="W250" s="451"/>
      <c r="X250" s="145"/>
      <c r="Y250" s="223"/>
      <c r="Z250" s="22"/>
      <c r="AA250"/>
      <c r="AC250"/>
      <c r="AE250" s="9"/>
      <c r="AG250" s="27"/>
      <c r="AH250" s="84"/>
      <c r="AJ250" s="13"/>
      <c r="AP250"/>
      <c r="AR250"/>
      <c r="AV250"/>
      <c r="AW250"/>
      <c r="AX250"/>
      <c r="AY250"/>
      <c r="AZ250"/>
      <c r="BC250"/>
      <c r="BD250"/>
      <c r="BG250"/>
      <c r="BH250"/>
      <c r="BI250"/>
      <c r="BJ250"/>
      <c r="BS250"/>
      <c r="BU250"/>
      <c r="BV250"/>
      <c r="BX250"/>
    </row>
    <row r="251" spans="1:76" ht="15.75">
      <c r="A251" s="263" t="s">
        <v>157</v>
      </c>
      <c r="B251" t="s">
        <v>157</v>
      </c>
      <c r="C251" s="57"/>
      <c r="D251" s="57">
        <v>485</v>
      </c>
      <c r="E251" s="57">
        <v>145</v>
      </c>
      <c r="F251" s="57">
        <v>34.599600000000002</v>
      </c>
      <c r="G251" s="57">
        <v>40102</v>
      </c>
      <c r="H251" s="57">
        <v>35.61</v>
      </c>
      <c r="I251" s="57">
        <v>41666</v>
      </c>
      <c r="J251" s="57">
        <v>0.67175813523422145</v>
      </c>
      <c r="K251" s="57">
        <v>2.9202649741615425</v>
      </c>
      <c r="L251" s="57">
        <v>146.50800000000001</v>
      </c>
      <c r="M251" s="57">
        <v>0</v>
      </c>
      <c r="N251" s="57" t="s">
        <v>320</v>
      </c>
      <c r="O251" s="57">
        <v>5016.942</v>
      </c>
      <c r="P251" s="57"/>
      <c r="Q251" s="57"/>
      <c r="R251" s="57"/>
      <c r="S251" s="57"/>
      <c r="T251" s="57"/>
      <c r="U251" s="57"/>
      <c r="V251" s="57"/>
      <c r="W251" s="451"/>
      <c r="X251" s="145"/>
      <c r="Y251" s="223"/>
      <c r="Z251" s="22"/>
      <c r="AA251"/>
      <c r="AC251"/>
      <c r="AE251" s="9"/>
      <c r="AG251" s="27"/>
      <c r="AH251" s="84"/>
      <c r="AJ251" s="13"/>
      <c r="AP251"/>
      <c r="AR251"/>
      <c r="AV251"/>
      <c r="AW251"/>
      <c r="AX251"/>
      <c r="AY251"/>
      <c r="AZ251"/>
      <c r="BC251"/>
      <c r="BD251"/>
      <c r="BG251"/>
      <c r="BH251"/>
      <c r="BI251"/>
      <c r="BJ251"/>
      <c r="BS251"/>
      <c r="BU251"/>
      <c r="BV251"/>
      <c r="BX251"/>
    </row>
    <row r="252" spans="1:76" ht="15.75">
      <c r="A252" s="263" t="s">
        <v>203</v>
      </c>
      <c r="B252" t="s">
        <v>203</v>
      </c>
      <c r="C252" s="57"/>
      <c r="D252" s="57">
        <v>136</v>
      </c>
      <c r="E252" s="57">
        <v>673</v>
      </c>
      <c r="F252" s="57">
        <v>22.2956</v>
      </c>
      <c r="G252" s="57">
        <v>40102</v>
      </c>
      <c r="H252" s="57">
        <v>26.34</v>
      </c>
      <c r="I252" s="57">
        <v>40840</v>
      </c>
      <c r="J252" s="57">
        <v>8.2446153872589001</v>
      </c>
      <c r="K252" s="57">
        <v>18.139902043452516</v>
      </c>
      <c r="L252" s="57">
        <v>2721.8811999999998</v>
      </c>
      <c r="M252" s="57">
        <v>0</v>
      </c>
      <c r="N252" s="57" t="s">
        <v>320</v>
      </c>
      <c r="O252" s="57">
        <v>15004.9388</v>
      </c>
      <c r="P252" s="57"/>
      <c r="Q252" s="57"/>
      <c r="R252" s="57"/>
      <c r="S252" s="57"/>
      <c r="T252" s="57"/>
      <c r="U252" s="57"/>
      <c r="V252" s="57"/>
      <c r="W252" s="451"/>
      <c r="X252" s="145"/>
      <c r="Y252" s="223"/>
      <c r="Z252" s="22"/>
      <c r="AA252"/>
      <c r="AC252"/>
      <c r="AE252" s="9"/>
      <c r="AG252" s="27"/>
      <c r="AH252" s="84"/>
      <c r="AJ252" s="13"/>
      <c r="AP252"/>
      <c r="AR252"/>
      <c r="AV252"/>
      <c r="AW252"/>
      <c r="AX252"/>
      <c r="AY252"/>
      <c r="AZ252"/>
      <c r="BC252"/>
      <c r="BD252"/>
      <c r="BG252"/>
      <c r="BH252"/>
      <c r="BI252"/>
      <c r="BJ252"/>
      <c r="BS252"/>
      <c r="BU252"/>
      <c r="BV252"/>
      <c r="BX252"/>
    </row>
    <row r="253" spans="1:76" ht="15.75">
      <c r="A253" s="263" t="s">
        <v>92</v>
      </c>
      <c r="C253" s="57"/>
      <c r="D253" s="57">
        <v>92</v>
      </c>
      <c r="E253" s="57">
        <v>520</v>
      </c>
      <c r="F253" s="57">
        <v>19.22</v>
      </c>
      <c r="G253" s="57">
        <v>40618</v>
      </c>
      <c r="H253" s="57">
        <v>19.940000000000001</v>
      </c>
      <c r="I253" s="57">
        <v>40744</v>
      </c>
      <c r="J253" s="57">
        <v>10.653469652312909</v>
      </c>
      <c r="K253" s="57">
        <v>3.746097814776288</v>
      </c>
      <c r="L253" s="57">
        <v>374.4</v>
      </c>
      <c r="M253" s="57">
        <v>0</v>
      </c>
      <c r="N253" s="57" t="s">
        <v>320</v>
      </c>
      <c r="O253" s="57">
        <v>9994.4</v>
      </c>
      <c r="P253" s="57"/>
      <c r="Q253" s="57"/>
      <c r="R253" s="57"/>
      <c r="S253" s="57"/>
      <c r="T253" s="57"/>
      <c r="U253" s="57"/>
      <c r="V253" s="57"/>
      <c r="W253" s="451"/>
      <c r="X253" s="145"/>
      <c r="Y253" s="223"/>
      <c r="Z253" s="22"/>
      <c r="AA253"/>
      <c r="AC253"/>
      <c r="AE253" s="9"/>
      <c r="AG253" s="27"/>
      <c r="AH253" s="84"/>
      <c r="AJ253" s="13"/>
      <c r="AP253"/>
      <c r="AR253"/>
      <c r="AV253"/>
      <c r="AW253"/>
      <c r="AX253"/>
      <c r="AY253"/>
      <c r="AZ253"/>
      <c r="BC253"/>
      <c r="BD253"/>
      <c r="BG253"/>
      <c r="BH253"/>
      <c r="BI253"/>
      <c r="BJ253"/>
      <c r="BS253"/>
      <c r="BU253"/>
      <c r="BV253"/>
      <c r="BX253"/>
    </row>
    <row r="254" spans="1:76" ht="15.75">
      <c r="A254" s="263" t="s">
        <v>158</v>
      </c>
      <c r="B254" t="s">
        <v>158</v>
      </c>
      <c r="C254" s="57"/>
      <c r="D254" s="57">
        <v>191</v>
      </c>
      <c r="E254" s="57">
        <v>264</v>
      </c>
      <c r="F254" s="57">
        <v>18.9116</v>
      </c>
      <c r="G254" s="57">
        <v>40102</v>
      </c>
      <c r="H254" s="57">
        <v>17.96</v>
      </c>
      <c r="I254" s="57">
        <v>40900</v>
      </c>
      <c r="J254" s="57">
        <v>-2.3614506328089382</v>
      </c>
      <c r="K254" s="57">
        <v>-5.0318323145582555</v>
      </c>
      <c r="L254" s="57">
        <v>-251.22239999999999</v>
      </c>
      <c r="M254" s="57">
        <v>0</v>
      </c>
      <c r="N254" s="57" t="s">
        <v>320</v>
      </c>
      <c r="O254" s="57">
        <v>4992.6624000000002</v>
      </c>
      <c r="P254" s="57"/>
      <c r="Q254" s="57"/>
      <c r="R254" s="57"/>
      <c r="S254" s="57"/>
      <c r="T254" s="57"/>
      <c r="U254" s="57"/>
      <c r="V254" s="57"/>
      <c r="W254" s="451"/>
      <c r="X254" s="145"/>
      <c r="Y254" s="223"/>
      <c r="Z254" s="22"/>
      <c r="AA254"/>
      <c r="AC254"/>
      <c r="AE254" s="9"/>
      <c r="AG254" s="27"/>
      <c r="AH254" s="84"/>
      <c r="AJ254" s="13"/>
      <c r="AP254"/>
      <c r="AR254"/>
      <c r="AV254"/>
      <c r="AW254"/>
      <c r="AX254"/>
      <c r="AY254"/>
      <c r="AZ254"/>
      <c r="BC254"/>
      <c r="BD254"/>
      <c r="BG254"/>
      <c r="BH254"/>
      <c r="BI254"/>
      <c r="BJ254"/>
      <c r="BS254"/>
      <c r="BU254"/>
      <c r="BV254"/>
      <c r="BX254"/>
    </row>
    <row r="255" spans="1:76" ht="15.75">
      <c r="A255" s="263" t="s">
        <v>93</v>
      </c>
      <c r="B255" t="s">
        <v>93</v>
      </c>
      <c r="C255" s="57"/>
      <c r="D255" s="57">
        <v>327</v>
      </c>
      <c r="E255" s="57">
        <v>1110</v>
      </c>
      <c r="F255" s="57">
        <v>9.01</v>
      </c>
      <c r="G255" s="57">
        <v>40618</v>
      </c>
      <c r="H255" s="57">
        <v>8.3699999999999992</v>
      </c>
      <c r="I255" s="57">
        <v>41093</v>
      </c>
      <c r="J255" s="57">
        <v>-5.6618175365020758</v>
      </c>
      <c r="K255" s="57">
        <v>-7.1032186459489521</v>
      </c>
      <c r="L255" s="57">
        <v>-710.4</v>
      </c>
      <c r="M255" s="57">
        <v>0</v>
      </c>
      <c r="N255" s="57" t="s">
        <v>320</v>
      </c>
      <c r="O255" s="57">
        <v>10001.1</v>
      </c>
      <c r="P255" s="57"/>
      <c r="Q255" s="57"/>
      <c r="R255" s="57"/>
      <c r="S255" s="57"/>
      <c r="T255" s="57"/>
      <c r="U255" s="57"/>
      <c r="V255" s="57"/>
      <c r="W255" s="451"/>
      <c r="X255" s="145"/>
      <c r="Y255" s="223"/>
      <c r="Z255" s="22"/>
      <c r="AA255"/>
      <c r="AC255"/>
      <c r="AE255" s="9"/>
      <c r="AG255" s="27"/>
      <c r="AH255" s="84"/>
      <c r="AJ255" s="13"/>
      <c r="AP255"/>
      <c r="AR255"/>
      <c r="AV255"/>
      <c r="AW255"/>
      <c r="AX255"/>
      <c r="AY255"/>
      <c r="AZ255"/>
      <c r="BC255"/>
      <c r="BD255"/>
      <c r="BG255"/>
      <c r="BH255"/>
      <c r="BI255"/>
      <c r="BJ255"/>
      <c r="BS255"/>
      <c r="BU255"/>
      <c r="BV255"/>
      <c r="BX255"/>
    </row>
    <row r="256" spans="1:76" ht="15.75">
      <c r="A256" s="263" t="s">
        <v>226</v>
      </c>
      <c r="B256" t="s">
        <v>226</v>
      </c>
      <c r="C256" s="57"/>
      <c r="D256" s="57">
        <v>219</v>
      </c>
      <c r="E256" s="57">
        <v>63</v>
      </c>
      <c r="F256" s="57">
        <v>43.95</v>
      </c>
      <c r="G256" s="57">
        <v>40701</v>
      </c>
      <c r="H256" s="57">
        <v>44.22</v>
      </c>
      <c r="I256" s="57">
        <v>40956</v>
      </c>
      <c r="J256" s="57">
        <v>0.87665146031829944</v>
      </c>
      <c r="K256" s="57">
        <v>0.61433447098975202</v>
      </c>
      <c r="L256" s="57">
        <v>17.010000000000002</v>
      </c>
      <c r="M256" s="57">
        <v>0</v>
      </c>
      <c r="N256" s="57" t="s">
        <v>320</v>
      </c>
      <c r="O256" s="57">
        <v>2768.85</v>
      </c>
      <c r="P256" s="57"/>
      <c r="Q256" s="57"/>
      <c r="R256" s="57"/>
      <c r="S256" s="57"/>
      <c r="T256" s="57"/>
      <c r="U256" s="57"/>
      <c r="V256" s="57"/>
      <c r="W256" s="451"/>
      <c r="X256" s="145"/>
      <c r="Y256" s="223"/>
      <c r="Z256" s="22"/>
      <c r="AA256"/>
      <c r="AC256"/>
      <c r="AE256" s="9"/>
      <c r="AG256" s="27"/>
      <c r="AH256" s="84"/>
      <c r="AJ256" s="13"/>
      <c r="AP256"/>
      <c r="AR256"/>
      <c r="AV256"/>
      <c r="AW256"/>
      <c r="AX256"/>
      <c r="AY256"/>
      <c r="AZ256"/>
      <c r="BC256"/>
      <c r="BD256"/>
      <c r="BG256"/>
      <c r="BH256"/>
      <c r="BI256"/>
      <c r="BJ256"/>
      <c r="BS256"/>
      <c r="BU256"/>
      <c r="BV256"/>
      <c r="BX256"/>
    </row>
    <row r="257" spans="1:76" ht="15.75">
      <c r="A257" s="263" t="s">
        <v>226</v>
      </c>
      <c r="B257" t="s">
        <v>226</v>
      </c>
      <c r="C257" s="57"/>
      <c r="D257" s="57">
        <v>220</v>
      </c>
      <c r="E257" s="57">
        <v>116</v>
      </c>
      <c r="F257" s="57">
        <v>43.26</v>
      </c>
      <c r="G257" s="57">
        <v>40619</v>
      </c>
      <c r="H257" s="57">
        <v>44.22</v>
      </c>
      <c r="I257" s="57">
        <v>40956</v>
      </c>
      <c r="J257" s="57">
        <v>2.3772390326710515</v>
      </c>
      <c r="K257" s="57">
        <v>2.2191400832177552</v>
      </c>
      <c r="L257" s="57">
        <v>111.36</v>
      </c>
      <c r="M257" s="57">
        <v>0</v>
      </c>
      <c r="N257" s="57" t="s">
        <v>320</v>
      </c>
      <c r="O257" s="57">
        <v>5018.16</v>
      </c>
      <c r="P257" s="57"/>
      <c r="Q257" s="57"/>
      <c r="R257" s="57"/>
      <c r="S257" s="57"/>
      <c r="T257" s="57"/>
      <c r="U257" s="57"/>
      <c r="V257" s="57"/>
      <c r="W257" s="451"/>
      <c r="X257" s="145"/>
      <c r="Y257" s="223"/>
      <c r="Z257" s="22"/>
      <c r="AA257"/>
      <c r="AC257"/>
      <c r="AE257" s="9"/>
      <c r="AG257" s="27"/>
      <c r="AH257" s="84"/>
      <c r="AJ257" s="13"/>
      <c r="AP257"/>
      <c r="AR257"/>
      <c r="AV257"/>
      <c r="AW257"/>
      <c r="AX257"/>
      <c r="AY257"/>
      <c r="AZ257"/>
      <c r="BC257"/>
      <c r="BD257"/>
      <c r="BG257"/>
      <c r="BH257"/>
      <c r="BI257"/>
      <c r="BJ257"/>
      <c r="BS257"/>
      <c r="BU257"/>
      <c r="BV257"/>
      <c r="BX257"/>
    </row>
    <row r="258" spans="1:76" ht="15.75">
      <c r="A258" s="263" t="s">
        <v>260</v>
      </c>
      <c r="B258" t="s">
        <v>1016</v>
      </c>
      <c r="C258" s="57"/>
      <c r="D258" s="57">
        <v>514</v>
      </c>
      <c r="E258" s="57">
        <v>500</v>
      </c>
      <c r="F258" s="57">
        <v>3</v>
      </c>
      <c r="G258" s="57">
        <v>42082</v>
      </c>
      <c r="H258" s="57">
        <v>8</v>
      </c>
      <c r="I258" s="57">
        <v>42118</v>
      </c>
      <c r="J258" s="57">
        <v>978.75731663783085</v>
      </c>
      <c r="K258" s="57">
        <v>162.57056583956938</v>
      </c>
      <c r="L258" s="57">
        <v>2476.6</v>
      </c>
      <c r="M258" s="57">
        <v>23.4</v>
      </c>
      <c r="N258" s="57" t="s">
        <v>278</v>
      </c>
      <c r="O258" s="57">
        <v>1523.4</v>
      </c>
      <c r="P258" s="57"/>
      <c r="Q258" s="57"/>
      <c r="R258" s="57"/>
      <c r="S258" s="57"/>
      <c r="T258" s="57"/>
      <c r="U258" s="57"/>
      <c r="V258" s="57"/>
      <c r="W258" s="451"/>
      <c r="X258" s="145"/>
      <c r="Y258" s="223"/>
      <c r="Z258" s="22"/>
      <c r="AA258"/>
      <c r="AC258"/>
      <c r="AE258" s="9"/>
      <c r="AG258" s="27"/>
      <c r="AH258" s="84"/>
      <c r="AJ258" s="13"/>
      <c r="AP258"/>
      <c r="AR258"/>
      <c r="AV258"/>
      <c r="AW258"/>
      <c r="AX258"/>
      <c r="AY258"/>
      <c r="AZ258"/>
      <c r="BC258"/>
      <c r="BD258"/>
      <c r="BG258"/>
      <c r="BH258"/>
      <c r="BI258"/>
      <c r="BJ258"/>
      <c r="BS258"/>
      <c r="BU258"/>
      <c r="BV258"/>
      <c r="BX258"/>
    </row>
    <row r="259" spans="1:76" ht="15.75">
      <c r="A259" s="263" t="s">
        <v>181</v>
      </c>
      <c r="B259" t="s">
        <v>503</v>
      </c>
      <c r="C259" s="57"/>
      <c r="D259" s="57">
        <v>246</v>
      </c>
      <c r="E259" s="57">
        <v>100</v>
      </c>
      <c r="F259" s="57">
        <v>4</v>
      </c>
      <c r="G259" s="57">
        <v>40962</v>
      </c>
      <c r="H259" s="57">
        <v>6.5</v>
      </c>
      <c r="I259" s="57">
        <v>40980</v>
      </c>
      <c r="J259" s="57">
        <v>950.99111417648555</v>
      </c>
      <c r="K259" s="57">
        <v>55.725922376617142</v>
      </c>
      <c r="L259" s="57">
        <v>232.6</v>
      </c>
      <c r="M259" s="57">
        <v>17.399999999999999</v>
      </c>
      <c r="N259" s="57" t="s">
        <v>258</v>
      </c>
      <c r="O259" s="57">
        <v>417.4</v>
      </c>
      <c r="P259" s="57"/>
      <c r="Q259" s="57"/>
      <c r="R259" s="57"/>
      <c r="S259" s="57"/>
      <c r="T259" s="57"/>
      <c r="U259" s="57"/>
      <c r="V259" s="57"/>
      <c r="W259" s="451"/>
      <c r="X259" s="145"/>
      <c r="Y259" s="223"/>
      <c r="Z259" s="22"/>
      <c r="AA259"/>
      <c r="AC259"/>
      <c r="AE259" s="9"/>
      <c r="AG259" s="27"/>
      <c r="AH259" s="84"/>
      <c r="AJ259" s="13"/>
      <c r="AP259"/>
      <c r="AR259"/>
      <c r="AV259"/>
      <c r="AW259"/>
      <c r="AX259"/>
      <c r="AY259"/>
      <c r="AZ259"/>
      <c r="BC259"/>
      <c r="BD259"/>
      <c r="BG259"/>
      <c r="BH259"/>
      <c r="BI259"/>
      <c r="BJ259"/>
      <c r="BS259"/>
      <c r="BU259"/>
      <c r="BV259"/>
      <c r="BX259"/>
    </row>
    <row r="260" spans="1:76" ht="15.75">
      <c r="A260" s="263" t="s">
        <v>162</v>
      </c>
      <c r="B260" t="s">
        <v>409</v>
      </c>
      <c r="C260" s="57"/>
      <c r="D260" s="57">
        <v>157</v>
      </c>
      <c r="E260" s="57">
        <v>100</v>
      </c>
      <c r="F260" s="57">
        <v>0</v>
      </c>
      <c r="G260" s="57">
        <v>40843</v>
      </c>
      <c r="H260" s="57">
        <v>3</v>
      </c>
      <c r="I260" s="57">
        <v>40866</v>
      </c>
      <c r="J260" s="57">
        <v>5618.5552125365957</v>
      </c>
      <c r="K260" s="57">
        <v>3348.2758620689651</v>
      </c>
      <c r="L260" s="57">
        <v>291.3</v>
      </c>
      <c r="M260" s="57">
        <v>8.6999999999999993</v>
      </c>
      <c r="N260" s="57" t="s">
        <v>403</v>
      </c>
      <c r="O260" s="57">
        <v>8.6999999999999993</v>
      </c>
      <c r="P260" s="57"/>
      <c r="Q260" s="57"/>
      <c r="R260" s="57"/>
      <c r="S260" s="57"/>
      <c r="T260" s="57"/>
      <c r="U260" s="57"/>
      <c r="V260" s="57"/>
      <c r="W260" s="451"/>
      <c r="X260" s="145"/>
      <c r="Y260" s="223"/>
      <c r="Z260" s="22"/>
      <c r="AA260"/>
      <c r="AC260"/>
      <c r="AE260" s="9"/>
      <c r="AG260" s="27"/>
      <c r="AH260" s="84"/>
      <c r="AJ260" s="13"/>
      <c r="AP260"/>
      <c r="AR260"/>
      <c r="AV260"/>
      <c r="AW260"/>
      <c r="AX260"/>
      <c r="AY260"/>
      <c r="AZ260"/>
      <c r="BC260"/>
      <c r="BD260"/>
      <c r="BG260"/>
      <c r="BH260"/>
      <c r="BI260"/>
      <c r="BJ260"/>
      <c r="BS260"/>
      <c r="BU260"/>
      <c r="BV260"/>
      <c r="BX260"/>
    </row>
    <row r="261" spans="1:76" ht="15.75">
      <c r="A261" s="263" t="s">
        <v>162</v>
      </c>
      <c r="B261" t="s">
        <v>162</v>
      </c>
      <c r="C261" s="57"/>
      <c r="D261" s="57">
        <v>251</v>
      </c>
      <c r="E261" s="57">
        <v>50</v>
      </c>
      <c r="F261" s="57">
        <v>128.5</v>
      </c>
      <c r="G261" s="57">
        <v>40808</v>
      </c>
      <c r="H261" s="57">
        <v>75</v>
      </c>
      <c r="I261" s="57">
        <v>40984</v>
      </c>
      <c r="J261" s="57">
        <v>-111.92172937352689</v>
      </c>
      <c r="K261" s="57">
        <v>-41.706371105014028</v>
      </c>
      <c r="L261" s="57">
        <v>-2682.95</v>
      </c>
      <c r="M261" s="57">
        <v>7.95</v>
      </c>
      <c r="N261" s="57" t="s">
        <v>145</v>
      </c>
      <c r="O261" s="57">
        <v>6432.95</v>
      </c>
      <c r="P261" s="57"/>
      <c r="Q261" s="57"/>
      <c r="R261" s="57"/>
      <c r="S261" s="57"/>
      <c r="T261" s="57"/>
      <c r="U261" s="57"/>
      <c r="V261" s="57"/>
      <c r="W261" s="451"/>
      <c r="X261" s="145"/>
      <c r="Y261" s="223"/>
      <c r="Z261" s="22"/>
      <c r="AA261"/>
      <c r="AC261"/>
      <c r="AE261" s="9"/>
      <c r="AG261" s="27"/>
      <c r="AH261" s="84"/>
      <c r="AJ261" s="13"/>
      <c r="AP261"/>
      <c r="AR261"/>
      <c r="AV261"/>
      <c r="AW261"/>
      <c r="AX261"/>
      <c r="AY261"/>
      <c r="AZ261"/>
      <c r="BC261"/>
      <c r="BD261"/>
      <c r="BG261"/>
      <c r="BH261"/>
      <c r="BI261"/>
      <c r="BJ261"/>
      <c r="BS261"/>
      <c r="BU261"/>
      <c r="BV261"/>
      <c r="BX261"/>
    </row>
    <row r="262" spans="1:76" ht="15.75">
      <c r="A262" s="263" t="s">
        <v>162</v>
      </c>
      <c r="B262" t="s">
        <v>162</v>
      </c>
      <c r="C262" s="57"/>
      <c r="D262" s="57">
        <v>252</v>
      </c>
      <c r="E262" s="57">
        <v>50</v>
      </c>
      <c r="F262" s="57">
        <v>77</v>
      </c>
      <c r="G262" s="57">
        <v>40841</v>
      </c>
      <c r="H262" s="57">
        <v>75</v>
      </c>
      <c r="I262" s="57">
        <v>40984</v>
      </c>
      <c r="J262" s="57">
        <v>-7.2438753370742353</v>
      </c>
      <c r="K262" s="57">
        <v>-2.798118171567809</v>
      </c>
      <c r="L262" s="57">
        <v>-107.95</v>
      </c>
      <c r="M262" s="57">
        <v>7.95</v>
      </c>
      <c r="N262" s="57" t="s">
        <v>145</v>
      </c>
      <c r="O262" s="57">
        <v>3857.95</v>
      </c>
      <c r="P262" s="57"/>
      <c r="Q262" s="57"/>
      <c r="R262" s="57"/>
      <c r="S262" s="57"/>
      <c r="T262" s="57"/>
      <c r="U262" s="57"/>
      <c r="V262" s="57"/>
      <c r="W262" s="451"/>
      <c r="X262" s="145"/>
      <c r="Y262" s="223"/>
      <c r="Z262" s="22"/>
      <c r="AA262"/>
      <c r="AC262"/>
      <c r="AE262" s="9"/>
      <c r="AG262" s="27"/>
      <c r="AH262" s="84"/>
      <c r="AJ262" s="13"/>
      <c r="AP262"/>
      <c r="AR262"/>
      <c r="AV262"/>
      <c r="AW262"/>
      <c r="AX262"/>
      <c r="AY262"/>
      <c r="AZ262"/>
      <c r="BC262"/>
      <c r="BD262"/>
      <c r="BG262"/>
      <c r="BH262"/>
      <c r="BI262"/>
      <c r="BJ262"/>
      <c r="BS262"/>
      <c r="BU262"/>
      <c r="BV262"/>
      <c r="BX262"/>
    </row>
    <row r="263" spans="1:76" ht="15.75">
      <c r="A263" s="263" t="s">
        <v>162</v>
      </c>
      <c r="B263" t="s">
        <v>462</v>
      </c>
      <c r="C263" s="57"/>
      <c r="D263" s="57">
        <v>270</v>
      </c>
      <c r="E263" s="57">
        <v>100</v>
      </c>
      <c r="F263" s="57">
        <v>0.28699999999999998</v>
      </c>
      <c r="G263" s="57">
        <v>40885</v>
      </c>
      <c r="H263" s="57">
        <v>10</v>
      </c>
      <c r="I263" s="57">
        <v>40984</v>
      </c>
      <c r="J263" s="57">
        <v>1064.3515368516989</v>
      </c>
      <c r="K263" s="57">
        <v>1642.1602787456447</v>
      </c>
      <c r="L263" s="57">
        <v>942.6</v>
      </c>
      <c r="M263" s="57">
        <v>28.7</v>
      </c>
      <c r="N263" s="57" t="s">
        <v>404</v>
      </c>
      <c r="O263" s="57">
        <v>57.4</v>
      </c>
      <c r="P263" s="57"/>
      <c r="Q263" s="57"/>
      <c r="R263" s="57"/>
      <c r="S263" s="57"/>
      <c r="T263" s="57"/>
      <c r="U263" s="57"/>
      <c r="V263" s="57"/>
      <c r="W263" s="451"/>
      <c r="X263" s="145"/>
      <c r="Y263" s="223"/>
      <c r="Z263" s="22"/>
      <c r="AA263"/>
      <c r="AC263"/>
      <c r="AE263" s="9"/>
      <c r="AG263" s="27"/>
      <c r="AH263" s="84"/>
      <c r="AJ263" s="13"/>
      <c r="AP263"/>
      <c r="AR263"/>
      <c r="AV263"/>
      <c r="AW263"/>
      <c r="AX263"/>
      <c r="AY263"/>
      <c r="AZ263"/>
      <c r="BC263"/>
      <c r="BD263"/>
      <c r="BG263"/>
      <c r="BH263"/>
      <c r="BI263"/>
      <c r="BJ263"/>
      <c r="BS263"/>
      <c r="BU263"/>
      <c r="BV263"/>
      <c r="BX263"/>
    </row>
    <row r="264" spans="1:76" ht="15.75">
      <c r="A264" s="263" t="s">
        <v>162</v>
      </c>
      <c r="B264" t="s">
        <v>162</v>
      </c>
      <c r="C264" s="57"/>
      <c r="D264" s="57">
        <v>486</v>
      </c>
      <c r="E264" s="57">
        <v>9</v>
      </c>
      <c r="F264" s="57">
        <v>387</v>
      </c>
      <c r="G264" s="57">
        <v>41662</v>
      </c>
      <c r="H264" s="57">
        <v>397</v>
      </c>
      <c r="I264" s="57">
        <v>41667</v>
      </c>
      <c r="J264" s="57">
        <v>169.59121702177086</v>
      </c>
      <c r="K264" s="57">
        <v>2.3503630816826382</v>
      </c>
      <c r="L264" s="57">
        <v>82.05</v>
      </c>
      <c r="M264" s="57">
        <v>7.95</v>
      </c>
      <c r="N264" s="57" t="s">
        <v>145</v>
      </c>
      <c r="O264" s="57">
        <v>3490.95</v>
      </c>
      <c r="P264" s="57"/>
      <c r="Q264" s="57"/>
      <c r="R264" s="57"/>
      <c r="S264" s="57"/>
      <c r="T264" s="57"/>
      <c r="U264" s="57"/>
      <c r="V264" s="57"/>
      <c r="W264" s="451"/>
      <c r="X264" s="145"/>
      <c r="Y264" s="223"/>
      <c r="Z264" s="22"/>
      <c r="AA264"/>
      <c r="AC264"/>
      <c r="AE264" s="9"/>
      <c r="AG264" s="27"/>
      <c r="AH264" s="84"/>
      <c r="AJ264" s="13"/>
      <c r="AP264"/>
      <c r="AR264"/>
      <c r="AV264"/>
      <c r="AW264"/>
      <c r="AX264"/>
      <c r="AY264"/>
      <c r="AZ264"/>
      <c r="BC264"/>
      <c r="BD264"/>
      <c r="BG264"/>
      <c r="BH264"/>
      <c r="BI264"/>
      <c r="BJ264"/>
      <c r="BS264"/>
      <c r="BU264"/>
      <c r="BV264"/>
      <c r="BX264"/>
    </row>
    <row r="265" spans="1:76" ht="15.75">
      <c r="A265" s="263" t="s">
        <v>6</v>
      </c>
      <c r="B265" t="s">
        <v>6</v>
      </c>
      <c r="C265" s="57"/>
      <c r="D265" s="57">
        <v>122</v>
      </c>
      <c r="E265" s="57">
        <v>100</v>
      </c>
      <c r="F265" s="57">
        <v>86.9</v>
      </c>
      <c r="G265" s="57">
        <v>40809</v>
      </c>
      <c r="H265" s="57">
        <v>40</v>
      </c>
      <c r="I265" s="57">
        <v>40838</v>
      </c>
      <c r="J265" s="57">
        <v>-977.68774715778216</v>
      </c>
      <c r="K265" s="57">
        <v>-54.01215228875769</v>
      </c>
      <c r="L265" s="57">
        <v>-4697.95</v>
      </c>
      <c r="M265" s="57">
        <v>7.95</v>
      </c>
      <c r="N265" s="57" t="s">
        <v>145</v>
      </c>
      <c r="O265" s="57">
        <v>8697.9500000000007</v>
      </c>
      <c r="P265" s="57"/>
      <c r="Q265" s="57"/>
      <c r="R265" s="57"/>
      <c r="S265" s="57"/>
      <c r="T265" s="57"/>
      <c r="U265" s="57"/>
      <c r="V265" s="57"/>
      <c r="W265" s="451"/>
      <c r="X265" s="145"/>
      <c r="Y265" s="223"/>
      <c r="Z265" s="22"/>
      <c r="AA265"/>
      <c r="AC265"/>
      <c r="AE265" s="9"/>
      <c r="AG265" s="27"/>
      <c r="AH265" s="84"/>
      <c r="AJ265" s="13"/>
      <c r="AP265"/>
      <c r="AR265"/>
      <c r="AV265"/>
      <c r="AW265"/>
      <c r="AX265"/>
      <c r="AY265"/>
      <c r="AZ265"/>
      <c r="BC265"/>
      <c r="BD265"/>
      <c r="BG265"/>
      <c r="BH265"/>
      <c r="BI265"/>
      <c r="BJ265"/>
      <c r="BS265"/>
      <c r="BU265"/>
      <c r="BV265"/>
      <c r="BX265"/>
    </row>
    <row r="266" spans="1:76" ht="15.75">
      <c r="A266" s="263" t="s">
        <v>6</v>
      </c>
      <c r="B266" t="s">
        <v>386</v>
      </c>
      <c r="C266" s="57"/>
      <c r="D266" s="57">
        <v>132</v>
      </c>
      <c r="E266" s="57">
        <v>100</v>
      </c>
      <c r="F266" s="57">
        <v>0</v>
      </c>
      <c r="G266" s="57">
        <v>40827</v>
      </c>
      <c r="H266" s="57">
        <v>50</v>
      </c>
      <c r="I266" s="57">
        <v>40838</v>
      </c>
      <c r="J266" s="57">
        <v>17122.80059143174</v>
      </c>
      <c r="K266" s="57">
        <v>17321.60278745645</v>
      </c>
      <c r="L266" s="57">
        <v>4971.3</v>
      </c>
      <c r="M266" s="57">
        <v>28.7</v>
      </c>
      <c r="N266" s="57" t="s">
        <v>404</v>
      </c>
      <c r="O266" s="57">
        <v>28.7</v>
      </c>
      <c r="P266" s="57"/>
      <c r="Q266" s="57"/>
      <c r="R266" s="57"/>
      <c r="S266" s="57"/>
      <c r="T266" s="57"/>
      <c r="U266" s="57"/>
      <c r="V266" s="57"/>
      <c r="W266" s="451"/>
      <c r="X266" s="145"/>
      <c r="Y266" s="223"/>
      <c r="Z266" s="22"/>
      <c r="AA266"/>
      <c r="AC266"/>
      <c r="AE266" s="9"/>
      <c r="AG266" s="27"/>
      <c r="AH266" s="84"/>
      <c r="AJ266" s="13"/>
      <c r="AP266"/>
      <c r="AR266"/>
      <c r="AV266"/>
      <c r="AW266"/>
      <c r="AX266"/>
      <c r="AY266"/>
      <c r="AZ266"/>
      <c r="BC266"/>
      <c r="BD266"/>
      <c r="BG266"/>
      <c r="BH266"/>
      <c r="BI266"/>
      <c r="BJ266"/>
      <c r="BS266"/>
      <c r="BU266"/>
      <c r="BV266"/>
      <c r="BX266"/>
    </row>
    <row r="267" spans="1:76" ht="15.75">
      <c r="A267" s="263" t="s">
        <v>22</v>
      </c>
      <c r="B267" t="s">
        <v>310</v>
      </c>
      <c r="C267" s="57"/>
      <c r="D267" s="57">
        <v>82</v>
      </c>
      <c r="E267" s="57">
        <v>1700</v>
      </c>
      <c r="F267" s="57">
        <v>0</v>
      </c>
      <c r="G267" s="57">
        <v>40652</v>
      </c>
      <c r="H267" s="57">
        <v>2.7</v>
      </c>
      <c r="I267" s="57">
        <v>40739</v>
      </c>
      <c r="J267" s="57">
        <v>2266.1472241561987</v>
      </c>
      <c r="K267" s="57">
        <v>22073.913043478267</v>
      </c>
      <c r="L267" s="57">
        <v>4569.3</v>
      </c>
      <c r="M267" s="57">
        <v>20.7</v>
      </c>
      <c r="N267" s="57" t="s">
        <v>403</v>
      </c>
      <c r="O267" s="57">
        <v>20.7</v>
      </c>
      <c r="P267" s="57"/>
      <c r="Q267" s="57"/>
      <c r="R267" s="57"/>
      <c r="S267" s="57"/>
      <c r="T267" s="57"/>
      <c r="U267" s="57"/>
      <c r="V267" s="57"/>
      <c r="W267" s="451"/>
      <c r="X267" s="145"/>
      <c r="Y267" s="223"/>
      <c r="Z267" s="22"/>
      <c r="AA267"/>
      <c r="AC267"/>
      <c r="AE267" s="9"/>
      <c r="AG267" s="27"/>
      <c r="AH267" s="84"/>
      <c r="AJ267" s="13"/>
      <c r="AP267"/>
      <c r="AR267"/>
      <c r="AV267"/>
      <c r="AW267"/>
      <c r="AX267"/>
      <c r="AY267"/>
      <c r="AZ267"/>
      <c r="BC267"/>
      <c r="BD267"/>
      <c r="BG267"/>
      <c r="BH267"/>
      <c r="BI267"/>
      <c r="BJ267"/>
      <c r="BS267"/>
      <c r="BU267"/>
      <c r="BV267"/>
      <c r="BX267"/>
    </row>
    <row r="268" spans="1:76" ht="15.75">
      <c r="A268" s="263" t="s">
        <v>22</v>
      </c>
      <c r="B268" t="s">
        <v>310</v>
      </c>
      <c r="C268" s="57"/>
      <c r="D268" s="57">
        <v>83</v>
      </c>
      <c r="E268" s="57">
        <v>300</v>
      </c>
      <c r="F268" s="57">
        <v>0</v>
      </c>
      <c r="G268" s="57">
        <v>40664</v>
      </c>
      <c r="H268" s="57">
        <v>0.7</v>
      </c>
      <c r="I268" s="57">
        <v>40739</v>
      </c>
      <c r="J268" s="57">
        <v>1472.0303077412582</v>
      </c>
      <c r="K268" s="57">
        <v>1958.8235294117649</v>
      </c>
      <c r="L268" s="57">
        <v>199.8</v>
      </c>
      <c r="M268" s="57">
        <v>10.199999999999999</v>
      </c>
      <c r="N268" s="57" t="s">
        <v>403</v>
      </c>
      <c r="O268" s="57">
        <v>10.199999999999999</v>
      </c>
      <c r="P268" s="57"/>
      <c r="Q268" s="57"/>
      <c r="R268" s="57"/>
      <c r="S268" s="57"/>
      <c r="T268" s="57"/>
      <c r="U268" s="57"/>
      <c r="V268" s="57"/>
      <c r="W268" s="451"/>
      <c r="X268" s="145"/>
      <c r="Y268" s="223"/>
      <c r="Z268" s="22"/>
      <c r="AA268"/>
      <c r="AC268"/>
      <c r="AE268" s="9"/>
      <c r="AG268" s="27"/>
      <c r="AH268" s="84"/>
      <c r="AJ268" s="13"/>
      <c r="AP268"/>
      <c r="AR268"/>
      <c r="AV268"/>
      <c r="AW268"/>
      <c r="AX268"/>
      <c r="AY268"/>
      <c r="AZ268"/>
      <c r="BC268"/>
      <c r="BD268"/>
      <c r="BG268"/>
      <c r="BH268"/>
      <c r="BI268"/>
      <c r="BJ268"/>
      <c r="BS268"/>
      <c r="BU268"/>
      <c r="BV268"/>
      <c r="BX268"/>
    </row>
    <row r="269" spans="1:76" ht="15.75">
      <c r="A269" s="263" t="s">
        <v>22</v>
      </c>
      <c r="B269" t="s">
        <v>367</v>
      </c>
      <c r="C269" s="57"/>
      <c r="D269" s="57">
        <v>112</v>
      </c>
      <c r="E269" s="57">
        <v>2000</v>
      </c>
      <c r="F269" s="57">
        <v>0.5</v>
      </c>
      <c r="G269" s="57">
        <v>40783</v>
      </c>
      <c r="H269" s="57">
        <v>0.55000000000000004</v>
      </c>
      <c r="I269" s="57">
        <v>40808</v>
      </c>
      <c r="J269" s="57">
        <v>73.631334698309487</v>
      </c>
      <c r="K269" s="57">
        <v>5.1725786404053959</v>
      </c>
      <c r="L269" s="57">
        <v>54.1</v>
      </c>
      <c r="M269" s="57">
        <v>45.9</v>
      </c>
      <c r="N269" s="57" t="s">
        <v>15</v>
      </c>
      <c r="O269" s="57">
        <v>1045.9000000000001</v>
      </c>
      <c r="P269" s="57"/>
      <c r="Q269" s="57"/>
      <c r="R269" s="57"/>
      <c r="S269" s="57"/>
      <c r="T269" s="57"/>
      <c r="U269" s="57"/>
      <c r="V269" s="57"/>
      <c r="W269" s="451"/>
      <c r="X269" s="145"/>
      <c r="Y269" s="223"/>
      <c r="Z269" s="22"/>
      <c r="AA269"/>
      <c r="AC269"/>
      <c r="AE269" s="9"/>
      <c r="AG269" s="27"/>
      <c r="AH269" s="84"/>
      <c r="AJ269" s="13"/>
      <c r="AP269"/>
      <c r="AR269"/>
      <c r="AV269"/>
      <c r="AW269"/>
      <c r="AX269"/>
      <c r="AY269"/>
      <c r="AZ269"/>
      <c r="BC269"/>
      <c r="BD269"/>
      <c r="BG269"/>
      <c r="BH269"/>
      <c r="BI269"/>
      <c r="BJ269"/>
      <c r="BS269"/>
      <c r="BU269"/>
      <c r="BV269"/>
      <c r="BX269"/>
    </row>
    <row r="270" spans="1:76" ht="15.75">
      <c r="A270" s="263" t="s">
        <v>22</v>
      </c>
      <c r="B270" t="s">
        <v>387</v>
      </c>
      <c r="C270" s="57"/>
      <c r="D270" s="57">
        <v>175</v>
      </c>
      <c r="E270" s="57">
        <v>2000</v>
      </c>
      <c r="F270" s="57">
        <v>0.05</v>
      </c>
      <c r="G270" s="57">
        <v>40813</v>
      </c>
      <c r="H270" s="57">
        <v>0.2</v>
      </c>
      <c r="I270" s="57">
        <v>40889</v>
      </c>
      <c r="J270" s="57">
        <v>484.36609003476747</v>
      </c>
      <c r="K270" s="57">
        <v>174.16038382453735</v>
      </c>
      <c r="L270" s="57">
        <v>254.1</v>
      </c>
      <c r="M270" s="57">
        <v>45.9</v>
      </c>
      <c r="N270" s="57" t="s">
        <v>15</v>
      </c>
      <c r="O270" s="57">
        <v>145.9</v>
      </c>
      <c r="P270" s="57"/>
      <c r="Q270" s="57"/>
      <c r="R270" s="57"/>
      <c r="S270" s="57"/>
      <c r="T270" s="57"/>
      <c r="U270" s="57"/>
      <c r="V270" s="57"/>
      <c r="W270" s="451"/>
      <c r="X270" s="145"/>
      <c r="Y270" s="223"/>
      <c r="Z270" s="22"/>
      <c r="AA270"/>
      <c r="AC270"/>
      <c r="AE270" s="9"/>
      <c r="AG270" s="27"/>
      <c r="AH270" s="84"/>
      <c r="AJ270" s="13"/>
      <c r="AP270"/>
      <c r="AR270"/>
      <c r="AV270"/>
      <c r="AW270"/>
      <c r="AX270"/>
      <c r="AY270"/>
      <c r="AZ270"/>
      <c r="BC270"/>
      <c r="BD270"/>
      <c r="BG270"/>
      <c r="BH270"/>
      <c r="BI270"/>
      <c r="BJ270"/>
      <c r="BS270"/>
      <c r="BU270"/>
      <c r="BV270"/>
      <c r="BX270"/>
    </row>
    <row r="271" spans="1:76" ht="15.75">
      <c r="A271" s="263" t="s">
        <v>22</v>
      </c>
      <c r="B271" t="s">
        <v>481</v>
      </c>
      <c r="C271" s="57"/>
      <c r="D271" s="57">
        <v>278</v>
      </c>
      <c r="E271" s="57">
        <v>2000</v>
      </c>
      <c r="F271" s="57">
        <v>0.32</v>
      </c>
      <c r="G271" s="57">
        <v>40911</v>
      </c>
      <c r="H271" s="57">
        <v>0.5</v>
      </c>
      <c r="I271" s="57">
        <v>41019</v>
      </c>
      <c r="J271" s="57">
        <v>128.61079774210697</v>
      </c>
      <c r="K271" s="57">
        <v>45.793847499635525</v>
      </c>
      <c r="L271" s="57">
        <v>314.10000000000002</v>
      </c>
      <c r="M271" s="57">
        <v>45.9</v>
      </c>
      <c r="N271" s="57" t="s">
        <v>15</v>
      </c>
      <c r="O271" s="57">
        <v>685.9</v>
      </c>
      <c r="P271" s="57"/>
      <c r="Q271" s="57"/>
      <c r="R271" s="57"/>
      <c r="S271" s="57"/>
      <c r="T271" s="57"/>
      <c r="U271" s="57"/>
      <c r="V271" s="57"/>
      <c r="W271" s="451"/>
      <c r="X271" s="145"/>
      <c r="Y271" s="223"/>
      <c r="Z271" s="22"/>
      <c r="AA271"/>
      <c r="AC271"/>
      <c r="AE271" s="9"/>
      <c r="AG271" s="27"/>
      <c r="AH271" s="84"/>
      <c r="AJ271" s="13"/>
      <c r="AP271"/>
      <c r="AR271"/>
      <c r="AV271"/>
      <c r="AW271"/>
      <c r="AX271"/>
      <c r="AY271"/>
      <c r="AZ271"/>
      <c r="BC271"/>
      <c r="BD271"/>
      <c r="BG271"/>
      <c r="BH271"/>
      <c r="BI271"/>
      <c r="BJ271"/>
      <c r="BS271"/>
      <c r="BU271"/>
      <c r="BV271"/>
      <c r="BX271"/>
    </row>
    <row r="272" spans="1:76" ht="15.75">
      <c r="A272" s="263" t="s">
        <v>22</v>
      </c>
      <c r="B272" t="s">
        <v>22</v>
      </c>
      <c r="C272" s="57"/>
      <c r="D272" s="57">
        <v>328</v>
      </c>
      <c r="E272" s="57">
        <v>700</v>
      </c>
      <c r="F272" s="57">
        <v>2.5</v>
      </c>
      <c r="G272" s="57">
        <v>40632</v>
      </c>
      <c r="H272" s="57">
        <v>1</v>
      </c>
      <c r="I272" s="57">
        <v>41095</v>
      </c>
      <c r="J272" s="57">
        <v>-72.591901729177962</v>
      </c>
      <c r="K272" s="57">
        <v>-60.180892516852012</v>
      </c>
      <c r="L272" s="57">
        <v>-1057.95</v>
      </c>
      <c r="M272" s="57">
        <v>7.95</v>
      </c>
      <c r="N272" s="57" t="s">
        <v>145</v>
      </c>
      <c r="O272" s="57">
        <v>1757.95</v>
      </c>
      <c r="P272" s="57"/>
      <c r="Q272" s="57"/>
      <c r="R272" s="57"/>
      <c r="S272" s="57"/>
      <c r="T272" s="57"/>
      <c r="U272" s="57"/>
      <c r="V272" s="57"/>
      <c r="W272" s="451"/>
      <c r="X272" s="145"/>
      <c r="Y272" s="223"/>
      <c r="Z272" s="22"/>
      <c r="AA272"/>
      <c r="AC272"/>
      <c r="AE272" s="9"/>
      <c r="AG272" s="27"/>
      <c r="AH272" s="84"/>
      <c r="AJ272" s="13"/>
      <c r="AP272"/>
      <c r="AR272"/>
      <c r="AV272"/>
      <c r="AW272"/>
      <c r="AX272"/>
      <c r="AY272"/>
      <c r="AZ272"/>
      <c r="BC272"/>
      <c r="BD272"/>
      <c r="BG272"/>
      <c r="BH272"/>
      <c r="BI272"/>
      <c r="BJ272"/>
      <c r="BS272"/>
      <c r="BU272"/>
      <c r="BV272"/>
      <c r="BX272"/>
    </row>
    <row r="273" spans="1:76" ht="15.75">
      <c r="A273" s="263" t="s">
        <v>22</v>
      </c>
      <c r="B273" t="s">
        <v>691</v>
      </c>
      <c r="C273" s="57"/>
      <c r="D273" s="57">
        <v>329</v>
      </c>
      <c r="E273" s="57">
        <v>700</v>
      </c>
      <c r="F273" s="57">
        <v>0</v>
      </c>
      <c r="G273" s="57">
        <v>41029</v>
      </c>
      <c r="H273" s="57">
        <v>0.4</v>
      </c>
      <c r="I273" s="57">
        <v>41095</v>
      </c>
      <c r="J273" s="57">
        <v>1305.9399112896929</v>
      </c>
      <c r="K273" s="57">
        <v>960.60606060606085</v>
      </c>
      <c r="L273" s="57">
        <v>253.6</v>
      </c>
      <c r="M273" s="57">
        <v>26.4</v>
      </c>
      <c r="N273" s="57" t="s">
        <v>15</v>
      </c>
      <c r="O273" s="57">
        <v>26.4</v>
      </c>
      <c r="P273" s="57"/>
      <c r="Q273" s="57"/>
      <c r="R273" s="57"/>
      <c r="S273" s="57"/>
      <c r="T273" s="57"/>
      <c r="U273" s="57"/>
      <c r="V273" s="57"/>
      <c r="W273" s="451"/>
      <c r="X273" s="145"/>
      <c r="Y273" s="223"/>
      <c r="Z273" s="22"/>
      <c r="AA273"/>
      <c r="AC273"/>
      <c r="AE273" s="9"/>
      <c r="AG273" s="27"/>
      <c r="AH273" s="84"/>
      <c r="AJ273" s="13"/>
      <c r="AP273"/>
      <c r="AR273"/>
      <c r="AV273"/>
      <c r="AW273"/>
      <c r="AX273"/>
      <c r="AY273"/>
      <c r="AZ273"/>
      <c r="BC273"/>
      <c r="BD273"/>
      <c r="BG273"/>
      <c r="BH273"/>
      <c r="BI273"/>
      <c r="BJ273"/>
      <c r="BS273"/>
      <c r="BU273"/>
      <c r="BV273"/>
      <c r="BX273"/>
    </row>
    <row r="274" spans="1:76" ht="15.75">
      <c r="A274" s="263" t="s">
        <v>22</v>
      </c>
      <c r="B274" t="s">
        <v>22</v>
      </c>
      <c r="C274" s="57"/>
      <c r="D274" s="57">
        <v>333</v>
      </c>
      <c r="E274" s="57">
        <v>1300</v>
      </c>
      <c r="F274" s="57">
        <v>2.5</v>
      </c>
      <c r="G274" s="57">
        <v>40632</v>
      </c>
      <c r="H274" s="57">
        <v>1</v>
      </c>
      <c r="I274" s="57">
        <v>41103</v>
      </c>
      <c r="J274" s="57">
        <v>-71.197000646700047</v>
      </c>
      <c r="K274" s="57">
        <v>-60.097607391150881</v>
      </c>
      <c r="L274" s="57">
        <v>-1957.95</v>
      </c>
      <c r="M274" s="57">
        <v>7.95</v>
      </c>
      <c r="N274" s="57" t="s">
        <v>145</v>
      </c>
      <c r="O274" s="57">
        <v>3257.95</v>
      </c>
      <c r="P274" s="57"/>
      <c r="Q274" s="57"/>
      <c r="R274" s="57"/>
      <c r="S274" s="57"/>
      <c r="T274" s="57"/>
      <c r="U274" s="57"/>
      <c r="V274" s="57"/>
      <c r="W274" s="451"/>
      <c r="X274" s="145"/>
      <c r="Y274" s="223"/>
      <c r="Z274" s="22"/>
      <c r="AA274"/>
      <c r="AC274"/>
      <c r="AE274" s="9"/>
      <c r="AG274" s="27"/>
      <c r="AH274" s="84"/>
      <c r="AJ274" s="13"/>
      <c r="AP274"/>
      <c r="AR274"/>
      <c r="AV274"/>
      <c r="AW274"/>
      <c r="AX274"/>
      <c r="AY274"/>
      <c r="AZ274"/>
      <c r="BC274"/>
      <c r="BD274"/>
      <c r="BG274"/>
      <c r="BH274"/>
      <c r="BI274"/>
      <c r="BJ274"/>
      <c r="BS274"/>
      <c r="BU274"/>
      <c r="BV274"/>
      <c r="BX274"/>
    </row>
    <row r="275" spans="1:76" ht="15.75">
      <c r="A275" s="263" t="s">
        <v>22</v>
      </c>
      <c r="B275" t="s">
        <v>691</v>
      </c>
      <c r="C275" s="57"/>
      <c r="D275" s="57">
        <v>335</v>
      </c>
      <c r="E275" s="57">
        <v>1300</v>
      </c>
      <c r="F275" s="57">
        <v>0</v>
      </c>
      <c r="G275" s="57">
        <v>41029</v>
      </c>
      <c r="H275" s="57">
        <v>0.4</v>
      </c>
      <c r="I275" s="57">
        <v>41103</v>
      </c>
      <c r="J275" s="57">
        <v>1325.4022998297928</v>
      </c>
      <c r="K275" s="57">
        <v>1368.9265536723169</v>
      </c>
      <c r="L275" s="57">
        <v>484.6</v>
      </c>
      <c r="M275" s="57">
        <v>35.4</v>
      </c>
      <c r="N275" s="57" t="s">
        <v>15</v>
      </c>
      <c r="O275" s="57">
        <v>35.4</v>
      </c>
      <c r="P275" s="57"/>
      <c r="Q275" s="57"/>
      <c r="R275" s="57"/>
      <c r="S275" s="57"/>
      <c r="T275" s="57"/>
      <c r="U275" s="57"/>
      <c r="V275" s="57"/>
      <c r="W275" s="451"/>
      <c r="X275" s="145"/>
      <c r="Y275" s="223"/>
      <c r="Z275" s="22"/>
      <c r="AA275"/>
      <c r="AC275"/>
      <c r="AE275" s="9"/>
      <c r="AG275" s="27"/>
      <c r="AH275" s="84"/>
      <c r="AJ275" s="13"/>
      <c r="AP275"/>
      <c r="AR275"/>
      <c r="AV275"/>
      <c r="AW275"/>
      <c r="AX275"/>
      <c r="AY275"/>
      <c r="AZ275"/>
      <c r="BC275"/>
      <c r="BD275"/>
      <c r="BG275"/>
      <c r="BH275"/>
      <c r="BI275"/>
      <c r="BJ275"/>
      <c r="BS275"/>
      <c r="BU275"/>
      <c r="BV275"/>
      <c r="BX275"/>
    </row>
    <row r="276" spans="1:76" ht="15.75">
      <c r="A276" s="263" t="s">
        <v>177</v>
      </c>
      <c r="B276" t="s">
        <v>437</v>
      </c>
      <c r="C276" s="57"/>
      <c r="D276" s="57">
        <v>167</v>
      </c>
      <c r="E276" s="57">
        <v>200</v>
      </c>
      <c r="F276" s="57">
        <v>5.3</v>
      </c>
      <c r="G276" s="57">
        <v>40858</v>
      </c>
      <c r="H276" s="57">
        <v>5.8</v>
      </c>
      <c r="I276" s="57">
        <v>40877</v>
      </c>
      <c r="J276" s="57">
        <v>139.23405559598581</v>
      </c>
      <c r="K276" s="57">
        <v>7.5169153767726389</v>
      </c>
      <c r="L276" s="57">
        <v>81.099999999999994</v>
      </c>
      <c r="M276" s="57">
        <v>18.899999999999999</v>
      </c>
      <c r="N276" s="57" t="s">
        <v>278</v>
      </c>
      <c r="O276" s="57">
        <v>1078.9000000000001</v>
      </c>
      <c r="P276" s="57"/>
      <c r="Q276" s="57"/>
      <c r="R276" s="57"/>
      <c r="S276" s="57"/>
      <c r="T276" s="57"/>
      <c r="U276" s="57"/>
      <c r="V276" s="57"/>
      <c r="W276" s="451"/>
      <c r="X276" s="145"/>
      <c r="Y276" s="223"/>
      <c r="Z276" s="22"/>
      <c r="AA276"/>
      <c r="AC276"/>
      <c r="AE276" s="9"/>
      <c r="AG276" s="27"/>
      <c r="AH276" s="84"/>
      <c r="AJ276" s="13"/>
      <c r="AP276"/>
      <c r="AR276"/>
      <c r="AV276"/>
      <c r="AW276"/>
      <c r="AX276"/>
      <c r="AY276"/>
      <c r="AZ276"/>
      <c r="BC276"/>
      <c r="BD276"/>
      <c r="BG276"/>
      <c r="BH276"/>
      <c r="BI276"/>
      <c r="BJ276"/>
      <c r="BS276"/>
      <c r="BU276"/>
      <c r="BV276"/>
      <c r="BX276"/>
    </row>
    <row r="277" spans="1:76" ht="15.75">
      <c r="A277" s="263" t="s">
        <v>177</v>
      </c>
      <c r="B277" s="236" t="s">
        <v>471</v>
      </c>
      <c r="C277" s="57"/>
      <c r="D277" s="57">
        <v>205</v>
      </c>
      <c r="E277" s="57">
        <v>200</v>
      </c>
      <c r="F277" s="57">
        <v>1.75</v>
      </c>
      <c r="G277" s="57">
        <v>40900</v>
      </c>
      <c r="H277" s="57">
        <v>2</v>
      </c>
      <c r="I277" s="57">
        <v>40928</v>
      </c>
      <c r="J277" s="57">
        <v>105.50969290876247</v>
      </c>
      <c r="K277" s="57">
        <v>8.4304689617782582</v>
      </c>
      <c r="L277" s="57">
        <v>31.1</v>
      </c>
      <c r="M277" s="57">
        <v>18.899999999999999</v>
      </c>
      <c r="N277" s="57" t="s">
        <v>15</v>
      </c>
      <c r="O277" s="57">
        <v>368.9</v>
      </c>
      <c r="P277" s="57"/>
      <c r="Q277" s="57"/>
      <c r="R277" s="57"/>
      <c r="S277" s="57"/>
      <c r="T277" s="57"/>
      <c r="U277" s="57"/>
      <c r="V277" s="57"/>
      <c r="W277" s="451"/>
      <c r="X277" s="145"/>
      <c r="Y277" s="223"/>
      <c r="Z277" s="22"/>
      <c r="AA277"/>
      <c r="AC277"/>
      <c r="AE277" s="9"/>
      <c r="AG277" s="27"/>
      <c r="AH277" s="84"/>
      <c r="AJ277" s="13"/>
      <c r="AP277"/>
      <c r="AR277"/>
      <c r="AV277"/>
      <c r="AW277"/>
      <c r="AX277"/>
      <c r="AY277"/>
      <c r="AZ277"/>
      <c r="BC277"/>
      <c r="BD277"/>
      <c r="BG277"/>
      <c r="BH277"/>
      <c r="BI277"/>
      <c r="BJ277"/>
      <c r="BS277"/>
      <c r="BU277"/>
      <c r="BV277"/>
      <c r="BX277"/>
    </row>
    <row r="278" spans="1:76" ht="15.75">
      <c r="A278" s="263" t="s">
        <v>177</v>
      </c>
      <c r="B278" s="236" t="s">
        <v>492</v>
      </c>
      <c r="C278" s="57"/>
      <c r="D278" s="57">
        <v>300</v>
      </c>
      <c r="E278" s="57">
        <v>200</v>
      </c>
      <c r="F278" s="57">
        <v>0.1</v>
      </c>
      <c r="G278" s="57">
        <v>40931</v>
      </c>
      <c r="H278" s="57">
        <v>1.3</v>
      </c>
      <c r="I278" s="57">
        <v>41047</v>
      </c>
      <c r="J278" s="57">
        <v>602.94425551544464</v>
      </c>
      <c r="K278" s="57">
        <v>568.3804627249358</v>
      </c>
      <c r="L278" s="57">
        <v>221.1</v>
      </c>
      <c r="M278" s="57">
        <v>18.899999999999999</v>
      </c>
      <c r="N278" s="57" t="s">
        <v>15</v>
      </c>
      <c r="O278" s="57">
        <v>38.9</v>
      </c>
      <c r="P278" s="57"/>
      <c r="Q278" s="57"/>
      <c r="R278" s="57"/>
      <c r="S278" s="57"/>
      <c r="T278" s="57"/>
      <c r="U278" s="57"/>
      <c r="V278" s="57"/>
      <c r="W278" s="500"/>
      <c r="X278" s="500"/>
      <c r="Y278" s="500"/>
      <c r="Z278" s="451"/>
      <c r="AA278" s="145"/>
      <c r="AB278" s="223"/>
      <c r="AC278" s="22"/>
      <c r="AH278" s="9"/>
      <c r="AJ278" s="27"/>
      <c r="AK278" s="84"/>
      <c r="AM278" s="13"/>
      <c r="AP278"/>
      <c r="AR278"/>
      <c r="AV278"/>
      <c r="AW278"/>
      <c r="AX278"/>
      <c r="AY278"/>
      <c r="AZ278"/>
      <c r="BC278"/>
      <c r="BD278"/>
      <c r="BG278"/>
      <c r="BH278"/>
      <c r="BI278"/>
      <c r="BJ278"/>
      <c r="BS278"/>
      <c r="BU278"/>
      <c r="BV278"/>
      <c r="BX278"/>
    </row>
    <row r="279" spans="1:76" ht="15.75">
      <c r="A279" s="263" t="s">
        <v>177</v>
      </c>
      <c r="B279" s="236" t="s">
        <v>736</v>
      </c>
      <c r="C279" s="57"/>
      <c r="D279" s="57">
        <v>338</v>
      </c>
      <c r="E279" s="57">
        <v>200</v>
      </c>
      <c r="F279" s="57">
        <v>0.5</v>
      </c>
      <c r="G279" s="57">
        <v>41058</v>
      </c>
      <c r="H279" s="57">
        <v>1.1499999999999999</v>
      </c>
      <c r="I279" s="57">
        <v>41107</v>
      </c>
      <c r="J279" s="57">
        <v>491.48107021970941</v>
      </c>
      <c r="K279" s="57">
        <v>93.439865433137086</v>
      </c>
      <c r="L279" s="57">
        <v>111.1</v>
      </c>
      <c r="M279" s="57">
        <v>18.899999999999999</v>
      </c>
      <c r="N279" s="57" t="s">
        <v>15</v>
      </c>
      <c r="O279" s="57">
        <v>118.9</v>
      </c>
      <c r="P279" s="57"/>
      <c r="Q279" s="57"/>
      <c r="R279" s="57"/>
      <c r="S279" s="57"/>
      <c r="T279" s="57"/>
      <c r="U279" s="57"/>
      <c r="V279" s="57"/>
      <c r="W279" s="500"/>
      <c r="X279" s="500"/>
      <c r="Y279" s="500"/>
      <c r="Z279" s="451"/>
      <c r="AA279" s="145"/>
      <c r="AB279" s="223"/>
      <c r="AC279" s="22"/>
      <c r="AH279" s="9"/>
      <c r="AJ279" s="27"/>
      <c r="AK279" s="84"/>
      <c r="AM279" s="13"/>
      <c r="AP279"/>
      <c r="AR279"/>
      <c r="AV279"/>
      <c r="AW279"/>
      <c r="AX279"/>
      <c r="AY279"/>
      <c r="AZ279"/>
      <c r="BC279"/>
      <c r="BD279"/>
      <c r="BG279"/>
      <c r="BH279"/>
      <c r="BI279"/>
      <c r="BJ279"/>
      <c r="BS279"/>
      <c r="BU279"/>
      <c r="BV279"/>
      <c r="BX279"/>
    </row>
    <row r="280" spans="1:76" ht="15.75">
      <c r="A280" s="263" t="s">
        <v>177</v>
      </c>
      <c r="B280" s="236" t="s">
        <v>797</v>
      </c>
      <c r="C280" s="57"/>
      <c r="D280" s="57">
        <v>364</v>
      </c>
      <c r="E280" s="57">
        <v>200</v>
      </c>
      <c r="F280" s="57">
        <v>0.6</v>
      </c>
      <c r="G280" s="57">
        <v>41120</v>
      </c>
      <c r="H280" s="57">
        <v>1.2</v>
      </c>
      <c r="I280" s="57">
        <v>41156</v>
      </c>
      <c r="J280" s="57">
        <v>554.48029404810563</v>
      </c>
      <c r="K280" s="57">
        <v>72.786177105831527</v>
      </c>
      <c r="L280" s="57">
        <v>101.1</v>
      </c>
      <c r="M280" s="57">
        <v>18.899999999999999</v>
      </c>
      <c r="N280" s="57" t="s">
        <v>15</v>
      </c>
      <c r="O280" s="57">
        <v>138.9</v>
      </c>
      <c r="P280" s="57"/>
      <c r="Q280" s="57"/>
      <c r="R280" s="57"/>
      <c r="S280" s="57"/>
      <c r="T280" s="57"/>
      <c r="U280" s="57"/>
      <c r="V280" s="57"/>
      <c r="W280" s="500"/>
      <c r="X280" s="500"/>
      <c r="Y280" s="500"/>
      <c r="Z280" s="451"/>
      <c r="AA280" s="145"/>
      <c r="AB280" s="223"/>
      <c r="AC280" s="22"/>
      <c r="AH280" s="9"/>
      <c r="AJ280" s="27"/>
      <c r="AK280" s="84"/>
      <c r="AM280" s="13"/>
      <c r="AP280"/>
      <c r="AR280"/>
      <c r="AV280"/>
      <c r="AW280"/>
      <c r="AX280"/>
      <c r="AY280"/>
      <c r="AZ280"/>
      <c r="BC280"/>
      <c r="BD280"/>
      <c r="BG280"/>
      <c r="BH280"/>
      <c r="BI280"/>
      <c r="BJ280"/>
      <c r="BS280"/>
      <c r="BU280"/>
      <c r="BV280"/>
      <c r="BX280"/>
    </row>
    <row r="281" spans="1:76" ht="15.75">
      <c r="A281" s="263" t="s">
        <v>177</v>
      </c>
      <c r="B281" s="236" t="s">
        <v>815</v>
      </c>
      <c r="C281" s="57"/>
      <c r="D281" s="57">
        <v>378</v>
      </c>
      <c r="E281" s="57">
        <v>200</v>
      </c>
      <c r="F281" s="57">
        <v>0.5</v>
      </c>
      <c r="G281" s="57">
        <v>41158</v>
      </c>
      <c r="H281" s="57">
        <v>1.3</v>
      </c>
      <c r="I281" s="57">
        <v>41180</v>
      </c>
      <c r="J281" s="57">
        <v>1298.0707816879949</v>
      </c>
      <c r="K281" s="57">
        <v>118.67115222876366</v>
      </c>
      <c r="L281" s="57">
        <v>141.1</v>
      </c>
      <c r="M281" s="57">
        <v>18.899999999999999</v>
      </c>
      <c r="N281" s="57" t="s">
        <v>15</v>
      </c>
      <c r="O281" s="57">
        <v>118.9</v>
      </c>
      <c r="P281" s="57"/>
      <c r="Q281" s="57"/>
      <c r="R281" s="57"/>
      <c r="S281" s="57"/>
      <c r="T281" s="57"/>
      <c r="U281" s="57"/>
      <c r="V281" s="57"/>
      <c r="W281" s="500"/>
      <c r="X281" s="500"/>
      <c r="Y281" s="500"/>
      <c r="Z281" s="451"/>
      <c r="AA281" s="145"/>
      <c r="AB281" s="223"/>
      <c r="AC281" s="22"/>
      <c r="AH281" s="9"/>
      <c r="AJ281" s="27"/>
      <c r="AK281" s="84"/>
      <c r="AM281" s="13"/>
      <c r="AP281"/>
      <c r="AR281"/>
      <c r="AV281"/>
      <c r="AW281"/>
      <c r="AX281"/>
      <c r="AY281"/>
      <c r="AZ281"/>
      <c r="BC281"/>
      <c r="BD281"/>
      <c r="BG281"/>
      <c r="BH281"/>
      <c r="BI281"/>
      <c r="BJ281"/>
      <c r="BS281"/>
      <c r="BU281"/>
      <c r="BV281"/>
      <c r="BX281"/>
    </row>
    <row r="282" spans="1:76" ht="15.75">
      <c r="A282" s="263" t="s">
        <v>177</v>
      </c>
      <c r="B282" s="236" t="s">
        <v>177</v>
      </c>
      <c r="C282" s="57"/>
      <c r="D282" s="57">
        <v>467</v>
      </c>
      <c r="E282" s="57">
        <v>204</v>
      </c>
      <c r="F282" s="57">
        <v>14.5541</v>
      </c>
      <c r="G282" s="57">
        <v>40858</v>
      </c>
      <c r="H282" s="57">
        <v>14</v>
      </c>
      <c r="I282" s="57">
        <v>41566</v>
      </c>
      <c r="J282" s="57">
        <v>-2.1419598661651724</v>
      </c>
      <c r="K282" s="57">
        <v>-4.0640561878280677</v>
      </c>
      <c r="L282" s="57">
        <v>-120.9864</v>
      </c>
      <c r="M282" s="57">
        <v>7.95</v>
      </c>
      <c r="N282" s="57" t="s">
        <v>145</v>
      </c>
      <c r="O282" s="57">
        <v>2976.9863999999998</v>
      </c>
      <c r="P282" s="57"/>
      <c r="Q282" s="57"/>
      <c r="R282" s="57"/>
      <c r="S282" s="57"/>
      <c r="T282" s="57"/>
      <c r="U282" s="57"/>
      <c r="V282" s="57"/>
      <c r="W282" s="500"/>
      <c r="X282" s="500"/>
      <c r="Y282" s="500"/>
      <c r="Z282" s="451"/>
      <c r="AA282" s="145"/>
      <c r="AB282" s="223"/>
      <c r="AC282" s="22"/>
      <c r="AH282" s="9"/>
      <c r="AJ282" s="27"/>
      <c r="AK282" s="84"/>
      <c r="AM282" s="13"/>
      <c r="AP282"/>
      <c r="AR282"/>
      <c r="AV282"/>
      <c r="AW282"/>
      <c r="AX282"/>
      <c r="AY282"/>
      <c r="AZ282"/>
      <c r="BC282"/>
      <c r="BD282"/>
      <c r="BG282"/>
      <c r="BH282"/>
      <c r="BI282"/>
      <c r="BJ282"/>
      <c r="BS282"/>
      <c r="BU282"/>
      <c r="BV282"/>
      <c r="BX282"/>
    </row>
    <row r="283" spans="1:76" ht="15.75">
      <c r="A283" s="263" t="s">
        <v>177</v>
      </c>
      <c r="B283" s="236" t="s">
        <v>898</v>
      </c>
      <c r="C283" s="57"/>
      <c r="D283" s="57">
        <v>468</v>
      </c>
      <c r="E283" s="57">
        <v>200</v>
      </c>
      <c r="F283" s="57">
        <v>0</v>
      </c>
      <c r="G283" s="57">
        <v>41480</v>
      </c>
      <c r="H283" s="57">
        <v>1</v>
      </c>
      <c r="I283" s="57">
        <v>41566</v>
      </c>
      <c r="J283" s="57">
        <v>813.02623442373374</v>
      </c>
      <c r="K283" s="57">
        <v>579.11714770797971</v>
      </c>
      <c r="L283" s="57">
        <v>170.55</v>
      </c>
      <c r="M283" s="57">
        <v>29.45</v>
      </c>
      <c r="N283" s="57" t="s">
        <v>404</v>
      </c>
      <c r="O283" s="57">
        <v>29.45</v>
      </c>
      <c r="P283" s="57"/>
      <c r="Q283" s="57"/>
      <c r="R283" s="57"/>
      <c r="S283" s="57"/>
      <c r="T283" s="57"/>
      <c r="U283" s="57"/>
      <c r="V283" s="57"/>
      <c r="W283" s="500"/>
      <c r="X283" s="500"/>
      <c r="Y283" s="500"/>
      <c r="Z283" s="451"/>
      <c r="AA283" s="145"/>
      <c r="AB283" s="223"/>
      <c r="AC283" s="22"/>
      <c r="AH283" s="9"/>
      <c r="AJ283" s="27"/>
      <c r="AK283" s="84"/>
      <c r="AM283" s="13"/>
      <c r="AP283"/>
      <c r="AR283"/>
      <c r="AV283"/>
      <c r="AW283"/>
      <c r="AX283"/>
      <c r="AY283"/>
      <c r="AZ283"/>
      <c r="BC283"/>
      <c r="BD283"/>
      <c r="BG283"/>
      <c r="BH283"/>
      <c r="BI283"/>
      <c r="BJ283"/>
      <c r="BS283"/>
      <c r="BU283"/>
      <c r="BV283"/>
      <c r="BX283"/>
    </row>
    <row r="284" spans="1:76" ht="15.75">
      <c r="A284" s="263" t="s">
        <v>108</v>
      </c>
      <c r="B284" s="236"/>
      <c r="C284" s="57"/>
      <c r="D284" s="57">
        <v>80</v>
      </c>
      <c r="E284" s="57">
        <v>500</v>
      </c>
      <c r="F284" s="57">
        <v>21</v>
      </c>
      <c r="G284" s="57">
        <v>40305</v>
      </c>
      <c r="H284" s="57">
        <v>15</v>
      </c>
      <c r="I284" s="57">
        <v>40739</v>
      </c>
      <c r="J284" s="57">
        <v>-28.361432935820311</v>
      </c>
      <c r="K284" s="57">
        <v>-28.625469287539428</v>
      </c>
      <c r="L284" s="57">
        <v>-3007.95</v>
      </c>
      <c r="M284" s="57">
        <v>7.95</v>
      </c>
      <c r="N284" s="57" t="s">
        <v>145</v>
      </c>
      <c r="O284" s="57">
        <v>10507.95</v>
      </c>
      <c r="P284" s="57"/>
      <c r="Q284" s="57"/>
      <c r="R284" s="57"/>
      <c r="S284" s="57"/>
      <c r="T284" s="57"/>
      <c r="U284" s="57"/>
      <c r="V284" s="57"/>
      <c r="W284" s="500"/>
      <c r="X284" s="500"/>
      <c r="Y284" s="500"/>
      <c r="Z284" s="451"/>
      <c r="AA284" s="145"/>
      <c r="AB284" s="223"/>
      <c r="AC284" s="22"/>
      <c r="AH284" s="9"/>
      <c r="AJ284" s="27"/>
      <c r="AK284" s="84"/>
      <c r="AM284" s="13"/>
      <c r="AP284"/>
      <c r="AR284"/>
      <c r="AV284"/>
      <c r="AW284"/>
      <c r="AX284"/>
      <c r="AY284"/>
      <c r="AZ284"/>
      <c r="BC284"/>
      <c r="BD284"/>
      <c r="BG284"/>
      <c r="BH284"/>
      <c r="BI284"/>
      <c r="BJ284"/>
      <c r="BS284"/>
      <c r="BU284"/>
      <c r="BV284"/>
      <c r="BX284"/>
    </row>
    <row r="285" spans="1:76" ht="15.75">
      <c r="A285" s="263" t="s">
        <v>108</v>
      </c>
      <c r="B285" s="236" t="s">
        <v>309</v>
      </c>
      <c r="C285" s="57"/>
      <c r="D285" s="57">
        <v>81</v>
      </c>
      <c r="E285" s="57">
        <v>500</v>
      </c>
      <c r="F285" s="57">
        <v>0</v>
      </c>
      <c r="G285" s="57">
        <v>40715</v>
      </c>
      <c r="H285" s="57">
        <v>2.5</v>
      </c>
      <c r="I285" s="57">
        <v>40739</v>
      </c>
      <c r="J285" s="57">
        <v>5588.4270188991077</v>
      </c>
      <c r="K285" s="57">
        <v>3843.2176656151419</v>
      </c>
      <c r="L285" s="57">
        <v>1218.3</v>
      </c>
      <c r="M285" s="57">
        <v>31.7</v>
      </c>
      <c r="N285" s="57" t="s">
        <v>404</v>
      </c>
      <c r="O285" s="57">
        <v>31.7</v>
      </c>
      <c r="P285" s="57"/>
      <c r="Q285" s="57"/>
      <c r="R285" s="57"/>
      <c r="S285" s="57"/>
      <c r="T285" s="57"/>
      <c r="U285" s="57"/>
      <c r="V285" s="57"/>
      <c r="W285" s="500"/>
      <c r="X285" s="500"/>
      <c r="Y285" s="500"/>
      <c r="Z285" s="451"/>
      <c r="AA285" s="145"/>
      <c r="AB285" s="223"/>
      <c r="AC285" s="22"/>
      <c r="AH285" s="9"/>
      <c r="AJ285" s="27"/>
      <c r="AK285" s="84"/>
      <c r="AL285" s="13"/>
      <c r="AP285"/>
      <c r="AR285"/>
      <c r="AV285"/>
      <c r="AW285"/>
      <c r="AX285"/>
      <c r="AY285"/>
      <c r="AZ285"/>
      <c r="BC285"/>
      <c r="BD285"/>
      <c r="BG285"/>
      <c r="BH285"/>
      <c r="BI285"/>
      <c r="BJ285"/>
      <c r="BS285"/>
      <c r="BU285"/>
      <c r="BV285"/>
      <c r="BX285"/>
    </row>
    <row r="286" spans="1:76" ht="15.75">
      <c r="A286" s="263" t="s">
        <v>242</v>
      </c>
      <c r="B286" s="236"/>
      <c r="C286" s="57"/>
      <c r="D286" s="57">
        <v>37</v>
      </c>
      <c r="E286" s="57">
        <v>50</v>
      </c>
      <c r="F286" s="57">
        <v>5</v>
      </c>
      <c r="G286" s="57">
        <v>40203</v>
      </c>
      <c r="H286" s="57">
        <v>3.51</v>
      </c>
      <c r="I286" s="57">
        <v>40613</v>
      </c>
      <c r="J286" s="57">
        <v>-34.28567184059257</v>
      </c>
      <c r="K286" s="57">
        <v>-31.963558829230472</v>
      </c>
      <c r="L286" s="57">
        <v>-82.45</v>
      </c>
      <c r="M286" s="57">
        <v>7.95</v>
      </c>
      <c r="N286" s="57" t="s">
        <v>145</v>
      </c>
      <c r="O286" s="57">
        <v>257.95</v>
      </c>
      <c r="P286" s="57"/>
      <c r="Q286" s="57"/>
      <c r="R286" s="57"/>
      <c r="S286" s="57"/>
      <c r="T286" s="57"/>
      <c r="U286" s="57"/>
      <c r="V286" s="57"/>
      <c r="W286" s="500"/>
      <c r="X286" s="500"/>
      <c r="Y286" s="500"/>
      <c r="Z286" s="451"/>
      <c r="AA286" s="145"/>
      <c r="AB286" s="223"/>
      <c r="AC286" s="22"/>
      <c r="AH286" s="9"/>
      <c r="AJ286" s="27"/>
      <c r="AK286" s="84"/>
      <c r="AL286" s="13"/>
      <c r="AP286"/>
      <c r="AR286"/>
      <c r="AV286"/>
      <c r="AW286"/>
      <c r="AX286"/>
      <c r="AY286"/>
      <c r="AZ286"/>
      <c r="BC286"/>
      <c r="BD286"/>
      <c r="BG286"/>
      <c r="BH286"/>
      <c r="BI286"/>
      <c r="BJ286"/>
      <c r="BS286"/>
      <c r="BU286"/>
      <c r="BV286"/>
      <c r="BX286"/>
    </row>
    <row r="287" spans="1:76" ht="15.75">
      <c r="A287" s="263" t="s">
        <v>192</v>
      </c>
      <c r="B287" s="236" t="s">
        <v>192</v>
      </c>
      <c r="C287" s="57"/>
      <c r="D287" s="57">
        <v>119</v>
      </c>
      <c r="E287" s="57">
        <v>100</v>
      </c>
      <c r="F287" s="57">
        <v>28.687100000000001</v>
      </c>
      <c r="G287" s="57">
        <v>40808</v>
      </c>
      <c r="H287" s="57">
        <v>30</v>
      </c>
      <c r="I287" s="57">
        <v>40838</v>
      </c>
      <c r="J287" s="57">
        <v>51.078574184483394</v>
      </c>
      <c r="K287" s="57">
        <v>4.2876113270250897</v>
      </c>
      <c r="L287" s="57">
        <v>123.34</v>
      </c>
      <c r="M287" s="57">
        <v>7.95</v>
      </c>
      <c r="N287" s="57" t="s">
        <v>145</v>
      </c>
      <c r="O287" s="57">
        <v>2876.66</v>
      </c>
      <c r="P287" s="57"/>
      <c r="Q287" s="57"/>
      <c r="R287" s="57"/>
      <c r="S287" s="57"/>
      <c r="T287" s="57"/>
      <c r="U287" s="57"/>
      <c r="V287" s="57"/>
      <c r="W287" s="495"/>
      <c r="X287" s="495"/>
      <c r="Y287" s="495"/>
      <c r="Z287" s="451"/>
      <c r="AA287" s="145"/>
      <c r="AB287" s="223"/>
      <c r="AC287" s="22"/>
      <c r="AH287" s="9"/>
      <c r="AJ287" s="27"/>
      <c r="AK287" s="84"/>
      <c r="AL287" s="13"/>
      <c r="AP287"/>
      <c r="AR287"/>
      <c r="AV287"/>
      <c r="AW287"/>
      <c r="AX287"/>
      <c r="AY287"/>
      <c r="AZ287"/>
      <c r="BC287"/>
      <c r="BD287"/>
      <c r="BG287"/>
      <c r="BH287"/>
      <c r="BI287"/>
      <c r="BJ287"/>
      <c r="BS287"/>
      <c r="BU287"/>
      <c r="BV287"/>
      <c r="BX287"/>
    </row>
    <row r="288" spans="1:76" ht="15.75">
      <c r="A288" s="263" t="s">
        <v>192</v>
      </c>
      <c r="B288" s="236" t="s">
        <v>384</v>
      </c>
      <c r="C288" s="57"/>
      <c r="D288" s="57">
        <v>130</v>
      </c>
      <c r="E288" s="57">
        <v>100</v>
      </c>
      <c r="F288" s="57">
        <v>0</v>
      </c>
      <c r="G288" s="57">
        <v>40822</v>
      </c>
      <c r="H288" s="57">
        <v>0.89</v>
      </c>
      <c r="I288" s="57">
        <v>40838</v>
      </c>
      <c r="J288" s="57">
        <v>2581.7801571424757</v>
      </c>
      <c r="K288" s="57">
        <v>210.10452961672473</v>
      </c>
      <c r="L288" s="57">
        <v>60.3</v>
      </c>
      <c r="M288" s="57">
        <v>28.7</v>
      </c>
      <c r="N288" s="57" t="s">
        <v>404</v>
      </c>
      <c r="O288" s="57">
        <v>28.7</v>
      </c>
      <c r="P288" s="57"/>
      <c r="Q288" s="57"/>
      <c r="R288" s="57"/>
      <c r="S288" s="57"/>
      <c r="T288" s="57"/>
      <c r="U288" s="57"/>
      <c r="V288" s="57"/>
      <c r="W288" s="495"/>
      <c r="X288" s="495"/>
      <c r="Y288" s="495"/>
      <c r="Z288" s="451"/>
      <c r="AA288" s="145"/>
      <c r="AB288" s="223"/>
      <c r="AC288" s="22"/>
      <c r="AH288" s="9"/>
      <c r="AJ288" s="27"/>
      <c r="AK288" s="84"/>
      <c r="AL288" s="13"/>
      <c r="AP288"/>
      <c r="AR288"/>
      <c r="AV288"/>
      <c r="AW288"/>
      <c r="AX288"/>
      <c r="AY288"/>
      <c r="AZ288"/>
      <c r="BC288"/>
      <c r="BD288"/>
      <c r="BG288"/>
      <c r="BH288"/>
      <c r="BI288"/>
      <c r="BJ288"/>
      <c r="BS288"/>
      <c r="BU288"/>
      <c r="BV288"/>
      <c r="BX288"/>
    </row>
    <row r="289" spans="1:76" ht="15.75">
      <c r="A289" s="263" t="s">
        <v>192</v>
      </c>
      <c r="B289" s="236" t="s">
        <v>445</v>
      </c>
      <c r="C289" s="57"/>
      <c r="D289" s="57">
        <v>171</v>
      </c>
      <c r="E289" s="57">
        <v>400</v>
      </c>
      <c r="F289" s="57">
        <v>2.41</v>
      </c>
      <c r="G289" s="57">
        <v>40869</v>
      </c>
      <c r="H289" s="57">
        <v>3.2</v>
      </c>
      <c r="I289" s="57">
        <v>40878</v>
      </c>
      <c r="J289" s="57">
        <v>1058.745066404706</v>
      </c>
      <c r="K289" s="57">
        <v>29.830611623896957</v>
      </c>
      <c r="L289" s="57">
        <v>294.10000000000002</v>
      </c>
      <c r="M289" s="57">
        <v>21.9</v>
      </c>
      <c r="N289" s="57" t="s">
        <v>278</v>
      </c>
      <c r="O289" s="57">
        <v>985.9</v>
      </c>
      <c r="P289" s="57"/>
      <c r="Q289" s="57"/>
      <c r="R289" s="57"/>
      <c r="S289" s="57"/>
      <c r="T289" s="57"/>
      <c r="U289" s="57"/>
      <c r="V289" s="57"/>
      <c r="W289" s="495"/>
      <c r="X289" s="495"/>
      <c r="Y289" s="495"/>
      <c r="Z289" s="451"/>
      <c r="AA289" s="145"/>
      <c r="AB289" s="223"/>
      <c r="AC289" s="22"/>
      <c r="AH289" s="9"/>
      <c r="AJ289" s="27"/>
      <c r="AK289" s="84"/>
      <c r="AL289" s="13"/>
      <c r="AP289"/>
      <c r="AR289"/>
      <c r="AV289"/>
      <c r="AW289"/>
      <c r="AX289"/>
      <c r="AY289"/>
      <c r="AZ289"/>
      <c r="BC289"/>
      <c r="BD289"/>
      <c r="BG289"/>
      <c r="BH289"/>
      <c r="BI289"/>
      <c r="BJ289"/>
      <c r="BS289"/>
      <c r="BU289"/>
      <c r="BV289"/>
      <c r="BX289"/>
    </row>
    <row r="290" spans="1:76" ht="15.75">
      <c r="A290" s="263" t="s">
        <v>857</v>
      </c>
      <c r="B290" s="236"/>
      <c r="C290" s="57"/>
      <c r="D290" s="57">
        <v>10</v>
      </c>
      <c r="E290" s="57">
        <v>300</v>
      </c>
      <c r="F290" s="57">
        <v>15.46</v>
      </c>
      <c r="G290" s="57">
        <v>40115</v>
      </c>
      <c r="H290" s="57">
        <v>21</v>
      </c>
      <c r="I290" s="57">
        <v>40184</v>
      </c>
      <c r="J290" s="57">
        <v>161.10452577438107</v>
      </c>
      <c r="K290" s="57">
        <v>35.601975914506177</v>
      </c>
      <c r="L290" s="57">
        <v>1654.05</v>
      </c>
      <c r="M290" s="57">
        <v>7.95</v>
      </c>
      <c r="N290" s="57" t="s">
        <v>145</v>
      </c>
      <c r="O290" s="57">
        <v>4645.95</v>
      </c>
      <c r="P290" s="57"/>
      <c r="Q290" s="57"/>
      <c r="R290" s="57"/>
      <c r="S290" s="57"/>
      <c r="T290" s="57"/>
      <c r="U290" s="57"/>
      <c r="V290" s="57"/>
      <c r="W290" s="495"/>
      <c r="X290" s="495"/>
      <c r="Y290" s="495"/>
      <c r="Z290" s="451"/>
      <c r="AA290" s="145"/>
      <c r="AB290" s="223"/>
      <c r="AC290" s="22"/>
      <c r="AH290" s="9"/>
      <c r="AJ290" s="27"/>
      <c r="AK290" s="84"/>
      <c r="AL290" s="13"/>
      <c r="AP290"/>
      <c r="AR290"/>
      <c r="AV290"/>
      <c r="AW290"/>
      <c r="AX290"/>
      <c r="AY290"/>
      <c r="AZ290"/>
      <c r="BC290"/>
      <c r="BD290"/>
      <c r="BG290"/>
      <c r="BH290"/>
      <c r="BI290"/>
      <c r="BJ290"/>
      <c r="BS290"/>
      <c r="BU290"/>
      <c r="BV290"/>
      <c r="BX290"/>
    </row>
    <row r="291" spans="1:76" ht="15.75">
      <c r="A291" s="263" t="s">
        <v>857</v>
      </c>
      <c r="B291" s="236"/>
      <c r="C291" s="57"/>
      <c r="D291" s="57">
        <v>109</v>
      </c>
      <c r="E291" s="57">
        <v>500</v>
      </c>
      <c r="F291" s="57">
        <v>17.5</v>
      </c>
      <c r="G291" s="57">
        <v>40764</v>
      </c>
      <c r="H291" s="57">
        <v>10</v>
      </c>
      <c r="I291" s="57">
        <v>40802</v>
      </c>
      <c r="J291" s="57">
        <v>-538.39800159191213</v>
      </c>
      <c r="K291" s="57">
        <v>-42.909014095764412</v>
      </c>
      <c r="L291" s="57">
        <v>-3757.95</v>
      </c>
      <c r="M291" s="57">
        <v>7.95</v>
      </c>
      <c r="N291" s="57" t="s">
        <v>145</v>
      </c>
      <c r="O291" s="57">
        <v>8757.9500000000007</v>
      </c>
      <c r="P291" s="57"/>
      <c r="Q291" s="57"/>
      <c r="R291" s="57"/>
      <c r="S291" s="57"/>
      <c r="T291" s="57"/>
      <c r="U291" s="57"/>
      <c r="V291" s="57"/>
      <c r="W291" s="495"/>
      <c r="X291" s="495"/>
      <c r="Y291" s="495"/>
      <c r="Z291" s="451"/>
      <c r="AA291" s="145"/>
      <c r="AB291" s="223"/>
      <c r="AC291" s="22"/>
      <c r="AH291" s="9"/>
      <c r="AJ291" s="27"/>
      <c r="AK291" s="84"/>
      <c r="AL291" s="13"/>
      <c r="AP291"/>
      <c r="AR291"/>
      <c r="AV291"/>
      <c r="AW291"/>
      <c r="AX291"/>
      <c r="AY291"/>
      <c r="AZ291"/>
      <c r="BC291"/>
      <c r="BD291"/>
      <c r="BG291"/>
      <c r="BH291"/>
      <c r="BI291"/>
      <c r="BJ291"/>
      <c r="BS291"/>
      <c r="BU291"/>
      <c r="BV291"/>
      <c r="BX291"/>
    </row>
    <row r="292" spans="1:76" ht="15.75">
      <c r="A292" s="263" t="s">
        <v>857</v>
      </c>
      <c r="B292" s="236" t="s">
        <v>880</v>
      </c>
      <c r="C292" s="57"/>
      <c r="D292" s="57">
        <v>110</v>
      </c>
      <c r="E292" s="57">
        <v>500</v>
      </c>
      <c r="F292" s="57">
        <v>0</v>
      </c>
      <c r="G292" s="57">
        <v>40784</v>
      </c>
      <c r="H292" s="57">
        <v>2.7</v>
      </c>
      <c r="I292" s="57">
        <v>40802</v>
      </c>
      <c r="J292" s="57">
        <v>7607.2959141692927</v>
      </c>
      <c r="K292" s="57">
        <v>4158.675078864354</v>
      </c>
      <c r="L292" s="57">
        <v>1318.3</v>
      </c>
      <c r="M292" s="57">
        <v>31.7</v>
      </c>
      <c r="N292" s="57" t="s">
        <v>404</v>
      </c>
      <c r="O292" s="57">
        <v>31.7</v>
      </c>
      <c r="P292" s="57"/>
      <c r="Q292" s="57"/>
      <c r="R292" s="57"/>
      <c r="S292" s="57"/>
      <c r="T292" s="57"/>
      <c r="U292" s="57"/>
      <c r="V292" s="57"/>
      <c r="W292" s="495"/>
      <c r="X292" s="495"/>
      <c r="Y292" s="495"/>
      <c r="Z292" s="451"/>
      <c r="AA292" s="145"/>
      <c r="AB292" s="223"/>
      <c r="AC292" s="22"/>
      <c r="AH292" s="9"/>
      <c r="AJ292" s="27"/>
      <c r="AK292" s="84"/>
      <c r="AL292" s="13"/>
      <c r="AP292"/>
      <c r="AR292"/>
      <c r="AV292"/>
      <c r="AW292"/>
      <c r="AX292"/>
      <c r="AY292"/>
      <c r="AZ292"/>
      <c r="BC292"/>
      <c r="BD292"/>
      <c r="BG292"/>
      <c r="BH292"/>
      <c r="BI292"/>
      <c r="BJ292"/>
      <c r="BS292"/>
      <c r="BU292"/>
      <c r="BV292"/>
      <c r="BX292"/>
    </row>
    <row r="293" spans="1:76" ht="15.75">
      <c r="A293" s="263" t="s">
        <v>857</v>
      </c>
      <c r="B293" s="236" t="s">
        <v>881</v>
      </c>
      <c r="C293" s="57"/>
      <c r="D293" s="57">
        <v>158</v>
      </c>
      <c r="E293" s="57">
        <v>100</v>
      </c>
      <c r="F293" s="57">
        <v>0</v>
      </c>
      <c r="G293" s="57">
        <v>40844</v>
      </c>
      <c r="H293" s="57">
        <v>1.3</v>
      </c>
      <c r="I293" s="57">
        <v>40866</v>
      </c>
      <c r="J293" s="57">
        <v>4486.5325911372329</v>
      </c>
      <c r="K293" s="57">
        <v>1394.2528735632186</v>
      </c>
      <c r="L293" s="57">
        <v>121.3</v>
      </c>
      <c r="M293" s="57">
        <v>8.6999999999999993</v>
      </c>
      <c r="N293" s="57" t="s">
        <v>403</v>
      </c>
      <c r="O293" s="57">
        <v>8.6999999999999993</v>
      </c>
      <c r="P293" s="57"/>
      <c r="Q293" s="57"/>
      <c r="R293" s="57"/>
      <c r="S293" s="57"/>
      <c r="T293" s="57"/>
      <c r="U293" s="57"/>
      <c r="V293" s="57"/>
      <c r="W293" s="495"/>
      <c r="X293" s="495"/>
      <c r="Y293" s="495"/>
      <c r="Z293" s="451"/>
      <c r="AA293" s="145"/>
      <c r="AB293" s="223"/>
      <c r="AC293" s="22"/>
      <c r="AH293" s="9"/>
      <c r="AJ293" s="27"/>
      <c r="AK293" s="84"/>
      <c r="AL293" s="13"/>
      <c r="AP293"/>
      <c r="AR293"/>
      <c r="AV293"/>
      <c r="AW293"/>
      <c r="AX293"/>
      <c r="AY293"/>
      <c r="AZ293"/>
      <c r="BC293"/>
      <c r="BD293"/>
      <c r="BG293"/>
      <c r="BH293"/>
      <c r="BI293"/>
      <c r="BJ293"/>
      <c r="BS293"/>
      <c r="BU293"/>
      <c r="BV293"/>
      <c r="BX293"/>
    </row>
    <row r="294" spans="1:76" ht="15.75">
      <c r="A294" s="263" t="s">
        <v>857</v>
      </c>
      <c r="B294" s="236" t="s">
        <v>882</v>
      </c>
      <c r="C294" s="57"/>
      <c r="D294" s="57">
        <v>204</v>
      </c>
      <c r="E294" s="57">
        <v>100</v>
      </c>
      <c r="F294" s="57">
        <v>3.3</v>
      </c>
      <c r="G294" s="57">
        <v>40877</v>
      </c>
      <c r="H294" s="57">
        <v>2</v>
      </c>
      <c r="I294" s="57">
        <v>40928</v>
      </c>
      <c r="J294" s="57">
        <v>-395.17296637161422</v>
      </c>
      <c r="K294" s="57">
        <v>-42.429476108232585</v>
      </c>
      <c r="L294" s="57">
        <v>-147.4</v>
      </c>
      <c r="M294" s="57">
        <v>17.399999999999999</v>
      </c>
      <c r="N294" s="57" t="s">
        <v>15</v>
      </c>
      <c r="O294" s="57">
        <v>347.4</v>
      </c>
      <c r="P294" s="57"/>
      <c r="Q294" s="57"/>
      <c r="R294" s="57"/>
      <c r="S294" s="57"/>
      <c r="T294" s="57"/>
      <c r="U294" s="57"/>
      <c r="V294" s="57"/>
      <c r="W294" s="495"/>
      <c r="X294" s="495"/>
      <c r="Y294" s="495"/>
      <c r="Z294" s="451"/>
      <c r="AA294" s="145"/>
      <c r="AB294" s="223"/>
      <c r="AC294" s="22"/>
      <c r="AH294" s="9"/>
      <c r="AJ294" s="27"/>
      <c r="AK294" s="84"/>
      <c r="AL294" s="13"/>
      <c r="AP294"/>
      <c r="AR294"/>
      <c r="AV294"/>
      <c r="AW294"/>
      <c r="AX294"/>
      <c r="AY294"/>
      <c r="AZ294"/>
      <c r="BC294"/>
      <c r="BD294"/>
      <c r="BG294"/>
      <c r="BH294"/>
      <c r="BI294"/>
      <c r="BJ294"/>
      <c r="BS294"/>
      <c r="BU294"/>
      <c r="BV294"/>
      <c r="BX294"/>
    </row>
    <row r="295" spans="1:76" ht="15.75">
      <c r="A295" s="263" t="s">
        <v>857</v>
      </c>
      <c r="B295" s="236" t="s">
        <v>883</v>
      </c>
      <c r="C295" s="57"/>
      <c r="D295" s="57">
        <v>298</v>
      </c>
      <c r="E295" s="57">
        <v>100</v>
      </c>
      <c r="F295" s="57">
        <v>3.2</v>
      </c>
      <c r="G295" s="57">
        <v>40935</v>
      </c>
      <c r="H295" s="57">
        <v>6.1</v>
      </c>
      <c r="I295" s="57">
        <v>41044</v>
      </c>
      <c r="J295" s="57">
        <v>200.13821506967912</v>
      </c>
      <c r="K295" s="57">
        <v>80.794309425014802</v>
      </c>
      <c r="L295" s="57">
        <v>272.60000000000002</v>
      </c>
      <c r="M295" s="57">
        <v>17.399999999999999</v>
      </c>
      <c r="N295" s="57" t="s">
        <v>15</v>
      </c>
      <c r="O295" s="57">
        <v>337.4</v>
      </c>
      <c r="P295" s="57"/>
      <c r="Q295" s="57"/>
      <c r="R295" s="57"/>
      <c r="S295" s="57"/>
      <c r="T295" s="57"/>
      <c r="U295" s="57"/>
      <c r="V295" s="57"/>
      <c r="W295" s="495"/>
      <c r="X295" s="495"/>
      <c r="Y295" s="495"/>
      <c r="Z295" s="451"/>
      <c r="AA295" s="145"/>
      <c r="AB295" s="223"/>
      <c r="AC295" s="22"/>
      <c r="AH295" s="9"/>
      <c r="AJ295" s="27"/>
      <c r="AK295" s="84"/>
      <c r="AL295" s="13"/>
      <c r="AP295"/>
      <c r="AR295"/>
      <c r="AV295"/>
      <c r="AW295"/>
      <c r="AX295"/>
      <c r="AY295"/>
      <c r="AZ295"/>
      <c r="BC295"/>
      <c r="BD295"/>
      <c r="BG295"/>
      <c r="BH295"/>
      <c r="BI295"/>
      <c r="BJ295"/>
      <c r="BS295"/>
      <c r="BU295"/>
      <c r="BV295"/>
      <c r="BX295"/>
    </row>
    <row r="296" spans="1:76" ht="15.75">
      <c r="A296" s="263" t="s">
        <v>857</v>
      </c>
      <c r="B296" s="236" t="s">
        <v>884</v>
      </c>
      <c r="C296" s="57"/>
      <c r="D296" s="57">
        <v>357</v>
      </c>
      <c r="E296" s="57">
        <v>100</v>
      </c>
      <c r="F296" s="57">
        <v>0.2</v>
      </c>
      <c r="G296" s="57">
        <v>41050</v>
      </c>
      <c r="H296" s="57">
        <v>1.4</v>
      </c>
      <c r="I296" s="57">
        <v>41131</v>
      </c>
      <c r="J296" s="57">
        <v>594.80207054187474</v>
      </c>
      <c r="K296" s="57">
        <v>274.33155080213896</v>
      </c>
      <c r="L296" s="57">
        <v>102.6</v>
      </c>
      <c r="M296" s="57">
        <v>17.399999999999999</v>
      </c>
      <c r="N296" s="57" t="s">
        <v>15</v>
      </c>
      <c r="O296" s="57">
        <v>37.4</v>
      </c>
      <c r="P296" s="57"/>
      <c r="Q296" s="57"/>
      <c r="R296" s="57"/>
      <c r="S296" s="57"/>
      <c r="T296" s="57"/>
      <c r="U296" s="57"/>
      <c r="V296" s="57"/>
      <c r="W296" s="495"/>
      <c r="X296" s="495"/>
      <c r="Y296" s="495"/>
      <c r="Z296" s="451"/>
      <c r="AA296" s="145"/>
      <c r="AB296" s="223"/>
      <c r="AC296" s="22"/>
      <c r="AH296" s="9"/>
      <c r="AJ296" s="27"/>
      <c r="AK296" s="84"/>
      <c r="AL296" s="13"/>
      <c r="AP296"/>
      <c r="AR296"/>
      <c r="AV296"/>
      <c r="AW296"/>
      <c r="AX296"/>
      <c r="AY296"/>
      <c r="AZ296"/>
      <c r="BC296"/>
      <c r="BD296"/>
      <c r="BG296"/>
      <c r="BH296"/>
      <c r="BI296"/>
      <c r="BJ296"/>
      <c r="BS296"/>
      <c r="BU296"/>
      <c r="BV296"/>
      <c r="BX296"/>
    </row>
    <row r="297" spans="1:76" ht="15.75">
      <c r="A297" s="263" t="s">
        <v>857</v>
      </c>
      <c r="B297" s="236" t="s">
        <v>857</v>
      </c>
      <c r="C297" s="57"/>
      <c r="D297" s="57">
        <v>428</v>
      </c>
      <c r="E297" s="57">
        <v>100</v>
      </c>
      <c r="F297" s="57">
        <v>13</v>
      </c>
      <c r="G297" s="57">
        <v>40844</v>
      </c>
      <c r="H297" s="57">
        <v>7.5</v>
      </c>
      <c r="I297" s="57">
        <v>41267</v>
      </c>
      <c r="J297" s="57">
        <v>-47.988707077211423</v>
      </c>
      <c r="K297" s="57">
        <v>-42.658358499942658</v>
      </c>
      <c r="L297" s="57">
        <v>-557.95000000000005</v>
      </c>
      <c r="M297" s="57">
        <v>7.95</v>
      </c>
      <c r="N297" s="57" t="s">
        <v>145</v>
      </c>
      <c r="O297" s="57">
        <v>1307.95</v>
      </c>
      <c r="P297" s="57"/>
      <c r="Q297" s="57"/>
      <c r="R297" s="57"/>
      <c r="S297" s="57"/>
      <c r="T297" s="57"/>
      <c r="U297" s="57"/>
      <c r="V297" s="57"/>
      <c r="W297" s="495"/>
      <c r="X297" s="495"/>
      <c r="Y297" s="495"/>
      <c r="Z297" s="451"/>
      <c r="AA297" s="145"/>
      <c r="AB297" s="223"/>
      <c r="AC297" s="22"/>
      <c r="AH297" s="9"/>
      <c r="AJ297" s="27"/>
      <c r="AK297" s="84"/>
      <c r="AL297" s="13"/>
      <c r="AP297"/>
      <c r="AR297"/>
      <c r="AV297"/>
      <c r="AW297"/>
      <c r="AX297"/>
      <c r="AY297"/>
      <c r="AZ297"/>
      <c r="BC297"/>
      <c r="BD297"/>
      <c r="BG297"/>
      <c r="BH297"/>
      <c r="BI297"/>
      <c r="BJ297"/>
      <c r="BS297"/>
      <c r="BU297"/>
      <c r="BV297"/>
      <c r="BX297"/>
    </row>
    <row r="298" spans="1:76" ht="15.75">
      <c r="A298" s="263" t="s">
        <v>174</v>
      </c>
      <c r="B298" s="236" t="s">
        <v>174</v>
      </c>
      <c r="C298" s="57"/>
      <c r="D298" s="57">
        <v>449</v>
      </c>
      <c r="E298" s="57">
        <v>100</v>
      </c>
      <c r="F298" s="57">
        <v>67.75</v>
      </c>
      <c r="G298" s="57">
        <v>41274</v>
      </c>
      <c r="H298" s="57">
        <v>67.5</v>
      </c>
      <c r="I298" s="57">
        <v>41320</v>
      </c>
      <c r="J298" s="57">
        <v>-3.8639262482569889</v>
      </c>
      <c r="K298" s="57">
        <v>-0.48577683751169615</v>
      </c>
      <c r="L298" s="57">
        <v>-32.950000000000003</v>
      </c>
      <c r="M298" s="57">
        <v>7.95</v>
      </c>
      <c r="N298" s="57" t="s">
        <v>145</v>
      </c>
      <c r="O298" s="57">
        <v>6782.95</v>
      </c>
      <c r="P298" s="57"/>
      <c r="Q298" s="57"/>
      <c r="R298" s="57"/>
      <c r="S298" s="57"/>
      <c r="T298" s="57"/>
      <c r="U298" s="57"/>
      <c r="V298" s="57"/>
      <c r="W298" s="495"/>
      <c r="X298" s="495"/>
      <c r="Y298" s="495"/>
      <c r="Z298" s="451"/>
      <c r="AA298" s="145"/>
      <c r="AB298" s="223"/>
      <c r="AC298" s="22"/>
      <c r="AH298" s="9"/>
      <c r="AJ298" s="27"/>
      <c r="AK298" s="84"/>
      <c r="AL298" s="13"/>
      <c r="AP298"/>
      <c r="AR298"/>
      <c r="AV298"/>
      <c r="AW298"/>
      <c r="AX298"/>
      <c r="AY298"/>
      <c r="AZ298"/>
      <c r="BC298"/>
      <c r="BD298"/>
      <c r="BG298"/>
      <c r="BH298"/>
      <c r="BI298"/>
      <c r="BJ298"/>
      <c r="BS298"/>
      <c r="BU298"/>
      <c r="BV298"/>
      <c r="BX298"/>
    </row>
    <row r="299" spans="1:76" ht="15.75">
      <c r="A299" s="263" t="s">
        <v>174</v>
      </c>
      <c r="B299" s="236" t="s">
        <v>892</v>
      </c>
      <c r="C299" s="57"/>
      <c r="D299" s="57">
        <v>451</v>
      </c>
      <c r="E299" s="57">
        <v>100</v>
      </c>
      <c r="F299" s="57">
        <v>0</v>
      </c>
      <c r="G299" s="57">
        <v>41278</v>
      </c>
      <c r="H299" s="57">
        <v>2.5</v>
      </c>
      <c r="I299" s="57">
        <v>41320</v>
      </c>
      <c r="J299" s="57">
        <v>1881.1090124054399</v>
      </c>
      <c r="K299" s="57">
        <v>771.08013937282237</v>
      </c>
      <c r="L299" s="57">
        <v>221.3</v>
      </c>
      <c r="M299" s="57">
        <v>28.7</v>
      </c>
      <c r="N299" s="57" t="s">
        <v>404</v>
      </c>
      <c r="O299" s="57">
        <v>28.7</v>
      </c>
      <c r="P299" s="57"/>
      <c r="Q299" s="57"/>
      <c r="R299" s="57"/>
      <c r="S299" s="57"/>
      <c r="T299" s="57"/>
      <c r="U299" s="57"/>
      <c r="V299" s="57"/>
      <c r="W299" s="495"/>
      <c r="X299" s="495"/>
      <c r="Y299" s="495"/>
      <c r="Z299" s="451"/>
      <c r="AA299" s="145"/>
      <c r="AB299" s="223"/>
      <c r="AC299" s="22"/>
      <c r="AH299" s="9"/>
      <c r="AJ299" s="27"/>
      <c r="AK299" s="84"/>
      <c r="AL299" s="13"/>
      <c r="AP299"/>
      <c r="AR299"/>
      <c r="AV299"/>
      <c r="AW299"/>
      <c r="AX299"/>
      <c r="AY299"/>
      <c r="AZ299"/>
      <c r="BC299"/>
      <c r="BD299"/>
      <c r="BG299"/>
      <c r="BH299"/>
      <c r="BI299"/>
      <c r="BJ299"/>
      <c r="BS299"/>
      <c r="BU299"/>
      <c r="BV299"/>
      <c r="BX299"/>
    </row>
    <row r="300" spans="1:76" ht="15.75">
      <c r="A300" s="263" t="s">
        <v>1044</v>
      </c>
      <c r="B300" s="236" t="s">
        <v>1035</v>
      </c>
      <c r="C300" s="57"/>
      <c r="D300" s="57">
        <v>522</v>
      </c>
      <c r="E300" s="57">
        <v>600</v>
      </c>
      <c r="F300" s="57">
        <v>0.49</v>
      </c>
      <c r="G300" s="57">
        <v>42145</v>
      </c>
      <c r="H300" s="57">
        <v>0.05</v>
      </c>
      <c r="I300" s="57">
        <v>42202</v>
      </c>
      <c r="J300" s="57">
        <v>-1513.5846845774695</v>
      </c>
      <c r="K300" s="57">
        <v>-90.592662276575737</v>
      </c>
      <c r="L300" s="57">
        <v>-288.89999999999998</v>
      </c>
      <c r="M300" s="57">
        <v>24.9</v>
      </c>
      <c r="N300" s="57" t="s">
        <v>278</v>
      </c>
      <c r="O300" s="57">
        <v>318.89999999999998</v>
      </c>
      <c r="P300" s="57"/>
      <c r="Q300" s="57"/>
      <c r="R300" s="57"/>
      <c r="S300" s="57"/>
      <c r="T300" s="57"/>
      <c r="U300" s="57"/>
      <c r="V300" s="57"/>
      <c r="W300" s="495"/>
      <c r="X300" s="495"/>
      <c r="Y300" s="495"/>
      <c r="Z300" s="451"/>
      <c r="AA300" s="145"/>
      <c r="AB300" s="223"/>
      <c r="AC300" s="22"/>
      <c r="AH300" s="9"/>
      <c r="AJ300" s="27"/>
      <c r="AK300" s="84"/>
      <c r="AL300" s="13"/>
      <c r="AP300"/>
      <c r="AR300"/>
      <c r="AV300"/>
      <c r="AW300"/>
      <c r="AX300"/>
      <c r="AY300"/>
      <c r="AZ300"/>
      <c r="BC300"/>
      <c r="BD300"/>
      <c r="BG300"/>
      <c r="BH300"/>
      <c r="BI300"/>
      <c r="BJ300"/>
      <c r="BS300"/>
      <c r="BU300"/>
      <c r="BV300"/>
      <c r="BX300"/>
    </row>
    <row r="301" spans="1:76" ht="15.75">
      <c r="A301" s="263" t="s">
        <v>476</v>
      </c>
      <c r="B301" s="236" t="s">
        <v>476</v>
      </c>
      <c r="C301" s="57"/>
      <c r="D301" s="57">
        <v>282</v>
      </c>
      <c r="E301" s="57">
        <v>100</v>
      </c>
      <c r="F301" s="57">
        <v>64.703800000000001</v>
      </c>
      <c r="G301" s="57">
        <v>40913</v>
      </c>
      <c r="H301" s="57">
        <v>50</v>
      </c>
      <c r="I301" s="57">
        <v>41021</v>
      </c>
      <c r="J301" s="57">
        <v>-88.358943703894909</v>
      </c>
      <c r="K301" s="57">
        <v>-22.81961554906897</v>
      </c>
      <c r="L301" s="57">
        <v>-1478.33</v>
      </c>
      <c r="M301" s="57">
        <v>7.95</v>
      </c>
      <c r="N301" s="57" t="s">
        <v>145</v>
      </c>
      <c r="O301" s="57">
        <v>6478.33</v>
      </c>
      <c r="P301" s="57"/>
      <c r="Q301" s="57"/>
      <c r="R301" s="57"/>
      <c r="S301" s="57"/>
      <c r="T301" s="57"/>
      <c r="U301" s="57"/>
      <c r="V301" s="57"/>
      <c r="W301" s="495"/>
      <c r="X301" s="495"/>
      <c r="Y301" s="495"/>
      <c r="Z301" s="451"/>
      <c r="AA301" s="145"/>
      <c r="AB301" s="223"/>
      <c r="AC301" s="22"/>
      <c r="AH301" s="9"/>
      <c r="AJ301" s="27"/>
      <c r="AK301" s="84"/>
      <c r="AL301" s="13"/>
      <c r="AP301"/>
      <c r="AR301"/>
      <c r="AV301"/>
      <c r="AW301"/>
      <c r="AX301"/>
      <c r="AY301"/>
      <c r="AZ301"/>
      <c r="BC301"/>
      <c r="BD301"/>
      <c r="BG301"/>
      <c r="BH301"/>
      <c r="BI301"/>
      <c r="BJ301"/>
      <c r="BS301"/>
      <c r="BU301"/>
      <c r="BV301"/>
      <c r="BX301"/>
    </row>
    <row r="302" spans="1:76" ht="15.75">
      <c r="A302" s="263" t="s">
        <v>476</v>
      </c>
      <c r="B302" s="236" t="s">
        <v>488</v>
      </c>
      <c r="C302" s="57"/>
      <c r="D302" s="57">
        <v>283</v>
      </c>
      <c r="E302" s="57">
        <v>100</v>
      </c>
      <c r="F302" s="57">
        <v>0.01</v>
      </c>
      <c r="G302" s="57">
        <v>40925</v>
      </c>
      <c r="H302" s="57">
        <v>13.5</v>
      </c>
      <c r="I302" s="57">
        <v>41021</v>
      </c>
      <c r="J302" s="57">
        <v>1466.4212435291524</v>
      </c>
      <c r="K302" s="57">
        <v>4445.454545454546</v>
      </c>
      <c r="L302" s="57">
        <v>1320.3</v>
      </c>
      <c r="M302" s="57">
        <v>28.7</v>
      </c>
      <c r="N302" s="57" t="s">
        <v>404</v>
      </c>
      <c r="O302" s="57">
        <v>29.7</v>
      </c>
      <c r="P302" s="57"/>
      <c r="Q302" s="57"/>
      <c r="R302" s="57"/>
      <c r="S302" s="57"/>
      <c r="T302" s="57"/>
      <c r="U302" s="57"/>
      <c r="V302" s="57"/>
      <c r="W302" s="495"/>
      <c r="X302" s="495"/>
      <c r="Y302" s="495"/>
      <c r="Z302" s="451"/>
      <c r="AA302" s="145"/>
      <c r="AB302" s="223"/>
      <c r="AC302" s="22"/>
      <c r="AH302" s="9"/>
      <c r="AJ302" s="27"/>
      <c r="AK302" s="84"/>
      <c r="AL302" s="13"/>
      <c r="AP302"/>
      <c r="AR302"/>
      <c r="AV302"/>
      <c r="AW302"/>
      <c r="AX302"/>
      <c r="AY302"/>
      <c r="AZ302"/>
      <c r="BC302"/>
      <c r="BD302"/>
      <c r="BG302"/>
      <c r="BH302"/>
      <c r="BI302"/>
      <c r="BJ302"/>
      <c r="BS302"/>
      <c r="BU302"/>
      <c r="BV302"/>
      <c r="BX302"/>
    </row>
    <row r="303" spans="1:76" ht="15.75">
      <c r="A303" s="263" t="s">
        <v>476</v>
      </c>
      <c r="B303" s="236" t="s">
        <v>476</v>
      </c>
      <c r="C303" s="57"/>
      <c r="D303" s="57">
        <v>295</v>
      </c>
      <c r="E303" s="57">
        <v>1</v>
      </c>
      <c r="F303" s="57">
        <v>64.703800000000001</v>
      </c>
      <c r="G303" s="57">
        <v>40913</v>
      </c>
      <c r="H303" s="57">
        <v>81.510000000000005</v>
      </c>
      <c r="I303" s="57">
        <v>41033</v>
      </c>
      <c r="J303" s="57">
        <v>35.279249182689782</v>
      </c>
      <c r="K303" s="57">
        <v>12.189589532825538</v>
      </c>
      <c r="L303" s="57">
        <v>8.8561999999999994</v>
      </c>
      <c r="M303" s="57">
        <v>7.95</v>
      </c>
      <c r="N303" s="57" t="s">
        <v>145</v>
      </c>
      <c r="O303" s="57">
        <v>72.653800000000004</v>
      </c>
      <c r="P303" s="57"/>
      <c r="Q303" s="57"/>
      <c r="R303" s="57"/>
      <c r="S303" s="57"/>
      <c r="T303" s="57"/>
      <c r="U303" s="57"/>
      <c r="V303" s="57"/>
      <c r="W303" s="495"/>
      <c r="X303" s="495"/>
      <c r="Y303" s="495"/>
      <c r="Z303" s="451"/>
      <c r="AA303" s="145"/>
      <c r="AB303" s="223"/>
      <c r="AC303" s="22"/>
      <c r="AH303" s="9"/>
      <c r="AJ303" s="27"/>
      <c r="AK303" s="84"/>
      <c r="AL303" s="13"/>
      <c r="AP303"/>
      <c r="AR303"/>
      <c r="AV303"/>
      <c r="AW303"/>
      <c r="AX303"/>
      <c r="AY303"/>
      <c r="AZ303"/>
      <c r="BC303"/>
      <c r="BD303"/>
      <c r="BG303"/>
      <c r="BH303"/>
      <c r="BI303"/>
      <c r="BJ303"/>
      <c r="BS303"/>
      <c r="BU303"/>
      <c r="BV303"/>
      <c r="BX303"/>
    </row>
    <row r="304" spans="1:76" ht="15.75">
      <c r="A304" s="263" t="s">
        <v>417</v>
      </c>
      <c r="B304" s="236" t="s">
        <v>475</v>
      </c>
      <c r="C304" s="57"/>
      <c r="D304" s="57">
        <v>243</v>
      </c>
      <c r="E304" s="57">
        <v>100</v>
      </c>
      <c r="F304" s="57">
        <v>1.9</v>
      </c>
      <c r="G304" s="57">
        <v>40905</v>
      </c>
      <c r="H304" s="57">
        <v>2.1</v>
      </c>
      <c r="I304" s="57">
        <v>40974</v>
      </c>
      <c r="J304" s="57">
        <v>6.5902257196308103</v>
      </c>
      <c r="K304" s="57">
        <v>1.253616200578604</v>
      </c>
      <c r="L304" s="57">
        <v>2.6</v>
      </c>
      <c r="M304" s="57">
        <v>17.399999999999999</v>
      </c>
      <c r="N304" s="57" t="s">
        <v>15</v>
      </c>
      <c r="O304" s="57">
        <v>207.4</v>
      </c>
      <c r="P304" s="57"/>
      <c r="Q304" s="57"/>
      <c r="R304" s="57"/>
      <c r="S304" s="57"/>
      <c r="T304" s="57"/>
      <c r="U304" s="57"/>
      <c r="V304" s="57"/>
      <c r="W304" s="495"/>
      <c r="X304" s="495"/>
      <c r="Y304" s="495"/>
      <c r="Z304" s="451"/>
      <c r="AA304" s="145"/>
      <c r="AB304" s="223"/>
      <c r="AC304" s="22"/>
      <c r="AH304" s="9"/>
      <c r="AJ304" s="27"/>
      <c r="AK304" s="84"/>
      <c r="AL304" s="13"/>
      <c r="AP304"/>
      <c r="AR304"/>
      <c r="AV304"/>
      <c r="AW304"/>
      <c r="AX304"/>
      <c r="AY304"/>
      <c r="AZ304"/>
      <c r="BC304"/>
      <c r="BD304"/>
      <c r="BG304"/>
      <c r="BH304"/>
      <c r="BI304"/>
      <c r="BJ304"/>
      <c r="BS304"/>
      <c r="BU304"/>
      <c r="BV304"/>
      <c r="BX304"/>
    </row>
    <row r="305" spans="1:76" ht="15.75">
      <c r="A305" s="263" t="s">
        <v>417</v>
      </c>
      <c r="B305" s="236" t="s">
        <v>417</v>
      </c>
      <c r="C305" s="57"/>
      <c r="D305" s="57">
        <v>308</v>
      </c>
      <c r="E305" s="57">
        <v>100</v>
      </c>
      <c r="F305" s="57">
        <v>12.44</v>
      </c>
      <c r="G305" s="57">
        <v>40872</v>
      </c>
      <c r="H305" s="57">
        <v>10</v>
      </c>
      <c r="I305" s="57">
        <v>41075</v>
      </c>
      <c r="J305" s="57">
        <v>-40.602154732200042</v>
      </c>
      <c r="K305" s="57">
        <v>-20.12460561524022</v>
      </c>
      <c r="L305" s="57">
        <v>-251.95</v>
      </c>
      <c r="M305" s="57">
        <v>7.95</v>
      </c>
      <c r="N305" s="57" t="s">
        <v>145</v>
      </c>
      <c r="O305" s="57">
        <v>1251.95</v>
      </c>
      <c r="P305" s="57"/>
      <c r="Q305" s="57"/>
      <c r="R305" s="57"/>
      <c r="S305" s="57"/>
      <c r="T305" s="57"/>
      <c r="U305" s="57"/>
      <c r="V305" s="57"/>
      <c r="W305" s="495"/>
      <c r="X305" s="495"/>
      <c r="Y305" s="495"/>
      <c r="Z305" s="451"/>
      <c r="AA305" s="145"/>
      <c r="AB305" s="223"/>
      <c r="AC305" s="22"/>
      <c r="AH305" s="9"/>
      <c r="AJ305" s="27"/>
      <c r="AK305" s="84"/>
      <c r="AL305" s="13"/>
      <c r="AP305"/>
      <c r="AR305"/>
      <c r="AV305"/>
      <c r="AW305"/>
      <c r="AX305"/>
      <c r="AY305"/>
      <c r="AZ305"/>
      <c r="BC305"/>
      <c r="BD305"/>
      <c r="BG305"/>
      <c r="BH305"/>
      <c r="BI305"/>
      <c r="BJ305"/>
      <c r="BS305"/>
      <c r="BU305"/>
      <c r="BV305"/>
      <c r="BX305"/>
    </row>
    <row r="306" spans="1:76" ht="15.75">
      <c r="A306" s="263" t="s">
        <v>417</v>
      </c>
      <c r="B306" s="236" t="s">
        <v>509</v>
      </c>
      <c r="C306" s="57"/>
      <c r="D306" s="57">
        <v>311</v>
      </c>
      <c r="E306" s="57">
        <v>100</v>
      </c>
      <c r="F306" s="57">
        <v>0</v>
      </c>
      <c r="G306" s="57">
        <v>40982</v>
      </c>
      <c r="H306" s="57">
        <v>2.5</v>
      </c>
      <c r="I306" s="57">
        <v>41075</v>
      </c>
      <c r="J306" s="57">
        <v>849.5331023766505</v>
      </c>
      <c r="K306" s="57">
        <v>771.08013937282237</v>
      </c>
      <c r="L306" s="57">
        <v>221.3</v>
      </c>
      <c r="M306" s="57">
        <v>28.7</v>
      </c>
      <c r="N306" s="57" t="s">
        <v>404</v>
      </c>
      <c r="O306" s="57">
        <v>28.7</v>
      </c>
      <c r="P306" s="57"/>
      <c r="Q306" s="57"/>
      <c r="R306" s="57"/>
      <c r="S306" s="57"/>
      <c r="T306" s="57"/>
      <c r="U306" s="57"/>
      <c r="V306" s="57"/>
      <c r="W306" s="495"/>
      <c r="X306" s="495"/>
      <c r="Y306" s="495"/>
      <c r="Z306" s="451"/>
      <c r="AA306" s="145"/>
      <c r="AB306" s="223"/>
      <c r="AC306" s="22"/>
      <c r="AH306" s="9"/>
      <c r="AJ306" s="27"/>
      <c r="AK306" s="84"/>
      <c r="AL306" s="13"/>
      <c r="AP306"/>
      <c r="AR306"/>
      <c r="AV306"/>
      <c r="AW306"/>
      <c r="AX306"/>
      <c r="AY306"/>
      <c r="AZ306"/>
      <c r="BC306"/>
      <c r="BD306"/>
      <c r="BG306"/>
      <c r="BH306"/>
      <c r="BI306"/>
      <c r="BJ306"/>
      <c r="BS306"/>
      <c r="BU306"/>
      <c r="BV306"/>
      <c r="BX306"/>
    </row>
    <row r="307" spans="1:76" ht="15.75">
      <c r="A307" s="263" t="s">
        <v>243</v>
      </c>
      <c r="B307" s="236"/>
      <c r="C307" s="57"/>
      <c r="D307" s="57">
        <v>26</v>
      </c>
      <c r="E307" s="57">
        <v>300</v>
      </c>
      <c r="F307" s="57">
        <v>28.55</v>
      </c>
      <c r="G307" s="57">
        <v>40315</v>
      </c>
      <c r="H307" s="57">
        <v>29.5</v>
      </c>
      <c r="I307" s="57">
        <v>40477</v>
      </c>
      <c r="J307" s="57">
        <v>7.1660678923295578</v>
      </c>
      <c r="K307" s="57">
        <v>3.2316763774430064</v>
      </c>
      <c r="L307" s="57">
        <v>277.05</v>
      </c>
      <c r="M307" s="57">
        <v>7.95</v>
      </c>
      <c r="N307" s="57" t="s">
        <v>145</v>
      </c>
      <c r="O307" s="57">
        <v>8572.9500000000007</v>
      </c>
      <c r="P307" s="57"/>
      <c r="Q307" s="57"/>
      <c r="R307" s="57"/>
      <c r="S307" s="57"/>
      <c r="T307" s="57"/>
      <c r="U307" s="57"/>
      <c r="V307" s="57"/>
      <c r="W307" s="495"/>
      <c r="X307" s="495"/>
      <c r="Y307" s="495"/>
      <c r="Z307" s="451"/>
      <c r="AA307" s="145"/>
      <c r="AB307" s="223"/>
      <c r="AC307" s="22"/>
      <c r="AH307" s="9"/>
      <c r="AJ307" s="27"/>
      <c r="AK307" s="84"/>
      <c r="AL307" s="13"/>
      <c r="AP307"/>
      <c r="AR307"/>
      <c r="AV307"/>
      <c r="AW307"/>
      <c r="AX307"/>
      <c r="AY307"/>
      <c r="AZ307"/>
      <c r="BC307"/>
      <c r="BD307"/>
      <c r="BG307"/>
      <c r="BH307"/>
      <c r="BI307"/>
      <c r="BJ307"/>
      <c r="BS307"/>
      <c r="BU307"/>
      <c r="BV307"/>
      <c r="BX307"/>
    </row>
    <row r="308" spans="1:76" ht="15.75">
      <c r="A308" s="263" t="s">
        <v>263</v>
      </c>
      <c r="B308" s="236"/>
      <c r="C308" s="57"/>
      <c r="D308" s="57">
        <v>5</v>
      </c>
      <c r="E308" s="57">
        <v>60</v>
      </c>
      <c r="F308" s="57">
        <v>74</v>
      </c>
      <c r="G308" s="57">
        <v>40053</v>
      </c>
      <c r="H308" s="57">
        <v>78.22</v>
      </c>
      <c r="I308" s="57">
        <v>40064</v>
      </c>
      <c r="J308" s="57">
        <v>178.09125356036608</v>
      </c>
      <c r="K308" s="57">
        <v>5.5137760091727728</v>
      </c>
      <c r="L308" s="57">
        <v>245.25</v>
      </c>
      <c r="M308" s="57">
        <v>7.95</v>
      </c>
      <c r="N308" s="57" t="s">
        <v>145</v>
      </c>
      <c r="O308" s="57">
        <v>4447.95</v>
      </c>
      <c r="P308" s="57"/>
      <c r="Q308" s="57"/>
      <c r="R308" s="57"/>
      <c r="S308" s="57"/>
      <c r="T308" s="57"/>
      <c r="U308" s="57"/>
      <c r="V308" s="57"/>
      <c r="W308" s="495"/>
      <c r="X308" s="495"/>
      <c r="Y308" s="495"/>
      <c r="Z308" s="451"/>
      <c r="AA308" s="145"/>
      <c r="AB308" s="223"/>
      <c r="AC308" s="22"/>
      <c r="AH308" s="9"/>
      <c r="AJ308" s="27"/>
      <c r="AK308" s="84"/>
      <c r="AL308" s="13"/>
      <c r="AP308"/>
      <c r="AR308"/>
      <c r="AV308"/>
      <c r="AW308"/>
      <c r="AX308"/>
      <c r="AY308"/>
      <c r="AZ308"/>
      <c r="BC308"/>
      <c r="BD308"/>
      <c r="BG308"/>
      <c r="BH308"/>
      <c r="BI308"/>
      <c r="BJ308"/>
      <c r="BS308"/>
      <c r="BU308"/>
      <c r="BV308"/>
      <c r="BX308"/>
    </row>
    <row r="309" spans="1:76" ht="15.75">
      <c r="A309" s="263" t="s">
        <v>263</v>
      </c>
      <c r="B309" s="236" t="s">
        <v>291</v>
      </c>
      <c r="C309" s="57"/>
      <c r="D309" s="57">
        <v>68</v>
      </c>
      <c r="E309" s="57">
        <v>100</v>
      </c>
      <c r="F309" s="57">
        <v>0.02</v>
      </c>
      <c r="G309" s="57">
        <v>40497</v>
      </c>
      <c r="H309" s="57">
        <v>2.87</v>
      </c>
      <c r="I309" s="57">
        <v>40712</v>
      </c>
      <c r="J309" s="57">
        <v>459.52632693316531</v>
      </c>
      <c r="K309" s="57">
        <v>1379.3814432989691</v>
      </c>
      <c r="L309" s="57">
        <v>267.60000000000002</v>
      </c>
      <c r="M309" s="57">
        <v>17.399999999999999</v>
      </c>
      <c r="N309" s="57" t="s">
        <v>15</v>
      </c>
      <c r="O309" s="57">
        <v>19.399999999999999</v>
      </c>
      <c r="P309" s="57"/>
      <c r="Q309" s="57"/>
      <c r="R309" s="57"/>
      <c r="S309" s="57"/>
      <c r="T309" s="57"/>
      <c r="U309" s="57"/>
      <c r="V309" s="57"/>
      <c r="W309" s="495"/>
      <c r="X309" s="495"/>
      <c r="Y309" s="495"/>
      <c r="Z309" s="451"/>
      <c r="AA309" s="145"/>
      <c r="AB309" s="223"/>
      <c r="AC309" s="22"/>
      <c r="AH309" s="9"/>
      <c r="AJ309" s="27"/>
      <c r="AK309" s="84"/>
      <c r="AL309" s="13"/>
      <c r="AP309"/>
      <c r="AR309"/>
      <c r="AV309"/>
      <c r="AW309"/>
      <c r="AX309"/>
      <c r="AY309"/>
      <c r="AZ309"/>
      <c r="BC309"/>
      <c r="BD309"/>
      <c r="BG309"/>
      <c r="BH309"/>
      <c r="BI309"/>
      <c r="BJ309"/>
      <c r="BS309"/>
      <c r="BU309"/>
      <c r="BV309"/>
      <c r="BX309"/>
    </row>
    <row r="310" spans="1:76" ht="15.75">
      <c r="A310" s="263" t="s">
        <v>263</v>
      </c>
      <c r="B310" s="236" t="s">
        <v>327</v>
      </c>
      <c r="C310" s="57"/>
      <c r="D310" s="57">
        <v>96</v>
      </c>
      <c r="E310" s="57">
        <v>100</v>
      </c>
      <c r="F310" s="57">
        <v>0</v>
      </c>
      <c r="G310" s="57">
        <v>40714</v>
      </c>
      <c r="H310" s="57">
        <v>4.5</v>
      </c>
      <c r="I310" s="57">
        <v>40774</v>
      </c>
      <c r="J310" s="57">
        <v>1674.3465298325971</v>
      </c>
      <c r="K310" s="57">
        <v>1467.9442508710804</v>
      </c>
      <c r="L310" s="57">
        <v>421.3</v>
      </c>
      <c r="M310" s="57">
        <v>28.7</v>
      </c>
      <c r="N310" s="57" t="s">
        <v>404</v>
      </c>
      <c r="O310" s="57">
        <v>28.7</v>
      </c>
      <c r="P310" s="57"/>
      <c r="Q310" s="57"/>
      <c r="R310" s="57"/>
      <c r="S310" s="57"/>
      <c r="T310" s="57"/>
      <c r="U310" s="57"/>
      <c r="V310" s="57"/>
      <c r="W310" s="495"/>
      <c r="X310" s="495"/>
      <c r="Y310" s="495"/>
      <c r="Z310" s="451"/>
      <c r="AA310" s="145"/>
      <c r="AB310" s="223"/>
      <c r="AC310" s="22"/>
      <c r="AH310" s="9"/>
      <c r="AJ310" s="27"/>
      <c r="AK310" s="84"/>
      <c r="AL310" s="13"/>
      <c r="AP310"/>
      <c r="AR310"/>
      <c r="AV310"/>
      <c r="AW310"/>
      <c r="AX310"/>
      <c r="AY310"/>
      <c r="AZ310"/>
      <c r="BC310"/>
      <c r="BD310"/>
      <c r="BG310"/>
      <c r="BH310"/>
      <c r="BI310"/>
      <c r="BJ310"/>
      <c r="BS310"/>
      <c r="BU310"/>
      <c r="BV310"/>
      <c r="BX310"/>
    </row>
    <row r="311" spans="1:76" ht="15.75">
      <c r="A311" s="263" t="s">
        <v>263</v>
      </c>
      <c r="B311" s="236" t="s">
        <v>263</v>
      </c>
      <c r="C311" s="57"/>
      <c r="D311" s="57">
        <v>97</v>
      </c>
      <c r="E311" s="57">
        <v>100</v>
      </c>
      <c r="F311" s="57">
        <v>67.069999999999993</v>
      </c>
      <c r="G311" s="57">
        <v>40085</v>
      </c>
      <c r="H311" s="57">
        <v>25</v>
      </c>
      <c r="I311" s="57">
        <v>40774</v>
      </c>
      <c r="J311" s="57">
        <v>-52.342041074134109</v>
      </c>
      <c r="K311" s="57">
        <v>-62.769640875955886</v>
      </c>
      <c r="L311" s="57">
        <v>-4214.95</v>
      </c>
      <c r="M311" s="57">
        <v>7.95</v>
      </c>
      <c r="N311" s="57" t="s">
        <v>145</v>
      </c>
      <c r="O311" s="57">
        <v>6714.95</v>
      </c>
      <c r="P311" s="57"/>
      <c r="Q311" s="57"/>
      <c r="R311" s="57"/>
      <c r="S311" s="57"/>
      <c r="T311" s="57"/>
      <c r="U311" s="57"/>
      <c r="V311" s="57"/>
      <c r="W311" s="495"/>
      <c r="X311" s="495"/>
      <c r="Y311" s="495"/>
      <c r="Z311" s="451"/>
      <c r="AA311" s="145"/>
      <c r="AB311" s="223"/>
      <c r="AC311" s="22"/>
      <c r="AH311" s="9"/>
      <c r="AJ311" s="27"/>
      <c r="AK311" s="84"/>
      <c r="AL311" s="13"/>
      <c r="AP311"/>
      <c r="AR311"/>
      <c r="AV311"/>
      <c r="AW311"/>
      <c r="AX311"/>
      <c r="AY311"/>
      <c r="AZ311"/>
      <c r="BC311"/>
      <c r="BD311"/>
      <c r="BG311"/>
      <c r="BH311"/>
      <c r="BI311"/>
      <c r="BJ311"/>
      <c r="BS311"/>
      <c r="BU311"/>
      <c r="BV311"/>
      <c r="BX311"/>
    </row>
    <row r="312" spans="1:76" ht="15.75">
      <c r="A312" s="263" t="s">
        <v>263</v>
      </c>
      <c r="B312" s="236" t="s">
        <v>396</v>
      </c>
      <c r="C312" s="57"/>
      <c r="D312" s="57">
        <v>128</v>
      </c>
      <c r="E312" s="57">
        <v>100</v>
      </c>
      <c r="F312" s="57">
        <v>0</v>
      </c>
      <c r="G312" s="57">
        <v>40813</v>
      </c>
      <c r="H312" s="57">
        <v>0.5</v>
      </c>
      <c r="I312" s="57">
        <v>40838</v>
      </c>
      <c r="J312" s="57">
        <v>2553.1019704607079</v>
      </c>
      <c r="K312" s="57">
        <v>474.71264367816099</v>
      </c>
      <c r="L312" s="57">
        <v>41.3</v>
      </c>
      <c r="M312" s="57">
        <v>8.6999999999999993</v>
      </c>
      <c r="N312" s="57" t="s">
        <v>403</v>
      </c>
      <c r="O312" s="57">
        <v>8.6999999999999993</v>
      </c>
      <c r="P312" s="57"/>
      <c r="Q312" s="57"/>
      <c r="R312" s="57"/>
      <c r="S312" s="57"/>
      <c r="T312" s="57"/>
      <c r="U312" s="57"/>
      <c r="V312" s="57"/>
      <c r="W312" s="495"/>
      <c r="X312" s="495"/>
      <c r="Y312" s="495"/>
      <c r="Z312" s="451"/>
      <c r="AA312" s="145"/>
      <c r="AB312" s="223"/>
      <c r="AC312" s="22"/>
      <c r="AH312" s="9"/>
      <c r="AJ312" s="27"/>
      <c r="AK312" s="84"/>
      <c r="AL312" s="13"/>
      <c r="AP312"/>
      <c r="AR312"/>
      <c r="AV312"/>
      <c r="AW312"/>
      <c r="AX312"/>
      <c r="AY312"/>
      <c r="AZ312"/>
      <c r="BC312"/>
      <c r="BD312"/>
      <c r="BG312"/>
      <c r="BH312"/>
      <c r="BI312"/>
      <c r="BJ312"/>
      <c r="BS312"/>
      <c r="BU312"/>
      <c r="BV312"/>
      <c r="BX312"/>
    </row>
    <row r="313" spans="1:76" ht="15.75">
      <c r="A313" s="263" t="s">
        <v>263</v>
      </c>
      <c r="B313" s="236" t="s">
        <v>401</v>
      </c>
      <c r="C313" s="57"/>
      <c r="D313" s="57">
        <v>163</v>
      </c>
      <c r="E313" s="57">
        <v>100</v>
      </c>
      <c r="F313" s="57">
        <v>0.1</v>
      </c>
      <c r="G313" s="57">
        <v>40840</v>
      </c>
      <c r="H313" s="57">
        <v>1.65</v>
      </c>
      <c r="I313" s="57">
        <v>40868</v>
      </c>
      <c r="J313" s="57">
        <v>2340.4353503031898</v>
      </c>
      <c r="K313" s="57">
        <v>502.18978102189777</v>
      </c>
      <c r="L313" s="57">
        <v>137.6</v>
      </c>
      <c r="M313" s="57">
        <v>17.399999999999999</v>
      </c>
      <c r="N313" s="57" t="s">
        <v>15</v>
      </c>
      <c r="O313" s="57">
        <v>27.4</v>
      </c>
      <c r="P313" s="57"/>
      <c r="Q313" s="57"/>
      <c r="R313" s="57"/>
      <c r="S313" s="57"/>
      <c r="T313" s="57"/>
      <c r="U313" s="57"/>
      <c r="V313" s="57"/>
      <c r="W313" s="495"/>
      <c r="X313" s="495"/>
      <c r="Y313" s="495"/>
      <c r="Z313" s="451"/>
      <c r="AA313" s="145"/>
      <c r="AB313" s="223"/>
      <c r="AC313" s="22"/>
      <c r="AH313" s="9"/>
      <c r="AJ313" s="27"/>
      <c r="AK313" s="84"/>
      <c r="AL313" s="13"/>
      <c r="AP313"/>
      <c r="AR313"/>
      <c r="AV313"/>
      <c r="AW313"/>
      <c r="AX313"/>
      <c r="AY313"/>
      <c r="AZ313"/>
      <c r="BC313"/>
      <c r="BD313"/>
      <c r="BG313"/>
      <c r="BH313"/>
      <c r="BI313"/>
      <c r="BJ313"/>
      <c r="BS313"/>
      <c r="BU313"/>
      <c r="BV313"/>
      <c r="BX313"/>
    </row>
    <row r="314" spans="1:76" ht="15.75">
      <c r="A314" s="263" t="s">
        <v>263</v>
      </c>
      <c r="B314" s="236" t="s">
        <v>457</v>
      </c>
      <c r="C314" s="57"/>
      <c r="D314" s="57">
        <v>203</v>
      </c>
      <c r="E314" s="57">
        <v>100</v>
      </c>
      <c r="F314" s="57">
        <v>8</v>
      </c>
      <c r="G314" s="57">
        <v>40878</v>
      </c>
      <c r="H314" s="57">
        <v>9</v>
      </c>
      <c r="I314" s="57">
        <v>40928</v>
      </c>
      <c r="J314" s="57">
        <v>70.27432030171768</v>
      </c>
      <c r="K314" s="57">
        <v>10.105211646684616</v>
      </c>
      <c r="L314" s="57">
        <v>82.6</v>
      </c>
      <c r="M314" s="57">
        <v>17.399999999999999</v>
      </c>
      <c r="N314" s="57" t="s">
        <v>15</v>
      </c>
      <c r="O314" s="57">
        <v>817.4</v>
      </c>
      <c r="P314" s="57"/>
      <c r="Q314" s="57"/>
      <c r="R314" s="57"/>
      <c r="S314" s="57"/>
      <c r="T314" s="57"/>
      <c r="U314" s="57"/>
      <c r="V314" s="57"/>
      <c r="W314" s="495"/>
      <c r="X314" s="495"/>
      <c r="Y314" s="495"/>
      <c r="Z314" s="451"/>
      <c r="AA314" s="145"/>
      <c r="AB314" s="223"/>
      <c r="AC314" s="22"/>
      <c r="AH314" s="9"/>
      <c r="AJ314" s="27"/>
      <c r="AK314" s="84"/>
      <c r="AL314" s="13"/>
      <c r="AP314"/>
      <c r="AR314"/>
      <c r="AV314"/>
      <c r="AW314"/>
      <c r="AX314"/>
      <c r="AY314"/>
      <c r="AZ314"/>
      <c r="BC314"/>
      <c r="BD314"/>
      <c r="BG314"/>
      <c r="BH314"/>
      <c r="BI314"/>
      <c r="BJ314"/>
      <c r="BS314"/>
      <c r="BU314"/>
      <c r="BV314"/>
      <c r="BX314"/>
    </row>
    <row r="315" spans="1:76" ht="15.75">
      <c r="A315" s="263" t="s">
        <v>263</v>
      </c>
      <c r="B315" s="236" t="s">
        <v>496</v>
      </c>
      <c r="C315" s="57"/>
      <c r="D315" s="57">
        <v>237</v>
      </c>
      <c r="E315" s="57">
        <v>100</v>
      </c>
      <c r="F315" s="57">
        <v>0.6</v>
      </c>
      <c r="G315" s="57">
        <v>40934</v>
      </c>
      <c r="H315" s="57">
        <v>2</v>
      </c>
      <c r="I315" s="57">
        <v>40966</v>
      </c>
      <c r="J315" s="57">
        <v>1082.8301996019052</v>
      </c>
      <c r="K315" s="57">
        <v>158.39793281653746</v>
      </c>
      <c r="L315" s="57">
        <v>122.6</v>
      </c>
      <c r="M315" s="57">
        <v>17.399999999999999</v>
      </c>
      <c r="N315" s="57" t="s">
        <v>15</v>
      </c>
      <c r="O315" s="57">
        <v>77.400000000000006</v>
      </c>
      <c r="P315" s="57"/>
      <c r="Q315" s="57"/>
      <c r="R315" s="57"/>
      <c r="S315" s="57"/>
      <c r="T315" s="57"/>
      <c r="U315" s="57"/>
      <c r="V315" s="57"/>
      <c r="W315" s="495"/>
      <c r="X315" s="495"/>
      <c r="Y315" s="495"/>
      <c r="Z315" s="451"/>
      <c r="AA315" s="145"/>
      <c r="AB315" s="223"/>
      <c r="AC315" s="22"/>
      <c r="AH315" s="9"/>
      <c r="AJ315" s="27"/>
      <c r="AK315" s="84"/>
      <c r="AL315" s="13"/>
      <c r="AP315"/>
      <c r="AR315"/>
      <c r="AV315"/>
      <c r="AW315"/>
      <c r="AX315"/>
      <c r="AY315"/>
      <c r="AZ315"/>
      <c r="BC315"/>
      <c r="BD315"/>
      <c r="BG315"/>
      <c r="BH315"/>
      <c r="BI315"/>
      <c r="BJ315"/>
      <c r="BS315"/>
      <c r="BU315"/>
      <c r="BV315"/>
      <c r="BX315"/>
    </row>
    <row r="316" spans="1:76" ht="15.75">
      <c r="A316" s="263" t="s">
        <v>263</v>
      </c>
      <c r="B316" s="236" t="s">
        <v>512</v>
      </c>
      <c r="C316" s="57"/>
      <c r="D316" s="57">
        <v>293</v>
      </c>
      <c r="E316" s="57">
        <v>100</v>
      </c>
      <c r="F316" s="57">
        <v>0.1</v>
      </c>
      <c r="G316" s="57">
        <v>40983</v>
      </c>
      <c r="H316" s="57">
        <v>1.1000000000000001</v>
      </c>
      <c r="I316" s="57">
        <v>41033</v>
      </c>
      <c r="J316" s="57">
        <v>1014.6542672508258</v>
      </c>
      <c r="K316" s="57">
        <v>301.45985401459853</v>
      </c>
      <c r="L316" s="57">
        <v>82.6</v>
      </c>
      <c r="M316" s="57">
        <v>17.399999999999999</v>
      </c>
      <c r="N316" s="57" t="s">
        <v>15</v>
      </c>
      <c r="O316" s="57">
        <v>27.4</v>
      </c>
      <c r="P316" s="57"/>
      <c r="Q316" s="57"/>
      <c r="R316" s="57"/>
      <c r="S316" s="57"/>
      <c r="T316" s="57"/>
      <c r="U316" s="57"/>
      <c r="V316" s="57"/>
      <c r="W316" s="495"/>
      <c r="X316" s="495"/>
      <c r="Y316" s="495"/>
      <c r="Z316" s="451"/>
      <c r="AA316" s="145"/>
      <c r="AB316" s="223"/>
      <c r="AC316" s="22"/>
      <c r="AH316" s="9"/>
      <c r="AJ316" s="27"/>
      <c r="AK316" s="84"/>
      <c r="AL316" s="13"/>
      <c r="AP316"/>
      <c r="AR316"/>
      <c r="AV316"/>
      <c r="AW316"/>
      <c r="AX316"/>
      <c r="AY316"/>
      <c r="AZ316"/>
      <c r="BC316"/>
      <c r="BD316"/>
      <c r="BG316"/>
      <c r="BH316"/>
      <c r="BI316"/>
      <c r="BJ316"/>
      <c r="BS316"/>
      <c r="BU316"/>
      <c r="BV316"/>
      <c r="BX316"/>
    </row>
    <row r="317" spans="1:76" ht="15.75">
      <c r="A317" s="263" t="s">
        <v>263</v>
      </c>
      <c r="B317" s="236" t="s">
        <v>731</v>
      </c>
      <c r="C317" s="57"/>
      <c r="D317" s="57">
        <v>305</v>
      </c>
      <c r="E317" s="57">
        <v>100</v>
      </c>
      <c r="F317" s="57">
        <v>0.5</v>
      </c>
      <c r="G317" s="57">
        <v>41046</v>
      </c>
      <c r="H317" s="57">
        <v>1.7</v>
      </c>
      <c r="I317" s="57">
        <v>41071</v>
      </c>
      <c r="J317" s="57">
        <v>1350.7239919327208</v>
      </c>
      <c r="K317" s="57">
        <v>152.22551928783386</v>
      </c>
      <c r="L317" s="57">
        <v>102.6</v>
      </c>
      <c r="M317" s="57">
        <v>17.399999999999999</v>
      </c>
      <c r="N317" s="57" t="s">
        <v>15</v>
      </c>
      <c r="O317" s="57">
        <v>67.400000000000006</v>
      </c>
      <c r="P317" s="57"/>
      <c r="Q317" s="57"/>
      <c r="R317" s="57"/>
      <c r="S317" s="57"/>
      <c r="T317" s="57"/>
      <c r="U317" s="57"/>
      <c r="V317" s="57"/>
      <c r="W317" s="495"/>
      <c r="X317" s="495"/>
      <c r="Y317" s="495"/>
      <c r="Z317" s="451"/>
      <c r="AA317" s="145"/>
      <c r="AB317" s="223"/>
      <c r="AC317" s="22"/>
      <c r="AH317" s="9"/>
      <c r="AJ317" s="27"/>
      <c r="AK317" s="84"/>
      <c r="AM317" s="13"/>
      <c r="AP317"/>
      <c r="AR317"/>
      <c r="AV317"/>
      <c r="AW317"/>
      <c r="AX317"/>
      <c r="AY317"/>
      <c r="AZ317"/>
      <c r="BC317"/>
      <c r="BD317"/>
      <c r="BG317"/>
      <c r="BH317"/>
      <c r="BI317"/>
      <c r="BJ317"/>
      <c r="BS317"/>
      <c r="BU317"/>
      <c r="BV317"/>
      <c r="BX317"/>
    </row>
    <row r="318" spans="1:76" ht="15.75">
      <c r="A318" s="263" t="s">
        <v>263</v>
      </c>
      <c r="B318" s="236" t="s">
        <v>757</v>
      </c>
      <c r="C318" s="57"/>
      <c r="D318" s="57">
        <v>325</v>
      </c>
      <c r="E318" s="57">
        <v>100</v>
      </c>
      <c r="F318" s="57">
        <v>0.2</v>
      </c>
      <c r="G318" s="57">
        <v>41078</v>
      </c>
      <c r="H318" s="57">
        <v>2.35</v>
      </c>
      <c r="I318" s="57">
        <v>41092</v>
      </c>
      <c r="J318" s="57">
        <v>4791.7064682081473</v>
      </c>
      <c r="K318" s="57">
        <v>528.34224598930484</v>
      </c>
      <c r="L318" s="57">
        <v>197.6</v>
      </c>
      <c r="M318" s="57">
        <v>17.399999999999999</v>
      </c>
      <c r="N318" s="57" t="s">
        <v>15</v>
      </c>
      <c r="O318" s="57">
        <v>37.4</v>
      </c>
      <c r="P318" s="57"/>
      <c r="Q318" s="57"/>
      <c r="R318" s="57"/>
      <c r="S318" s="57"/>
      <c r="T318" s="57"/>
      <c r="U318" s="57"/>
      <c r="V318" s="57"/>
      <c r="W318" s="495"/>
      <c r="X318" s="495"/>
      <c r="Y318" s="495"/>
      <c r="Z318" s="451"/>
      <c r="AA318" s="145"/>
      <c r="AB318" s="223"/>
      <c r="AC318" s="22"/>
      <c r="AH318" s="9"/>
      <c r="AJ318" s="27"/>
      <c r="AK318" s="84"/>
      <c r="AM318" s="13"/>
      <c r="AP318"/>
      <c r="AR318"/>
      <c r="AV318"/>
      <c r="AW318"/>
      <c r="AX318"/>
      <c r="AY318"/>
      <c r="AZ318"/>
      <c r="BC318"/>
      <c r="BD318"/>
      <c r="BG318"/>
      <c r="BH318"/>
      <c r="BI318"/>
      <c r="BJ318"/>
      <c r="BS318"/>
      <c r="BU318"/>
      <c r="BV318"/>
      <c r="BX318"/>
    </row>
    <row r="319" spans="1:76" ht="15.75">
      <c r="A319" s="263" t="s">
        <v>263</v>
      </c>
      <c r="B319" s="236" t="s">
        <v>803</v>
      </c>
      <c r="C319" s="57"/>
      <c r="D319" s="57">
        <v>366</v>
      </c>
      <c r="E319" s="57">
        <v>100</v>
      </c>
      <c r="F319" s="57">
        <v>0.9</v>
      </c>
      <c r="G319" s="57">
        <v>41128</v>
      </c>
      <c r="H319" s="57">
        <v>1.7</v>
      </c>
      <c r="I319" s="57">
        <v>41158</v>
      </c>
      <c r="J319" s="57">
        <v>558.73987688685497</v>
      </c>
      <c r="K319" s="57">
        <v>58.286778398510229</v>
      </c>
      <c r="L319" s="57">
        <v>62.6</v>
      </c>
      <c r="M319" s="57">
        <v>17.399999999999999</v>
      </c>
      <c r="N319" s="57" t="s">
        <v>15</v>
      </c>
      <c r="O319" s="57">
        <v>107.4</v>
      </c>
      <c r="P319" s="57"/>
      <c r="Q319" s="57"/>
      <c r="R319" s="57"/>
      <c r="S319" s="57"/>
      <c r="T319" s="57"/>
      <c r="U319" s="57"/>
      <c r="V319" s="57"/>
      <c r="W319" s="495"/>
      <c r="X319" s="495"/>
      <c r="Y319" s="495"/>
      <c r="Z319" s="451"/>
      <c r="AA319" s="145"/>
      <c r="AB319" s="223"/>
      <c r="AC319" s="22"/>
      <c r="AH319" s="9"/>
      <c r="AJ319" s="27"/>
      <c r="AK319" s="84"/>
      <c r="AM319" s="13"/>
      <c r="AP319"/>
      <c r="AR319"/>
      <c r="AV319"/>
      <c r="AW319"/>
      <c r="AX319"/>
      <c r="AY319"/>
      <c r="AZ319"/>
      <c r="BC319"/>
      <c r="BD319"/>
      <c r="BG319"/>
      <c r="BH319"/>
      <c r="BI319"/>
      <c r="BJ319"/>
      <c r="BS319"/>
      <c r="BU319"/>
      <c r="BV319"/>
      <c r="BX319"/>
    </row>
    <row r="320" spans="1:76" ht="15.75">
      <c r="A320" s="263" t="s">
        <v>263</v>
      </c>
      <c r="B320" s="236" t="s">
        <v>821</v>
      </c>
      <c r="C320" s="57"/>
      <c r="D320" s="57">
        <v>380</v>
      </c>
      <c r="E320" s="57">
        <v>100</v>
      </c>
      <c r="F320" s="57">
        <v>0.8</v>
      </c>
      <c r="G320" s="57">
        <v>41163</v>
      </c>
      <c r="H320" s="57">
        <v>1</v>
      </c>
      <c r="I320" s="57">
        <v>41192</v>
      </c>
      <c r="J320" s="57">
        <v>33.157072410188803</v>
      </c>
      <c r="K320" s="57">
        <v>2.6694045174538013</v>
      </c>
      <c r="L320" s="57">
        <v>2.6</v>
      </c>
      <c r="M320" s="57">
        <v>17.399999999999999</v>
      </c>
      <c r="N320" s="57" t="s">
        <v>15</v>
      </c>
      <c r="O320" s="57">
        <v>97.4</v>
      </c>
      <c r="P320" s="57"/>
      <c r="Q320" s="57"/>
      <c r="R320" s="57"/>
      <c r="S320" s="57"/>
      <c r="T320" s="57"/>
      <c r="U320" s="57"/>
      <c r="V320" s="57"/>
      <c r="W320" s="495"/>
      <c r="X320" s="495"/>
      <c r="Y320" s="495"/>
      <c r="Z320" s="451"/>
      <c r="AA320" s="145"/>
      <c r="AB320" s="223"/>
      <c r="AC320" s="22"/>
      <c r="AH320" s="9"/>
      <c r="AJ320" s="27"/>
      <c r="AK320" s="84"/>
      <c r="AM320" s="13"/>
      <c r="AP320"/>
      <c r="AR320"/>
      <c r="AV320"/>
      <c r="AW320"/>
      <c r="AX320"/>
      <c r="AY320"/>
      <c r="AZ320"/>
      <c r="BC320"/>
      <c r="BD320"/>
      <c r="BG320"/>
      <c r="BH320"/>
      <c r="BI320"/>
      <c r="BJ320"/>
      <c r="BS320"/>
      <c r="BU320"/>
      <c r="BV320"/>
      <c r="BX320"/>
    </row>
    <row r="321" spans="1:76" ht="15.75">
      <c r="A321" s="263" t="s">
        <v>263</v>
      </c>
      <c r="B321" s="236" t="s">
        <v>872</v>
      </c>
      <c r="C321" s="57"/>
      <c r="D321" s="57">
        <v>441</v>
      </c>
      <c r="E321" s="57">
        <v>100</v>
      </c>
      <c r="F321" s="57">
        <v>0.5</v>
      </c>
      <c r="G321" s="57">
        <v>41242</v>
      </c>
      <c r="H321" s="57">
        <v>1.48</v>
      </c>
      <c r="I321" s="57">
        <v>41278</v>
      </c>
      <c r="J321" s="57">
        <v>797.49180106593519</v>
      </c>
      <c r="K321" s="57">
        <v>119.58456973293772</v>
      </c>
      <c r="L321" s="57">
        <v>80.599999999999994</v>
      </c>
      <c r="M321" s="57">
        <v>17.399999999999999</v>
      </c>
      <c r="N321" s="57" t="s">
        <v>15</v>
      </c>
      <c r="O321" s="57">
        <v>67.400000000000006</v>
      </c>
      <c r="P321" s="57"/>
      <c r="Q321" s="57"/>
      <c r="R321" s="57"/>
      <c r="S321" s="57"/>
      <c r="T321" s="57"/>
      <c r="U321" s="57"/>
      <c r="V321" s="57"/>
      <c r="W321" s="495"/>
      <c r="X321" s="495"/>
      <c r="Y321" s="495"/>
      <c r="Z321" s="451"/>
      <c r="AA321" s="145"/>
      <c r="AB321" s="223"/>
      <c r="AC321" s="22"/>
      <c r="AH321" s="9"/>
      <c r="AJ321" s="27"/>
      <c r="AK321" s="84"/>
      <c r="AM321" s="13"/>
      <c r="AP321"/>
      <c r="AR321"/>
      <c r="AV321"/>
      <c r="AW321"/>
      <c r="AX321"/>
      <c r="AY321"/>
      <c r="AZ321"/>
      <c r="BC321"/>
      <c r="BD321"/>
      <c r="BG321"/>
      <c r="BH321"/>
      <c r="BI321"/>
      <c r="BJ321"/>
      <c r="BS321"/>
      <c r="BU321"/>
      <c r="BV321"/>
      <c r="BX321"/>
    </row>
    <row r="322" spans="1:76" ht="15.75">
      <c r="A322" s="263" t="s">
        <v>240</v>
      </c>
      <c r="B322" s="236"/>
      <c r="C322" s="57"/>
      <c r="D322" s="57">
        <v>32</v>
      </c>
      <c r="E322" s="57">
        <v>300</v>
      </c>
      <c r="F322" s="57">
        <v>13.5</v>
      </c>
      <c r="G322" s="57">
        <v>40315</v>
      </c>
      <c r="H322" s="57">
        <v>4</v>
      </c>
      <c r="I322" s="57">
        <v>40541</v>
      </c>
      <c r="J322" s="57">
        <v>-196.7699436130608</v>
      </c>
      <c r="K322" s="57">
        <v>-70.428418290023288</v>
      </c>
      <c r="L322" s="57">
        <v>-2857.95</v>
      </c>
      <c r="M322" s="57">
        <v>7.95</v>
      </c>
      <c r="N322" s="57" t="s">
        <v>145</v>
      </c>
      <c r="O322" s="57">
        <v>4057.95</v>
      </c>
      <c r="P322" s="57"/>
      <c r="Q322" s="57"/>
      <c r="R322" s="57"/>
      <c r="S322" s="57"/>
      <c r="T322" s="57"/>
      <c r="U322" s="57"/>
      <c r="V322" s="57"/>
      <c r="W322" s="495"/>
      <c r="X322" s="495"/>
      <c r="Y322" s="495"/>
      <c r="Z322" s="451"/>
      <c r="AA322" s="145"/>
      <c r="AB322" s="223"/>
      <c r="AC322" s="22"/>
      <c r="AH322" s="9"/>
      <c r="AJ322" s="27"/>
      <c r="AK322" s="84"/>
      <c r="AM322" s="13"/>
      <c r="AP322"/>
      <c r="AR322"/>
      <c r="AV322"/>
      <c r="AW322"/>
      <c r="AX322"/>
      <c r="AY322"/>
      <c r="AZ322"/>
      <c r="BC322"/>
      <c r="BD322"/>
      <c r="BG322"/>
      <c r="BH322"/>
      <c r="BI322"/>
      <c r="BJ322"/>
      <c r="BS322"/>
      <c r="BU322"/>
      <c r="BV322"/>
      <c r="BX322"/>
    </row>
    <row r="323" spans="1:76" ht="15.75">
      <c r="A323" s="263" t="s">
        <v>283</v>
      </c>
      <c r="B323" s="236" t="s">
        <v>364</v>
      </c>
      <c r="C323" s="57"/>
      <c r="D323" s="57">
        <v>182</v>
      </c>
      <c r="E323" s="57">
        <v>2000</v>
      </c>
      <c r="F323" s="57">
        <v>0.6</v>
      </c>
      <c r="G323" s="57">
        <v>40685</v>
      </c>
      <c r="H323" s="57">
        <v>0.01</v>
      </c>
      <c r="I323" s="57">
        <v>40892</v>
      </c>
      <c r="J323" s="57">
        <v>-725.29008553208178</v>
      </c>
      <c r="K323" s="57">
        <v>-98.364610163947845</v>
      </c>
      <c r="L323" s="57">
        <v>-1202.95</v>
      </c>
      <c r="M323" s="57">
        <v>22.95</v>
      </c>
      <c r="N323" s="57" t="s">
        <v>405</v>
      </c>
      <c r="O323" s="57">
        <v>1222.95</v>
      </c>
      <c r="P323" s="57"/>
      <c r="Q323" s="57"/>
      <c r="R323" s="57"/>
      <c r="S323" s="57"/>
      <c r="T323" s="57"/>
      <c r="U323" s="57"/>
      <c r="V323" s="57"/>
      <c r="W323" s="495"/>
      <c r="X323" s="495"/>
      <c r="Y323" s="495"/>
      <c r="Z323" s="451"/>
      <c r="AA323" s="145"/>
      <c r="AB323" s="223"/>
      <c r="AC323" s="22"/>
      <c r="AH323" s="9"/>
      <c r="AJ323" s="27"/>
      <c r="AK323" s="84"/>
      <c r="AM323" s="13"/>
      <c r="AP323"/>
      <c r="AR323"/>
      <c r="AV323"/>
      <c r="AW323"/>
      <c r="AX323"/>
      <c r="AY323"/>
      <c r="AZ323"/>
      <c r="BC323"/>
      <c r="BD323"/>
      <c r="BG323"/>
      <c r="BH323"/>
      <c r="BI323"/>
      <c r="BJ323"/>
      <c r="BS323"/>
      <c r="BU323"/>
      <c r="BV323"/>
      <c r="BX323"/>
    </row>
    <row r="324" spans="1:76" ht="15.75">
      <c r="A324" s="263" t="s">
        <v>264</v>
      </c>
      <c r="B324" s="236"/>
      <c r="C324" s="57"/>
      <c r="D324" s="57">
        <v>6</v>
      </c>
      <c r="E324" s="57">
        <v>1000</v>
      </c>
      <c r="F324" s="57">
        <v>5.4</v>
      </c>
      <c r="G324" s="57">
        <v>40043</v>
      </c>
      <c r="H324" s="57">
        <v>6.3</v>
      </c>
      <c r="I324" s="57">
        <v>40056</v>
      </c>
      <c r="J324" s="57">
        <v>428.67717073475791</v>
      </c>
      <c r="K324" s="57">
        <v>16.495159903475425</v>
      </c>
      <c r="L324" s="57">
        <v>892.05</v>
      </c>
      <c r="M324" s="57">
        <v>7.95</v>
      </c>
      <c r="N324" s="57" t="s">
        <v>145</v>
      </c>
      <c r="O324" s="57">
        <v>5407.95</v>
      </c>
      <c r="P324" s="57"/>
      <c r="Q324" s="57"/>
      <c r="R324" s="57"/>
      <c r="S324" s="57"/>
      <c r="T324" s="57"/>
      <c r="U324" s="57"/>
      <c r="V324" s="57"/>
      <c r="W324" s="495"/>
      <c r="X324" s="495"/>
      <c r="Y324" s="495"/>
      <c r="Z324" s="451"/>
      <c r="AA324" s="145"/>
      <c r="AB324" s="223"/>
      <c r="AC324" s="22"/>
      <c r="AH324" s="9"/>
      <c r="AJ324" s="27"/>
      <c r="AK324" s="84"/>
      <c r="AM324" s="13"/>
      <c r="AP324"/>
      <c r="AR324"/>
      <c r="AV324"/>
      <c r="AW324"/>
      <c r="AX324"/>
      <c r="AY324"/>
      <c r="AZ324"/>
      <c r="BC324"/>
      <c r="BD324"/>
      <c r="BG324"/>
      <c r="BH324"/>
      <c r="BI324"/>
      <c r="BJ324"/>
      <c r="BS324"/>
      <c r="BU324"/>
      <c r="BV324"/>
      <c r="BX324"/>
    </row>
    <row r="325" spans="1:76" ht="15.75">
      <c r="A325" s="263" t="s">
        <v>264</v>
      </c>
      <c r="B325" s="236"/>
      <c r="C325" s="57"/>
      <c r="D325" s="57">
        <v>12</v>
      </c>
      <c r="E325" s="57">
        <v>588</v>
      </c>
      <c r="F325" s="57">
        <v>6.32</v>
      </c>
      <c r="G325" s="57">
        <v>40077</v>
      </c>
      <c r="H325" s="57">
        <v>4.57</v>
      </c>
      <c r="I325" s="57">
        <v>40178</v>
      </c>
      <c r="J325" s="57">
        <v>-117.93584504926866</v>
      </c>
      <c r="K325" s="57">
        <v>-27.84423660955235</v>
      </c>
      <c r="L325" s="57">
        <v>-1036.95</v>
      </c>
      <c r="M325" s="57">
        <v>7.95</v>
      </c>
      <c r="N325" s="57" t="s">
        <v>145</v>
      </c>
      <c r="O325" s="57">
        <v>3724.11</v>
      </c>
      <c r="P325" s="57"/>
      <c r="Q325" s="57"/>
      <c r="R325" s="57"/>
      <c r="S325" s="57"/>
      <c r="T325" s="57"/>
      <c r="U325" s="57"/>
      <c r="V325" s="57"/>
      <c r="W325" s="495"/>
      <c r="X325" s="495"/>
      <c r="Y325" s="495"/>
      <c r="Z325" s="451"/>
      <c r="AA325" s="145"/>
      <c r="AB325" s="223"/>
      <c r="AC325" s="22"/>
      <c r="AH325" s="9"/>
      <c r="AJ325" s="27"/>
      <c r="AK325" s="84"/>
      <c r="AM325" s="13"/>
      <c r="AP325"/>
      <c r="AR325"/>
      <c r="AV325"/>
      <c r="AW325"/>
      <c r="AX325"/>
      <c r="AY325"/>
      <c r="AZ325"/>
      <c r="BC325"/>
      <c r="BD325"/>
      <c r="BG325"/>
      <c r="BH325"/>
      <c r="BI325"/>
      <c r="BJ325"/>
      <c r="BS325"/>
      <c r="BU325"/>
      <c r="BV325"/>
      <c r="BX325"/>
    </row>
    <row r="326" spans="1:76" ht="15.75">
      <c r="A326" s="263" t="s">
        <v>26</v>
      </c>
      <c r="B326" s="236"/>
      <c r="C326" s="57"/>
      <c r="D326" s="57">
        <v>31</v>
      </c>
      <c r="E326" s="57">
        <v>1000</v>
      </c>
      <c r="F326" s="57">
        <v>6.32</v>
      </c>
      <c r="G326" s="57">
        <v>40077</v>
      </c>
      <c r="H326" s="57">
        <v>3</v>
      </c>
      <c r="I326" s="57">
        <v>40533</v>
      </c>
      <c r="J326" s="57">
        <v>-59.741858494959331</v>
      </c>
      <c r="K326" s="57">
        <v>-52.591281536674593</v>
      </c>
      <c r="L326" s="57">
        <v>-3327.95</v>
      </c>
      <c r="M326" s="57">
        <v>7.95</v>
      </c>
      <c r="N326" s="57" t="s">
        <v>145</v>
      </c>
      <c r="O326" s="57">
        <v>6327.95</v>
      </c>
      <c r="P326" s="57"/>
      <c r="Q326" s="57"/>
      <c r="R326" s="57"/>
      <c r="S326" s="57"/>
      <c r="T326" s="57"/>
      <c r="U326" s="57"/>
      <c r="V326" s="57"/>
      <c r="W326" s="495"/>
      <c r="X326" s="495"/>
      <c r="Y326" s="495"/>
      <c r="Z326" s="451"/>
      <c r="AA326" s="145"/>
      <c r="AB326" s="223"/>
      <c r="AC326" s="22"/>
      <c r="AH326" s="9"/>
      <c r="AJ326" s="27"/>
      <c r="AK326" s="84"/>
      <c r="AM326" s="13"/>
      <c r="AP326"/>
      <c r="AR326"/>
      <c r="AV326"/>
      <c r="AW326"/>
      <c r="AX326"/>
      <c r="AY326"/>
      <c r="AZ326"/>
      <c r="BC326"/>
      <c r="BD326"/>
      <c r="BG326"/>
      <c r="BH326"/>
      <c r="BI326"/>
      <c r="BJ326"/>
      <c r="BS326"/>
      <c r="BU326"/>
      <c r="BV326"/>
      <c r="BX326"/>
    </row>
    <row r="327" spans="1:76" ht="15.75">
      <c r="A327" s="263" t="s">
        <v>60</v>
      </c>
      <c r="B327" s="236" t="s">
        <v>60</v>
      </c>
      <c r="C327" s="57"/>
      <c r="D327" s="57">
        <v>437</v>
      </c>
      <c r="E327" s="57">
        <v>79</v>
      </c>
      <c r="F327" s="57">
        <v>40.200000000000003</v>
      </c>
      <c r="G327" s="57">
        <v>40087</v>
      </c>
      <c r="H327" s="57">
        <v>6.0031999999999996</v>
      </c>
      <c r="I327" s="57">
        <v>41274</v>
      </c>
      <c r="J327" s="57">
        <v>-58.549890261540014</v>
      </c>
      <c r="K327" s="57">
        <v>-85.103956026698086</v>
      </c>
      <c r="L327" s="57">
        <v>-2709.4971999999998</v>
      </c>
      <c r="M327" s="57">
        <v>7.95</v>
      </c>
      <c r="N327" s="57" t="s">
        <v>145</v>
      </c>
      <c r="O327" s="57">
        <v>3183.75</v>
      </c>
      <c r="P327" s="57"/>
      <c r="Q327" s="57"/>
      <c r="R327" s="57"/>
      <c r="S327" s="57"/>
      <c r="T327" s="57"/>
      <c r="U327" s="57"/>
      <c r="V327" s="57"/>
      <c r="W327" s="495"/>
      <c r="X327" s="495"/>
      <c r="Y327" s="495"/>
      <c r="Z327" s="451"/>
      <c r="AA327" s="145"/>
      <c r="AB327" s="223"/>
      <c r="AC327" s="22"/>
      <c r="AH327" s="9"/>
      <c r="AJ327" s="27"/>
      <c r="AK327" s="84"/>
      <c r="AM327" s="13"/>
      <c r="AP327"/>
      <c r="AR327"/>
      <c r="AV327"/>
      <c r="AW327"/>
      <c r="AX327"/>
      <c r="AY327"/>
      <c r="AZ327"/>
      <c r="BC327"/>
      <c r="BD327"/>
      <c r="BG327"/>
      <c r="BH327"/>
      <c r="BI327"/>
      <c r="BJ327"/>
      <c r="BS327"/>
      <c r="BU327"/>
      <c r="BV327"/>
      <c r="BX327"/>
    </row>
    <row r="328" spans="1:76" ht="15.75">
      <c r="A328" s="263" t="s">
        <v>441</v>
      </c>
      <c r="B328" s="236" t="s">
        <v>824</v>
      </c>
      <c r="C328" s="57"/>
      <c r="D328" s="57">
        <v>377</v>
      </c>
      <c r="E328" s="57">
        <v>100</v>
      </c>
      <c r="F328" s="57">
        <v>3.7</v>
      </c>
      <c r="G328" s="57">
        <v>41178</v>
      </c>
      <c r="H328" s="57">
        <v>5</v>
      </c>
      <c r="I328" s="57">
        <v>41180</v>
      </c>
      <c r="J328" s="57">
        <v>4656.4938409496544</v>
      </c>
      <c r="K328" s="57">
        <v>29.065565307176044</v>
      </c>
      <c r="L328" s="57">
        <v>112.6</v>
      </c>
      <c r="M328" s="57">
        <v>17.399999999999999</v>
      </c>
      <c r="N328" s="57" t="s">
        <v>15</v>
      </c>
      <c r="O328" s="57">
        <v>387.4</v>
      </c>
      <c r="P328" s="57"/>
      <c r="Q328" s="57"/>
      <c r="R328" s="57"/>
      <c r="S328" s="57"/>
      <c r="T328" s="57"/>
      <c r="U328" s="57"/>
      <c r="V328" s="57"/>
      <c r="W328" s="495"/>
      <c r="X328" s="495"/>
      <c r="Y328" s="495"/>
      <c r="Z328" s="451"/>
      <c r="AA328" s="145"/>
      <c r="AB328" s="223"/>
      <c r="AC328" s="22"/>
      <c r="AH328" s="9"/>
      <c r="AJ328" s="27"/>
      <c r="AK328" s="84"/>
      <c r="AM328" s="13"/>
      <c r="AP328"/>
      <c r="AR328"/>
      <c r="AV328"/>
      <c r="AW328"/>
      <c r="AX328"/>
      <c r="AY328"/>
      <c r="AZ328"/>
      <c r="BC328"/>
      <c r="BD328"/>
      <c r="BG328"/>
      <c r="BH328"/>
      <c r="BI328"/>
      <c r="BJ328"/>
      <c r="BS328"/>
      <c r="BU328"/>
      <c r="BV328"/>
      <c r="BX328"/>
    </row>
    <row r="329" spans="1:76" ht="15.75">
      <c r="A329" s="263" t="s">
        <v>441</v>
      </c>
      <c r="B329" s="236" t="s">
        <v>441</v>
      </c>
      <c r="C329" s="57"/>
      <c r="D329" s="57">
        <v>405</v>
      </c>
      <c r="E329" s="57">
        <v>100</v>
      </c>
      <c r="F329" s="57">
        <v>41</v>
      </c>
      <c r="G329" s="57">
        <v>41171</v>
      </c>
      <c r="H329" s="57">
        <v>37</v>
      </c>
      <c r="I329" s="57">
        <v>41230</v>
      </c>
      <c r="J329" s="57">
        <v>-64.7047878876824</v>
      </c>
      <c r="K329" s="57">
        <v>-9.9307440450833209</v>
      </c>
      <c r="L329" s="57">
        <v>-407.95</v>
      </c>
      <c r="M329" s="57">
        <v>7.95</v>
      </c>
      <c r="N329" s="57" t="s">
        <v>145</v>
      </c>
      <c r="O329" s="57">
        <v>4107.95</v>
      </c>
      <c r="P329" s="57"/>
      <c r="Q329" s="57"/>
      <c r="R329" s="57"/>
      <c r="S329" s="57"/>
      <c r="T329" s="57"/>
      <c r="U329" s="57"/>
      <c r="V329" s="57"/>
      <c r="W329" s="495"/>
      <c r="X329" s="495"/>
      <c r="Y329" s="495"/>
      <c r="Z329" s="451"/>
      <c r="AA329" s="145"/>
      <c r="AB329" s="223"/>
      <c r="AC329" s="22"/>
      <c r="AH329" s="9"/>
      <c r="AJ329" s="27"/>
      <c r="AK329" s="84"/>
      <c r="AM329" s="13"/>
      <c r="AP329"/>
      <c r="AR329"/>
      <c r="AV329"/>
      <c r="AW329"/>
      <c r="AX329"/>
      <c r="AY329"/>
      <c r="AZ329"/>
      <c r="BC329"/>
      <c r="BD329"/>
      <c r="BG329"/>
      <c r="BH329"/>
      <c r="BI329"/>
      <c r="BJ329"/>
      <c r="BS329"/>
      <c r="BU329"/>
      <c r="BV329"/>
      <c r="BX329"/>
    </row>
    <row r="330" spans="1:76" ht="15.75">
      <c r="A330" s="263" t="s">
        <v>441</v>
      </c>
      <c r="B330" s="236" t="s">
        <v>833</v>
      </c>
      <c r="C330" s="57"/>
      <c r="D330" s="57">
        <v>410</v>
      </c>
      <c r="E330" s="57">
        <v>100</v>
      </c>
      <c r="F330" s="57">
        <v>0</v>
      </c>
      <c r="G330" s="57">
        <v>41197</v>
      </c>
      <c r="H330" s="57">
        <v>5.0999999999999996</v>
      </c>
      <c r="I330" s="57">
        <v>41230</v>
      </c>
      <c r="J330" s="57">
        <v>3182.7044396296078</v>
      </c>
      <c r="K330" s="57">
        <v>1677.0034843205574</v>
      </c>
      <c r="L330" s="57">
        <v>481.3</v>
      </c>
      <c r="M330" s="57">
        <v>28.7</v>
      </c>
      <c r="N330" s="57" t="s">
        <v>404</v>
      </c>
      <c r="O330" s="57">
        <v>28.7</v>
      </c>
      <c r="P330" s="57"/>
      <c r="Q330" s="57"/>
      <c r="R330" s="57"/>
      <c r="S330" s="57"/>
      <c r="T330" s="57"/>
      <c r="U330" s="57"/>
      <c r="V330" s="57"/>
      <c r="W330" s="495"/>
      <c r="X330" s="495"/>
      <c r="Y330" s="495"/>
      <c r="Z330" s="451"/>
      <c r="AA330" s="145"/>
      <c r="AB330" s="223"/>
      <c r="AC330" s="22"/>
      <c r="AH330" s="9"/>
      <c r="AJ330" s="27"/>
      <c r="AK330" s="84"/>
      <c r="AM330" s="13"/>
      <c r="AP330"/>
      <c r="AR330"/>
      <c r="AV330"/>
      <c r="AW330"/>
      <c r="AX330"/>
      <c r="AY330"/>
      <c r="AZ330"/>
      <c r="BC330"/>
      <c r="BD330"/>
      <c r="BG330"/>
      <c r="BH330"/>
      <c r="BI330"/>
      <c r="BJ330"/>
      <c r="BS330"/>
      <c r="BU330"/>
      <c r="BV330"/>
      <c r="BX330"/>
    </row>
    <row r="331" spans="1:76" ht="15.75">
      <c r="A331" s="263" t="s">
        <v>429</v>
      </c>
      <c r="B331" s="236" t="s">
        <v>832</v>
      </c>
      <c r="C331" s="57"/>
      <c r="D331" s="57">
        <v>384</v>
      </c>
      <c r="E331" s="57">
        <v>100</v>
      </c>
      <c r="F331" s="57">
        <v>3.4</v>
      </c>
      <c r="G331" s="57">
        <v>41192</v>
      </c>
      <c r="H331" s="57">
        <v>4.8</v>
      </c>
      <c r="I331" s="57">
        <v>41198</v>
      </c>
      <c r="J331" s="57">
        <v>1794.1605488243715</v>
      </c>
      <c r="K331" s="57">
        <v>34.303301622831562</v>
      </c>
      <c r="L331" s="57">
        <v>122.6</v>
      </c>
      <c r="M331" s="57">
        <v>17.399999999999999</v>
      </c>
      <c r="N331" s="57" t="s">
        <v>15</v>
      </c>
      <c r="O331" s="57">
        <v>357.4</v>
      </c>
      <c r="P331" s="57"/>
      <c r="Q331" s="57"/>
      <c r="R331" s="57"/>
      <c r="S331" s="57"/>
      <c r="T331" s="57"/>
      <c r="U331" s="57"/>
      <c r="V331" s="57"/>
      <c r="W331" s="495"/>
      <c r="X331" s="495"/>
      <c r="Y331" s="495"/>
      <c r="Z331" s="451"/>
      <c r="AA331" s="145"/>
      <c r="AB331" s="223"/>
      <c r="AC331" s="22"/>
      <c r="AH331" s="9"/>
      <c r="AJ331" s="27"/>
      <c r="AK331" s="84"/>
      <c r="AM331" s="13"/>
      <c r="AP331"/>
      <c r="AR331"/>
      <c r="AV331"/>
      <c r="AW331"/>
      <c r="AX331"/>
      <c r="AY331"/>
      <c r="AZ331"/>
      <c r="BC331"/>
      <c r="BD331"/>
      <c r="BG331"/>
      <c r="BH331"/>
      <c r="BI331"/>
      <c r="BJ331"/>
      <c r="BS331"/>
      <c r="BU331"/>
      <c r="BV331"/>
      <c r="BX331"/>
    </row>
    <row r="332" spans="1:76" ht="15.75">
      <c r="A332" s="263" t="s">
        <v>429</v>
      </c>
      <c r="B332" s="236" t="s">
        <v>429</v>
      </c>
      <c r="C332" s="57"/>
      <c r="D332" s="57">
        <v>400</v>
      </c>
      <c r="E332" s="57">
        <v>75</v>
      </c>
      <c r="F332" s="57">
        <v>64.36</v>
      </c>
      <c r="G332" s="57">
        <v>41187</v>
      </c>
      <c r="H332" s="57">
        <v>63</v>
      </c>
      <c r="I332" s="57">
        <v>41228</v>
      </c>
      <c r="J332" s="57">
        <v>-20.478482256641279</v>
      </c>
      <c r="K332" s="57">
        <v>-2.2740669500201567</v>
      </c>
      <c r="L332" s="57">
        <v>-109.95</v>
      </c>
      <c r="M332" s="57">
        <v>7.95</v>
      </c>
      <c r="N332" s="57" t="s">
        <v>145</v>
      </c>
      <c r="O332" s="57">
        <v>4834.95</v>
      </c>
      <c r="P332" s="57"/>
      <c r="Q332" s="57"/>
      <c r="R332" s="57"/>
      <c r="S332" s="57"/>
      <c r="T332" s="57"/>
      <c r="U332" s="57"/>
      <c r="V332" s="57"/>
      <c r="W332" s="495"/>
      <c r="X332" s="495"/>
      <c r="Y332" s="495"/>
      <c r="Z332" s="451"/>
      <c r="AA332" s="145"/>
      <c r="AB332" s="223"/>
      <c r="AC332" s="22"/>
      <c r="AH332" s="9"/>
      <c r="AJ332" s="27"/>
      <c r="AK332" s="84"/>
      <c r="AM332" s="13"/>
      <c r="AP332"/>
      <c r="AR332"/>
      <c r="AV332"/>
      <c r="AW332"/>
      <c r="AX332"/>
      <c r="AY332"/>
      <c r="AZ332"/>
      <c r="BC332"/>
      <c r="BD332"/>
      <c r="BG332"/>
      <c r="BH332"/>
      <c r="BI332"/>
      <c r="BJ332"/>
      <c r="BS332"/>
      <c r="BU332"/>
      <c r="BV332"/>
      <c r="BX332"/>
    </row>
    <row r="333" spans="1:76" ht="15.75">
      <c r="A333" s="263" t="s">
        <v>429</v>
      </c>
      <c r="B333" s="236" t="s">
        <v>429</v>
      </c>
      <c r="C333" s="57"/>
      <c r="D333" s="57">
        <v>401</v>
      </c>
      <c r="E333" s="57">
        <v>25</v>
      </c>
      <c r="F333" s="57">
        <v>71.959999999999994</v>
      </c>
      <c r="G333" s="57">
        <v>41128</v>
      </c>
      <c r="H333" s="57">
        <v>63</v>
      </c>
      <c r="I333" s="57">
        <v>41228</v>
      </c>
      <c r="J333" s="57">
        <v>-50.145550104011456</v>
      </c>
      <c r="K333" s="57">
        <v>-12.836547773873091</v>
      </c>
      <c r="L333" s="57">
        <v>-231.95</v>
      </c>
      <c r="M333" s="57">
        <v>7.95</v>
      </c>
      <c r="N333" s="57" t="s">
        <v>145</v>
      </c>
      <c r="O333" s="57">
        <v>1806.95</v>
      </c>
      <c r="P333" s="57"/>
      <c r="Q333" s="57"/>
      <c r="R333" s="57"/>
      <c r="S333" s="57"/>
      <c r="T333" s="57"/>
      <c r="U333" s="57"/>
      <c r="V333" s="57"/>
      <c r="W333" s="495"/>
      <c r="X333" s="495"/>
      <c r="Y333" s="495"/>
      <c r="Z333" s="451"/>
      <c r="AA333" s="145"/>
      <c r="AB333" s="223"/>
      <c r="AC333" s="22"/>
      <c r="AH333" s="9"/>
      <c r="AJ333" s="27"/>
      <c r="AK333" s="84"/>
      <c r="AM333" s="13"/>
      <c r="AP333"/>
      <c r="AR333"/>
      <c r="AV333"/>
      <c r="AW333"/>
      <c r="AX333"/>
      <c r="AY333"/>
      <c r="AZ333"/>
      <c r="BC333"/>
      <c r="BD333"/>
      <c r="BG333"/>
      <c r="BH333"/>
      <c r="BI333"/>
      <c r="BJ333"/>
      <c r="BS333"/>
      <c r="BU333"/>
      <c r="BV333"/>
      <c r="BX333"/>
    </row>
    <row r="334" spans="1:76" ht="15.75">
      <c r="A334" s="263" t="s">
        <v>429</v>
      </c>
      <c r="B334" s="236" t="s">
        <v>832</v>
      </c>
      <c r="C334" s="57"/>
      <c r="D334" s="57">
        <v>402</v>
      </c>
      <c r="E334" s="57">
        <v>100</v>
      </c>
      <c r="F334" s="57">
        <v>0</v>
      </c>
      <c r="G334" s="57">
        <v>41201</v>
      </c>
      <c r="H334" s="57">
        <v>4.5</v>
      </c>
      <c r="I334" s="57">
        <v>41228</v>
      </c>
      <c r="J334" s="57">
        <v>3720.7700662946609</v>
      </c>
      <c r="K334" s="57">
        <v>1467.9442508710804</v>
      </c>
      <c r="L334" s="57">
        <v>421.3</v>
      </c>
      <c r="M334" s="57">
        <v>28.7</v>
      </c>
      <c r="N334" s="57" t="s">
        <v>404</v>
      </c>
      <c r="O334" s="57">
        <v>28.7</v>
      </c>
      <c r="P334" s="57"/>
      <c r="Q334" s="57"/>
      <c r="R334" s="57"/>
      <c r="S334" s="57"/>
      <c r="T334" s="57"/>
      <c r="U334" s="57"/>
      <c r="V334" s="57"/>
      <c r="W334" s="495"/>
      <c r="X334" s="495"/>
      <c r="Y334" s="495"/>
      <c r="Z334" s="451"/>
      <c r="AA334" s="145"/>
      <c r="AB334" s="223"/>
      <c r="AC334" s="22"/>
      <c r="AH334" s="9"/>
      <c r="AJ334" s="27"/>
      <c r="AK334" s="84"/>
      <c r="AM334" s="13"/>
      <c r="AP334"/>
      <c r="AR334"/>
      <c r="AV334"/>
      <c r="AW334"/>
      <c r="AX334"/>
      <c r="AY334"/>
      <c r="AZ334"/>
      <c r="BC334"/>
      <c r="BD334"/>
      <c r="BG334"/>
      <c r="BH334"/>
      <c r="BI334"/>
      <c r="BJ334"/>
      <c r="BS334"/>
      <c r="BU334"/>
      <c r="BV334"/>
      <c r="BX334"/>
    </row>
    <row r="335" spans="1:76" ht="15.75">
      <c r="A335" s="263" t="s">
        <v>435</v>
      </c>
      <c r="B335" s="236" t="s">
        <v>435</v>
      </c>
      <c r="C335" s="57"/>
      <c r="D335" s="57">
        <v>512</v>
      </c>
      <c r="E335" s="57">
        <v>50</v>
      </c>
      <c r="F335" s="57">
        <v>73.88</v>
      </c>
      <c r="G335" s="57">
        <v>40855</v>
      </c>
      <c r="H335" s="57">
        <v>21.22</v>
      </c>
      <c r="I335" s="57">
        <v>42027</v>
      </c>
      <c r="J335" s="57">
        <v>-38.918213702953757</v>
      </c>
      <c r="K335" s="57">
        <v>-71.33942921973555</v>
      </c>
      <c r="L335" s="57">
        <v>-2640.95</v>
      </c>
      <c r="M335" s="57">
        <v>7.95</v>
      </c>
      <c r="N335" s="57" t="s">
        <v>145</v>
      </c>
      <c r="O335" s="57">
        <v>3701.95</v>
      </c>
      <c r="P335" s="57"/>
      <c r="Q335" s="57"/>
      <c r="R335" s="57"/>
      <c r="S335" s="57"/>
      <c r="T335" s="57"/>
      <c r="U335" s="57"/>
      <c r="V335" s="57"/>
      <c r="W335" s="495"/>
      <c r="X335" s="495"/>
      <c r="Y335" s="495"/>
      <c r="Z335" s="451"/>
      <c r="AA335" s="145"/>
      <c r="AB335" s="223"/>
      <c r="AC335" s="22"/>
      <c r="AH335" s="9"/>
      <c r="AJ335" s="27"/>
      <c r="AK335" s="84"/>
      <c r="AM335" s="13"/>
      <c r="AP335"/>
      <c r="AR335"/>
      <c r="AV335"/>
      <c r="AW335"/>
      <c r="AX335"/>
      <c r="AY335"/>
      <c r="AZ335"/>
      <c r="BC335"/>
      <c r="BD335"/>
      <c r="BG335"/>
      <c r="BH335"/>
      <c r="BI335"/>
      <c r="BJ335"/>
      <c r="BS335"/>
      <c r="BU335"/>
      <c r="BV335"/>
      <c r="BX335"/>
    </row>
    <row r="336" spans="1:76" ht="15.75">
      <c r="A336" s="263" t="s">
        <v>435</v>
      </c>
      <c r="B336" s="236" t="s">
        <v>435</v>
      </c>
      <c r="C336" s="57"/>
      <c r="D336" s="57">
        <v>513</v>
      </c>
      <c r="E336" s="57">
        <v>50</v>
      </c>
      <c r="F336" s="57">
        <v>64</v>
      </c>
      <c r="G336" s="57">
        <v>41066</v>
      </c>
      <c r="H336" s="57">
        <v>21.22</v>
      </c>
      <c r="I336" s="57">
        <v>42027</v>
      </c>
      <c r="J336" s="57">
        <v>-42.023245487914338</v>
      </c>
      <c r="K336" s="57">
        <v>-66.925918421421784</v>
      </c>
      <c r="L336" s="57">
        <v>-2146.9499999999998</v>
      </c>
      <c r="M336" s="57">
        <v>7.95</v>
      </c>
      <c r="N336" s="57" t="s">
        <v>145</v>
      </c>
      <c r="O336" s="57">
        <v>3207.95</v>
      </c>
      <c r="P336" s="57"/>
      <c r="Q336" s="57"/>
      <c r="R336" s="57"/>
      <c r="S336" s="57"/>
      <c r="T336" s="57"/>
      <c r="U336" s="57"/>
      <c r="V336" s="57"/>
      <c r="W336" s="495"/>
      <c r="X336" s="495"/>
      <c r="Y336" s="495"/>
      <c r="Z336" s="451"/>
      <c r="AA336" s="145"/>
      <c r="AB336" s="223"/>
      <c r="AC336" s="22"/>
      <c r="AH336" s="9"/>
      <c r="AJ336" s="27"/>
      <c r="AK336" s="84"/>
      <c r="AM336" s="13"/>
      <c r="AP336"/>
      <c r="AR336"/>
      <c r="AV336"/>
      <c r="AW336"/>
      <c r="AX336"/>
      <c r="AY336"/>
      <c r="AZ336"/>
      <c r="BC336"/>
      <c r="BD336"/>
      <c r="BG336"/>
      <c r="BH336"/>
      <c r="BI336"/>
      <c r="BJ336"/>
      <c r="BS336"/>
      <c r="BU336"/>
      <c r="BV336"/>
      <c r="BX336"/>
    </row>
    <row r="337" spans="1:76" ht="15.75">
      <c r="A337" s="263" t="s">
        <v>23</v>
      </c>
      <c r="B337" s="236" t="s">
        <v>363</v>
      </c>
      <c r="C337" s="57"/>
      <c r="D337" s="57">
        <v>127</v>
      </c>
      <c r="E337" s="57">
        <v>1000</v>
      </c>
      <c r="F337" s="57">
        <v>0</v>
      </c>
      <c r="G337" s="57">
        <v>40784</v>
      </c>
      <c r="H337" s="57">
        <v>0.5</v>
      </c>
      <c r="I337" s="57">
        <v>40838</v>
      </c>
      <c r="J337" s="57">
        <v>2350.1938327844996</v>
      </c>
      <c r="K337" s="57">
        <v>3136.245954692557</v>
      </c>
      <c r="L337" s="57">
        <v>484.55</v>
      </c>
      <c r="M337" s="57">
        <v>15.45</v>
      </c>
      <c r="N337" s="57" t="s">
        <v>403</v>
      </c>
      <c r="O337" s="57">
        <v>15.45</v>
      </c>
      <c r="P337" s="57"/>
      <c r="Q337" s="57"/>
      <c r="R337" s="57"/>
      <c r="S337" s="57"/>
      <c r="T337" s="57"/>
      <c r="U337" s="57"/>
      <c r="V337" s="57"/>
      <c r="W337" s="495"/>
      <c r="X337" s="495"/>
      <c r="Y337" s="495"/>
      <c r="Z337" s="451"/>
      <c r="AA337" s="145"/>
      <c r="AB337" s="223"/>
      <c r="AC337" s="22"/>
      <c r="AH337" s="9"/>
      <c r="AJ337" s="27"/>
      <c r="AK337" s="84"/>
      <c r="AM337" s="13"/>
      <c r="AP337"/>
      <c r="AR337"/>
      <c r="AV337"/>
      <c r="AW337"/>
      <c r="AX337"/>
      <c r="AY337"/>
      <c r="AZ337"/>
      <c r="BC337"/>
      <c r="BD337"/>
      <c r="BG337"/>
      <c r="BH337"/>
      <c r="BI337"/>
      <c r="BJ337"/>
      <c r="BS337"/>
      <c r="BU337"/>
      <c r="BV337"/>
      <c r="BX337"/>
    </row>
    <row r="338" spans="1:76" ht="15.75">
      <c r="A338" s="263" t="s">
        <v>23</v>
      </c>
      <c r="B338" s="236" t="s">
        <v>431</v>
      </c>
      <c r="C338" s="57"/>
      <c r="D338" s="57">
        <v>160</v>
      </c>
      <c r="E338" s="57">
        <v>500</v>
      </c>
      <c r="F338" s="57">
        <v>0</v>
      </c>
      <c r="G338" s="57">
        <v>40854</v>
      </c>
      <c r="H338" s="57">
        <v>0.4</v>
      </c>
      <c r="I338" s="57">
        <v>40866</v>
      </c>
      <c r="J338" s="57">
        <v>8634.4659294306603</v>
      </c>
      <c r="K338" s="57">
        <v>1609.4017094017097</v>
      </c>
      <c r="L338" s="57">
        <v>188.3</v>
      </c>
      <c r="M338" s="57">
        <v>11.7</v>
      </c>
      <c r="N338" s="57" t="s">
        <v>403</v>
      </c>
      <c r="O338" s="57">
        <v>11.7</v>
      </c>
      <c r="P338" s="57"/>
      <c r="Q338" s="57"/>
      <c r="R338" s="57"/>
      <c r="S338" s="57"/>
      <c r="T338" s="57"/>
      <c r="U338" s="57"/>
      <c r="V338" s="57"/>
      <c r="W338" s="495"/>
      <c r="X338" s="495"/>
      <c r="Y338" s="495"/>
      <c r="Z338" s="451"/>
      <c r="AA338" s="145"/>
      <c r="AB338" s="223"/>
      <c r="AC338" s="22"/>
      <c r="AH338" s="9"/>
      <c r="AJ338" s="27"/>
      <c r="AK338" s="84"/>
      <c r="AM338" s="13"/>
      <c r="AP338"/>
      <c r="AR338"/>
      <c r="AV338"/>
      <c r="AW338"/>
      <c r="AX338"/>
      <c r="AY338"/>
      <c r="AZ338"/>
      <c r="BC338"/>
      <c r="BD338"/>
      <c r="BG338"/>
      <c r="BH338"/>
      <c r="BI338"/>
      <c r="BJ338"/>
      <c r="BS338"/>
      <c r="BU338"/>
      <c r="BV338"/>
      <c r="BX338"/>
    </row>
    <row r="339" spans="1:76" ht="15.75">
      <c r="A339" s="263" t="s">
        <v>23</v>
      </c>
      <c r="B339" s="236" t="s">
        <v>418</v>
      </c>
      <c r="C339" s="57"/>
      <c r="D339" s="57">
        <v>176</v>
      </c>
      <c r="E339" s="57">
        <v>1000</v>
      </c>
      <c r="F339" s="57">
        <v>0.05</v>
      </c>
      <c r="G339" s="57">
        <v>40847</v>
      </c>
      <c r="H339" s="57">
        <v>0.2</v>
      </c>
      <c r="I339" s="57">
        <v>40889</v>
      </c>
      <c r="J339" s="57">
        <v>786.57807858693002</v>
      </c>
      <c r="K339" s="57">
        <v>147.21878862793574</v>
      </c>
      <c r="L339" s="57">
        <v>119.1</v>
      </c>
      <c r="M339" s="57">
        <v>30.9</v>
      </c>
      <c r="N339" s="57" t="s">
        <v>15</v>
      </c>
      <c r="O339" s="57">
        <v>80.900000000000006</v>
      </c>
      <c r="P339" s="57"/>
      <c r="Q339" s="57"/>
      <c r="R339" s="57"/>
      <c r="S339" s="57"/>
      <c r="T339" s="57"/>
      <c r="U339" s="57"/>
      <c r="V339" s="57"/>
      <c r="W339" s="495"/>
      <c r="X339" s="495"/>
      <c r="Y339" s="495"/>
      <c r="Z339" s="451"/>
      <c r="AA339" s="145"/>
      <c r="AB339" s="223"/>
      <c r="AC339" s="22"/>
      <c r="AH339" s="9"/>
      <c r="AJ339" s="27"/>
      <c r="AK339" s="84"/>
      <c r="AM339" s="13"/>
      <c r="AP339"/>
      <c r="AR339"/>
      <c r="AV339"/>
      <c r="AW339"/>
      <c r="AX339"/>
      <c r="AY339"/>
      <c r="AZ339"/>
      <c r="BC339"/>
      <c r="BD339"/>
      <c r="BG339"/>
      <c r="BH339"/>
      <c r="BI339"/>
      <c r="BJ339"/>
      <c r="BS339"/>
      <c r="BU339"/>
      <c r="BV339"/>
      <c r="BX339"/>
    </row>
    <row r="340" spans="1:76" ht="15.75">
      <c r="A340" s="263" t="s">
        <v>23</v>
      </c>
      <c r="B340" s="236" t="s">
        <v>489</v>
      </c>
      <c r="C340" s="57"/>
      <c r="D340" s="57">
        <v>232</v>
      </c>
      <c r="E340" s="57">
        <v>1500</v>
      </c>
      <c r="F340" s="57">
        <v>0</v>
      </c>
      <c r="G340" s="57">
        <v>40925</v>
      </c>
      <c r="H340" s="57">
        <v>0.4</v>
      </c>
      <c r="I340" s="57">
        <v>40956</v>
      </c>
      <c r="J340" s="57">
        <v>4052.7002332470311</v>
      </c>
      <c r="K340" s="57">
        <v>3025.0000000000009</v>
      </c>
      <c r="L340" s="57">
        <v>580.79999999999995</v>
      </c>
      <c r="M340" s="57">
        <v>19.2</v>
      </c>
      <c r="N340" s="57" t="s">
        <v>403</v>
      </c>
      <c r="O340" s="57">
        <v>19.2</v>
      </c>
      <c r="P340" s="57"/>
      <c r="Q340" s="57"/>
      <c r="R340" s="57"/>
      <c r="S340" s="57"/>
      <c r="T340" s="57"/>
      <c r="U340" s="57"/>
      <c r="V340" s="57"/>
      <c r="W340" s="495"/>
      <c r="X340" s="495"/>
      <c r="Y340" s="495"/>
      <c r="Z340" s="451"/>
      <c r="AA340" s="145"/>
      <c r="AB340" s="223"/>
      <c r="AC340" s="22"/>
      <c r="AH340" s="9"/>
      <c r="AJ340" s="27"/>
      <c r="AK340" s="84"/>
      <c r="AM340" s="13"/>
      <c r="AP340"/>
      <c r="AR340"/>
      <c r="AV340"/>
      <c r="AW340"/>
      <c r="AX340"/>
      <c r="AY340"/>
      <c r="AZ340"/>
      <c r="BC340"/>
      <c r="BD340"/>
      <c r="BG340"/>
      <c r="BH340"/>
      <c r="BI340"/>
      <c r="BJ340"/>
      <c r="BS340"/>
      <c r="BU340"/>
      <c r="BV340"/>
      <c r="BX340"/>
    </row>
    <row r="341" spans="1:76" ht="15.75">
      <c r="A341" s="263" t="s">
        <v>23</v>
      </c>
      <c r="B341" s="236" t="s">
        <v>686</v>
      </c>
      <c r="C341" s="57"/>
      <c r="D341" s="57">
        <v>297</v>
      </c>
      <c r="E341" s="57">
        <v>1500</v>
      </c>
      <c r="F341" s="57">
        <v>0.5</v>
      </c>
      <c r="G341" s="57">
        <v>41019</v>
      </c>
      <c r="H341" s="57">
        <v>1</v>
      </c>
      <c r="I341" s="57">
        <v>41043</v>
      </c>
      <c r="J341" s="57">
        <v>978.22252629701597</v>
      </c>
      <c r="K341" s="57">
        <v>90.25875190258752</v>
      </c>
      <c r="L341" s="57">
        <v>711.6</v>
      </c>
      <c r="M341" s="57">
        <v>38.4</v>
      </c>
      <c r="N341" s="57" t="s">
        <v>15</v>
      </c>
      <c r="O341" s="57">
        <v>788.4</v>
      </c>
      <c r="P341" s="57"/>
      <c r="Q341" s="57"/>
      <c r="R341" s="57"/>
      <c r="S341" s="57"/>
      <c r="T341" s="57"/>
      <c r="U341" s="57"/>
      <c r="V341" s="57"/>
      <c r="W341" s="495"/>
      <c r="X341" s="495"/>
      <c r="Y341" s="495"/>
      <c r="Z341" s="451"/>
      <c r="AA341" s="145"/>
      <c r="AB341" s="223"/>
      <c r="AC341" s="22"/>
      <c r="AH341" s="9"/>
      <c r="AJ341" s="27"/>
      <c r="AK341" s="84"/>
      <c r="AM341" s="13"/>
      <c r="AP341"/>
      <c r="AR341"/>
      <c r="AV341"/>
      <c r="AW341"/>
      <c r="AX341"/>
      <c r="AY341"/>
      <c r="AZ341"/>
      <c r="BC341"/>
      <c r="BD341"/>
      <c r="BG341"/>
      <c r="BH341"/>
      <c r="BI341"/>
      <c r="BJ341"/>
      <c r="BS341"/>
      <c r="BU341"/>
      <c r="BV341"/>
      <c r="BX341"/>
    </row>
    <row r="342" spans="1:76" ht="15.75">
      <c r="A342" s="263" t="s">
        <v>23</v>
      </c>
      <c r="B342" s="236" t="s">
        <v>816</v>
      </c>
      <c r="C342" s="57"/>
      <c r="D342" s="57">
        <v>414</v>
      </c>
      <c r="E342" s="57">
        <v>1500</v>
      </c>
      <c r="F342" s="57">
        <v>0.1</v>
      </c>
      <c r="G342" s="57">
        <v>41162</v>
      </c>
      <c r="H342" s="57">
        <v>0.35</v>
      </c>
      <c r="I342" s="57">
        <v>41241</v>
      </c>
      <c r="J342" s="57">
        <v>473.49782109369215</v>
      </c>
      <c r="K342" s="57">
        <v>178.66242038216561</v>
      </c>
      <c r="L342" s="57">
        <v>336.6</v>
      </c>
      <c r="M342" s="57">
        <v>38.4</v>
      </c>
      <c r="N342" s="57" t="s">
        <v>15</v>
      </c>
      <c r="O342" s="57">
        <v>188.4</v>
      </c>
      <c r="P342" s="57"/>
      <c r="Q342" s="57"/>
      <c r="R342" s="57"/>
      <c r="S342" s="57"/>
      <c r="T342" s="57"/>
      <c r="U342" s="57"/>
      <c r="V342" s="57"/>
      <c r="W342" s="495"/>
      <c r="X342" s="495"/>
      <c r="Y342" s="495"/>
      <c r="Z342" s="451"/>
      <c r="AA342" s="145"/>
      <c r="AB342" s="223"/>
      <c r="AC342" s="22"/>
      <c r="AH342" s="9"/>
      <c r="AJ342" s="27"/>
      <c r="AK342" s="84"/>
      <c r="AM342" s="13"/>
      <c r="AP342"/>
      <c r="AR342"/>
      <c r="AV342"/>
      <c r="AW342"/>
      <c r="AX342"/>
      <c r="AY342"/>
      <c r="AZ342"/>
      <c r="BC342"/>
      <c r="BD342"/>
      <c r="BG342"/>
      <c r="BH342"/>
      <c r="BI342"/>
      <c r="BJ342"/>
      <c r="BS342"/>
      <c r="BU342"/>
      <c r="BV342"/>
      <c r="BX342"/>
    </row>
    <row r="343" spans="1:76" ht="15.75">
      <c r="A343" s="263" t="s">
        <v>23</v>
      </c>
      <c r="B343" s="236" t="s">
        <v>23</v>
      </c>
      <c r="C343" s="57"/>
      <c r="D343" s="57">
        <v>439</v>
      </c>
      <c r="E343" s="57">
        <v>1000</v>
      </c>
      <c r="F343" s="57">
        <v>4.41</v>
      </c>
      <c r="G343" s="57">
        <v>40762</v>
      </c>
      <c r="H343" s="57">
        <v>2.0145</v>
      </c>
      <c r="I343" s="57">
        <v>41276</v>
      </c>
      <c r="J343" s="57">
        <v>-55.765805079855411</v>
      </c>
      <c r="K343" s="57">
        <v>-54.40192849624826</v>
      </c>
      <c r="L343" s="57">
        <v>-2403.4499999999998</v>
      </c>
      <c r="M343" s="57">
        <v>7.95</v>
      </c>
      <c r="N343" s="57" t="s">
        <v>145</v>
      </c>
      <c r="O343" s="57">
        <v>4417.95</v>
      </c>
      <c r="P343" s="57"/>
      <c r="Q343" s="57"/>
      <c r="R343" s="57"/>
      <c r="S343" s="57"/>
      <c r="T343" s="57"/>
      <c r="U343" s="57"/>
      <c r="V343" s="57"/>
      <c r="W343" s="495"/>
      <c r="X343" s="495"/>
      <c r="Y343" s="495"/>
      <c r="Z343" s="451"/>
      <c r="AA343" s="145"/>
      <c r="AB343" s="223"/>
      <c r="AC343" s="22"/>
      <c r="AH343" s="9"/>
      <c r="AJ343" s="27"/>
      <c r="AK343" s="84"/>
      <c r="AM343" s="13"/>
      <c r="AP343"/>
      <c r="AR343"/>
      <c r="AV343"/>
      <c r="AW343"/>
      <c r="AX343"/>
      <c r="AY343"/>
      <c r="AZ343"/>
      <c r="BC343"/>
      <c r="BD343"/>
      <c r="BG343"/>
      <c r="BH343"/>
      <c r="BI343"/>
      <c r="BJ343"/>
      <c r="BS343"/>
      <c r="BU343"/>
      <c r="BV343"/>
      <c r="BX343"/>
    </row>
    <row r="344" spans="1:76" ht="15.75">
      <c r="A344" s="263" t="s">
        <v>23</v>
      </c>
      <c r="B344" s="236" t="s">
        <v>23</v>
      </c>
      <c r="C344" s="57"/>
      <c r="D344" s="57">
        <v>440</v>
      </c>
      <c r="E344" s="57">
        <v>500</v>
      </c>
      <c r="F344" s="57">
        <v>4.5</v>
      </c>
      <c r="G344" s="57">
        <v>40848</v>
      </c>
      <c r="H344" s="57">
        <v>2.0145</v>
      </c>
      <c r="I344" s="57">
        <v>41276</v>
      </c>
      <c r="J344" s="57">
        <v>-68.841172679826073</v>
      </c>
      <c r="K344" s="57">
        <v>-55.390951969707039</v>
      </c>
      <c r="L344" s="57">
        <v>-1250.7</v>
      </c>
      <c r="M344" s="57">
        <v>7.95</v>
      </c>
      <c r="N344" s="57" t="s">
        <v>145</v>
      </c>
      <c r="O344" s="57">
        <v>2257.9499999999998</v>
      </c>
      <c r="P344" s="57"/>
      <c r="Q344" s="57"/>
      <c r="R344" s="57"/>
      <c r="S344" s="57"/>
      <c r="T344" s="57"/>
      <c r="U344" s="57"/>
      <c r="V344" s="57"/>
      <c r="W344" s="495"/>
      <c r="X344" s="495"/>
      <c r="Y344" s="495"/>
      <c r="Z344" s="451"/>
      <c r="AA344" s="145"/>
      <c r="AB344" s="223"/>
      <c r="AC344" s="22"/>
      <c r="AH344" s="9"/>
      <c r="AJ344" s="27"/>
      <c r="AK344" s="84"/>
      <c r="AM344" s="13"/>
      <c r="AP344"/>
      <c r="AR344"/>
      <c r="AV344"/>
      <c r="AW344"/>
      <c r="AX344"/>
      <c r="AY344"/>
      <c r="AZ344"/>
      <c r="BC344"/>
      <c r="BD344"/>
      <c r="BG344"/>
      <c r="BH344"/>
      <c r="BI344"/>
      <c r="BJ344"/>
      <c r="BS344"/>
      <c r="BU344"/>
      <c r="BV344"/>
      <c r="BX344"/>
    </row>
    <row r="345" spans="1:76" ht="15.75">
      <c r="A345" s="263" t="s">
        <v>414</v>
      </c>
      <c r="B345" s="236" t="s">
        <v>414</v>
      </c>
      <c r="C345" s="57"/>
      <c r="D345" s="57">
        <v>141</v>
      </c>
      <c r="E345" s="57">
        <v>100</v>
      </c>
      <c r="F345" s="57">
        <v>56.678800000000003</v>
      </c>
      <c r="G345" s="57">
        <v>40843</v>
      </c>
      <c r="H345" s="57">
        <v>66</v>
      </c>
      <c r="I345" s="57">
        <v>40848</v>
      </c>
      <c r="J345" s="57">
        <v>1101.2257382239743</v>
      </c>
      <c r="K345" s="57">
        <v>16.282552507738945</v>
      </c>
      <c r="L345" s="57">
        <v>924.17</v>
      </c>
      <c r="M345" s="57">
        <v>7.95</v>
      </c>
      <c r="N345" s="57" t="s">
        <v>145</v>
      </c>
      <c r="O345" s="57">
        <v>5675.83</v>
      </c>
      <c r="P345" s="57"/>
      <c r="Q345" s="57"/>
      <c r="R345" s="57"/>
      <c r="S345" s="57"/>
      <c r="T345" s="57"/>
      <c r="U345" s="57"/>
      <c r="V345" s="57"/>
      <c r="W345" s="495"/>
      <c r="X345" s="495"/>
      <c r="Y345" s="495"/>
      <c r="Z345" s="451"/>
      <c r="AA345" s="145"/>
      <c r="AB345" s="223"/>
      <c r="AC345" s="22"/>
      <c r="AH345" s="9"/>
      <c r="AJ345" s="27"/>
      <c r="AK345" s="84"/>
      <c r="AM345" s="13"/>
      <c r="AP345"/>
      <c r="AR345"/>
      <c r="AV345"/>
      <c r="AW345"/>
      <c r="AX345"/>
      <c r="AY345"/>
      <c r="AZ345"/>
      <c r="BC345"/>
      <c r="BD345"/>
      <c r="BG345"/>
      <c r="BH345"/>
      <c r="BI345"/>
      <c r="BJ345"/>
      <c r="BS345"/>
      <c r="BU345"/>
      <c r="BV345"/>
      <c r="BX345"/>
    </row>
    <row r="346" spans="1:76" ht="15.75">
      <c r="A346" s="263" t="s">
        <v>414</v>
      </c>
      <c r="B346" s="236" t="s">
        <v>414</v>
      </c>
      <c r="C346" s="57"/>
      <c r="D346" s="57">
        <v>148</v>
      </c>
      <c r="E346" s="57">
        <v>100</v>
      </c>
      <c r="F346" s="57">
        <v>63</v>
      </c>
      <c r="G346" s="57">
        <v>40848</v>
      </c>
      <c r="H346" s="57">
        <v>66</v>
      </c>
      <c r="I346" s="57">
        <v>40863</v>
      </c>
      <c r="J346" s="57">
        <v>110.13000558699584</v>
      </c>
      <c r="K346" s="57">
        <v>4.6298718284070057</v>
      </c>
      <c r="L346" s="57">
        <v>292.05</v>
      </c>
      <c r="M346" s="57">
        <v>7.95</v>
      </c>
      <c r="N346" s="57" t="s">
        <v>145</v>
      </c>
      <c r="O346" s="57">
        <v>6307.95</v>
      </c>
      <c r="P346" s="57"/>
      <c r="Q346" s="57"/>
      <c r="R346" s="57"/>
      <c r="S346" s="57"/>
      <c r="T346" s="57"/>
      <c r="U346" s="57"/>
      <c r="V346" s="57"/>
      <c r="W346" s="495"/>
      <c r="X346" s="495"/>
      <c r="Y346" s="495"/>
      <c r="Z346" s="451"/>
      <c r="AA346" s="145"/>
      <c r="AB346" s="223"/>
      <c r="AC346" s="22"/>
      <c r="AH346" s="9"/>
      <c r="AJ346" s="27"/>
      <c r="AK346" s="84"/>
      <c r="AM346" s="13"/>
      <c r="AP346"/>
      <c r="AR346"/>
      <c r="AV346"/>
      <c r="AW346"/>
      <c r="AX346"/>
      <c r="AY346"/>
      <c r="AZ346"/>
      <c r="BC346"/>
      <c r="BD346"/>
      <c r="BG346"/>
      <c r="BH346"/>
      <c r="BI346"/>
      <c r="BJ346"/>
      <c r="BS346"/>
      <c r="BU346"/>
      <c r="BV346"/>
      <c r="BX346"/>
    </row>
    <row r="347" spans="1:76" ht="15.75">
      <c r="A347" s="263" t="s">
        <v>265</v>
      </c>
      <c r="B347" s="236"/>
      <c r="C347" s="57"/>
      <c r="D347" s="57">
        <v>14</v>
      </c>
      <c r="E347" s="57">
        <v>600</v>
      </c>
      <c r="F347" s="57">
        <v>16.02</v>
      </c>
      <c r="G347" s="57">
        <v>40087</v>
      </c>
      <c r="H347" s="57">
        <v>18.36</v>
      </c>
      <c r="I347" s="57">
        <v>40128</v>
      </c>
      <c r="J347" s="57">
        <v>120.6366790429678</v>
      </c>
      <c r="K347" s="57">
        <v>14.512029688304001</v>
      </c>
      <c r="L347" s="57">
        <v>1396.05</v>
      </c>
      <c r="M347" s="57">
        <v>7.95</v>
      </c>
      <c r="N347" s="57" t="s">
        <v>145</v>
      </c>
      <c r="O347" s="57">
        <v>9619.9500000000007</v>
      </c>
      <c r="P347" s="57"/>
      <c r="Q347" s="57"/>
      <c r="R347" s="57"/>
      <c r="S347" s="57"/>
      <c r="T347" s="57"/>
      <c r="U347" s="57"/>
      <c r="V347" s="57"/>
      <c r="W347" s="495"/>
      <c r="X347" s="495"/>
      <c r="Y347" s="495"/>
      <c r="Z347" s="451"/>
      <c r="AA347" s="145"/>
      <c r="AB347" s="223"/>
      <c r="AC347" s="22"/>
      <c r="AH347" s="9"/>
      <c r="AJ347" s="27"/>
      <c r="AK347" s="84"/>
      <c r="AM347" s="13"/>
      <c r="AP347"/>
      <c r="AR347"/>
      <c r="AV347"/>
      <c r="AW347"/>
      <c r="AX347"/>
      <c r="AY347"/>
      <c r="AZ347"/>
      <c r="BC347"/>
      <c r="BD347"/>
      <c r="BG347"/>
      <c r="BH347"/>
      <c r="BI347"/>
      <c r="BJ347"/>
      <c r="BS347"/>
      <c r="BU347"/>
      <c r="BV347"/>
      <c r="BX347"/>
    </row>
    <row r="348" spans="1:76" ht="15.75">
      <c r="A348" s="263" t="s">
        <v>20</v>
      </c>
      <c r="B348" s="236" t="s">
        <v>328</v>
      </c>
      <c r="C348" s="57"/>
      <c r="D348" s="57">
        <v>95</v>
      </c>
      <c r="E348" s="57">
        <v>5000</v>
      </c>
      <c r="F348" s="57">
        <v>0.34</v>
      </c>
      <c r="G348" s="57">
        <v>40675</v>
      </c>
      <c r="H348" s="57">
        <v>0.6</v>
      </c>
      <c r="I348" s="57">
        <v>40773</v>
      </c>
      <c r="J348" s="57">
        <v>192.14419457684369</v>
      </c>
      <c r="K348" s="57">
        <v>67.513540677871433</v>
      </c>
      <c r="L348" s="57">
        <v>1209.0999999999999</v>
      </c>
      <c r="M348" s="57">
        <v>90.9</v>
      </c>
      <c r="N348" s="57" t="s">
        <v>278</v>
      </c>
      <c r="O348" s="57">
        <v>1790.9</v>
      </c>
      <c r="P348" s="57"/>
      <c r="Q348" s="57"/>
      <c r="R348" s="57"/>
      <c r="S348" s="57"/>
      <c r="T348" s="57"/>
      <c r="U348" s="57"/>
      <c r="V348" s="57"/>
      <c r="W348" s="495"/>
      <c r="X348" s="495"/>
      <c r="Y348" s="495"/>
      <c r="Z348" s="451"/>
      <c r="AA348" s="145"/>
      <c r="AB348" s="223"/>
      <c r="AC348" s="22"/>
      <c r="AH348" s="9"/>
      <c r="AJ348" s="27"/>
      <c r="AK348" s="84"/>
      <c r="AM348" s="13"/>
      <c r="AP348"/>
      <c r="AR348"/>
      <c r="AV348"/>
      <c r="AW348"/>
      <c r="AX348"/>
      <c r="AY348"/>
      <c r="AZ348"/>
      <c r="BC348"/>
      <c r="BD348"/>
      <c r="BG348"/>
      <c r="BH348"/>
      <c r="BI348"/>
      <c r="BJ348"/>
      <c r="BS348"/>
      <c r="BU348"/>
      <c r="BV348"/>
      <c r="BX348"/>
    </row>
    <row r="349" spans="1:76" ht="15.75">
      <c r="A349" s="263" t="s">
        <v>20</v>
      </c>
      <c r="B349" s="236" t="s">
        <v>341</v>
      </c>
      <c r="C349" s="57"/>
      <c r="D349" s="57">
        <v>102</v>
      </c>
      <c r="E349" s="57">
        <v>1000</v>
      </c>
      <c r="F349" s="57">
        <v>7.15</v>
      </c>
      <c r="G349" s="57">
        <v>40672</v>
      </c>
      <c r="H349" s="57">
        <v>9.5</v>
      </c>
      <c r="I349" s="57">
        <v>40787</v>
      </c>
      <c r="J349" s="57">
        <v>88.827376045666881</v>
      </c>
      <c r="K349" s="57">
        <v>32.295394727680367</v>
      </c>
      <c r="L349" s="57">
        <v>2319.1</v>
      </c>
      <c r="M349" s="57">
        <v>30.9</v>
      </c>
      <c r="N349" s="57" t="s">
        <v>278</v>
      </c>
      <c r="O349" s="57">
        <v>7180.9</v>
      </c>
      <c r="P349" s="57"/>
      <c r="Q349" s="57"/>
      <c r="R349" s="57"/>
      <c r="S349" s="57"/>
      <c r="T349" s="57"/>
      <c r="U349" s="57"/>
      <c r="V349" s="57"/>
      <c r="W349" s="495"/>
      <c r="X349" s="495"/>
      <c r="Y349" s="495"/>
      <c r="Z349" s="451"/>
      <c r="AA349" s="145"/>
      <c r="AB349" s="223"/>
      <c r="AC349" s="22"/>
      <c r="AH349" s="9"/>
      <c r="AJ349" s="27"/>
      <c r="AK349" s="84"/>
      <c r="AM349" s="13"/>
      <c r="AP349"/>
      <c r="AR349"/>
      <c r="AV349"/>
      <c r="AW349"/>
      <c r="AX349"/>
      <c r="AY349"/>
      <c r="AZ349"/>
      <c r="BC349"/>
      <c r="BD349"/>
      <c r="BG349"/>
      <c r="BH349"/>
      <c r="BI349"/>
      <c r="BJ349"/>
      <c r="BS349"/>
      <c r="BU349"/>
      <c r="BV349"/>
      <c r="BX349"/>
    </row>
    <row r="350" spans="1:76" ht="15.75">
      <c r="A350" s="263" t="s">
        <v>20</v>
      </c>
      <c r="B350" s="236" t="s">
        <v>391</v>
      </c>
      <c r="C350" s="57"/>
      <c r="D350" s="57">
        <v>234</v>
      </c>
      <c r="E350" s="57">
        <v>200</v>
      </c>
      <c r="F350" s="57">
        <v>4.25</v>
      </c>
      <c r="G350" s="57">
        <v>40808</v>
      </c>
      <c r="H350" s="57">
        <v>0.8</v>
      </c>
      <c r="I350" s="57">
        <v>40962</v>
      </c>
      <c r="J350" s="57">
        <v>-401.03882691112773</v>
      </c>
      <c r="K350" s="57">
        <v>-81.585913223616075</v>
      </c>
      <c r="L350" s="57">
        <v>-708.9</v>
      </c>
      <c r="M350" s="57">
        <v>18.899999999999999</v>
      </c>
      <c r="N350" s="57" t="s">
        <v>278</v>
      </c>
      <c r="O350" s="57">
        <v>868.9</v>
      </c>
      <c r="P350" s="57"/>
      <c r="Q350" s="57"/>
      <c r="R350" s="57"/>
      <c r="S350" s="57"/>
      <c r="T350" s="57"/>
      <c r="U350" s="57"/>
      <c r="V350" s="57"/>
      <c r="W350" s="495"/>
      <c r="X350" s="495"/>
      <c r="Y350" s="495"/>
      <c r="Z350" s="451"/>
      <c r="AA350" s="145"/>
      <c r="AB350" s="223"/>
      <c r="AC350" s="22"/>
      <c r="AH350" s="9"/>
      <c r="AJ350" s="27"/>
      <c r="AK350" s="84"/>
      <c r="AM350" s="13"/>
      <c r="AP350"/>
      <c r="AR350"/>
      <c r="AV350"/>
      <c r="AW350"/>
      <c r="AX350"/>
      <c r="AY350"/>
      <c r="AZ350"/>
      <c r="BC350"/>
      <c r="BD350"/>
      <c r="BG350"/>
      <c r="BH350"/>
      <c r="BI350"/>
      <c r="BJ350"/>
      <c r="BS350"/>
      <c r="BU350"/>
      <c r="BV350"/>
      <c r="BX350"/>
    </row>
    <row r="351" spans="1:76" ht="15.75">
      <c r="A351" s="263" t="s">
        <v>20</v>
      </c>
      <c r="B351" s="236" t="s">
        <v>392</v>
      </c>
      <c r="C351" s="57"/>
      <c r="D351" s="57">
        <v>247</v>
      </c>
      <c r="E351" s="57">
        <v>200</v>
      </c>
      <c r="F351" s="57">
        <v>3.95</v>
      </c>
      <c r="G351" s="57">
        <v>40814</v>
      </c>
      <c r="H351" s="57">
        <v>0.01</v>
      </c>
      <c r="I351" s="57">
        <v>40980</v>
      </c>
      <c r="J351" s="57">
        <v>-1325.3492242422249</v>
      </c>
      <c r="K351" s="57">
        <v>-99.758876363855578</v>
      </c>
      <c r="L351" s="57">
        <v>-827.45</v>
      </c>
      <c r="M351" s="57">
        <v>39.450000000000003</v>
      </c>
      <c r="N351" s="57" t="s">
        <v>508</v>
      </c>
      <c r="O351" s="57">
        <v>829.45</v>
      </c>
      <c r="P351" s="57"/>
      <c r="Q351" s="57"/>
      <c r="R351" s="57"/>
      <c r="S351" s="57"/>
      <c r="T351" s="57"/>
      <c r="U351" s="57"/>
      <c r="V351" s="57"/>
      <c r="W351" s="495"/>
      <c r="X351" s="495"/>
      <c r="Y351" s="495"/>
      <c r="Z351" s="451"/>
      <c r="AA351" s="145"/>
      <c r="AB351" s="223"/>
      <c r="AC351" s="22"/>
      <c r="AH351" s="9"/>
      <c r="AJ351" s="27"/>
      <c r="AK351" s="84"/>
      <c r="AM351" s="13"/>
      <c r="AP351"/>
      <c r="AR351"/>
      <c r="AV351"/>
      <c r="AW351"/>
      <c r="AX351"/>
      <c r="AY351"/>
      <c r="AZ351"/>
      <c r="BC351"/>
      <c r="BD351"/>
      <c r="BG351"/>
      <c r="BH351"/>
      <c r="BI351"/>
      <c r="BJ351"/>
      <c r="BS351"/>
      <c r="BU351"/>
      <c r="BV351"/>
      <c r="BX351"/>
    </row>
    <row r="352" spans="1:76" ht="15.75">
      <c r="A352" s="263" t="s">
        <v>20</v>
      </c>
      <c r="B352" s="236" t="s">
        <v>391</v>
      </c>
      <c r="C352" s="57"/>
      <c r="D352" s="57">
        <v>287</v>
      </c>
      <c r="E352" s="57">
        <v>300</v>
      </c>
      <c r="F352" s="57">
        <v>4.25</v>
      </c>
      <c r="G352" s="57">
        <v>40808</v>
      </c>
      <c r="H352" s="57">
        <v>0.01</v>
      </c>
      <c r="I352" s="57">
        <v>41021</v>
      </c>
      <c r="J352" s="57">
        <v>-1038.4605298494655</v>
      </c>
      <c r="K352" s="57">
        <v>-99.76657329598504</v>
      </c>
      <c r="L352" s="57">
        <v>-1282.2</v>
      </c>
      <c r="M352" s="57">
        <v>10.199999999999999</v>
      </c>
      <c r="N352" s="57" t="s">
        <v>405</v>
      </c>
      <c r="O352" s="57">
        <v>1285.2</v>
      </c>
      <c r="P352" s="57"/>
      <c r="Q352" s="57"/>
      <c r="R352" s="57"/>
      <c r="S352" s="57"/>
      <c r="T352" s="57"/>
      <c r="U352" s="57"/>
      <c r="V352" s="57"/>
      <c r="W352" s="495"/>
      <c r="X352" s="495"/>
      <c r="Y352" s="495"/>
      <c r="Z352" s="451"/>
      <c r="AA352" s="145"/>
      <c r="AB352" s="223"/>
      <c r="AC352" s="22"/>
      <c r="AH352" s="9"/>
      <c r="AJ352" s="27"/>
      <c r="AK352" s="84"/>
      <c r="AM352" s="13"/>
      <c r="AP352"/>
      <c r="AR352"/>
      <c r="AV352"/>
      <c r="AW352"/>
      <c r="AX352"/>
      <c r="AY352"/>
      <c r="AZ352"/>
      <c r="BC352"/>
      <c r="BD352"/>
      <c r="BG352"/>
      <c r="BH352"/>
      <c r="BI352"/>
      <c r="BJ352"/>
      <c r="BS352"/>
      <c r="BU352"/>
      <c r="BV352"/>
      <c r="BX352"/>
    </row>
    <row r="353" spans="1:76" ht="15.75">
      <c r="A353" s="263" t="s">
        <v>20</v>
      </c>
      <c r="B353" s="236" t="s">
        <v>789</v>
      </c>
      <c r="C353" s="57"/>
      <c r="D353" s="57">
        <v>359</v>
      </c>
      <c r="E353" s="57">
        <v>200</v>
      </c>
      <c r="F353" s="57">
        <v>1.5</v>
      </c>
      <c r="G353" s="57">
        <v>41116</v>
      </c>
      <c r="H353" s="57">
        <v>1.7</v>
      </c>
      <c r="I353" s="57">
        <v>41133</v>
      </c>
      <c r="J353" s="57">
        <v>137.55785830518377</v>
      </c>
      <c r="K353" s="57">
        <v>6.6164941988083994</v>
      </c>
      <c r="L353" s="57">
        <v>21.1</v>
      </c>
      <c r="M353" s="57">
        <v>18.899999999999999</v>
      </c>
      <c r="N353" s="57" t="s">
        <v>15</v>
      </c>
      <c r="O353" s="57">
        <v>318.89999999999998</v>
      </c>
      <c r="P353" s="57"/>
      <c r="Q353" s="57"/>
      <c r="R353" s="57"/>
      <c r="S353" s="57"/>
      <c r="T353" s="57"/>
      <c r="U353" s="57"/>
      <c r="V353" s="57"/>
      <c r="W353" s="495"/>
      <c r="X353" s="495"/>
      <c r="Y353" s="495"/>
      <c r="Z353" s="451"/>
      <c r="AA353" s="145"/>
      <c r="AB353" s="223"/>
      <c r="AC353" s="22"/>
      <c r="AH353" s="9"/>
      <c r="AJ353" s="27"/>
      <c r="AK353" s="84"/>
      <c r="AM353" s="13"/>
      <c r="AP353"/>
      <c r="AR353"/>
      <c r="AV353"/>
      <c r="AW353"/>
      <c r="AX353"/>
      <c r="AY353"/>
      <c r="AZ353"/>
      <c r="BC353"/>
      <c r="BD353"/>
      <c r="BG353"/>
      <c r="BH353"/>
      <c r="BI353"/>
      <c r="BJ353"/>
      <c r="BS353"/>
      <c r="BU353"/>
      <c r="BV353"/>
      <c r="BX353"/>
    </row>
    <row r="354" spans="1:76" ht="15.75">
      <c r="A354" s="263" t="s">
        <v>20</v>
      </c>
      <c r="B354" s="236" t="s">
        <v>809</v>
      </c>
      <c r="C354" s="57"/>
      <c r="D354" s="57">
        <v>382</v>
      </c>
      <c r="E354" s="57">
        <v>200</v>
      </c>
      <c r="F354" s="57">
        <v>6.5</v>
      </c>
      <c r="G354" s="57">
        <v>41137</v>
      </c>
      <c r="H354" s="57">
        <v>2.0499999999999998</v>
      </c>
      <c r="I354" s="57">
        <v>41194</v>
      </c>
      <c r="J354" s="57">
        <v>-748.18351565565308</v>
      </c>
      <c r="K354" s="57">
        <v>-68.913488513154903</v>
      </c>
      <c r="L354" s="57">
        <v>-908.9</v>
      </c>
      <c r="M354" s="57">
        <v>18.899999999999999</v>
      </c>
      <c r="N354" s="57" t="s">
        <v>15</v>
      </c>
      <c r="O354" s="57">
        <v>1318.9</v>
      </c>
      <c r="P354" s="57"/>
      <c r="Q354" s="57"/>
      <c r="R354" s="57"/>
      <c r="S354" s="57"/>
      <c r="T354" s="57"/>
      <c r="U354" s="57"/>
      <c r="V354" s="57"/>
      <c r="W354" s="495"/>
      <c r="X354" s="495"/>
      <c r="Y354" s="495"/>
      <c r="Z354" s="451"/>
      <c r="AA354" s="145"/>
      <c r="AB354" s="223"/>
      <c r="AC354" s="22"/>
      <c r="AH354" s="9"/>
      <c r="AJ354" s="27"/>
      <c r="AK354" s="84"/>
      <c r="AM354" s="13"/>
      <c r="AP354"/>
      <c r="AR354"/>
      <c r="AV354"/>
      <c r="AW354"/>
      <c r="AX354"/>
      <c r="AY354"/>
      <c r="AZ354"/>
      <c r="BC354"/>
      <c r="BD354"/>
      <c r="BG354"/>
      <c r="BH354"/>
      <c r="BI354"/>
      <c r="BJ354"/>
      <c r="BS354"/>
      <c r="BU354"/>
      <c r="BV354"/>
      <c r="BX354"/>
    </row>
    <row r="355" spans="1:76" ht="15.75">
      <c r="A355" s="263" t="s">
        <v>20</v>
      </c>
      <c r="B355" s="236" t="s">
        <v>843</v>
      </c>
      <c r="C355" s="57"/>
      <c r="D355" s="57">
        <v>417</v>
      </c>
      <c r="E355" s="57">
        <v>200</v>
      </c>
      <c r="F355" s="57">
        <v>1</v>
      </c>
      <c r="G355" s="57">
        <v>41218</v>
      </c>
      <c r="H355" s="57">
        <v>1.2</v>
      </c>
      <c r="I355" s="57">
        <v>41261</v>
      </c>
      <c r="J355" s="57">
        <v>78.113326434438449</v>
      </c>
      <c r="K355" s="57">
        <v>9.6391046139789793</v>
      </c>
      <c r="L355" s="57">
        <v>21.1</v>
      </c>
      <c r="M355" s="57">
        <v>18.899999999999999</v>
      </c>
      <c r="N355" s="57" t="s">
        <v>15</v>
      </c>
      <c r="O355" s="57">
        <v>218.9</v>
      </c>
      <c r="P355" s="57"/>
      <c r="Q355" s="57"/>
      <c r="R355" s="57"/>
      <c r="S355" s="57"/>
      <c r="T355" s="57"/>
      <c r="U355" s="57"/>
      <c r="V355" s="57"/>
      <c r="W355" s="495"/>
      <c r="X355" s="495"/>
      <c r="Y355" s="495"/>
      <c r="Z355" s="451"/>
      <c r="AA355" s="145"/>
      <c r="AB355" s="223"/>
      <c r="AC355" s="22"/>
      <c r="AH355" s="9"/>
      <c r="AJ355" s="27"/>
      <c r="AK355" s="84"/>
      <c r="AM355" s="13"/>
      <c r="AP355"/>
      <c r="AR355"/>
      <c r="AV355"/>
      <c r="AW355"/>
      <c r="AX355"/>
      <c r="AY355"/>
      <c r="AZ355"/>
      <c r="BC355"/>
      <c r="BD355"/>
      <c r="BG355"/>
      <c r="BH355"/>
      <c r="BI355"/>
      <c r="BJ355"/>
      <c r="BS355"/>
      <c r="BU355"/>
      <c r="BV355"/>
      <c r="BX355"/>
    </row>
    <row r="356" spans="1:76" ht="15.75">
      <c r="A356" s="263" t="s">
        <v>491</v>
      </c>
      <c r="B356" s="236" t="s">
        <v>491</v>
      </c>
      <c r="C356" s="57"/>
      <c r="D356" s="57">
        <v>520</v>
      </c>
      <c r="E356" s="57">
        <v>25</v>
      </c>
      <c r="F356" s="57">
        <v>238.08</v>
      </c>
      <c r="G356" s="57">
        <v>40927</v>
      </c>
      <c r="H356" s="57">
        <v>32</v>
      </c>
      <c r="I356" s="57">
        <v>42192</v>
      </c>
      <c r="J356" s="57">
        <v>-57.990115484929163</v>
      </c>
      <c r="K356" s="57">
        <v>-86.57706859956879</v>
      </c>
      <c r="L356" s="57">
        <v>-5159.95</v>
      </c>
      <c r="M356" s="57">
        <v>7.95</v>
      </c>
      <c r="N356" s="57" t="s">
        <v>145</v>
      </c>
      <c r="O356" s="57">
        <v>5959.95</v>
      </c>
      <c r="P356" s="57"/>
      <c r="Q356" s="57"/>
      <c r="R356" s="57"/>
      <c r="S356" s="57"/>
      <c r="T356" s="57"/>
      <c r="U356" s="57"/>
      <c r="V356" s="57"/>
      <c r="W356" s="495"/>
      <c r="X356" s="495"/>
      <c r="Y356" s="495"/>
      <c r="Z356" s="451"/>
      <c r="AA356" s="145"/>
      <c r="AB356" s="223"/>
      <c r="AC356" s="22"/>
      <c r="AH356" s="9"/>
      <c r="AJ356" s="27"/>
      <c r="AK356" s="84"/>
      <c r="AM356" s="13"/>
      <c r="AP356"/>
      <c r="AR356"/>
      <c r="AV356"/>
      <c r="AW356"/>
      <c r="AX356"/>
      <c r="AY356"/>
      <c r="AZ356"/>
      <c r="BC356"/>
      <c r="BD356"/>
      <c r="BG356"/>
      <c r="BH356"/>
      <c r="BI356"/>
      <c r="BJ356"/>
      <c r="BS356"/>
      <c r="BU356"/>
      <c r="BV356"/>
      <c r="BX356"/>
    </row>
    <row r="357" spans="1:76" ht="15.75">
      <c r="A357" s="263" t="s">
        <v>0</v>
      </c>
      <c r="B357" s="236" t="s">
        <v>877</v>
      </c>
      <c r="C357" s="57"/>
      <c r="D357" s="57">
        <v>446</v>
      </c>
      <c r="E357" s="57">
        <v>100</v>
      </c>
      <c r="F357" s="57">
        <v>2.5</v>
      </c>
      <c r="G357" s="57">
        <v>41248</v>
      </c>
      <c r="H357" s="57">
        <v>3.5</v>
      </c>
      <c r="I357" s="57">
        <v>41299</v>
      </c>
      <c r="J357" s="57">
        <v>192.65379173078441</v>
      </c>
      <c r="K357" s="57">
        <v>30.890052356020945</v>
      </c>
      <c r="L357" s="57">
        <v>82.6</v>
      </c>
      <c r="M357" s="57">
        <v>17.399999999999999</v>
      </c>
      <c r="N357" s="57" t="s">
        <v>278</v>
      </c>
      <c r="O357" s="57">
        <v>267.39999999999998</v>
      </c>
      <c r="P357" s="57"/>
      <c r="Q357" s="57"/>
      <c r="R357" s="57"/>
      <c r="S357" s="57"/>
      <c r="T357" s="57"/>
      <c r="U357" s="57"/>
      <c r="V357" s="57"/>
      <c r="W357" s="495"/>
      <c r="X357" s="495"/>
      <c r="Y357" s="495"/>
      <c r="Z357" s="451"/>
      <c r="AA357" s="145"/>
      <c r="AB357" s="223"/>
      <c r="AC357" s="22"/>
      <c r="AH357" s="9"/>
      <c r="AJ357" s="27"/>
      <c r="AK357" s="84"/>
      <c r="AM357" s="13"/>
      <c r="AP357"/>
      <c r="AR357"/>
      <c r="AV357"/>
      <c r="AW357"/>
      <c r="AX357"/>
      <c r="AY357"/>
      <c r="AZ357"/>
      <c r="BC357"/>
      <c r="BD357"/>
      <c r="BG357"/>
      <c r="BH357"/>
      <c r="BI357"/>
      <c r="BJ357"/>
      <c r="BS357"/>
      <c r="BU357"/>
      <c r="BV357"/>
      <c r="BX357"/>
    </row>
    <row r="358" spans="1:76" ht="15.75">
      <c r="A358" s="263" t="s">
        <v>276</v>
      </c>
      <c r="B358" s="236" t="s">
        <v>279</v>
      </c>
      <c r="C358" s="57"/>
      <c r="D358" s="57">
        <v>58</v>
      </c>
      <c r="E358" s="57">
        <v>1000</v>
      </c>
      <c r="F358" s="57">
        <v>3.5</v>
      </c>
      <c r="G358" s="57">
        <v>40660</v>
      </c>
      <c r="H358" s="57">
        <v>3.95</v>
      </c>
      <c r="I358" s="57">
        <v>40678</v>
      </c>
      <c r="J358" s="57">
        <v>227.4411987736834</v>
      </c>
      <c r="K358" s="57">
        <v>11.869495029595861</v>
      </c>
      <c r="L358" s="57">
        <v>419.1</v>
      </c>
      <c r="M358" s="57">
        <v>30.9</v>
      </c>
      <c r="N358" s="57" t="s">
        <v>258</v>
      </c>
      <c r="O358" s="57">
        <v>3530.9</v>
      </c>
      <c r="P358" s="57"/>
      <c r="Q358" s="57"/>
      <c r="R358" s="57"/>
      <c r="S358" s="57"/>
      <c r="T358" s="57"/>
      <c r="U358" s="57"/>
      <c r="V358" s="57"/>
      <c r="W358" s="495"/>
      <c r="X358" s="495"/>
      <c r="Y358" s="495"/>
      <c r="Z358" s="451"/>
      <c r="AA358" s="145"/>
      <c r="AB358" s="223"/>
      <c r="AC358" s="22"/>
      <c r="AH358" s="9"/>
      <c r="AJ358" s="27"/>
      <c r="AK358" s="84"/>
      <c r="AM358" s="13"/>
      <c r="AP358"/>
      <c r="AR358"/>
      <c r="AV358"/>
      <c r="AW358"/>
      <c r="AX358"/>
      <c r="AY358"/>
      <c r="AZ358"/>
      <c r="BC358"/>
      <c r="BD358"/>
      <c r="BG358"/>
      <c r="BH358"/>
      <c r="BI358"/>
      <c r="BJ358"/>
      <c r="BS358"/>
      <c r="BU358"/>
      <c r="BV358"/>
      <c r="BX358"/>
    </row>
    <row r="359" spans="1:76" ht="15.75">
      <c r="A359" s="263" t="s">
        <v>276</v>
      </c>
      <c r="B359" s="236" t="s">
        <v>493</v>
      </c>
      <c r="C359" s="57"/>
      <c r="D359" s="57">
        <v>303</v>
      </c>
      <c r="E359" s="57">
        <v>100</v>
      </c>
      <c r="F359" s="57">
        <v>23</v>
      </c>
      <c r="G359" s="57">
        <v>40933</v>
      </c>
      <c r="H359" s="57">
        <v>24.3</v>
      </c>
      <c r="I359" s="57">
        <v>41061</v>
      </c>
      <c r="J359" s="57">
        <v>13.635879737516367</v>
      </c>
      <c r="K359" s="57">
        <v>4.8588935876413277</v>
      </c>
      <c r="L359" s="57">
        <v>112.6</v>
      </c>
      <c r="M359" s="57">
        <v>17.399999999999999</v>
      </c>
      <c r="N359" s="57" t="s">
        <v>258</v>
      </c>
      <c r="O359" s="57">
        <v>2317.4</v>
      </c>
      <c r="P359" s="57"/>
      <c r="Q359" s="57"/>
      <c r="R359" s="57"/>
      <c r="S359" s="57"/>
      <c r="T359" s="57"/>
      <c r="U359" s="57"/>
      <c r="V359" s="57"/>
      <c r="W359" s="495"/>
      <c r="X359" s="495"/>
      <c r="Y359" s="495"/>
      <c r="Z359" s="451"/>
      <c r="AA359" s="145"/>
      <c r="AB359" s="223"/>
      <c r="AC359" s="22"/>
      <c r="AH359" s="9"/>
      <c r="AJ359" s="27"/>
      <c r="AK359" s="84"/>
      <c r="AM359" s="13"/>
      <c r="AP359"/>
      <c r="AR359"/>
      <c r="AV359"/>
      <c r="AW359"/>
      <c r="AX359"/>
      <c r="AY359"/>
      <c r="AZ359"/>
      <c r="BC359"/>
      <c r="BD359"/>
      <c r="BG359"/>
      <c r="BH359"/>
      <c r="BI359"/>
      <c r="BJ359"/>
      <c r="BS359"/>
      <c r="BU359"/>
      <c r="BV359"/>
      <c r="BX359"/>
    </row>
    <row r="360" spans="1:76" ht="15.75">
      <c r="A360" s="263" t="s">
        <v>276</v>
      </c>
      <c r="B360" s="236" t="s">
        <v>793</v>
      </c>
      <c r="C360" s="57"/>
      <c r="D360" s="57">
        <v>372</v>
      </c>
      <c r="E360" s="57">
        <v>100</v>
      </c>
      <c r="F360" s="57">
        <v>3.35</v>
      </c>
      <c r="G360" s="57">
        <v>41117</v>
      </c>
      <c r="H360" s="57">
        <v>0.01</v>
      </c>
      <c r="I360" s="57">
        <v>41172</v>
      </c>
      <c r="J360" s="57">
        <v>-3892.0725751502528</v>
      </c>
      <c r="K360" s="57">
        <v>-99.716231555051081</v>
      </c>
      <c r="L360" s="57">
        <v>-351.4</v>
      </c>
      <c r="M360" s="57">
        <v>17.399999999999999</v>
      </c>
      <c r="N360" s="57" t="s">
        <v>258</v>
      </c>
      <c r="O360" s="57">
        <v>352.4</v>
      </c>
      <c r="P360" s="57"/>
      <c r="Q360" s="57"/>
      <c r="R360" s="57"/>
      <c r="S360" s="57"/>
      <c r="T360" s="57"/>
      <c r="U360" s="57"/>
      <c r="V360" s="57"/>
      <c r="W360" s="495"/>
      <c r="X360" s="495"/>
      <c r="Y360" s="495"/>
      <c r="Z360" s="451"/>
      <c r="AA360" s="145"/>
      <c r="AB360" s="223"/>
      <c r="AC360" s="22"/>
      <c r="AH360" s="9"/>
      <c r="AJ360" s="27"/>
      <c r="AK360" s="84"/>
      <c r="AM360" s="13"/>
      <c r="AP360"/>
      <c r="AR360"/>
      <c r="AV360"/>
      <c r="AW360"/>
      <c r="AX360"/>
      <c r="AY360"/>
      <c r="AZ360"/>
      <c r="BC360"/>
      <c r="BD360"/>
      <c r="BG360"/>
      <c r="BH360"/>
      <c r="BI360"/>
      <c r="BJ360"/>
      <c r="BS360"/>
      <c r="BU360"/>
      <c r="BV360"/>
      <c r="BX360"/>
    </row>
    <row r="361" spans="1:76" ht="15.75">
      <c r="A361" s="263" t="s">
        <v>427</v>
      </c>
      <c r="B361" s="236" t="s">
        <v>427</v>
      </c>
      <c r="C361" s="57"/>
      <c r="D361" s="57">
        <v>151</v>
      </c>
      <c r="E361" s="57">
        <v>200</v>
      </c>
      <c r="F361" s="57">
        <v>14.25</v>
      </c>
      <c r="G361" s="57">
        <v>40862</v>
      </c>
      <c r="H361" s="57">
        <v>16</v>
      </c>
      <c r="I361" s="57">
        <v>40864</v>
      </c>
      <c r="J361" s="57">
        <v>2063.0936099477176</v>
      </c>
      <c r="K361" s="57">
        <v>11.968368935775644</v>
      </c>
      <c r="L361" s="57">
        <v>342.05</v>
      </c>
      <c r="M361" s="57">
        <v>7.95</v>
      </c>
      <c r="N361" s="57" t="s">
        <v>145</v>
      </c>
      <c r="O361" s="57">
        <v>2857.95</v>
      </c>
      <c r="P361" s="57"/>
      <c r="Q361" s="57"/>
      <c r="R361" s="57"/>
      <c r="S361" s="57"/>
      <c r="T361" s="57"/>
      <c r="U361" s="57"/>
      <c r="V361" s="57"/>
      <c r="W361" s="495"/>
      <c r="X361" s="495"/>
      <c r="Y361" s="495"/>
      <c r="Z361" s="451"/>
      <c r="AA361" s="145"/>
      <c r="AB361" s="223"/>
      <c r="AC361" s="22"/>
      <c r="AH361" s="9"/>
      <c r="AJ361" s="27"/>
      <c r="AK361" s="84"/>
      <c r="AM361" s="13"/>
      <c r="AP361"/>
      <c r="AR361"/>
      <c r="AV361"/>
      <c r="AW361"/>
      <c r="AX361"/>
      <c r="AY361"/>
      <c r="AZ361"/>
      <c r="BC361"/>
      <c r="BD361"/>
      <c r="BG361"/>
      <c r="BH361"/>
      <c r="BI361"/>
      <c r="BJ361"/>
      <c r="BS361"/>
      <c r="BU361"/>
      <c r="BV361"/>
      <c r="BX361"/>
    </row>
    <row r="362" spans="1:76" ht="15.75">
      <c r="A362" s="263" t="s">
        <v>427</v>
      </c>
      <c r="B362" s="236" t="s">
        <v>786</v>
      </c>
      <c r="C362" s="57"/>
      <c r="D362" s="57">
        <v>351</v>
      </c>
      <c r="E362" s="57">
        <v>100</v>
      </c>
      <c r="F362" s="57">
        <v>2.75</v>
      </c>
      <c r="G362" s="57">
        <v>41113</v>
      </c>
      <c r="H362" s="57">
        <v>5.0999999999999996</v>
      </c>
      <c r="I362" s="57">
        <v>41117</v>
      </c>
      <c r="J362" s="57">
        <v>5076.1279803150755</v>
      </c>
      <c r="K362" s="57">
        <v>74.418604651162781</v>
      </c>
      <c r="L362" s="57">
        <v>217.6</v>
      </c>
      <c r="M362" s="57">
        <v>17.399999999999999</v>
      </c>
      <c r="N362" s="57" t="s">
        <v>15</v>
      </c>
      <c r="O362" s="57">
        <v>292.39999999999998</v>
      </c>
      <c r="P362" s="57"/>
      <c r="Q362" s="57"/>
      <c r="R362" s="57"/>
      <c r="S362" s="57"/>
      <c r="T362" s="57"/>
      <c r="U362" s="57"/>
      <c r="V362" s="57"/>
      <c r="W362" s="495"/>
      <c r="X362" s="495"/>
      <c r="Y362" s="495"/>
      <c r="Z362" s="451"/>
      <c r="AA362" s="145"/>
      <c r="AB362" s="223"/>
      <c r="AC362" s="22"/>
      <c r="AH362" s="9"/>
      <c r="AJ362" s="27"/>
      <c r="AK362" s="84"/>
      <c r="AM362" s="13"/>
      <c r="AP362"/>
      <c r="AR362"/>
      <c r="AV362"/>
      <c r="AW362"/>
      <c r="AX362"/>
      <c r="AY362"/>
      <c r="AZ362"/>
      <c r="BC362"/>
      <c r="BD362"/>
      <c r="BG362"/>
      <c r="BH362"/>
      <c r="BI362"/>
      <c r="BJ362"/>
      <c r="BS362"/>
      <c r="BU362"/>
      <c r="BV362"/>
      <c r="BX362"/>
    </row>
    <row r="363" spans="1:76" ht="15.75">
      <c r="A363" s="263" t="s">
        <v>130</v>
      </c>
      <c r="B363" s="236" t="s">
        <v>130</v>
      </c>
      <c r="C363" s="57"/>
      <c r="D363" s="57">
        <v>123</v>
      </c>
      <c r="E363" s="57">
        <v>404</v>
      </c>
      <c r="F363" s="57">
        <v>14.8675</v>
      </c>
      <c r="G363" s="57">
        <v>40757</v>
      </c>
      <c r="H363" s="57">
        <v>12</v>
      </c>
      <c r="I363" s="57">
        <v>40838</v>
      </c>
      <c r="J363" s="57">
        <v>-97.150234196072034</v>
      </c>
      <c r="K363" s="57">
        <v>-19.393723750586098</v>
      </c>
      <c r="L363" s="57">
        <v>-1166.42</v>
      </c>
      <c r="M363" s="57">
        <v>7.95</v>
      </c>
      <c r="N363" s="57" t="s">
        <v>145</v>
      </c>
      <c r="O363" s="57">
        <v>6014.42</v>
      </c>
      <c r="P363" s="57"/>
      <c r="Q363" s="57"/>
      <c r="R363" s="57"/>
      <c r="S363" s="57"/>
      <c r="T363" s="57"/>
      <c r="U363" s="57"/>
      <c r="V363" s="57"/>
      <c r="W363" s="495"/>
      <c r="X363" s="495"/>
      <c r="Y363" s="495"/>
      <c r="Z363" s="451"/>
      <c r="AA363" s="145"/>
      <c r="AB363" s="223"/>
      <c r="AC363" s="22"/>
      <c r="AH363" s="9"/>
      <c r="AJ363" s="27"/>
      <c r="AK363" s="84"/>
      <c r="AM363" s="13"/>
      <c r="AP363"/>
      <c r="AR363"/>
      <c r="AV363"/>
      <c r="AW363"/>
      <c r="AX363"/>
      <c r="AY363"/>
      <c r="AZ363"/>
      <c r="BC363"/>
      <c r="BD363"/>
      <c r="BG363"/>
      <c r="BH363"/>
      <c r="BI363"/>
      <c r="BJ363"/>
      <c r="BS363"/>
      <c r="BU363"/>
      <c r="BV363"/>
      <c r="BX363"/>
    </row>
    <row r="364" spans="1:76" ht="15.75">
      <c r="A364" s="263" t="s">
        <v>130</v>
      </c>
      <c r="B364" s="236" t="s">
        <v>358</v>
      </c>
      <c r="C364" s="57"/>
      <c r="D364" s="57">
        <v>126</v>
      </c>
      <c r="E364" s="57">
        <v>400</v>
      </c>
      <c r="F364" s="57">
        <v>0</v>
      </c>
      <c r="G364" s="57">
        <v>40784</v>
      </c>
      <c r="H364" s="57">
        <v>1.35</v>
      </c>
      <c r="I364" s="57">
        <v>40838</v>
      </c>
      <c r="J364" s="57">
        <v>1932.6047986224371</v>
      </c>
      <c r="K364" s="57">
        <v>1644.7495961227792</v>
      </c>
      <c r="L364" s="57">
        <v>509.05</v>
      </c>
      <c r="M364" s="57">
        <v>30.95</v>
      </c>
      <c r="N364" s="57" t="s">
        <v>404</v>
      </c>
      <c r="O364" s="57">
        <v>30.95</v>
      </c>
      <c r="P364" s="57"/>
      <c r="Q364" s="57"/>
      <c r="R364" s="57"/>
      <c r="S364" s="57"/>
      <c r="T364" s="57"/>
      <c r="U364" s="57"/>
      <c r="V364" s="57"/>
      <c r="W364" s="495"/>
      <c r="X364" s="495"/>
      <c r="Y364" s="495"/>
      <c r="Z364" s="451"/>
      <c r="AA364" s="145"/>
      <c r="AB364" s="223"/>
      <c r="AC364" s="22"/>
      <c r="AH364" s="9"/>
      <c r="AJ364" s="27"/>
      <c r="AK364" s="84"/>
      <c r="AM364" s="13"/>
      <c r="AP364"/>
      <c r="AR364"/>
      <c r="AV364"/>
      <c r="AW364"/>
      <c r="AX364"/>
      <c r="AY364"/>
      <c r="AZ364"/>
      <c r="BC364"/>
      <c r="BD364"/>
      <c r="BG364"/>
      <c r="BH364"/>
      <c r="BI364"/>
      <c r="BJ364"/>
      <c r="BS364"/>
      <c r="BU364"/>
      <c r="BV364"/>
      <c r="BX364"/>
    </row>
    <row r="365" spans="1:76" ht="15.75">
      <c r="A365" s="263" t="s">
        <v>130</v>
      </c>
      <c r="B365" s="236" t="s">
        <v>432</v>
      </c>
      <c r="C365" s="57"/>
      <c r="D365" s="57">
        <v>159</v>
      </c>
      <c r="E365" s="57">
        <v>100</v>
      </c>
      <c r="F365" s="57">
        <v>0</v>
      </c>
      <c r="G365" s="57">
        <v>40854</v>
      </c>
      <c r="H365" s="57">
        <v>1</v>
      </c>
      <c r="I365" s="57">
        <v>40866</v>
      </c>
      <c r="J365" s="57">
        <v>7427.2851126629757</v>
      </c>
      <c r="K365" s="57">
        <v>1049.4252873563221</v>
      </c>
      <c r="L365" s="57">
        <v>91.3</v>
      </c>
      <c r="M365" s="57">
        <v>8.6999999999999993</v>
      </c>
      <c r="N365" s="57" t="s">
        <v>403</v>
      </c>
      <c r="O365" s="57">
        <v>8.6999999999999993</v>
      </c>
      <c r="P365" s="57"/>
      <c r="Q365" s="57"/>
      <c r="R365" s="57"/>
      <c r="S365" s="57"/>
      <c r="T365" s="57"/>
      <c r="U365" s="57"/>
      <c r="V365" s="57"/>
      <c r="W365" s="495"/>
      <c r="X365" s="495"/>
      <c r="Y365" s="495"/>
      <c r="Z365" s="451"/>
      <c r="AA365" s="145"/>
      <c r="AB365" s="223"/>
      <c r="AC365" s="22"/>
      <c r="AH365" s="9"/>
      <c r="AJ365" s="27"/>
      <c r="AK365" s="84"/>
      <c r="AM365" s="13"/>
      <c r="AP365"/>
      <c r="AR365"/>
      <c r="AV365"/>
      <c r="AW365"/>
      <c r="AX365"/>
      <c r="AY365"/>
      <c r="AZ365"/>
      <c r="BC365"/>
      <c r="BD365"/>
      <c r="BG365"/>
      <c r="BH365"/>
      <c r="BI365"/>
      <c r="BJ365"/>
      <c r="BS365"/>
      <c r="BU365"/>
      <c r="BV365"/>
      <c r="BX365"/>
    </row>
    <row r="366" spans="1:76" ht="15.75">
      <c r="A366" s="263" t="s">
        <v>130</v>
      </c>
      <c r="B366" s="236" t="s">
        <v>130</v>
      </c>
      <c r="C366" s="57"/>
      <c r="D366" s="57">
        <v>226</v>
      </c>
      <c r="E366" s="57">
        <v>97</v>
      </c>
      <c r="F366" s="57">
        <v>12.5</v>
      </c>
      <c r="G366" s="57">
        <v>40847</v>
      </c>
      <c r="H366" s="57">
        <v>12</v>
      </c>
      <c r="I366" s="57">
        <v>40956</v>
      </c>
      <c r="J366" s="57">
        <v>-15.858176392881171</v>
      </c>
      <c r="K366" s="57">
        <v>-4.625343111147532</v>
      </c>
      <c r="L366" s="57">
        <v>-56.45</v>
      </c>
      <c r="M366" s="57">
        <v>7.95</v>
      </c>
      <c r="N366" s="57" t="s">
        <v>145</v>
      </c>
      <c r="O366" s="57">
        <v>1220.45</v>
      </c>
      <c r="P366" s="57"/>
      <c r="Q366" s="57"/>
      <c r="R366" s="57"/>
      <c r="S366" s="57"/>
      <c r="T366" s="57"/>
      <c r="U366" s="57"/>
      <c r="V366" s="57"/>
      <c r="W366" s="495"/>
      <c r="X366" s="495"/>
      <c r="Y366" s="495"/>
      <c r="Z366" s="451"/>
      <c r="AA366" s="145"/>
      <c r="AB366" s="223"/>
      <c r="AC366" s="22"/>
      <c r="AH366" s="9"/>
      <c r="AJ366" s="27"/>
      <c r="AK366" s="84"/>
      <c r="AM366" s="13"/>
      <c r="AP366"/>
      <c r="AR366"/>
      <c r="AV366"/>
      <c r="AW366"/>
      <c r="AX366"/>
      <c r="AY366"/>
      <c r="AZ366"/>
      <c r="BC366"/>
      <c r="BD366"/>
      <c r="BG366"/>
      <c r="BH366"/>
      <c r="BI366"/>
      <c r="BJ366"/>
      <c r="BS366"/>
      <c r="BU366"/>
      <c r="BV366"/>
      <c r="BX366"/>
    </row>
    <row r="367" spans="1:76" ht="15.75">
      <c r="A367" s="263" t="s">
        <v>130</v>
      </c>
      <c r="B367" s="236" t="s">
        <v>130</v>
      </c>
      <c r="C367" s="57"/>
      <c r="D367" s="57">
        <v>227</v>
      </c>
      <c r="E367" s="57">
        <v>3</v>
      </c>
      <c r="F367" s="57">
        <v>14.8675</v>
      </c>
      <c r="G367" s="57">
        <v>40757</v>
      </c>
      <c r="H367" s="57">
        <v>12</v>
      </c>
      <c r="I367" s="57">
        <v>40956</v>
      </c>
      <c r="J367" s="57">
        <v>-69.385533662417728</v>
      </c>
      <c r="K367" s="57">
        <v>-31.497074354217201</v>
      </c>
      <c r="L367" s="57">
        <v>-16.552499999999998</v>
      </c>
      <c r="M367" s="57">
        <v>7.95</v>
      </c>
      <c r="N367" s="57" t="s">
        <v>145</v>
      </c>
      <c r="O367" s="57">
        <v>52.552500000000002</v>
      </c>
      <c r="P367" s="57"/>
      <c r="Q367" s="57"/>
      <c r="R367" s="57"/>
      <c r="S367" s="57"/>
      <c r="T367" s="57"/>
      <c r="U367" s="57"/>
      <c r="V367" s="57"/>
      <c r="W367" s="495"/>
      <c r="X367" s="495"/>
      <c r="Y367" s="495"/>
      <c r="Z367" s="451"/>
      <c r="AA367" s="145"/>
      <c r="AB367" s="223"/>
      <c r="AC367" s="22"/>
      <c r="AH367" s="9"/>
      <c r="AJ367" s="27"/>
      <c r="AK367" s="84"/>
      <c r="AM367" s="13"/>
      <c r="AP367"/>
      <c r="AR367"/>
      <c r="AV367"/>
      <c r="AW367"/>
      <c r="AX367"/>
      <c r="AY367"/>
      <c r="AZ367"/>
      <c r="BC367"/>
      <c r="BD367"/>
      <c r="BG367"/>
      <c r="BH367"/>
      <c r="BI367"/>
      <c r="BJ367"/>
      <c r="BS367"/>
      <c r="BU367"/>
      <c r="BV367"/>
      <c r="BX367"/>
    </row>
    <row r="368" spans="1:76" ht="15.75">
      <c r="A368" s="263" t="s">
        <v>130</v>
      </c>
      <c r="B368" s="236" t="s">
        <v>451</v>
      </c>
      <c r="C368" s="57"/>
      <c r="D368" s="57">
        <v>229</v>
      </c>
      <c r="E368" s="57">
        <v>100</v>
      </c>
      <c r="F368" s="57">
        <v>0</v>
      </c>
      <c r="G368" s="57">
        <v>40877</v>
      </c>
      <c r="H368" s="57">
        <v>1.5</v>
      </c>
      <c r="I368" s="57">
        <v>40956</v>
      </c>
      <c r="J368" s="57">
        <v>764.0689019439219</v>
      </c>
      <c r="K368" s="57">
        <v>422.64808362369348</v>
      </c>
      <c r="L368" s="57">
        <v>121.3</v>
      </c>
      <c r="M368" s="57">
        <v>28.7</v>
      </c>
      <c r="N368" s="57" t="s">
        <v>404</v>
      </c>
      <c r="O368" s="57">
        <v>28.7</v>
      </c>
      <c r="P368" s="57"/>
      <c r="Q368" s="57"/>
      <c r="R368" s="57"/>
      <c r="S368" s="57"/>
      <c r="T368" s="57"/>
      <c r="U368" s="57"/>
      <c r="V368" s="57"/>
      <c r="W368" s="495"/>
      <c r="X368" s="495"/>
      <c r="Y368" s="495"/>
      <c r="Z368" s="451"/>
      <c r="AA368" s="145"/>
      <c r="AB368" s="223"/>
      <c r="AC368" s="22"/>
      <c r="AH368" s="9"/>
      <c r="AJ368" s="27"/>
      <c r="AK368" s="84"/>
      <c r="AM368" s="13"/>
      <c r="AP368"/>
      <c r="AR368"/>
      <c r="AV368"/>
      <c r="AW368"/>
      <c r="AX368"/>
      <c r="AY368"/>
      <c r="AZ368"/>
      <c r="BC368"/>
      <c r="BD368"/>
      <c r="BG368"/>
      <c r="BH368"/>
      <c r="BI368"/>
      <c r="BJ368"/>
      <c r="BS368"/>
      <c r="BU368"/>
      <c r="BV368"/>
      <c r="BX368"/>
    </row>
    <row r="369" spans="1:76" ht="15.75">
      <c r="A369" s="263" t="s">
        <v>130</v>
      </c>
      <c r="B369" s="236" t="s">
        <v>130</v>
      </c>
      <c r="C369" s="57"/>
      <c r="D369" s="57">
        <v>310</v>
      </c>
      <c r="E369" s="57">
        <v>1</v>
      </c>
      <c r="F369" s="57">
        <v>12.5</v>
      </c>
      <c r="G369" s="57">
        <v>40847</v>
      </c>
      <c r="H369" s="57">
        <v>10.97</v>
      </c>
      <c r="I369" s="57">
        <v>41075</v>
      </c>
      <c r="J369" s="57">
        <v>-99.705610523513243</v>
      </c>
      <c r="K369" s="57">
        <v>-46.356968215158922</v>
      </c>
      <c r="L369" s="57">
        <v>-9.48</v>
      </c>
      <c r="M369" s="57">
        <v>7.95</v>
      </c>
      <c r="N369" s="57" t="s">
        <v>145</v>
      </c>
      <c r="O369" s="57">
        <v>20.45</v>
      </c>
      <c r="P369" s="57"/>
      <c r="Q369" s="57"/>
      <c r="R369" s="57"/>
      <c r="S369" s="57"/>
      <c r="T369" s="57"/>
      <c r="U369" s="57"/>
      <c r="V369" s="57"/>
      <c r="W369" s="495"/>
      <c r="X369" s="495"/>
      <c r="Y369" s="495"/>
      <c r="Z369" s="451"/>
      <c r="AA369" s="145"/>
      <c r="AB369" s="223"/>
      <c r="AC369" s="22"/>
      <c r="AH369" s="9"/>
      <c r="AJ369" s="27"/>
      <c r="AK369" s="84"/>
      <c r="AM369" s="13"/>
      <c r="AP369"/>
      <c r="AR369"/>
      <c r="AV369"/>
      <c r="AW369"/>
      <c r="AX369"/>
      <c r="AY369"/>
      <c r="AZ369"/>
      <c r="BC369"/>
      <c r="BD369"/>
      <c r="BG369"/>
      <c r="BH369"/>
      <c r="BI369"/>
      <c r="BJ369"/>
      <c r="BS369"/>
      <c r="BU369"/>
      <c r="BV369"/>
      <c r="BX369"/>
    </row>
    <row r="370" spans="1:76" ht="15.75">
      <c r="A370" s="263" t="s">
        <v>130</v>
      </c>
      <c r="B370" s="236" t="s">
        <v>130</v>
      </c>
      <c r="C370" s="57"/>
      <c r="D370" s="57">
        <v>361</v>
      </c>
      <c r="E370" s="57">
        <v>200</v>
      </c>
      <c r="F370" s="57">
        <v>12.18</v>
      </c>
      <c r="G370" s="57">
        <v>41101</v>
      </c>
      <c r="H370" s="57">
        <v>12</v>
      </c>
      <c r="I370" s="57">
        <v>41139</v>
      </c>
      <c r="J370" s="57">
        <v>-17.430522633100974</v>
      </c>
      <c r="K370" s="57">
        <v>-1.798318296200818</v>
      </c>
      <c r="L370" s="57">
        <v>-43.95</v>
      </c>
      <c r="M370" s="57">
        <v>7.95</v>
      </c>
      <c r="N370" s="57" t="s">
        <v>145</v>
      </c>
      <c r="O370" s="57">
        <v>2443.9499999999998</v>
      </c>
      <c r="P370" s="57"/>
      <c r="Q370" s="57"/>
      <c r="R370" s="57"/>
      <c r="S370" s="57"/>
      <c r="T370" s="57"/>
      <c r="U370" s="57"/>
      <c r="V370" s="57"/>
      <c r="W370" s="495"/>
      <c r="X370" s="495"/>
      <c r="Y370" s="495"/>
      <c r="Z370" s="451"/>
      <c r="AA370" s="145"/>
      <c r="AB370" s="223"/>
      <c r="AC370" s="22"/>
      <c r="AH370" s="9"/>
      <c r="AJ370" s="27"/>
      <c r="AK370" s="84"/>
      <c r="AM370" s="13"/>
      <c r="AP370"/>
      <c r="AR370"/>
      <c r="AV370"/>
      <c r="AW370"/>
      <c r="AX370"/>
      <c r="AY370"/>
      <c r="AZ370"/>
      <c r="BC370"/>
      <c r="BD370"/>
      <c r="BG370"/>
      <c r="BH370"/>
      <c r="BI370"/>
      <c r="BJ370"/>
      <c r="BS370"/>
      <c r="BU370"/>
      <c r="BV370"/>
      <c r="BX370"/>
    </row>
    <row r="371" spans="1:76" ht="15.75">
      <c r="A371" s="263" t="s">
        <v>130</v>
      </c>
      <c r="B371" s="236" t="s">
        <v>780</v>
      </c>
      <c r="C371" s="57"/>
      <c r="D371" s="57">
        <v>362</v>
      </c>
      <c r="E371" s="57">
        <v>200</v>
      </c>
      <c r="F371" s="57">
        <v>0</v>
      </c>
      <c r="G371" s="57">
        <v>41108</v>
      </c>
      <c r="H371" s="57">
        <v>0.9</v>
      </c>
      <c r="I371" s="57">
        <v>41139</v>
      </c>
      <c r="J371" s="57">
        <v>2653.6617710354321</v>
      </c>
      <c r="K371" s="57">
        <v>852.38095238095252</v>
      </c>
      <c r="L371" s="57">
        <v>161.1</v>
      </c>
      <c r="M371" s="57">
        <v>18.899999999999999</v>
      </c>
      <c r="N371" s="57" t="s">
        <v>15</v>
      </c>
      <c r="O371" s="57">
        <v>18.899999999999999</v>
      </c>
      <c r="P371" s="57"/>
      <c r="Q371" s="57"/>
      <c r="R371" s="57"/>
      <c r="S371" s="57"/>
      <c r="T371" s="57"/>
      <c r="U371" s="57"/>
      <c r="V371" s="57"/>
      <c r="W371" s="495"/>
      <c r="X371" s="495"/>
      <c r="Y371" s="495"/>
      <c r="Z371" s="451"/>
      <c r="AA371" s="145"/>
      <c r="AB371" s="223"/>
      <c r="AC371" s="22"/>
      <c r="AH371" s="9"/>
      <c r="AJ371" s="27"/>
      <c r="AK371" s="84"/>
      <c r="AM371" s="13"/>
      <c r="AP371"/>
      <c r="AR371"/>
      <c r="AV371"/>
      <c r="AW371"/>
      <c r="AX371"/>
      <c r="AY371"/>
      <c r="AZ371"/>
      <c r="BC371"/>
      <c r="BD371"/>
      <c r="BG371"/>
      <c r="BH371"/>
      <c r="BI371"/>
      <c r="BJ371"/>
      <c r="BS371"/>
      <c r="BU371"/>
      <c r="BV371"/>
      <c r="BX371"/>
    </row>
    <row r="372" spans="1:76" ht="15.75">
      <c r="A372" s="263" t="s">
        <v>235</v>
      </c>
      <c r="B372" s="236" t="s">
        <v>277</v>
      </c>
      <c r="C372" s="57"/>
      <c r="D372" s="57">
        <v>62</v>
      </c>
      <c r="E372" s="57">
        <v>500</v>
      </c>
      <c r="F372" s="57">
        <v>4.5</v>
      </c>
      <c r="G372" s="57">
        <v>40659</v>
      </c>
      <c r="H372" s="57">
        <v>4.9000000000000004</v>
      </c>
      <c r="I372" s="57">
        <v>40678</v>
      </c>
      <c r="J372" s="57">
        <v>143.71686023394406</v>
      </c>
      <c r="K372" s="57">
        <v>7.7681006422099106</v>
      </c>
      <c r="L372" s="57">
        <v>176.6</v>
      </c>
      <c r="M372" s="57">
        <v>23.4</v>
      </c>
      <c r="N372" s="57" t="s">
        <v>258</v>
      </c>
      <c r="O372" s="57">
        <v>2273.4</v>
      </c>
      <c r="P372" s="57"/>
      <c r="Q372" s="57"/>
      <c r="R372" s="57"/>
      <c r="S372" s="57"/>
      <c r="T372" s="57"/>
      <c r="U372" s="57"/>
      <c r="V372" s="57"/>
      <c r="W372" s="495"/>
      <c r="X372" s="495"/>
      <c r="Y372" s="495"/>
      <c r="Z372" s="451"/>
      <c r="AA372" s="145"/>
      <c r="AB372" s="223"/>
      <c r="AC372" s="22"/>
      <c r="AH372" s="9"/>
      <c r="AJ372" s="27"/>
      <c r="AK372" s="84"/>
      <c r="AM372" s="13"/>
      <c r="AP372"/>
      <c r="AR372"/>
      <c r="AV372"/>
      <c r="AW372"/>
      <c r="AX372"/>
      <c r="AY372"/>
      <c r="AZ372"/>
      <c r="BC372"/>
      <c r="BD372"/>
      <c r="BG372"/>
      <c r="BH372"/>
      <c r="BI372"/>
      <c r="BJ372"/>
      <c r="BS372"/>
      <c r="BU372"/>
      <c r="BV372"/>
      <c r="BX372"/>
    </row>
    <row r="373" spans="1:76" ht="15.75">
      <c r="A373" s="263" t="s">
        <v>439</v>
      </c>
      <c r="B373" s="236" t="s">
        <v>477</v>
      </c>
      <c r="C373" s="57"/>
      <c r="D373" s="57">
        <v>198</v>
      </c>
      <c r="E373" s="57">
        <v>500</v>
      </c>
      <c r="F373" s="57">
        <v>2.4</v>
      </c>
      <c r="G373" s="57">
        <v>40906</v>
      </c>
      <c r="H373" s="57">
        <v>2.5</v>
      </c>
      <c r="I373" s="57">
        <v>40911</v>
      </c>
      <c r="J373" s="57">
        <v>157.02068946154083</v>
      </c>
      <c r="K373" s="57">
        <v>2.1742684322380215</v>
      </c>
      <c r="L373" s="57">
        <v>26.6</v>
      </c>
      <c r="M373" s="57">
        <v>23.4</v>
      </c>
      <c r="N373" s="57" t="s">
        <v>258</v>
      </c>
      <c r="O373" s="57">
        <v>1223.4000000000001</v>
      </c>
      <c r="P373" s="57"/>
      <c r="Q373" s="57"/>
      <c r="R373" s="57"/>
      <c r="S373" s="57"/>
      <c r="T373" s="57"/>
      <c r="U373" s="57"/>
      <c r="V373" s="57"/>
      <c r="W373" s="495"/>
      <c r="X373" s="495"/>
      <c r="Y373" s="495"/>
      <c r="Z373" s="451"/>
      <c r="AA373" s="145"/>
      <c r="AB373" s="223"/>
      <c r="AC373" s="22"/>
      <c r="AH373" s="9"/>
      <c r="AJ373" s="27"/>
      <c r="AK373" s="84"/>
      <c r="AM373" s="13"/>
      <c r="AP373"/>
      <c r="AR373"/>
      <c r="AV373"/>
      <c r="AW373"/>
      <c r="AX373"/>
      <c r="AY373"/>
      <c r="AZ373"/>
      <c r="BC373"/>
      <c r="BD373"/>
      <c r="BG373"/>
      <c r="BH373"/>
      <c r="BI373"/>
      <c r="BJ373"/>
      <c r="BS373"/>
      <c r="BU373"/>
      <c r="BV373"/>
      <c r="BX373"/>
    </row>
    <row r="374" spans="1:76" ht="15.75">
      <c r="A374" s="263" t="s">
        <v>272</v>
      </c>
      <c r="B374" s="236" t="s">
        <v>356</v>
      </c>
      <c r="C374" s="57"/>
      <c r="D374" s="57">
        <v>153</v>
      </c>
      <c r="E374" s="57">
        <v>500</v>
      </c>
      <c r="F374" s="57">
        <v>0</v>
      </c>
      <c r="G374" s="57">
        <v>40743</v>
      </c>
      <c r="H374" s="57">
        <v>3.4</v>
      </c>
      <c r="I374" s="57">
        <v>40866</v>
      </c>
      <c r="J374" s="57">
        <v>1477.4472042339985</v>
      </c>
      <c r="K374" s="57">
        <v>14429.914529914531</v>
      </c>
      <c r="L374" s="57">
        <v>1688.3</v>
      </c>
      <c r="M374" s="57">
        <v>11.7</v>
      </c>
      <c r="N374" s="57" t="s">
        <v>403</v>
      </c>
      <c r="O374" s="57">
        <v>11.7</v>
      </c>
      <c r="P374" s="57"/>
      <c r="Q374" s="57"/>
      <c r="R374" s="57"/>
      <c r="S374" s="57"/>
      <c r="T374" s="57"/>
      <c r="U374" s="57"/>
      <c r="V374" s="57"/>
      <c r="W374" s="495"/>
      <c r="X374" s="495"/>
      <c r="Y374" s="495"/>
      <c r="Z374" s="451"/>
      <c r="AA374" s="145"/>
      <c r="AB374" s="223"/>
      <c r="AC374" s="22"/>
      <c r="AH374" s="9"/>
      <c r="AJ374" s="27"/>
      <c r="AK374" s="84"/>
      <c r="AM374" s="13"/>
      <c r="AP374"/>
      <c r="AR374"/>
      <c r="AV374"/>
      <c r="AW374"/>
      <c r="AX374"/>
      <c r="AY374"/>
      <c r="AZ374"/>
      <c r="BC374"/>
      <c r="BD374"/>
      <c r="BG374"/>
      <c r="BH374"/>
      <c r="BI374"/>
      <c r="BJ374"/>
      <c r="BS374"/>
      <c r="BU374"/>
      <c r="BV374"/>
      <c r="BX374"/>
    </row>
    <row r="375" spans="1:76" ht="15.75">
      <c r="A375" s="263" t="s">
        <v>272</v>
      </c>
      <c r="B375" s="236" t="s">
        <v>455</v>
      </c>
      <c r="C375" s="57"/>
      <c r="D375" s="57">
        <v>183</v>
      </c>
      <c r="E375" s="57">
        <v>500</v>
      </c>
      <c r="F375" s="57">
        <v>0.55000000000000004</v>
      </c>
      <c r="G375" s="57">
        <v>40877</v>
      </c>
      <c r="H375" s="57">
        <v>0.45</v>
      </c>
      <c r="I375" s="57">
        <v>40893</v>
      </c>
      <c r="J375" s="57">
        <v>-644.07550084807974</v>
      </c>
      <c r="K375" s="57">
        <v>-24.597855227882036</v>
      </c>
      <c r="L375" s="57">
        <v>-73.400000000000006</v>
      </c>
      <c r="M375" s="57">
        <v>23.4</v>
      </c>
      <c r="N375" s="57" t="s">
        <v>15</v>
      </c>
      <c r="O375" s="57">
        <v>298.39999999999998</v>
      </c>
      <c r="P375" s="57"/>
      <c r="Q375" s="57"/>
      <c r="R375" s="57"/>
      <c r="S375" s="57"/>
      <c r="T375" s="57"/>
      <c r="U375" s="57"/>
      <c r="V375" s="57"/>
      <c r="W375" s="495"/>
      <c r="X375" s="495"/>
      <c r="Y375" s="495"/>
      <c r="Z375" s="451"/>
      <c r="AA375" s="145"/>
      <c r="AB375" s="223"/>
      <c r="AC375" s="22"/>
      <c r="AH375" s="9"/>
      <c r="AJ375" s="27"/>
      <c r="AK375" s="84"/>
      <c r="AM375" s="13"/>
      <c r="AP375"/>
      <c r="AR375"/>
      <c r="AV375"/>
      <c r="AW375"/>
      <c r="AX375"/>
      <c r="AY375"/>
      <c r="AZ375"/>
      <c r="BC375"/>
      <c r="BD375"/>
      <c r="BG375"/>
      <c r="BH375"/>
      <c r="BI375"/>
      <c r="BJ375"/>
      <c r="BS375"/>
      <c r="BU375"/>
      <c r="BV375"/>
      <c r="BX375"/>
    </row>
    <row r="376" spans="1:76" ht="15.75">
      <c r="A376" s="263" t="s">
        <v>272</v>
      </c>
      <c r="B376" s="236" t="s">
        <v>469</v>
      </c>
      <c r="C376" s="57"/>
      <c r="D376" s="57">
        <v>206</v>
      </c>
      <c r="E376" s="57">
        <v>500</v>
      </c>
      <c r="F376" s="57">
        <v>2.1</v>
      </c>
      <c r="G376" s="57">
        <v>40899</v>
      </c>
      <c r="H376" s="57">
        <v>1</v>
      </c>
      <c r="I376" s="57">
        <v>40928</v>
      </c>
      <c r="J376" s="57">
        <v>-961.55897200688241</v>
      </c>
      <c r="K376" s="57">
        <v>-53.419042295509598</v>
      </c>
      <c r="L376" s="57">
        <v>-573.4</v>
      </c>
      <c r="M376" s="57">
        <v>23.4</v>
      </c>
      <c r="N376" s="57" t="s">
        <v>15</v>
      </c>
      <c r="O376" s="57">
        <v>1073.4000000000001</v>
      </c>
      <c r="P376" s="57"/>
      <c r="Q376" s="57"/>
      <c r="R376" s="57"/>
      <c r="S376" s="57"/>
      <c r="T376" s="57"/>
      <c r="U376" s="57"/>
      <c r="V376" s="57"/>
      <c r="W376" s="495"/>
      <c r="X376" s="495"/>
      <c r="Y376" s="495"/>
      <c r="Z376" s="451"/>
      <c r="AA376" s="145"/>
      <c r="AB376" s="223"/>
      <c r="AC376" s="22"/>
      <c r="AH376" s="9"/>
      <c r="AJ376" s="27"/>
      <c r="AK376" s="84"/>
      <c r="AM376" s="13"/>
      <c r="AP376"/>
      <c r="AR376"/>
      <c r="AV376"/>
      <c r="AW376"/>
      <c r="AX376"/>
      <c r="AY376"/>
      <c r="AZ376"/>
      <c r="BC376"/>
      <c r="BD376"/>
      <c r="BG376"/>
      <c r="BH376"/>
      <c r="BI376"/>
      <c r="BJ376"/>
      <c r="BS376"/>
      <c r="BU376"/>
      <c r="BV376"/>
      <c r="BX376"/>
    </row>
    <row r="377" spans="1:76" ht="15.75">
      <c r="A377" s="263" t="s">
        <v>272</v>
      </c>
      <c r="B377" s="236" t="s">
        <v>506</v>
      </c>
      <c r="C377" s="57"/>
      <c r="D377" s="57">
        <v>241</v>
      </c>
      <c r="E377" s="57">
        <v>500</v>
      </c>
      <c r="F377" s="57">
        <v>0.5</v>
      </c>
      <c r="G377" s="57">
        <v>40945</v>
      </c>
      <c r="H377" s="57">
        <v>1</v>
      </c>
      <c r="I377" s="57">
        <v>40973</v>
      </c>
      <c r="J377" s="57">
        <v>786.92979842251816</v>
      </c>
      <c r="K377" s="57">
        <v>82.882223847842013</v>
      </c>
      <c r="L377" s="57">
        <v>226.6</v>
      </c>
      <c r="M377" s="57">
        <v>23.4</v>
      </c>
      <c r="N377" s="57" t="s">
        <v>15</v>
      </c>
      <c r="O377" s="57">
        <v>273.39999999999998</v>
      </c>
      <c r="P377" s="57"/>
      <c r="Q377" s="57"/>
      <c r="R377" s="57"/>
      <c r="S377" s="57"/>
      <c r="T377" s="57"/>
      <c r="U377" s="57"/>
      <c r="V377" s="57"/>
      <c r="W377" s="495"/>
      <c r="X377" s="495"/>
      <c r="Y377" s="495"/>
      <c r="Z377" s="451"/>
      <c r="AA377" s="145"/>
      <c r="AB377" s="223"/>
      <c r="AC377" s="22"/>
      <c r="AH377" s="9"/>
      <c r="AJ377" s="27"/>
      <c r="AK377" s="84"/>
      <c r="AM377" s="13"/>
      <c r="AP377"/>
      <c r="AR377"/>
      <c r="AV377"/>
      <c r="AW377"/>
      <c r="AX377"/>
      <c r="AY377"/>
      <c r="AZ377"/>
      <c r="BC377"/>
      <c r="BD377"/>
      <c r="BG377"/>
      <c r="BH377"/>
      <c r="BI377"/>
      <c r="BJ377"/>
      <c r="BS377"/>
      <c r="BU377"/>
      <c r="BV377"/>
      <c r="BX377"/>
    </row>
    <row r="378" spans="1:76" ht="15.75">
      <c r="A378" s="263" t="s">
        <v>272</v>
      </c>
      <c r="B378" s="236" t="s">
        <v>272</v>
      </c>
      <c r="C378" s="57"/>
      <c r="D378" s="57">
        <v>262</v>
      </c>
      <c r="E378" s="57">
        <v>500</v>
      </c>
      <c r="F378" s="57">
        <v>9.5</v>
      </c>
      <c r="G378" s="57">
        <v>40742</v>
      </c>
      <c r="H378" s="57">
        <v>6</v>
      </c>
      <c r="I378" s="57">
        <v>40984</v>
      </c>
      <c r="J378" s="57">
        <v>-69.561853019519276</v>
      </c>
      <c r="K378" s="57">
        <v>-36.947635010876539</v>
      </c>
      <c r="L378" s="57">
        <v>-1757.95</v>
      </c>
      <c r="M378" s="57">
        <v>7.95</v>
      </c>
      <c r="N378" s="57" t="s">
        <v>145</v>
      </c>
      <c r="O378" s="57">
        <v>4757.95</v>
      </c>
      <c r="P378" s="57"/>
      <c r="Q378" s="57"/>
      <c r="R378" s="57"/>
      <c r="S378" s="57"/>
      <c r="T378" s="57"/>
      <c r="U378" s="57"/>
      <c r="V378" s="57"/>
      <c r="W378" s="495"/>
      <c r="X378" s="495"/>
      <c r="Y378" s="495"/>
      <c r="Z378" s="451"/>
      <c r="AA378" s="145"/>
      <c r="AB378" s="223"/>
      <c r="AC378" s="22"/>
      <c r="AH378" s="9"/>
      <c r="AJ378" s="27"/>
      <c r="AK378" s="84"/>
      <c r="AM378" s="13"/>
      <c r="AP378"/>
      <c r="AR378"/>
      <c r="AV378"/>
      <c r="AW378"/>
      <c r="AX378"/>
      <c r="AY378"/>
      <c r="AZ378"/>
      <c r="BC378"/>
      <c r="BD378"/>
      <c r="BG378"/>
      <c r="BH378"/>
      <c r="BI378"/>
      <c r="BJ378"/>
      <c r="BS378"/>
      <c r="BU378"/>
      <c r="BV378"/>
      <c r="BX378"/>
    </row>
    <row r="379" spans="1:76" ht="15.75">
      <c r="A379" s="263" t="s">
        <v>272</v>
      </c>
      <c r="B379" s="236" t="s">
        <v>510</v>
      </c>
      <c r="C379" s="57"/>
      <c r="D379" s="57">
        <v>264</v>
      </c>
      <c r="E379" s="57">
        <v>500</v>
      </c>
      <c r="F379" s="57">
        <v>0</v>
      </c>
      <c r="G379" s="57">
        <v>40982</v>
      </c>
      <c r="H379" s="57">
        <v>0.5</v>
      </c>
      <c r="I379" s="57">
        <v>40984</v>
      </c>
      <c r="J379" s="57">
        <v>43229.229342849278</v>
      </c>
      <c r="K379" s="57">
        <v>968.37606837606836</v>
      </c>
      <c r="L379" s="57">
        <v>226.6</v>
      </c>
      <c r="M379" s="57">
        <v>23.4</v>
      </c>
      <c r="N379" s="57" t="s">
        <v>15</v>
      </c>
      <c r="O379" s="57">
        <v>23.4</v>
      </c>
      <c r="P379" s="57"/>
      <c r="Q379" s="57"/>
      <c r="R379" s="57"/>
      <c r="S379" s="57"/>
      <c r="T379" s="57"/>
      <c r="U379" s="57"/>
      <c r="V379" s="57"/>
      <c r="W379" s="495"/>
      <c r="X379" s="495"/>
      <c r="Y379" s="495"/>
      <c r="Z379" s="451"/>
      <c r="AA379" s="145"/>
      <c r="AB379" s="223"/>
      <c r="AC379" s="22"/>
      <c r="AH379" s="9"/>
      <c r="AJ379" s="27"/>
      <c r="AK379" s="84"/>
      <c r="AM379" s="13"/>
      <c r="AP379"/>
      <c r="AR379"/>
      <c r="AV379"/>
      <c r="AW379"/>
      <c r="AX379"/>
      <c r="AY379"/>
      <c r="AZ379"/>
      <c r="BC379"/>
      <c r="BD379"/>
      <c r="BG379"/>
      <c r="BH379"/>
      <c r="BI379"/>
      <c r="BJ379"/>
      <c r="BS379"/>
      <c r="BU379"/>
      <c r="BV379"/>
      <c r="BX379"/>
    </row>
    <row r="380" spans="1:76" ht="15.75">
      <c r="A380" s="263" t="s">
        <v>272</v>
      </c>
      <c r="B380" s="236" t="s">
        <v>972</v>
      </c>
      <c r="C380" s="57"/>
      <c r="D380" s="57">
        <v>476</v>
      </c>
      <c r="E380" s="57">
        <v>200</v>
      </c>
      <c r="F380" s="57">
        <v>1</v>
      </c>
      <c r="G380" s="57">
        <v>41607</v>
      </c>
      <c r="H380" s="57">
        <v>0.9</v>
      </c>
      <c r="I380" s="57">
        <v>41629</v>
      </c>
      <c r="J380" s="57">
        <v>-324.61466399132502</v>
      </c>
      <c r="K380" s="57">
        <v>-17.77067153951576</v>
      </c>
      <c r="L380" s="57">
        <v>-38.9</v>
      </c>
      <c r="M380" s="57">
        <v>18.899999999999999</v>
      </c>
      <c r="N380" s="57" t="s">
        <v>15</v>
      </c>
      <c r="O380" s="57">
        <v>218.9</v>
      </c>
      <c r="P380" s="57"/>
      <c r="Q380" s="57"/>
      <c r="R380" s="57"/>
      <c r="S380" s="57"/>
      <c r="T380" s="57"/>
      <c r="U380" s="57"/>
      <c r="V380" s="57"/>
      <c r="W380" s="495"/>
      <c r="X380" s="495"/>
      <c r="Y380" s="495"/>
      <c r="Z380" s="451"/>
      <c r="AA380" s="145"/>
      <c r="AB380" s="223"/>
      <c r="AC380" s="22"/>
      <c r="AH380" s="9"/>
      <c r="AJ380" s="27"/>
      <c r="AK380" s="84"/>
      <c r="AM380" s="13"/>
      <c r="AP380"/>
      <c r="AR380"/>
      <c r="AV380"/>
      <c r="AW380"/>
      <c r="AX380"/>
      <c r="AY380"/>
      <c r="AZ380"/>
      <c r="BC380"/>
      <c r="BD380"/>
      <c r="BG380"/>
      <c r="BH380"/>
      <c r="BI380"/>
      <c r="BJ380"/>
      <c r="BS380"/>
      <c r="BU380"/>
      <c r="BV380"/>
      <c r="BX380"/>
    </row>
    <row r="381" spans="1:76" ht="15.75">
      <c r="A381" s="263" t="s">
        <v>272</v>
      </c>
      <c r="B381" s="236" t="s">
        <v>982</v>
      </c>
      <c r="C381" s="57"/>
      <c r="D381" s="57">
        <v>484</v>
      </c>
      <c r="E381" s="57">
        <v>200</v>
      </c>
      <c r="F381" s="57">
        <v>2</v>
      </c>
      <c r="G381" s="57">
        <v>41631</v>
      </c>
      <c r="H381" s="57">
        <v>1.5</v>
      </c>
      <c r="I381" s="57">
        <v>41663</v>
      </c>
      <c r="J381" s="57">
        <v>-380.79737485414904</v>
      </c>
      <c r="K381" s="57">
        <v>-28.383862497015997</v>
      </c>
      <c r="L381" s="57">
        <v>-118.9</v>
      </c>
      <c r="M381" s="57">
        <v>18.899999999999999</v>
      </c>
      <c r="N381" s="57" t="s">
        <v>15</v>
      </c>
      <c r="O381" s="57">
        <v>418.9</v>
      </c>
      <c r="P381" s="57"/>
      <c r="Q381" s="57"/>
      <c r="R381" s="57"/>
      <c r="S381" s="57"/>
      <c r="T381" s="57"/>
      <c r="U381" s="57"/>
      <c r="V381" s="57"/>
      <c r="W381" s="495"/>
      <c r="X381" s="495"/>
      <c r="Y381" s="495"/>
      <c r="Z381" s="451"/>
      <c r="AA381" s="145"/>
      <c r="AB381" s="223"/>
      <c r="AC381" s="22"/>
      <c r="AH381" s="9"/>
      <c r="AJ381" s="27"/>
      <c r="AK381" s="84"/>
      <c r="AM381" s="13"/>
      <c r="AP381"/>
      <c r="AR381"/>
      <c r="AV381"/>
      <c r="AW381"/>
      <c r="AX381"/>
      <c r="AY381"/>
      <c r="AZ381"/>
      <c r="BC381"/>
      <c r="BD381"/>
      <c r="BG381"/>
      <c r="BH381"/>
      <c r="BI381"/>
      <c r="BJ381"/>
      <c r="BS381"/>
      <c r="BU381"/>
      <c r="BV381"/>
      <c r="BX381"/>
    </row>
    <row r="382" spans="1:76" ht="15.75">
      <c r="A382" s="263" t="s">
        <v>272</v>
      </c>
      <c r="B382" s="236" t="s">
        <v>272</v>
      </c>
      <c r="C382" s="57"/>
      <c r="D382" s="57">
        <v>492</v>
      </c>
      <c r="E382" s="57">
        <v>200</v>
      </c>
      <c r="F382" s="57">
        <v>8.84</v>
      </c>
      <c r="G382" s="57">
        <v>41569</v>
      </c>
      <c r="H382" s="57">
        <v>8</v>
      </c>
      <c r="I382" s="57">
        <v>41719</v>
      </c>
      <c r="J382" s="57">
        <v>-25.387419698530312</v>
      </c>
      <c r="K382" s="57">
        <v>-9.9073735183986003</v>
      </c>
      <c r="L382" s="57">
        <v>-175.95</v>
      </c>
      <c r="M382" s="57">
        <v>7.95</v>
      </c>
      <c r="N382" s="57" t="s">
        <v>145</v>
      </c>
      <c r="O382" s="57">
        <v>1775.95</v>
      </c>
      <c r="P382" s="57"/>
      <c r="Q382" s="57"/>
      <c r="R382" s="57"/>
      <c r="S382" s="57"/>
      <c r="T382" s="57"/>
      <c r="U382" s="57"/>
      <c r="V382" s="57"/>
      <c r="W382" s="495"/>
      <c r="X382" s="495"/>
      <c r="Y382" s="495"/>
      <c r="Z382" s="451"/>
      <c r="AA382" s="145"/>
      <c r="AB382" s="223"/>
      <c r="AC382" s="22"/>
      <c r="AH382" s="9"/>
      <c r="AJ382" s="27"/>
      <c r="AK382" s="84"/>
      <c r="AM382" s="13"/>
      <c r="AP382"/>
      <c r="AR382"/>
      <c r="AV382"/>
      <c r="AW382"/>
      <c r="AX382"/>
      <c r="AY382"/>
      <c r="AZ382"/>
      <c r="BC382"/>
      <c r="BD382"/>
      <c r="BG382"/>
      <c r="BH382"/>
      <c r="BI382"/>
      <c r="BJ382"/>
      <c r="BS382"/>
      <c r="BU382"/>
      <c r="BV382"/>
      <c r="BX382"/>
    </row>
    <row r="383" spans="1:76" ht="15.75">
      <c r="A383" s="263" t="s">
        <v>272</v>
      </c>
      <c r="B383" s="236" t="s">
        <v>997</v>
      </c>
      <c r="C383" s="57"/>
      <c r="D383" s="57">
        <v>494</v>
      </c>
      <c r="E383" s="57">
        <v>200</v>
      </c>
      <c r="F383" s="57">
        <v>0</v>
      </c>
      <c r="G383" s="57">
        <v>41683</v>
      </c>
      <c r="H383" s="57">
        <v>1.3</v>
      </c>
      <c r="I383" s="57">
        <v>41719</v>
      </c>
      <c r="J383" s="57">
        <v>2271.3300518144151</v>
      </c>
      <c r="K383" s="57">
        <v>782.85229202037374</v>
      </c>
      <c r="L383" s="57">
        <v>230.55</v>
      </c>
      <c r="M383" s="57">
        <v>29.45</v>
      </c>
      <c r="N383" s="57" t="s">
        <v>404</v>
      </c>
      <c r="O383" s="57">
        <v>29.45</v>
      </c>
      <c r="P383" s="57"/>
      <c r="Q383" s="57"/>
      <c r="R383" s="57"/>
      <c r="S383" s="57"/>
      <c r="T383" s="57"/>
      <c r="U383" s="57"/>
      <c r="V383" s="57"/>
      <c r="W383" s="495"/>
      <c r="X383" s="495"/>
      <c r="Y383" s="495"/>
      <c r="Z383" s="451"/>
      <c r="AA383" s="145"/>
      <c r="AB383" s="223"/>
      <c r="AC383" s="22"/>
      <c r="AH383" s="9"/>
      <c r="AJ383" s="27"/>
      <c r="AK383" s="84"/>
      <c r="AM383" s="13"/>
      <c r="AP383"/>
      <c r="AR383"/>
      <c r="AV383"/>
      <c r="AW383"/>
      <c r="AX383"/>
      <c r="AY383"/>
      <c r="AZ383"/>
      <c r="BC383"/>
      <c r="BD383"/>
      <c r="BG383"/>
      <c r="BH383"/>
      <c r="BI383"/>
      <c r="BJ383"/>
      <c r="BS383"/>
      <c r="BU383"/>
      <c r="BV383"/>
      <c r="BX383"/>
    </row>
    <row r="384" spans="1:76" ht="15.75">
      <c r="A384" s="263" t="s">
        <v>24</v>
      </c>
      <c r="B384" s="236" t="s">
        <v>24</v>
      </c>
      <c r="C384" s="57"/>
      <c r="D384" s="57">
        <v>493</v>
      </c>
      <c r="E384" s="57">
        <v>100</v>
      </c>
      <c r="F384" s="57">
        <v>32.47</v>
      </c>
      <c r="G384" s="57">
        <v>41607</v>
      </c>
      <c r="H384" s="57">
        <v>28</v>
      </c>
      <c r="I384" s="57">
        <v>41719</v>
      </c>
      <c r="J384" s="57">
        <v>-49.507645534302704</v>
      </c>
      <c r="K384" s="57">
        <v>-13.977173228467414</v>
      </c>
      <c r="L384" s="57">
        <v>-454.95</v>
      </c>
      <c r="M384" s="57">
        <v>7.95</v>
      </c>
      <c r="N384" s="57" t="s">
        <v>145</v>
      </c>
      <c r="O384" s="57">
        <v>3254.95</v>
      </c>
      <c r="P384" s="57"/>
      <c r="Q384" s="57"/>
      <c r="R384" s="57"/>
      <c r="S384" s="57"/>
      <c r="T384" s="57"/>
      <c r="U384" s="57"/>
      <c r="V384" s="57"/>
      <c r="W384" s="495"/>
      <c r="X384" s="495"/>
      <c r="Y384" s="495"/>
      <c r="Z384" s="451"/>
      <c r="AA384" s="145"/>
      <c r="AB384" s="223"/>
      <c r="AC384" s="22"/>
      <c r="AH384" s="9"/>
      <c r="AJ384" s="27"/>
      <c r="AK384" s="84"/>
      <c r="AM384" s="13"/>
      <c r="AP384"/>
      <c r="AR384"/>
      <c r="AV384"/>
      <c r="AW384"/>
      <c r="AX384"/>
      <c r="AY384"/>
      <c r="AZ384"/>
      <c r="BC384"/>
      <c r="BD384"/>
      <c r="BG384"/>
      <c r="BH384"/>
      <c r="BI384"/>
      <c r="BJ384"/>
      <c r="BS384"/>
      <c r="BU384"/>
      <c r="BV384"/>
      <c r="BX384"/>
    </row>
    <row r="385" spans="1:76" ht="15.75">
      <c r="A385" s="263" t="s">
        <v>24</v>
      </c>
      <c r="B385" s="236" t="s">
        <v>993</v>
      </c>
      <c r="C385" s="57"/>
      <c r="D385" s="57">
        <v>495</v>
      </c>
      <c r="E385" s="57">
        <v>100</v>
      </c>
      <c r="F385" s="57">
        <v>0</v>
      </c>
      <c r="G385" s="57">
        <v>41667</v>
      </c>
      <c r="H385" s="57">
        <v>2.2000000000000002</v>
      </c>
      <c r="I385" s="57">
        <v>41719</v>
      </c>
      <c r="J385" s="57">
        <v>1457.6600090376021</v>
      </c>
      <c r="K385" s="57">
        <v>666.55052264808376</v>
      </c>
      <c r="L385" s="57">
        <v>191.3</v>
      </c>
      <c r="M385" s="57">
        <v>28.7</v>
      </c>
      <c r="N385" s="57" t="s">
        <v>404</v>
      </c>
      <c r="O385" s="57">
        <v>28.7</v>
      </c>
      <c r="P385" s="57"/>
      <c r="Q385" s="57"/>
      <c r="R385" s="57"/>
      <c r="S385" s="57"/>
      <c r="T385" s="57"/>
      <c r="U385" s="57"/>
      <c r="V385" s="57"/>
      <c r="W385" s="495"/>
      <c r="X385" s="495"/>
      <c r="Y385" s="495"/>
      <c r="Z385" s="451"/>
      <c r="AA385" s="145"/>
      <c r="AB385" s="223"/>
      <c r="AC385" s="22"/>
      <c r="AH385" s="9"/>
      <c r="AJ385" s="27"/>
      <c r="AK385" s="84"/>
      <c r="AM385" s="13"/>
      <c r="AP385"/>
      <c r="AR385"/>
      <c r="AV385"/>
      <c r="AW385"/>
      <c r="AX385"/>
      <c r="AY385"/>
      <c r="AZ385"/>
      <c r="BC385"/>
      <c r="BD385"/>
      <c r="BG385"/>
      <c r="BH385"/>
      <c r="BI385"/>
      <c r="BJ385"/>
      <c r="BS385"/>
      <c r="BU385"/>
      <c r="BV385"/>
      <c r="BX385"/>
    </row>
    <row r="386" spans="1:76" ht="15.75">
      <c r="A386" s="263" t="s">
        <v>419</v>
      </c>
      <c r="B386" s="236" t="s">
        <v>419</v>
      </c>
      <c r="C386" s="57"/>
      <c r="D386" s="57">
        <v>429</v>
      </c>
      <c r="E386" s="57">
        <v>10</v>
      </c>
      <c r="F386" s="57">
        <v>400</v>
      </c>
      <c r="G386" s="57">
        <v>40890</v>
      </c>
      <c r="H386" s="57">
        <v>12</v>
      </c>
      <c r="I386" s="57">
        <v>41270</v>
      </c>
      <c r="J386" s="57">
        <v>-337.0048289663298</v>
      </c>
      <c r="K386" s="57">
        <v>-97.005950673037319</v>
      </c>
      <c r="L386" s="57">
        <v>-3887.95</v>
      </c>
      <c r="M386" s="57">
        <v>7.95</v>
      </c>
      <c r="N386" s="57" t="s">
        <v>145</v>
      </c>
      <c r="O386" s="57">
        <v>4007.95</v>
      </c>
      <c r="P386" s="57"/>
      <c r="Q386" s="57"/>
      <c r="R386" s="57"/>
      <c r="S386" s="57"/>
      <c r="T386" s="57"/>
      <c r="U386" s="57"/>
      <c r="V386" s="57"/>
      <c r="W386" s="495"/>
      <c r="X386" s="495"/>
      <c r="Y386" s="495"/>
      <c r="Z386" s="451"/>
      <c r="AA386" s="145"/>
      <c r="AB386" s="223"/>
      <c r="AC386" s="22"/>
      <c r="AH386" s="9"/>
      <c r="AJ386" s="27"/>
      <c r="AK386" s="84"/>
      <c r="AM386" s="13"/>
      <c r="AP386"/>
      <c r="AR386"/>
      <c r="AV386"/>
      <c r="AW386"/>
      <c r="AX386"/>
      <c r="AY386"/>
      <c r="AZ386"/>
      <c r="BC386"/>
      <c r="BD386"/>
      <c r="BG386"/>
      <c r="BH386"/>
      <c r="BI386"/>
      <c r="BJ386"/>
      <c r="BS386"/>
      <c r="BU386"/>
      <c r="BV386"/>
      <c r="BX386"/>
    </row>
    <row r="387" spans="1:76" ht="15.75">
      <c r="A387" s="263" t="s">
        <v>372</v>
      </c>
      <c r="B387" s="236" t="s">
        <v>372</v>
      </c>
      <c r="C387" s="57"/>
      <c r="D387" s="57">
        <v>113</v>
      </c>
      <c r="E387" s="57">
        <v>100</v>
      </c>
      <c r="F387" s="57">
        <v>53</v>
      </c>
      <c r="G387" s="57">
        <v>40807</v>
      </c>
      <c r="H387" s="57">
        <v>59.194000000000003</v>
      </c>
      <c r="I387" s="57">
        <v>40808</v>
      </c>
      <c r="J387" s="57">
        <v>3979.5729440119785</v>
      </c>
      <c r="K387" s="57">
        <v>11.519513183055604</v>
      </c>
      <c r="L387" s="57">
        <v>611.45000000000005</v>
      </c>
      <c r="M387" s="57">
        <v>7.95</v>
      </c>
      <c r="N387" s="57" t="s">
        <v>145</v>
      </c>
      <c r="O387" s="57">
        <v>5307.95</v>
      </c>
      <c r="P387" s="57"/>
      <c r="Q387" s="57"/>
      <c r="R387" s="57"/>
      <c r="S387" s="57"/>
      <c r="T387" s="57"/>
      <c r="U387" s="57"/>
      <c r="V387" s="57"/>
      <c r="W387" s="495"/>
      <c r="X387" s="495"/>
      <c r="Y387" s="495"/>
      <c r="Z387" s="451"/>
      <c r="AA387" s="145"/>
      <c r="AB387" s="223"/>
      <c r="AC387" s="22"/>
      <c r="AH387" s="9"/>
      <c r="AJ387" s="27"/>
      <c r="AK387" s="84"/>
      <c r="AM387" s="13"/>
      <c r="AP387"/>
      <c r="AR387"/>
      <c r="AV387"/>
      <c r="AW387"/>
      <c r="AX387"/>
      <c r="AY387"/>
      <c r="AZ387"/>
      <c r="BC387"/>
      <c r="BD387"/>
      <c r="BG387"/>
      <c r="BH387"/>
      <c r="BI387"/>
      <c r="BJ387"/>
      <c r="BS387"/>
      <c r="BU387"/>
      <c r="BV387"/>
      <c r="BX387"/>
    </row>
    <row r="388" spans="1:76" ht="15.75">
      <c r="A388" s="263" t="s">
        <v>372</v>
      </c>
      <c r="B388" s="236" t="s">
        <v>372</v>
      </c>
      <c r="C388" s="57"/>
      <c r="D388" s="57">
        <v>142</v>
      </c>
      <c r="E388" s="57">
        <v>100</v>
      </c>
      <c r="F388" s="57">
        <v>39.4</v>
      </c>
      <c r="G388" s="57">
        <v>40843</v>
      </c>
      <c r="H388" s="57">
        <v>44.18</v>
      </c>
      <c r="I388" s="57">
        <v>40848</v>
      </c>
      <c r="J388" s="57">
        <v>821.18173147464506</v>
      </c>
      <c r="K388" s="57">
        <v>11.906179156270971</v>
      </c>
      <c r="L388" s="57">
        <v>470.05</v>
      </c>
      <c r="M388" s="57">
        <v>7.95</v>
      </c>
      <c r="N388" s="57" t="s">
        <v>145</v>
      </c>
      <c r="O388" s="57">
        <v>3947.95</v>
      </c>
      <c r="P388" s="57"/>
      <c r="Q388" s="57"/>
      <c r="R388" s="57"/>
      <c r="S388" s="57"/>
      <c r="T388" s="57"/>
      <c r="U388" s="57"/>
      <c r="V388" s="57"/>
      <c r="W388" s="495"/>
      <c r="X388" s="495"/>
      <c r="Y388" s="495"/>
      <c r="Z388" s="451"/>
      <c r="AA388" s="145"/>
      <c r="AB388" s="223"/>
      <c r="AC388" s="22"/>
      <c r="AH388" s="9"/>
      <c r="AJ388" s="27"/>
      <c r="AK388" s="84"/>
      <c r="AM388" s="13"/>
      <c r="AP388"/>
      <c r="AR388"/>
      <c r="AV388"/>
      <c r="AW388"/>
      <c r="AX388"/>
      <c r="AY388"/>
      <c r="AZ388"/>
      <c r="BC388"/>
      <c r="BD388"/>
      <c r="BG388"/>
      <c r="BH388"/>
      <c r="BI388"/>
      <c r="BJ388"/>
      <c r="BS388"/>
      <c r="BU388"/>
      <c r="BV388"/>
      <c r="BX388"/>
    </row>
    <row r="389" spans="1:76" ht="15.75">
      <c r="A389" s="263" t="s">
        <v>372</v>
      </c>
      <c r="B389" s="236" t="s">
        <v>372</v>
      </c>
      <c r="C389" s="57"/>
      <c r="D389" s="57">
        <v>145</v>
      </c>
      <c r="E389" s="57">
        <v>100</v>
      </c>
      <c r="F389" s="57">
        <v>40</v>
      </c>
      <c r="G389" s="57">
        <v>40850</v>
      </c>
      <c r="H389" s="57">
        <v>43.01</v>
      </c>
      <c r="I389" s="57">
        <v>40856</v>
      </c>
      <c r="J389" s="57">
        <v>429.28662964272769</v>
      </c>
      <c r="K389" s="57">
        <v>7.3117179605533869</v>
      </c>
      <c r="L389" s="57">
        <v>293.05</v>
      </c>
      <c r="M389" s="57">
        <v>7.95</v>
      </c>
      <c r="N389" s="57" t="s">
        <v>145</v>
      </c>
      <c r="O389" s="57">
        <v>4007.95</v>
      </c>
      <c r="P389" s="57"/>
      <c r="Q389" s="57"/>
      <c r="R389" s="57"/>
      <c r="S389" s="57"/>
      <c r="T389" s="57"/>
      <c r="U389" s="57"/>
      <c r="V389" s="57"/>
      <c r="W389" s="495"/>
      <c r="X389" s="495"/>
      <c r="Y389" s="495"/>
      <c r="Z389" s="451"/>
      <c r="AA389" s="145"/>
      <c r="AB389" s="223"/>
      <c r="AC389" s="22"/>
      <c r="AH389" s="9"/>
      <c r="AJ389" s="27"/>
      <c r="AK389" s="84"/>
      <c r="AM389" s="13"/>
      <c r="AP389"/>
      <c r="AR389"/>
      <c r="AV389"/>
      <c r="AW389"/>
      <c r="AX389"/>
      <c r="AY389"/>
      <c r="AZ389"/>
      <c r="BC389"/>
      <c r="BD389"/>
      <c r="BG389"/>
      <c r="BH389"/>
      <c r="BI389"/>
      <c r="BJ389"/>
      <c r="BS389"/>
      <c r="BU389"/>
      <c r="BV389"/>
      <c r="BX389"/>
    </row>
    <row r="390" spans="1:76" ht="15.75">
      <c r="A390" s="263" t="s">
        <v>372</v>
      </c>
      <c r="B390" s="236" t="s">
        <v>372</v>
      </c>
      <c r="C390" s="57"/>
      <c r="D390" s="57">
        <v>146</v>
      </c>
      <c r="E390" s="57">
        <v>100</v>
      </c>
      <c r="F390" s="57">
        <v>42.75</v>
      </c>
      <c r="G390" s="57">
        <v>40840</v>
      </c>
      <c r="H390" s="57">
        <v>44.18</v>
      </c>
      <c r="I390" s="57">
        <v>40848</v>
      </c>
      <c r="J390" s="57">
        <v>141.64317974964092</v>
      </c>
      <c r="K390" s="57">
        <v>3.153200480976889</v>
      </c>
      <c r="L390" s="57">
        <v>135.05000000000001</v>
      </c>
      <c r="M390" s="57">
        <v>7.95</v>
      </c>
      <c r="N390" s="57" t="s">
        <v>145</v>
      </c>
      <c r="O390" s="57">
        <v>4282.95</v>
      </c>
      <c r="P390" s="57"/>
      <c r="Q390" s="57"/>
      <c r="R390" s="57"/>
      <c r="S390" s="57"/>
      <c r="T390" s="57"/>
      <c r="U390" s="57"/>
      <c r="V390" s="57"/>
      <c r="W390" s="495"/>
      <c r="X390" s="495"/>
      <c r="Y390" s="495"/>
      <c r="Z390" s="451"/>
      <c r="AA390" s="145"/>
      <c r="AB390" s="223"/>
      <c r="AC390" s="22"/>
      <c r="AH390" s="9"/>
      <c r="AJ390" s="27"/>
      <c r="AK390" s="84"/>
      <c r="AM390" s="13"/>
      <c r="AP390"/>
      <c r="AR390"/>
      <c r="AV390"/>
      <c r="AW390"/>
      <c r="AX390"/>
      <c r="AY390"/>
      <c r="AZ390"/>
      <c r="BC390"/>
      <c r="BD390"/>
      <c r="BG390"/>
      <c r="BH390"/>
      <c r="BI390"/>
      <c r="BJ390"/>
      <c r="BS390"/>
      <c r="BU390"/>
      <c r="BV390"/>
      <c r="BX390"/>
    </row>
    <row r="391" spans="1:76" ht="15.75">
      <c r="A391" s="263" t="s">
        <v>372</v>
      </c>
      <c r="B391" s="236" t="s">
        <v>730</v>
      </c>
      <c r="C391" s="57"/>
      <c r="D391" s="57">
        <v>312</v>
      </c>
      <c r="E391" s="57">
        <v>100</v>
      </c>
      <c r="F391" s="57">
        <v>0</v>
      </c>
      <c r="G391" s="57">
        <v>41046</v>
      </c>
      <c r="H391" s="57">
        <v>2</v>
      </c>
      <c r="I391" s="57">
        <v>41075</v>
      </c>
      <c r="J391" s="57">
        <v>3945.7687393928863</v>
      </c>
      <c r="K391" s="57">
        <v>2198.8505747126442</v>
      </c>
      <c r="L391" s="57">
        <v>191.3</v>
      </c>
      <c r="M391" s="57">
        <v>8.6999999999999993</v>
      </c>
      <c r="N391" s="57" t="s">
        <v>403</v>
      </c>
      <c r="O391" s="57">
        <v>8.6999999999999993</v>
      </c>
      <c r="P391" s="57"/>
      <c r="Q391" s="57"/>
      <c r="R391" s="57"/>
      <c r="S391" s="57"/>
      <c r="T391" s="57"/>
      <c r="U391" s="57"/>
      <c r="V391" s="57"/>
      <c r="W391" s="495"/>
      <c r="X391" s="495"/>
      <c r="Y391" s="495"/>
      <c r="Z391" s="451"/>
      <c r="AA391" s="145"/>
      <c r="AB391" s="223"/>
      <c r="AC391" s="22"/>
      <c r="AH391" s="9"/>
      <c r="AJ391" s="27"/>
      <c r="AK391" s="84"/>
      <c r="AM391" s="13"/>
      <c r="AP391"/>
      <c r="AR391"/>
      <c r="AV391"/>
      <c r="AW391"/>
      <c r="AX391"/>
      <c r="AY391"/>
      <c r="AZ391"/>
      <c r="BC391"/>
      <c r="BD391"/>
      <c r="BG391"/>
      <c r="BH391"/>
      <c r="BI391"/>
      <c r="BJ391"/>
      <c r="BS391"/>
      <c r="BU391"/>
      <c r="BV391"/>
      <c r="BX391"/>
    </row>
    <row r="392" spans="1:76" ht="15.75">
      <c r="A392" s="263" t="s">
        <v>372</v>
      </c>
      <c r="B392" s="236" t="s">
        <v>762</v>
      </c>
      <c r="C392" s="57"/>
      <c r="D392" s="57">
        <v>326</v>
      </c>
      <c r="E392" s="57">
        <v>100</v>
      </c>
      <c r="F392" s="57">
        <v>1</v>
      </c>
      <c r="G392" s="57">
        <v>41086</v>
      </c>
      <c r="H392" s="57">
        <v>3</v>
      </c>
      <c r="I392" s="57">
        <v>41092</v>
      </c>
      <c r="J392" s="57">
        <v>5707.3563675117484</v>
      </c>
      <c r="K392" s="57">
        <v>155.53662691652471</v>
      </c>
      <c r="L392" s="57">
        <v>182.6</v>
      </c>
      <c r="M392" s="57">
        <v>17.399999999999999</v>
      </c>
      <c r="N392" s="57" t="s">
        <v>15</v>
      </c>
      <c r="O392" s="57">
        <v>117.4</v>
      </c>
      <c r="P392" s="57"/>
      <c r="Q392" s="57"/>
      <c r="R392" s="57"/>
      <c r="S392" s="57"/>
      <c r="T392" s="57"/>
      <c r="U392" s="57"/>
      <c r="V392" s="57"/>
      <c r="W392" s="495"/>
      <c r="X392" s="495"/>
      <c r="Y392" s="495"/>
      <c r="Z392" s="451"/>
      <c r="AA392" s="145"/>
      <c r="AB392" s="223"/>
      <c r="AC392" s="22"/>
      <c r="AH392" s="9"/>
      <c r="AJ392" s="27"/>
      <c r="AK392" s="84"/>
      <c r="AM392" s="13"/>
      <c r="AP392"/>
      <c r="AR392"/>
      <c r="AV392"/>
      <c r="AW392"/>
      <c r="AX392"/>
      <c r="AY392"/>
      <c r="AZ392"/>
      <c r="BC392"/>
      <c r="BD392"/>
      <c r="BG392"/>
      <c r="BH392"/>
      <c r="BI392"/>
      <c r="BJ392"/>
      <c r="BS392"/>
      <c r="BU392"/>
      <c r="BV392"/>
      <c r="BX392"/>
    </row>
    <row r="393" spans="1:76" ht="15.75">
      <c r="A393" s="263" t="s">
        <v>372</v>
      </c>
      <c r="B393" s="236" t="s">
        <v>372</v>
      </c>
      <c r="C393" s="57"/>
      <c r="D393" s="57">
        <v>508</v>
      </c>
      <c r="E393" s="57">
        <v>25</v>
      </c>
      <c r="F393" s="57">
        <v>137.28</v>
      </c>
      <c r="G393" s="57">
        <v>40927</v>
      </c>
      <c r="H393" s="57">
        <v>52</v>
      </c>
      <c r="I393" s="57">
        <v>41920</v>
      </c>
      <c r="J393" s="57">
        <v>-35.80431706188395</v>
      </c>
      <c r="K393" s="57">
        <v>-62.208753034201081</v>
      </c>
      <c r="L393" s="57">
        <v>-2139.9499999999998</v>
      </c>
      <c r="M393" s="57">
        <v>7.95</v>
      </c>
      <c r="N393" s="57" t="s">
        <v>145</v>
      </c>
      <c r="O393" s="57">
        <v>3439.95</v>
      </c>
      <c r="P393" s="57"/>
      <c r="Q393" s="57"/>
      <c r="R393" s="57"/>
      <c r="S393" s="57"/>
      <c r="T393" s="57"/>
      <c r="U393" s="57"/>
      <c r="V393" s="57"/>
      <c r="W393" s="495"/>
      <c r="X393" s="495"/>
      <c r="Y393" s="495"/>
      <c r="Z393" s="451"/>
      <c r="AA393" s="145"/>
      <c r="AB393" s="223"/>
      <c r="AC393" s="22"/>
      <c r="AH393" s="9"/>
      <c r="AJ393" s="27"/>
      <c r="AK393" s="84"/>
      <c r="AM393" s="13"/>
      <c r="AP393"/>
      <c r="AR393"/>
      <c r="AV393"/>
      <c r="AW393"/>
      <c r="AX393"/>
      <c r="AY393"/>
      <c r="AZ393"/>
      <c r="BC393"/>
      <c r="BD393"/>
      <c r="BG393"/>
      <c r="BH393"/>
      <c r="BI393"/>
      <c r="BJ393"/>
      <c r="BS393"/>
      <c r="BU393"/>
      <c r="BV393"/>
      <c r="BX393"/>
    </row>
    <row r="394" spans="1:76" ht="15.75">
      <c r="A394" s="263" t="s">
        <v>372</v>
      </c>
      <c r="B394" s="236" t="s">
        <v>372</v>
      </c>
      <c r="C394" s="57"/>
      <c r="D394" s="57">
        <v>509</v>
      </c>
      <c r="E394" s="57">
        <v>25</v>
      </c>
      <c r="F394" s="57">
        <v>122</v>
      </c>
      <c r="G394" s="57">
        <v>41089</v>
      </c>
      <c r="H394" s="57">
        <v>52</v>
      </c>
      <c r="I394" s="57">
        <v>41920</v>
      </c>
      <c r="J394" s="57">
        <v>-37.570863984076162</v>
      </c>
      <c r="K394" s="57">
        <v>-57.487859513726519</v>
      </c>
      <c r="L394" s="57">
        <v>-1757.95</v>
      </c>
      <c r="M394" s="57">
        <v>7.95</v>
      </c>
      <c r="N394" s="57" t="s">
        <v>145</v>
      </c>
      <c r="O394" s="57">
        <v>3057.95</v>
      </c>
      <c r="P394" s="57"/>
      <c r="Q394" s="57"/>
      <c r="R394" s="57"/>
      <c r="S394" s="57"/>
      <c r="T394" s="57"/>
      <c r="U394" s="57"/>
      <c r="V394" s="57"/>
      <c r="W394" s="495"/>
      <c r="X394" s="495"/>
      <c r="Y394" s="495"/>
      <c r="Z394" s="451"/>
      <c r="AA394" s="145"/>
      <c r="AB394" s="223"/>
      <c r="AC394" s="22"/>
      <c r="AH394" s="9"/>
      <c r="AJ394" s="27"/>
      <c r="AK394" s="84"/>
      <c r="AM394" s="13"/>
      <c r="AP394"/>
      <c r="AR394"/>
      <c r="AV394"/>
      <c r="AW394"/>
      <c r="AX394"/>
      <c r="AY394"/>
      <c r="AZ394"/>
      <c r="BC394"/>
      <c r="BD394"/>
      <c r="BG394"/>
      <c r="BH394"/>
      <c r="BI394"/>
      <c r="BJ394"/>
      <c r="BS394"/>
      <c r="BU394"/>
      <c r="BV394"/>
      <c r="BX394"/>
    </row>
    <row r="395" spans="1:76" ht="15.75">
      <c r="A395" s="263" t="s">
        <v>975</v>
      </c>
      <c r="B395" s="236" t="s">
        <v>974</v>
      </c>
      <c r="C395" s="57"/>
      <c r="D395" s="57">
        <v>505</v>
      </c>
      <c r="E395" s="57">
        <v>200</v>
      </c>
      <c r="F395" s="57">
        <v>6.4</v>
      </c>
      <c r="G395" s="57">
        <v>41607</v>
      </c>
      <c r="H395" s="57">
        <v>0.95</v>
      </c>
      <c r="I395" s="57">
        <v>41810</v>
      </c>
      <c r="J395" s="57">
        <v>-347.33706441943298</v>
      </c>
      <c r="K395" s="57">
        <v>-85.372238047578719</v>
      </c>
      <c r="L395" s="57">
        <v>-1108.9000000000001</v>
      </c>
      <c r="M395" s="57">
        <v>18.899999999999999</v>
      </c>
      <c r="N395" s="57" t="s">
        <v>258</v>
      </c>
      <c r="O395" s="57">
        <v>1298.9000000000001</v>
      </c>
      <c r="P395" s="57"/>
      <c r="Q395" s="57"/>
      <c r="R395" s="57"/>
      <c r="S395" s="57"/>
      <c r="T395" s="57"/>
      <c r="U395" s="57"/>
      <c r="V395" s="57"/>
      <c r="W395" s="495"/>
      <c r="X395" s="495"/>
      <c r="Y395" s="495"/>
      <c r="Z395" s="451"/>
      <c r="AA395" s="145"/>
      <c r="AB395" s="223"/>
      <c r="AC395" s="22"/>
      <c r="AH395" s="9"/>
      <c r="AJ395" s="27"/>
      <c r="AK395" s="84"/>
      <c r="AM395" s="13"/>
      <c r="AP395"/>
      <c r="AR395"/>
      <c r="AV395"/>
      <c r="AW395"/>
      <c r="AX395"/>
      <c r="AY395"/>
      <c r="AZ395"/>
      <c r="BC395"/>
      <c r="BD395"/>
      <c r="BG395"/>
      <c r="BH395"/>
      <c r="BI395"/>
      <c r="BJ395"/>
      <c r="BS395"/>
      <c r="BU395"/>
      <c r="BV395"/>
      <c r="BX395"/>
    </row>
    <row r="396" spans="1:76" ht="15.75">
      <c r="A396" s="263" t="s">
        <v>975</v>
      </c>
      <c r="B396" s="236" t="s">
        <v>1018</v>
      </c>
      <c r="C396" s="57"/>
      <c r="D396" s="57">
        <v>515</v>
      </c>
      <c r="E396" s="57">
        <v>100</v>
      </c>
      <c r="F396" s="57">
        <v>2.6</v>
      </c>
      <c r="G396" s="57">
        <v>42086</v>
      </c>
      <c r="H396" s="57">
        <v>0.01</v>
      </c>
      <c r="I396" s="57">
        <v>42125</v>
      </c>
      <c r="J396" s="57">
        <v>-5235.0317005175066</v>
      </c>
      <c r="K396" s="57">
        <v>-99.627837737253444</v>
      </c>
      <c r="L396" s="57">
        <v>-267.7</v>
      </c>
      <c r="M396" s="57">
        <v>8.6999999999999993</v>
      </c>
      <c r="N396" s="57" t="s">
        <v>403</v>
      </c>
      <c r="O396" s="57">
        <v>268.7</v>
      </c>
      <c r="P396" s="57"/>
      <c r="Q396" s="57"/>
      <c r="R396" s="57"/>
      <c r="S396" s="57"/>
      <c r="T396" s="57"/>
      <c r="U396" s="57"/>
      <c r="V396" s="57"/>
      <c r="W396" s="495"/>
      <c r="X396" s="495"/>
      <c r="Y396" s="495"/>
      <c r="Z396" s="451"/>
      <c r="AA396" s="145"/>
      <c r="AB396" s="223"/>
      <c r="AC396" s="22"/>
      <c r="AH396" s="9"/>
      <c r="AJ396" s="27"/>
      <c r="AK396" s="84"/>
      <c r="AM396" s="13"/>
      <c r="AP396"/>
      <c r="AR396"/>
      <c r="AV396"/>
      <c r="AW396"/>
      <c r="AX396"/>
      <c r="AY396"/>
      <c r="AZ396"/>
      <c r="BC396"/>
      <c r="BD396"/>
      <c r="BG396"/>
      <c r="BH396"/>
      <c r="BI396"/>
      <c r="BJ396"/>
      <c r="BS396"/>
      <c r="BU396"/>
      <c r="BV396"/>
      <c r="BX396"/>
    </row>
    <row r="397" spans="1:76" ht="15.75">
      <c r="A397" s="263" t="s">
        <v>426</v>
      </c>
      <c r="B397" s="236" t="s">
        <v>775</v>
      </c>
      <c r="C397" s="57"/>
      <c r="D397" s="57">
        <v>340</v>
      </c>
      <c r="E397" s="57">
        <v>200</v>
      </c>
      <c r="F397" s="57">
        <v>1.65</v>
      </c>
      <c r="G397" s="57">
        <v>41102</v>
      </c>
      <c r="H397" s="57">
        <v>2.5</v>
      </c>
      <c r="I397" s="57">
        <v>41107</v>
      </c>
      <c r="J397" s="57">
        <v>2626.7060766750828</v>
      </c>
      <c r="K397" s="57">
        <v>43.307537976497571</v>
      </c>
      <c r="L397" s="57">
        <v>151.1</v>
      </c>
      <c r="M397" s="57">
        <v>18.899999999999999</v>
      </c>
      <c r="N397" s="57" t="s">
        <v>15</v>
      </c>
      <c r="O397" s="57">
        <v>348.9</v>
      </c>
      <c r="P397" s="57"/>
      <c r="Q397" s="57"/>
      <c r="R397" s="57"/>
      <c r="S397" s="57"/>
      <c r="T397" s="57"/>
      <c r="U397" s="57"/>
      <c r="V397" s="57"/>
      <c r="W397" s="495"/>
      <c r="X397" s="495"/>
      <c r="Y397" s="495"/>
      <c r="Z397" s="451"/>
      <c r="AA397" s="145"/>
      <c r="AB397" s="223"/>
      <c r="AC397" s="22"/>
      <c r="AH397" s="9"/>
      <c r="AJ397" s="27"/>
      <c r="AK397" s="84"/>
      <c r="AM397" s="13"/>
      <c r="AP397"/>
      <c r="AR397"/>
      <c r="AV397"/>
      <c r="AW397"/>
      <c r="AX397"/>
      <c r="AY397"/>
      <c r="AZ397"/>
      <c r="BC397"/>
      <c r="BD397"/>
      <c r="BG397"/>
      <c r="BH397"/>
      <c r="BI397"/>
      <c r="BJ397"/>
      <c r="BS397"/>
      <c r="BU397"/>
      <c r="BV397"/>
      <c r="BX397"/>
    </row>
    <row r="398" spans="1:76" ht="15.75">
      <c r="A398" s="263" t="s">
        <v>426</v>
      </c>
      <c r="B398" s="236" t="s">
        <v>788</v>
      </c>
      <c r="C398" s="57"/>
      <c r="D398" s="57">
        <v>352</v>
      </c>
      <c r="E398" s="57">
        <v>200</v>
      </c>
      <c r="F398" s="57">
        <v>0.8</v>
      </c>
      <c r="G398" s="57">
        <v>41114</v>
      </c>
      <c r="H398" s="57">
        <v>1.5</v>
      </c>
      <c r="I398" s="57">
        <v>41117</v>
      </c>
      <c r="J398" s="57">
        <v>6289.625057055252</v>
      </c>
      <c r="K398" s="57">
        <v>67.691447736165443</v>
      </c>
      <c r="L398" s="57">
        <v>121.1</v>
      </c>
      <c r="M398" s="57">
        <v>18.899999999999999</v>
      </c>
      <c r="N398" s="57" t="s">
        <v>15</v>
      </c>
      <c r="O398" s="57">
        <v>178.9</v>
      </c>
      <c r="P398" s="57"/>
      <c r="Q398" s="57"/>
      <c r="R398" s="57"/>
      <c r="S398" s="57"/>
      <c r="T398" s="57"/>
      <c r="U398" s="57"/>
      <c r="V398" s="57"/>
      <c r="W398" s="495"/>
      <c r="X398" s="495"/>
      <c r="Y398" s="495"/>
      <c r="Z398" s="451"/>
      <c r="AA398" s="145"/>
      <c r="AB398" s="223"/>
      <c r="AC398" s="22"/>
      <c r="AH398" s="9"/>
      <c r="AJ398" s="27"/>
      <c r="AK398" s="84"/>
      <c r="AM398" s="13"/>
      <c r="AP398"/>
      <c r="AR398"/>
      <c r="AV398"/>
      <c r="AW398"/>
      <c r="AX398"/>
      <c r="AY398"/>
      <c r="AZ398"/>
      <c r="BC398"/>
      <c r="BD398"/>
      <c r="BG398"/>
      <c r="BH398"/>
      <c r="BI398"/>
      <c r="BJ398"/>
      <c r="BS398"/>
      <c r="BU398"/>
      <c r="BV398"/>
      <c r="BX398"/>
    </row>
    <row r="399" spans="1:76" ht="15.75">
      <c r="A399" s="263" t="s">
        <v>426</v>
      </c>
      <c r="B399" s="236" t="s">
        <v>798</v>
      </c>
      <c r="C399" s="57"/>
      <c r="D399" s="57">
        <v>356</v>
      </c>
      <c r="E399" s="57">
        <v>200</v>
      </c>
      <c r="F399" s="57">
        <v>2.2000000000000002</v>
      </c>
      <c r="G399" s="57">
        <v>41123</v>
      </c>
      <c r="H399" s="57">
        <v>3.55</v>
      </c>
      <c r="I399" s="57">
        <v>41124</v>
      </c>
      <c r="J399" s="57">
        <v>15929.79167516192</v>
      </c>
      <c r="K399" s="57">
        <v>54.717803443015882</v>
      </c>
      <c r="L399" s="57">
        <v>251.1</v>
      </c>
      <c r="M399" s="57">
        <v>18.899999999999999</v>
      </c>
      <c r="N399" s="57" t="s">
        <v>15</v>
      </c>
      <c r="O399" s="57">
        <v>458.9</v>
      </c>
      <c r="P399" s="57"/>
      <c r="Q399" s="57"/>
      <c r="R399" s="57"/>
      <c r="S399" s="57"/>
      <c r="T399" s="57"/>
      <c r="U399" s="57"/>
      <c r="V399" s="57"/>
      <c r="W399" s="495"/>
      <c r="X399" s="495"/>
      <c r="Y399" s="495"/>
      <c r="Z399" s="451"/>
      <c r="AA399" s="145"/>
      <c r="AB399" s="223"/>
      <c r="AC399" s="22"/>
      <c r="AH399" s="9"/>
      <c r="AJ399" s="27"/>
      <c r="AK399" s="84"/>
      <c r="AM399" s="13"/>
      <c r="AP399"/>
      <c r="AR399"/>
      <c r="AV399"/>
      <c r="AW399"/>
      <c r="AX399"/>
      <c r="AY399"/>
      <c r="AZ399"/>
      <c r="BC399"/>
      <c r="BD399"/>
      <c r="BG399"/>
      <c r="BH399"/>
      <c r="BI399"/>
      <c r="BJ399"/>
      <c r="BS399"/>
      <c r="BU399"/>
      <c r="BV399"/>
      <c r="BX399"/>
    </row>
    <row r="400" spans="1:76" ht="15.75">
      <c r="A400" s="263" t="s">
        <v>426</v>
      </c>
      <c r="B400" s="236" t="s">
        <v>426</v>
      </c>
      <c r="C400" s="57"/>
      <c r="D400" s="57">
        <v>518</v>
      </c>
      <c r="E400" s="57">
        <v>25</v>
      </c>
      <c r="F400" s="57">
        <v>71.760000000000005</v>
      </c>
      <c r="G400" s="57">
        <v>41092</v>
      </c>
      <c r="H400" s="57">
        <v>10.02</v>
      </c>
      <c r="I400" s="57">
        <v>42191</v>
      </c>
      <c r="J400" s="57">
        <v>-65.532803108585952</v>
      </c>
      <c r="K400" s="57">
        <v>-86.098393407142268</v>
      </c>
      <c r="L400" s="57">
        <v>-1551.45</v>
      </c>
      <c r="M400" s="57">
        <v>7.95</v>
      </c>
      <c r="N400" s="57" t="s">
        <v>145</v>
      </c>
      <c r="O400" s="57">
        <v>1801.95</v>
      </c>
      <c r="P400" s="57"/>
      <c r="Q400" s="57"/>
      <c r="R400" s="57"/>
      <c r="S400" s="57"/>
      <c r="T400" s="57"/>
      <c r="U400" s="57"/>
      <c r="V400" s="57"/>
      <c r="W400" s="495"/>
      <c r="X400" s="495"/>
      <c r="Y400" s="495"/>
      <c r="Z400" s="451"/>
      <c r="AA400" s="145"/>
      <c r="AB400" s="223"/>
      <c r="AC400" s="22"/>
      <c r="AH400" s="9"/>
      <c r="AJ400" s="27"/>
      <c r="AK400" s="84"/>
      <c r="AM400" s="13"/>
      <c r="AP400"/>
      <c r="AR400"/>
      <c r="AV400"/>
      <c r="AW400"/>
      <c r="AX400"/>
      <c r="AY400"/>
      <c r="AZ400"/>
      <c r="BC400"/>
      <c r="BD400"/>
      <c r="BG400"/>
      <c r="BH400"/>
      <c r="BI400"/>
      <c r="BJ400"/>
      <c r="BS400"/>
      <c r="BU400"/>
      <c r="BV400"/>
      <c r="BX400"/>
    </row>
    <row r="401" spans="1:76" ht="15.75">
      <c r="A401" s="263" t="s">
        <v>426</v>
      </c>
      <c r="B401" s="236" t="s">
        <v>426</v>
      </c>
      <c r="C401" s="57"/>
      <c r="D401" s="57">
        <v>519</v>
      </c>
      <c r="E401" s="57">
        <v>25</v>
      </c>
      <c r="F401" s="57">
        <v>119.64</v>
      </c>
      <c r="G401" s="57">
        <v>40877</v>
      </c>
      <c r="H401" s="57">
        <v>10.02</v>
      </c>
      <c r="I401" s="57">
        <v>42191</v>
      </c>
      <c r="J401" s="57">
        <v>-69.012481632846644</v>
      </c>
      <c r="K401" s="57">
        <v>-91.647076476766884</v>
      </c>
      <c r="L401" s="57">
        <v>-2748.45</v>
      </c>
      <c r="M401" s="57">
        <v>7.95</v>
      </c>
      <c r="N401" s="57" t="s">
        <v>145</v>
      </c>
      <c r="O401" s="57">
        <v>2998.95</v>
      </c>
      <c r="P401" s="57"/>
      <c r="Q401" s="57"/>
      <c r="R401" s="57"/>
      <c r="S401" s="57"/>
      <c r="T401" s="57"/>
      <c r="U401" s="57"/>
      <c r="V401" s="57"/>
      <c r="W401" s="495"/>
      <c r="X401" s="495"/>
      <c r="Y401" s="495"/>
      <c r="Z401" s="451"/>
      <c r="AA401" s="145"/>
      <c r="AB401" s="223"/>
      <c r="AC401" s="22"/>
      <c r="AH401" s="9"/>
      <c r="AJ401" s="27"/>
      <c r="AK401" s="84"/>
      <c r="AM401" s="13"/>
      <c r="AP401"/>
      <c r="AR401"/>
      <c r="AV401"/>
      <c r="AW401"/>
      <c r="AX401"/>
      <c r="AY401"/>
      <c r="AZ401"/>
      <c r="BC401"/>
      <c r="BD401"/>
      <c r="BG401"/>
      <c r="BH401"/>
      <c r="BI401"/>
      <c r="BJ401"/>
      <c r="BS401"/>
      <c r="BU401"/>
      <c r="BV401"/>
      <c r="BX401"/>
    </row>
    <row r="402" spans="1:76" ht="15.75">
      <c r="A402" s="263" t="s">
        <v>377</v>
      </c>
      <c r="B402" s="236" t="s">
        <v>689</v>
      </c>
      <c r="C402" s="57"/>
      <c r="D402" s="57">
        <v>296</v>
      </c>
      <c r="E402" s="57">
        <v>100</v>
      </c>
      <c r="F402" s="57">
        <v>3.8</v>
      </c>
      <c r="G402" s="57">
        <v>41026</v>
      </c>
      <c r="H402" s="57">
        <v>7</v>
      </c>
      <c r="I402" s="57">
        <v>41036</v>
      </c>
      <c r="J402" s="57">
        <v>2066.4000679787619</v>
      </c>
      <c r="K402" s="57">
        <v>76.144942123804739</v>
      </c>
      <c r="L402" s="57">
        <v>302.60000000000002</v>
      </c>
      <c r="M402" s="57">
        <v>17.399999999999999</v>
      </c>
      <c r="N402" s="57" t="s">
        <v>15</v>
      </c>
      <c r="O402" s="57">
        <v>397.4</v>
      </c>
      <c r="P402" s="57"/>
      <c r="Q402" s="57"/>
      <c r="R402" s="57"/>
      <c r="S402" s="57"/>
      <c r="T402" s="57"/>
      <c r="U402" s="57"/>
      <c r="V402" s="57"/>
      <c r="W402" s="495"/>
      <c r="X402" s="495"/>
      <c r="Y402" s="495"/>
      <c r="Z402" s="451"/>
      <c r="AA402" s="145"/>
      <c r="AB402" s="223"/>
      <c r="AC402" s="22"/>
      <c r="AH402" s="9"/>
      <c r="AJ402" s="27"/>
      <c r="AK402" s="84"/>
      <c r="AM402" s="13"/>
      <c r="AP402"/>
      <c r="AR402"/>
      <c r="AV402"/>
      <c r="AW402"/>
      <c r="AX402"/>
      <c r="AY402"/>
      <c r="AZ402"/>
      <c r="BC402"/>
      <c r="BD402"/>
      <c r="BG402"/>
      <c r="BH402"/>
      <c r="BI402"/>
      <c r="BJ402"/>
      <c r="BS402"/>
      <c r="BU402"/>
      <c r="BV402"/>
      <c r="BX402"/>
    </row>
    <row r="403" spans="1:76" ht="15.75">
      <c r="A403" s="263" t="s">
        <v>377</v>
      </c>
      <c r="B403" s="236" t="s">
        <v>741</v>
      </c>
      <c r="C403" s="57"/>
      <c r="D403" s="57">
        <v>318</v>
      </c>
      <c r="E403" s="57">
        <v>100</v>
      </c>
      <c r="F403" s="57">
        <v>0.75</v>
      </c>
      <c r="G403" s="57">
        <v>41061</v>
      </c>
      <c r="H403" s="57">
        <v>4.5999999999999996</v>
      </c>
      <c r="I403" s="57">
        <v>41088</v>
      </c>
      <c r="J403" s="57">
        <v>2169.8567461294756</v>
      </c>
      <c r="K403" s="57">
        <v>397.83549783549785</v>
      </c>
      <c r="L403" s="57">
        <v>367.6</v>
      </c>
      <c r="M403" s="57">
        <v>17.399999999999999</v>
      </c>
      <c r="N403" s="57" t="s">
        <v>15</v>
      </c>
      <c r="O403" s="57">
        <v>92.4</v>
      </c>
      <c r="P403" s="57"/>
      <c r="Q403" s="57"/>
      <c r="R403" s="57"/>
      <c r="S403" s="57"/>
      <c r="T403" s="57"/>
      <c r="U403" s="57"/>
      <c r="V403" s="57"/>
      <c r="W403" s="495"/>
      <c r="X403" s="495"/>
      <c r="Y403" s="495"/>
      <c r="Z403" s="451"/>
      <c r="AA403" s="145"/>
      <c r="AB403" s="223"/>
      <c r="AC403" s="22"/>
      <c r="AH403" s="9"/>
      <c r="AJ403" s="27"/>
      <c r="AK403" s="84"/>
      <c r="AM403" s="13"/>
      <c r="AP403"/>
      <c r="AR403"/>
      <c r="AV403"/>
      <c r="AW403"/>
      <c r="AX403"/>
      <c r="AY403"/>
      <c r="AZ403"/>
      <c r="BC403"/>
      <c r="BD403"/>
      <c r="BG403"/>
      <c r="BH403"/>
      <c r="BI403"/>
      <c r="BJ403"/>
      <c r="BS403"/>
      <c r="BU403"/>
      <c r="BV403"/>
      <c r="BX403"/>
    </row>
    <row r="404" spans="1:76" ht="15.75">
      <c r="A404" s="263" t="s">
        <v>377</v>
      </c>
      <c r="B404" s="236" t="s">
        <v>771</v>
      </c>
      <c r="C404" s="57"/>
      <c r="D404" s="57">
        <v>358</v>
      </c>
      <c r="E404" s="57">
        <v>100</v>
      </c>
      <c r="F404" s="57">
        <v>4.5</v>
      </c>
      <c r="G404" s="57">
        <v>41093</v>
      </c>
      <c r="H404" s="57">
        <v>6.5</v>
      </c>
      <c r="I404" s="57">
        <v>41133</v>
      </c>
      <c r="J404" s="57">
        <v>300.93058346624417</v>
      </c>
      <c r="K404" s="57">
        <v>39.067180145485658</v>
      </c>
      <c r="L404" s="57">
        <v>182.6</v>
      </c>
      <c r="M404" s="57">
        <v>17.399999999999999</v>
      </c>
      <c r="N404" s="57" t="s">
        <v>15</v>
      </c>
      <c r="O404" s="57">
        <v>467.4</v>
      </c>
      <c r="P404" s="57"/>
      <c r="Q404" s="57"/>
      <c r="R404" s="57"/>
      <c r="S404" s="57"/>
      <c r="T404" s="57"/>
      <c r="U404" s="57"/>
      <c r="V404" s="57"/>
      <c r="W404" s="495"/>
      <c r="X404" s="495"/>
      <c r="Y404" s="495"/>
      <c r="Z404" s="451"/>
      <c r="AA404" s="145"/>
      <c r="AB404" s="223"/>
      <c r="AC404" s="22"/>
      <c r="AH404" s="9"/>
      <c r="AJ404" s="27"/>
      <c r="AK404" s="84"/>
      <c r="AM404" s="13"/>
      <c r="AP404"/>
      <c r="AR404"/>
      <c r="AV404"/>
      <c r="AW404"/>
      <c r="AX404"/>
      <c r="AY404"/>
      <c r="AZ404"/>
      <c r="BC404"/>
      <c r="BD404"/>
      <c r="BG404"/>
      <c r="BH404"/>
      <c r="BI404"/>
      <c r="BJ404"/>
      <c r="BS404"/>
      <c r="BU404"/>
      <c r="BV404"/>
      <c r="BX404"/>
    </row>
    <row r="405" spans="1:76" ht="15.75">
      <c r="A405" s="263" t="s">
        <v>377</v>
      </c>
      <c r="B405" s="236" t="s">
        <v>811</v>
      </c>
      <c r="C405" s="57"/>
      <c r="D405" s="57">
        <v>369</v>
      </c>
      <c r="E405" s="57">
        <v>100</v>
      </c>
      <c r="F405" s="57">
        <v>16</v>
      </c>
      <c r="G405" s="57">
        <v>41142</v>
      </c>
      <c r="H405" s="57">
        <v>4.4000000000000004</v>
      </c>
      <c r="I405" s="57">
        <v>41165</v>
      </c>
      <c r="J405" s="57">
        <v>-2065.9007518197236</v>
      </c>
      <c r="K405" s="57">
        <v>-72.795845183628032</v>
      </c>
      <c r="L405" s="57">
        <v>-1177.4000000000001</v>
      </c>
      <c r="M405" s="57">
        <v>17.399999999999999</v>
      </c>
      <c r="N405" s="57" t="s">
        <v>15</v>
      </c>
      <c r="O405" s="57">
        <v>1617.4</v>
      </c>
      <c r="P405" s="57"/>
      <c r="Q405" s="57"/>
      <c r="R405" s="57"/>
      <c r="S405" s="57"/>
      <c r="T405" s="57"/>
      <c r="U405" s="57"/>
      <c r="V405" s="57"/>
      <c r="W405" s="495"/>
      <c r="X405" s="495"/>
      <c r="Y405" s="495"/>
      <c r="Z405" s="451"/>
      <c r="AA405" s="145"/>
      <c r="AB405" s="223"/>
      <c r="AC405" s="22"/>
      <c r="AH405" s="9"/>
      <c r="AJ405" s="27"/>
      <c r="AK405" s="84"/>
      <c r="AM405" s="13"/>
      <c r="AP405"/>
      <c r="AR405"/>
      <c r="AV405"/>
      <c r="AW405"/>
      <c r="AX405"/>
      <c r="AY405"/>
      <c r="AZ405"/>
      <c r="BC405"/>
      <c r="BD405"/>
      <c r="BG405"/>
      <c r="BH405"/>
      <c r="BI405"/>
      <c r="BJ405"/>
      <c r="BS405"/>
      <c r="BU405"/>
      <c r="BV405"/>
      <c r="BX405"/>
    </row>
    <row r="406" spans="1:76" ht="15.75">
      <c r="A406" s="263" t="s">
        <v>377</v>
      </c>
      <c r="B406" s="236" t="s">
        <v>827</v>
      </c>
      <c r="C406" s="57"/>
      <c r="D406" s="57">
        <v>379</v>
      </c>
      <c r="E406" s="57">
        <v>100</v>
      </c>
      <c r="F406" s="57">
        <v>0.85</v>
      </c>
      <c r="G406" s="57">
        <v>41183</v>
      </c>
      <c r="H406" s="57">
        <v>2.5499999999999998</v>
      </c>
      <c r="I406" s="57">
        <v>41192</v>
      </c>
      <c r="J406" s="57">
        <v>3700.1949320205754</v>
      </c>
      <c r="K406" s="57">
        <v>149.02343749999997</v>
      </c>
      <c r="L406" s="57">
        <v>152.6</v>
      </c>
      <c r="M406" s="57">
        <v>17.399999999999999</v>
      </c>
      <c r="N406" s="57" t="s">
        <v>15</v>
      </c>
      <c r="O406" s="57">
        <v>102.4</v>
      </c>
      <c r="P406" s="57"/>
      <c r="Q406" s="57"/>
      <c r="R406" s="57"/>
      <c r="S406" s="57"/>
      <c r="T406" s="57"/>
      <c r="U406" s="57"/>
      <c r="V406" s="57"/>
      <c r="W406" s="495"/>
      <c r="X406" s="495"/>
      <c r="Y406" s="495"/>
      <c r="Z406" s="451"/>
      <c r="AA406" s="145"/>
      <c r="AB406" s="223"/>
      <c r="AC406" s="22"/>
      <c r="AH406" s="9"/>
      <c r="AJ406" s="27"/>
      <c r="AK406" s="84"/>
      <c r="AM406" s="13"/>
      <c r="AP406"/>
      <c r="AR406"/>
      <c r="AV406"/>
      <c r="AW406"/>
      <c r="AX406"/>
      <c r="AY406"/>
      <c r="AZ406"/>
      <c r="BC406"/>
      <c r="BD406"/>
      <c r="BG406"/>
      <c r="BH406"/>
      <c r="BI406"/>
      <c r="BJ406"/>
      <c r="BS406"/>
      <c r="BU406"/>
      <c r="BV406"/>
      <c r="BX406"/>
    </row>
    <row r="407" spans="1:76" ht="15.75">
      <c r="A407" s="263" t="s">
        <v>377</v>
      </c>
      <c r="B407" s="236" t="s">
        <v>831</v>
      </c>
      <c r="C407" s="57"/>
      <c r="D407" s="57">
        <v>387</v>
      </c>
      <c r="E407" s="57">
        <v>100</v>
      </c>
      <c r="F407" s="57">
        <v>2.2999999999999998</v>
      </c>
      <c r="G407" s="57">
        <v>41193</v>
      </c>
      <c r="H407" s="57">
        <v>5</v>
      </c>
      <c r="I407" s="57">
        <v>41201</v>
      </c>
      <c r="J407" s="57">
        <v>3210.1824754911072</v>
      </c>
      <c r="K407" s="57">
        <v>102.10185933710592</v>
      </c>
      <c r="L407" s="57">
        <v>252.6</v>
      </c>
      <c r="M407" s="57">
        <v>17.399999999999999</v>
      </c>
      <c r="N407" s="57" t="s">
        <v>15</v>
      </c>
      <c r="O407" s="57">
        <v>247.4</v>
      </c>
      <c r="P407" s="57"/>
      <c r="Q407" s="57"/>
      <c r="R407" s="57"/>
      <c r="S407" s="57"/>
      <c r="T407" s="57"/>
      <c r="U407" s="57"/>
      <c r="V407" s="57"/>
      <c r="W407" s="495"/>
      <c r="X407" s="495"/>
      <c r="Y407" s="495"/>
      <c r="Z407" s="451"/>
      <c r="AA407" s="145"/>
      <c r="AB407" s="223"/>
      <c r="AC407" s="22"/>
      <c r="AH407" s="9"/>
      <c r="AJ407" s="27"/>
      <c r="AK407" s="84"/>
      <c r="AM407" s="13"/>
      <c r="AP407"/>
      <c r="AR407"/>
      <c r="AV407"/>
      <c r="AW407"/>
      <c r="AX407"/>
      <c r="AY407"/>
      <c r="AZ407"/>
      <c r="BC407"/>
      <c r="BD407"/>
      <c r="BG407"/>
      <c r="BH407"/>
      <c r="BI407"/>
      <c r="BJ407"/>
      <c r="BS407"/>
      <c r="BU407"/>
      <c r="BV407"/>
      <c r="BX407"/>
    </row>
    <row r="408" spans="1:76" ht="15.75">
      <c r="A408" s="263" t="s">
        <v>377</v>
      </c>
      <c r="B408" s="236" t="s">
        <v>835</v>
      </c>
      <c r="C408" s="57"/>
      <c r="D408" s="57">
        <v>403</v>
      </c>
      <c r="E408" s="57">
        <v>100</v>
      </c>
      <c r="F408" s="57">
        <v>0.5</v>
      </c>
      <c r="G408" s="57">
        <v>41213</v>
      </c>
      <c r="H408" s="57">
        <v>2.65</v>
      </c>
      <c r="I408" s="57">
        <v>41229</v>
      </c>
      <c r="J408" s="57">
        <v>3123.2247184050361</v>
      </c>
      <c r="K408" s="57">
        <v>293.17507418397628</v>
      </c>
      <c r="L408" s="57">
        <v>197.6</v>
      </c>
      <c r="M408" s="57">
        <v>17.399999999999999</v>
      </c>
      <c r="N408" s="57" t="s">
        <v>15</v>
      </c>
      <c r="O408" s="57">
        <v>67.400000000000006</v>
      </c>
      <c r="P408" s="57"/>
      <c r="Q408" s="57"/>
      <c r="R408" s="57"/>
      <c r="S408" s="57"/>
      <c r="T408" s="57"/>
      <c r="U408" s="57"/>
      <c r="V408" s="57"/>
      <c r="W408" s="495"/>
      <c r="X408" s="495"/>
      <c r="Y408" s="495"/>
      <c r="Z408" s="451"/>
      <c r="AA408" s="145"/>
      <c r="AB408" s="223"/>
      <c r="AC408" s="22"/>
      <c r="AH408" s="9"/>
      <c r="AJ408" s="27"/>
      <c r="AK408" s="84"/>
      <c r="AM408" s="13"/>
      <c r="AP408"/>
      <c r="AR408"/>
      <c r="AV408"/>
      <c r="AW408"/>
      <c r="AX408"/>
      <c r="AY408"/>
      <c r="AZ408"/>
      <c r="BC408"/>
      <c r="BD408"/>
      <c r="BG408"/>
      <c r="BH408"/>
      <c r="BI408"/>
      <c r="BJ408"/>
      <c r="BS408"/>
      <c r="BU408"/>
      <c r="BV408"/>
      <c r="BX408"/>
    </row>
    <row r="409" spans="1:76" ht="15.75">
      <c r="A409" s="263" t="s">
        <v>377</v>
      </c>
      <c r="B409" s="236" t="s">
        <v>871</v>
      </c>
      <c r="C409" s="57"/>
      <c r="D409" s="57">
        <v>415</v>
      </c>
      <c r="E409" s="57">
        <v>100</v>
      </c>
      <c r="F409" s="57">
        <v>3.7</v>
      </c>
      <c r="G409" s="57">
        <v>41236</v>
      </c>
      <c r="H409" s="57">
        <v>5.7</v>
      </c>
      <c r="I409" s="57">
        <v>41243</v>
      </c>
      <c r="J409" s="57">
        <v>2013.6456085332943</v>
      </c>
      <c r="K409" s="57">
        <v>47.13474445018069</v>
      </c>
      <c r="L409" s="57">
        <v>182.6</v>
      </c>
      <c r="M409" s="57">
        <v>17.399999999999999</v>
      </c>
      <c r="N409" s="57" t="s">
        <v>15</v>
      </c>
      <c r="O409" s="57">
        <v>387.4</v>
      </c>
      <c r="P409" s="57"/>
      <c r="Q409" s="57"/>
      <c r="R409" s="57"/>
      <c r="S409" s="57"/>
      <c r="T409" s="57"/>
      <c r="U409" s="57"/>
      <c r="V409" s="57"/>
      <c r="W409" s="495"/>
      <c r="X409" s="495"/>
      <c r="Y409" s="495"/>
      <c r="Z409" s="451"/>
      <c r="AA409" s="145"/>
      <c r="AB409" s="223"/>
      <c r="AC409" s="22"/>
      <c r="AH409" s="9"/>
      <c r="AJ409" s="27"/>
      <c r="AK409" s="84"/>
      <c r="AM409" s="13"/>
      <c r="AP409"/>
      <c r="AR409"/>
      <c r="AV409"/>
      <c r="AW409"/>
      <c r="AX409"/>
      <c r="AY409"/>
      <c r="AZ409"/>
      <c r="BC409"/>
      <c r="BD409"/>
      <c r="BG409"/>
      <c r="BH409"/>
      <c r="BI409"/>
      <c r="BJ409"/>
      <c r="BS409"/>
      <c r="BU409"/>
      <c r="BV409"/>
      <c r="BX409"/>
    </row>
    <row r="410" spans="1:76" ht="15.75">
      <c r="A410" s="263" t="s">
        <v>377</v>
      </c>
      <c r="B410" s="236" t="s">
        <v>377</v>
      </c>
      <c r="C410" s="57"/>
      <c r="D410" s="57">
        <v>498</v>
      </c>
      <c r="E410" s="57">
        <v>50</v>
      </c>
      <c r="F410" s="57">
        <v>100</v>
      </c>
      <c r="G410" s="57">
        <v>40808</v>
      </c>
      <c r="H410" s="57">
        <v>40</v>
      </c>
      <c r="I410" s="57">
        <v>41748</v>
      </c>
      <c r="J410" s="57">
        <v>-35.641064494073937</v>
      </c>
      <c r="K410" s="57">
        <v>-60.063499036531915</v>
      </c>
      <c r="L410" s="57">
        <v>-3007.95</v>
      </c>
      <c r="M410" s="57">
        <v>7.95</v>
      </c>
      <c r="N410" s="57" t="s">
        <v>145</v>
      </c>
      <c r="O410" s="57">
        <v>5007.95</v>
      </c>
      <c r="P410" s="57"/>
      <c r="Q410" s="57"/>
      <c r="R410" s="57"/>
      <c r="S410" s="57"/>
      <c r="T410" s="57"/>
      <c r="U410" s="57"/>
      <c r="V410" s="57"/>
      <c r="W410" s="495"/>
      <c r="X410" s="495"/>
      <c r="Y410" s="495"/>
      <c r="Z410" s="451"/>
      <c r="AA410" s="145"/>
      <c r="AB410" s="223"/>
      <c r="AC410" s="22"/>
      <c r="AH410" s="9"/>
      <c r="AJ410" s="27"/>
      <c r="AK410" s="84"/>
      <c r="AM410" s="13"/>
      <c r="AP410"/>
      <c r="AR410"/>
      <c r="AV410"/>
      <c r="AW410"/>
      <c r="AX410"/>
      <c r="AY410"/>
      <c r="AZ410"/>
      <c r="BC410"/>
      <c r="BD410"/>
      <c r="BG410"/>
      <c r="BH410"/>
      <c r="BI410"/>
      <c r="BJ410"/>
      <c r="BS410"/>
      <c r="BU410"/>
      <c r="BV410"/>
      <c r="BX410"/>
    </row>
    <row r="411" spans="1:76" ht="15.75">
      <c r="A411" s="263" t="s">
        <v>377</v>
      </c>
      <c r="B411" s="236" t="s">
        <v>377</v>
      </c>
      <c r="C411" s="57"/>
      <c r="D411" s="57">
        <v>499</v>
      </c>
      <c r="E411" s="57">
        <v>50</v>
      </c>
      <c r="F411" s="57">
        <v>83.5</v>
      </c>
      <c r="G411" s="57">
        <v>41003</v>
      </c>
      <c r="H411" s="57">
        <v>40</v>
      </c>
      <c r="I411" s="57">
        <v>41748</v>
      </c>
      <c r="J411" s="57">
        <v>-36.150656230875839</v>
      </c>
      <c r="K411" s="57">
        <v>-52.186853775445563</v>
      </c>
      <c r="L411" s="57">
        <v>-2182.9499999999998</v>
      </c>
      <c r="M411" s="57">
        <v>7.95</v>
      </c>
      <c r="N411" s="57" t="s">
        <v>145</v>
      </c>
      <c r="O411" s="57">
        <v>4182.95</v>
      </c>
      <c r="P411" s="57"/>
      <c r="Q411" s="57"/>
      <c r="R411" s="57"/>
      <c r="S411" s="57"/>
      <c r="T411" s="57"/>
      <c r="U411" s="57"/>
      <c r="V411" s="57"/>
      <c r="W411" s="495"/>
      <c r="X411" s="495"/>
      <c r="Y411" s="495"/>
      <c r="Z411" s="451"/>
      <c r="AA411" s="145"/>
      <c r="AB411" s="223"/>
      <c r="AC411" s="22"/>
      <c r="AH411" s="9"/>
      <c r="AJ411" s="27"/>
      <c r="AK411" s="84"/>
      <c r="AM411" s="13"/>
      <c r="AP411"/>
      <c r="AR411"/>
      <c r="AV411"/>
      <c r="AW411"/>
      <c r="AX411"/>
      <c r="AY411"/>
      <c r="AZ411"/>
      <c r="BC411"/>
      <c r="BD411"/>
      <c r="BG411"/>
      <c r="BH411"/>
      <c r="BI411"/>
      <c r="BJ411"/>
      <c r="BS411"/>
      <c r="BU411"/>
      <c r="BV411"/>
      <c r="BX411"/>
    </row>
    <row r="412" spans="1:76" ht="15.75">
      <c r="A412" s="263" t="s">
        <v>377</v>
      </c>
      <c r="B412" s="236" t="s">
        <v>990</v>
      </c>
      <c r="C412" s="57"/>
      <c r="D412" s="57">
        <v>500</v>
      </c>
      <c r="E412" s="57">
        <v>100</v>
      </c>
      <c r="F412" s="57">
        <v>0</v>
      </c>
      <c r="G412" s="57">
        <v>41662</v>
      </c>
      <c r="H412" s="57">
        <v>6</v>
      </c>
      <c r="I412" s="57">
        <v>41748</v>
      </c>
      <c r="J412" s="57">
        <v>1305.4257345228923</v>
      </c>
      <c r="K412" s="57">
        <v>1990.5923344947737</v>
      </c>
      <c r="L412" s="57">
        <v>571.29999999999995</v>
      </c>
      <c r="M412" s="57">
        <v>28.7</v>
      </c>
      <c r="N412" s="57" t="s">
        <v>404</v>
      </c>
      <c r="O412" s="57">
        <v>28.7</v>
      </c>
      <c r="P412" s="57"/>
      <c r="Q412" s="57"/>
      <c r="R412" s="57"/>
      <c r="S412" s="57"/>
      <c r="T412" s="57"/>
      <c r="U412" s="57"/>
      <c r="V412" s="57"/>
      <c r="W412" s="495"/>
      <c r="X412" s="495"/>
      <c r="Y412" s="495"/>
      <c r="Z412" s="451"/>
      <c r="AA412" s="145"/>
      <c r="AB412" s="223"/>
      <c r="AC412" s="22"/>
      <c r="AH412" s="9"/>
      <c r="AJ412" s="27"/>
      <c r="AK412" s="84"/>
      <c r="AM412" s="13"/>
      <c r="AP412"/>
      <c r="AR412"/>
      <c r="AV412"/>
      <c r="AW412"/>
      <c r="AX412"/>
      <c r="AY412"/>
      <c r="AZ412"/>
      <c r="BC412"/>
      <c r="BD412"/>
      <c r="BG412"/>
      <c r="BH412"/>
      <c r="BI412"/>
      <c r="BJ412"/>
      <c r="BS412"/>
      <c r="BU412"/>
      <c r="BV412"/>
      <c r="BX412"/>
    </row>
    <row r="413" spans="1:76" ht="15.75">
      <c r="A413" s="263" t="s">
        <v>693</v>
      </c>
      <c r="B413" s="236" t="s">
        <v>694</v>
      </c>
      <c r="C413" s="57"/>
      <c r="D413" s="57">
        <v>330</v>
      </c>
      <c r="E413" s="57">
        <v>200</v>
      </c>
      <c r="F413" s="57">
        <v>1.7</v>
      </c>
      <c r="G413" s="57">
        <v>41031</v>
      </c>
      <c r="H413" s="57">
        <v>3.6</v>
      </c>
      <c r="I413" s="57">
        <v>41096</v>
      </c>
      <c r="J413" s="57">
        <v>390.94724008867217</v>
      </c>
      <c r="K413" s="57">
        <v>100.61298411813875</v>
      </c>
      <c r="L413" s="57">
        <v>361.1</v>
      </c>
      <c r="M413" s="57">
        <v>18.899999999999999</v>
      </c>
      <c r="N413" s="57" t="s">
        <v>278</v>
      </c>
      <c r="O413" s="57">
        <v>358.9</v>
      </c>
      <c r="P413" s="57"/>
      <c r="Q413" s="57"/>
      <c r="R413" s="57"/>
      <c r="S413" s="57"/>
      <c r="T413" s="57"/>
      <c r="U413" s="57"/>
      <c r="V413" s="57"/>
      <c r="W413" s="495"/>
      <c r="X413" s="495"/>
      <c r="Y413" s="495"/>
      <c r="Z413" s="451"/>
      <c r="AA413" s="145"/>
      <c r="AB413" s="223"/>
      <c r="AC413" s="22"/>
      <c r="AH413" s="9"/>
      <c r="AJ413" s="27"/>
      <c r="AK413" s="84"/>
      <c r="AM413" s="13"/>
      <c r="AP413"/>
      <c r="AR413"/>
      <c r="AV413"/>
      <c r="AW413"/>
      <c r="AX413"/>
      <c r="AY413"/>
      <c r="AZ413"/>
      <c r="BC413"/>
      <c r="BD413"/>
      <c r="BG413"/>
      <c r="BH413"/>
      <c r="BI413"/>
      <c r="BJ413"/>
      <c r="BS413"/>
      <c r="BU413"/>
      <c r="BV413"/>
      <c r="BX413"/>
    </row>
    <row r="414" spans="1:76" ht="15.75">
      <c r="A414" s="263" t="s">
        <v>434</v>
      </c>
      <c r="B414" s="236" t="s">
        <v>434</v>
      </c>
      <c r="C414" s="57"/>
      <c r="D414" s="57">
        <v>199</v>
      </c>
      <c r="E414" s="57">
        <v>50</v>
      </c>
      <c r="F414" s="57">
        <v>31</v>
      </c>
      <c r="G414" s="57">
        <v>40891</v>
      </c>
      <c r="H414" s="57">
        <v>35</v>
      </c>
      <c r="I414" s="57">
        <v>40919</v>
      </c>
      <c r="J414" s="57">
        <v>151.53357393296329</v>
      </c>
      <c r="K414" s="57">
        <v>12.327096505022631</v>
      </c>
      <c r="L414" s="57">
        <v>192.05</v>
      </c>
      <c r="M414" s="57">
        <v>7.95</v>
      </c>
      <c r="N414" s="57" t="s">
        <v>145</v>
      </c>
      <c r="O414" s="57">
        <v>1557.95</v>
      </c>
      <c r="P414" s="57"/>
      <c r="Q414" s="57"/>
      <c r="R414" s="57"/>
      <c r="S414" s="57"/>
      <c r="T414" s="57"/>
      <c r="U414" s="57"/>
      <c r="V414" s="57"/>
      <c r="W414" s="495"/>
      <c r="X414" s="495"/>
      <c r="Y414" s="495"/>
      <c r="Z414" s="451"/>
      <c r="AA414" s="145"/>
      <c r="AB414" s="223"/>
      <c r="AC414" s="22"/>
      <c r="AH414" s="9"/>
      <c r="AJ414" s="27"/>
      <c r="AK414" s="84"/>
      <c r="AM414" s="13"/>
      <c r="AP414"/>
      <c r="AR414"/>
      <c r="AV414"/>
      <c r="AW414"/>
      <c r="AX414"/>
      <c r="AY414"/>
      <c r="AZ414"/>
      <c r="BC414"/>
      <c r="BD414"/>
      <c r="BG414"/>
      <c r="BH414"/>
      <c r="BI414"/>
      <c r="BJ414"/>
      <c r="BS414"/>
      <c r="BU414"/>
      <c r="BV414"/>
      <c r="BX414"/>
    </row>
    <row r="415" spans="1:76" ht="15.75">
      <c r="A415" s="263" t="s">
        <v>63</v>
      </c>
      <c r="B415" s="236" t="s">
        <v>782</v>
      </c>
      <c r="C415" s="57"/>
      <c r="D415" s="57">
        <v>350</v>
      </c>
      <c r="E415" s="57">
        <v>100</v>
      </c>
      <c r="F415" s="57">
        <v>3.25</v>
      </c>
      <c r="G415" s="57">
        <v>41108</v>
      </c>
      <c r="H415" s="57">
        <v>4</v>
      </c>
      <c r="I415" s="57">
        <v>41115</v>
      </c>
      <c r="J415" s="57">
        <v>810.74270766777374</v>
      </c>
      <c r="K415" s="57">
        <v>16.822429906542059</v>
      </c>
      <c r="L415" s="57">
        <v>57.6</v>
      </c>
      <c r="M415" s="57">
        <v>17.399999999999999</v>
      </c>
      <c r="N415" s="57" t="s">
        <v>258</v>
      </c>
      <c r="O415" s="57">
        <v>342.4</v>
      </c>
      <c r="P415" s="57"/>
      <c r="Q415" s="57"/>
      <c r="R415" s="57"/>
      <c r="S415" s="57"/>
      <c r="T415" s="57"/>
      <c r="U415" s="57"/>
      <c r="V415" s="57"/>
      <c r="W415" s="495"/>
      <c r="X415" s="495"/>
      <c r="Y415" s="495"/>
      <c r="Z415" s="451"/>
      <c r="AA415" s="145"/>
      <c r="AB415" s="223"/>
      <c r="AC415" s="22"/>
      <c r="AH415" s="9"/>
      <c r="AJ415" s="27"/>
      <c r="AK415" s="84"/>
      <c r="AM415" s="13"/>
      <c r="AP415"/>
      <c r="AR415"/>
      <c r="AV415"/>
      <c r="AW415"/>
      <c r="AX415"/>
      <c r="AY415"/>
      <c r="AZ415"/>
      <c r="BC415"/>
      <c r="BD415"/>
      <c r="BG415"/>
      <c r="BH415"/>
      <c r="BI415"/>
      <c r="BJ415"/>
      <c r="BS415"/>
      <c r="BU415"/>
      <c r="BV415"/>
      <c r="BX415"/>
    </row>
    <row r="416" spans="1:76" ht="15.75">
      <c r="A416" s="263" t="s">
        <v>420</v>
      </c>
      <c r="B416" s="236" t="s">
        <v>420</v>
      </c>
      <c r="C416" s="57"/>
      <c r="D416" s="57">
        <v>143</v>
      </c>
      <c r="E416" s="57">
        <v>100</v>
      </c>
      <c r="F416" s="57">
        <v>33</v>
      </c>
      <c r="G416" s="57">
        <v>40848</v>
      </c>
      <c r="H416" s="57">
        <v>36.5</v>
      </c>
      <c r="I416" s="57">
        <v>40850</v>
      </c>
      <c r="J416" s="57">
        <v>1795.7727239190333</v>
      </c>
      <c r="K416" s="57">
        <v>10.340240934717867</v>
      </c>
      <c r="L416" s="57">
        <v>342.05</v>
      </c>
      <c r="M416" s="57">
        <v>7.95</v>
      </c>
      <c r="N416" s="57" t="s">
        <v>145</v>
      </c>
      <c r="O416" s="57">
        <v>3307.95</v>
      </c>
      <c r="P416" s="57"/>
      <c r="Q416" s="57"/>
      <c r="R416" s="57"/>
      <c r="S416" s="57"/>
      <c r="T416" s="57"/>
      <c r="U416" s="57"/>
      <c r="V416" s="57"/>
      <c r="W416" s="495"/>
      <c r="X416" s="495"/>
      <c r="Y416" s="495"/>
      <c r="Z416" s="451"/>
      <c r="AA416" s="145"/>
      <c r="AB416" s="223"/>
      <c r="AC416" s="22"/>
      <c r="AH416" s="9"/>
      <c r="AJ416" s="27"/>
      <c r="AK416" s="84"/>
      <c r="AM416" s="13"/>
      <c r="AP416"/>
      <c r="AR416"/>
      <c r="AV416"/>
      <c r="AW416"/>
      <c r="AX416"/>
      <c r="AY416"/>
      <c r="AZ416"/>
      <c r="BC416"/>
      <c r="BD416"/>
      <c r="BG416"/>
      <c r="BH416"/>
      <c r="BI416"/>
      <c r="BJ416"/>
      <c r="BS416"/>
      <c r="BU416"/>
      <c r="BV416"/>
      <c r="BX416"/>
    </row>
    <row r="417" spans="1:76" ht="15.75">
      <c r="A417" s="263" t="s">
        <v>109</v>
      </c>
      <c r="B417" s="236" t="s">
        <v>16</v>
      </c>
      <c r="C417" s="57"/>
      <c r="D417" s="57">
        <v>49</v>
      </c>
      <c r="E417" s="57">
        <v>400</v>
      </c>
      <c r="F417" s="57">
        <v>0</v>
      </c>
      <c r="G417" s="57">
        <v>40504</v>
      </c>
      <c r="H417" s="57">
        <v>0.3</v>
      </c>
      <c r="I417" s="57">
        <v>40620</v>
      </c>
      <c r="J417" s="57">
        <v>759.88311702576573</v>
      </c>
      <c r="K417" s="57">
        <v>995.89041095890423</v>
      </c>
      <c r="L417" s="57">
        <v>109.05</v>
      </c>
      <c r="M417" s="57">
        <v>10.95</v>
      </c>
      <c r="N417" s="57" t="s">
        <v>403</v>
      </c>
      <c r="O417" s="57">
        <v>10.95</v>
      </c>
      <c r="P417" s="57"/>
      <c r="Q417" s="57"/>
      <c r="R417" s="57"/>
      <c r="S417" s="57"/>
      <c r="T417" s="57"/>
      <c r="U417" s="57"/>
      <c r="V417" s="57"/>
      <c r="W417" s="495"/>
      <c r="X417" s="495"/>
      <c r="Y417" s="495"/>
      <c r="Z417" s="451"/>
      <c r="AA417" s="145"/>
      <c r="AB417" s="223"/>
      <c r="AC417" s="22"/>
      <c r="AH417" s="9"/>
      <c r="AJ417" s="27"/>
      <c r="AK417" s="84"/>
      <c r="AM417" s="13"/>
      <c r="AP417"/>
      <c r="AR417"/>
      <c r="AV417"/>
      <c r="AW417"/>
      <c r="AX417"/>
      <c r="AY417"/>
      <c r="AZ417"/>
      <c r="BC417"/>
      <c r="BD417"/>
      <c r="BG417"/>
      <c r="BH417"/>
      <c r="BI417"/>
      <c r="BJ417"/>
      <c r="BS417"/>
      <c r="BU417"/>
      <c r="BV417"/>
      <c r="BX417"/>
    </row>
    <row r="418" spans="1:76" ht="15.75">
      <c r="A418" s="263" t="s">
        <v>109</v>
      </c>
      <c r="B418" s="236" t="s">
        <v>286</v>
      </c>
      <c r="C418" s="57"/>
      <c r="D418" s="57">
        <v>69</v>
      </c>
      <c r="E418" s="57">
        <v>400</v>
      </c>
      <c r="F418" s="57">
        <v>0.02</v>
      </c>
      <c r="G418" s="57">
        <v>40623</v>
      </c>
      <c r="H418" s="57">
        <v>0.55000000000000004</v>
      </c>
      <c r="I418" s="57">
        <v>40712</v>
      </c>
      <c r="J418" s="57">
        <v>818.48956075712147</v>
      </c>
      <c r="K418" s="57">
        <v>635.78595317725762</v>
      </c>
      <c r="L418" s="57">
        <v>190.1</v>
      </c>
      <c r="M418" s="57">
        <v>21.9</v>
      </c>
      <c r="N418" s="57" t="s">
        <v>15</v>
      </c>
      <c r="O418" s="57">
        <v>29.9</v>
      </c>
      <c r="P418" s="57"/>
      <c r="Q418" s="57"/>
      <c r="R418" s="57"/>
      <c r="S418" s="57"/>
      <c r="T418" s="57"/>
      <c r="U418" s="57"/>
      <c r="V418" s="57"/>
      <c r="W418" s="495"/>
      <c r="X418" s="495"/>
      <c r="Y418" s="495"/>
      <c r="Z418" s="451"/>
      <c r="AA418" s="145"/>
      <c r="AB418" s="223"/>
      <c r="AC418" s="22"/>
      <c r="AH418" s="9"/>
      <c r="AJ418" s="27"/>
      <c r="AK418" s="84"/>
      <c r="AM418" s="13"/>
      <c r="AP418"/>
      <c r="AR418"/>
      <c r="AV418"/>
      <c r="AW418"/>
      <c r="AX418"/>
      <c r="AY418"/>
      <c r="AZ418"/>
      <c r="BC418"/>
      <c r="BD418"/>
      <c r="BG418"/>
      <c r="BH418"/>
      <c r="BI418"/>
      <c r="BJ418"/>
      <c r="BS418"/>
      <c r="BU418"/>
      <c r="BV418"/>
      <c r="BX418"/>
    </row>
    <row r="419" spans="1:76" ht="15.75">
      <c r="A419" s="263" t="s">
        <v>109</v>
      </c>
      <c r="B419" s="236" t="s">
        <v>360</v>
      </c>
      <c r="C419" s="57"/>
      <c r="D419" s="57">
        <v>164</v>
      </c>
      <c r="E419" s="57">
        <v>400</v>
      </c>
      <c r="F419" s="57">
        <v>0.1</v>
      </c>
      <c r="G419" s="57">
        <v>40729</v>
      </c>
      <c r="H419" s="57">
        <v>1.75</v>
      </c>
      <c r="I419" s="57">
        <v>40868</v>
      </c>
      <c r="J419" s="57">
        <v>636.92766669337527</v>
      </c>
      <c r="K419" s="57">
        <v>1030.8562197092083</v>
      </c>
      <c r="L419" s="57">
        <v>638.1</v>
      </c>
      <c r="M419" s="57">
        <v>21.9</v>
      </c>
      <c r="N419" s="57" t="s">
        <v>15</v>
      </c>
      <c r="O419" s="57">
        <v>61.9</v>
      </c>
      <c r="P419" s="57"/>
      <c r="Q419" s="57"/>
      <c r="R419" s="57"/>
      <c r="S419" s="57"/>
      <c r="T419" s="57"/>
      <c r="U419" s="57"/>
      <c r="V419" s="57"/>
      <c r="W419" s="495"/>
      <c r="X419" s="495"/>
      <c r="Y419" s="495"/>
      <c r="Z419" s="451"/>
      <c r="AA419" s="145"/>
      <c r="AB419" s="223"/>
      <c r="AC419" s="22"/>
      <c r="AH419" s="9"/>
      <c r="AJ419" s="27"/>
      <c r="AK419" s="84"/>
      <c r="AM419" s="13"/>
      <c r="AP419"/>
      <c r="AR419"/>
      <c r="AV419"/>
      <c r="AW419"/>
      <c r="AX419"/>
      <c r="AY419"/>
      <c r="AZ419"/>
      <c r="BC419"/>
      <c r="BD419"/>
      <c r="BG419"/>
      <c r="BH419"/>
      <c r="BI419"/>
      <c r="BJ419"/>
      <c r="BS419"/>
      <c r="BU419"/>
      <c r="BV419"/>
      <c r="BX419"/>
    </row>
    <row r="420" spans="1:76" ht="15.75">
      <c r="A420" s="263" t="s">
        <v>109</v>
      </c>
      <c r="B420" s="236" t="s">
        <v>452</v>
      </c>
      <c r="C420" s="57"/>
      <c r="D420" s="57">
        <v>186</v>
      </c>
      <c r="E420" s="57">
        <v>400</v>
      </c>
      <c r="F420" s="57">
        <v>0</v>
      </c>
      <c r="G420" s="57">
        <v>40877</v>
      </c>
      <c r="H420" s="57">
        <v>0.25</v>
      </c>
      <c r="I420" s="57">
        <v>40894</v>
      </c>
      <c r="J420" s="57">
        <v>4748.9306844108078</v>
      </c>
      <c r="K420" s="57">
        <v>813.24200913242032</v>
      </c>
      <c r="L420" s="57">
        <v>89.05</v>
      </c>
      <c r="M420" s="57">
        <v>10.95</v>
      </c>
      <c r="N420" s="57" t="s">
        <v>403</v>
      </c>
      <c r="O420" s="57">
        <v>10.95</v>
      </c>
      <c r="P420" s="57"/>
      <c r="Q420" s="57"/>
      <c r="R420" s="57"/>
      <c r="S420" s="57"/>
      <c r="T420" s="57"/>
      <c r="U420" s="57"/>
      <c r="V420" s="57"/>
      <c r="W420" s="495"/>
      <c r="X420" s="495"/>
      <c r="Y420" s="495"/>
      <c r="Z420" s="451"/>
      <c r="AA420" s="145"/>
      <c r="AB420" s="223"/>
      <c r="AC420" s="22"/>
      <c r="AH420" s="9"/>
      <c r="AJ420" s="27"/>
      <c r="AK420" s="84"/>
      <c r="AM420" s="13"/>
      <c r="AP420"/>
      <c r="AR420"/>
      <c r="AV420"/>
      <c r="AW420"/>
      <c r="AX420"/>
      <c r="AY420"/>
      <c r="AZ420"/>
      <c r="BC420"/>
      <c r="BD420"/>
      <c r="BG420"/>
      <c r="BH420"/>
      <c r="BI420"/>
      <c r="BJ420"/>
      <c r="BS420"/>
      <c r="BU420"/>
      <c r="BV420"/>
      <c r="BX420"/>
    </row>
    <row r="421" spans="1:76" ht="15.75">
      <c r="A421" s="263" t="s">
        <v>109</v>
      </c>
      <c r="B421" s="236" t="s">
        <v>480</v>
      </c>
      <c r="C421" s="57"/>
      <c r="D421" s="57">
        <v>299</v>
      </c>
      <c r="E421" s="57">
        <v>400</v>
      </c>
      <c r="F421" s="57">
        <v>1.1499999999999999</v>
      </c>
      <c r="G421" s="57">
        <v>40911</v>
      </c>
      <c r="H421" s="57">
        <v>2</v>
      </c>
      <c r="I421" s="57">
        <v>41047</v>
      </c>
      <c r="J421" s="57">
        <v>137.0440096058509</v>
      </c>
      <c r="K421" s="57">
        <v>66.00954554886907</v>
      </c>
      <c r="L421" s="57">
        <v>318.10000000000002</v>
      </c>
      <c r="M421" s="57">
        <v>21.9</v>
      </c>
      <c r="N421" s="57" t="s">
        <v>15</v>
      </c>
      <c r="O421" s="57">
        <v>481.9</v>
      </c>
      <c r="P421" s="57"/>
      <c r="Q421" s="57"/>
      <c r="R421" s="57"/>
      <c r="S421" s="57"/>
      <c r="T421" s="57"/>
      <c r="U421" s="57"/>
      <c r="V421" s="57"/>
      <c r="W421" s="495"/>
      <c r="X421" s="495"/>
      <c r="Y421" s="495"/>
      <c r="Z421" s="451"/>
      <c r="AA421" s="145"/>
      <c r="AB421" s="223"/>
      <c r="AC421" s="22"/>
      <c r="AH421" s="9"/>
      <c r="AJ421" s="27"/>
      <c r="AK421" s="84"/>
      <c r="AM421" s="13"/>
      <c r="AP421"/>
      <c r="AR421"/>
      <c r="AV421"/>
      <c r="AW421"/>
      <c r="AX421"/>
      <c r="AY421"/>
      <c r="AZ421"/>
      <c r="BC421"/>
      <c r="BD421"/>
      <c r="BG421"/>
      <c r="BH421"/>
      <c r="BI421"/>
      <c r="BJ421"/>
      <c r="BS421"/>
      <c r="BU421"/>
      <c r="BV421"/>
      <c r="BX421"/>
    </row>
    <row r="422" spans="1:76" ht="15.75">
      <c r="A422" s="263" t="s">
        <v>109</v>
      </c>
      <c r="B422" s="236" t="s">
        <v>760</v>
      </c>
      <c r="C422" s="57"/>
      <c r="D422" s="57">
        <v>368</v>
      </c>
      <c r="E422" s="57">
        <v>400</v>
      </c>
      <c r="F422" s="57">
        <v>0.2</v>
      </c>
      <c r="G422" s="57">
        <v>41082</v>
      </c>
      <c r="H422" s="57">
        <v>0.65</v>
      </c>
      <c r="I422" s="57">
        <v>41163</v>
      </c>
      <c r="J422" s="57">
        <v>422.08856436691315</v>
      </c>
      <c r="K422" s="57">
        <v>155.15210991167808</v>
      </c>
      <c r="L422" s="57">
        <v>158.1</v>
      </c>
      <c r="M422" s="57">
        <v>21.9</v>
      </c>
      <c r="N422" s="57" t="s">
        <v>15</v>
      </c>
      <c r="O422" s="57">
        <v>101.9</v>
      </c>
      <c r="P422" s="57"/>
      <c r="Q422" s="57"/>
      <c r="R422" s="57"/>
      <c r="S422" s="57"/>
      <c r="T422" s="57"/>
      <c r="U422" s="57"/>
      <c r="V422" s="57"/>
      <c r="W422" s="495"/>
      <c r="X422" s="495"/>
      <c r="Y422" s="495"/>
      <c r="Z422" s="451"/>
      <c r="AA422" s="145"/>
      <c r="AB422" s="223"/>
      <c r="AC422" s="22"/>
      <c r="AH422" s="9"/>
      <c r="AJ422" s="27"/>
      <c r="AK422" s="84"/>
      <c r="AM422" s="13"/>
      <c r="AP422"/>
      <c r="AR422"/>
      <c r="AV422"/>
      <c r="AW422"/>
      <c r="AX422"/>
      <c r="AY422"/>
      <c r="AZ422"/>
      <c r="BC422"/>
      <c r="BD422"/>
      <c r="BG422"/>
      <c r="BH422"/>
      <c r="BI422"/>
      <c r="BJ422"/>
      <c r="BS422"/>
      <c r="BU422"/>
      <c r="BV422"/>
      <c r="BX422"/>
    </row>
    <row r="423" spans="1:76" ht="15.75">
      <c r="A423" s="263" t="s">
        <v>109</v>
      </c>
      <c r="B423" s="236" t="s">
        <v>822</v>
      </c>
      <c r="C423" s="57"/>
      <c r="D423" s="57">
        <v>425</v>
      </c>
      <c r="E423" s="57">
        <v>400</v>
      </c>
      <c r="F423" s="57">
        <v>0</v>
      </c>
      <c r="G423" s="57">
        <v>41171</v>
      </c>
      <c r="H423" s="57">
        <v>0.55000000000000004</v>
      </c>
      <c r="I423" s="57">
        <v>41265</v>
      </c>
      <c r="J423" s="57">
        <v>1165.0054817902085</v>
      </c>
      <c r="K423" s="57">
        <v>1909.1324200913243</v>
      </c>
      <c r="L423" s="57">
        <v>209.05</v>
      </c>
      <c r="M423" s="57">
        <v>10.95</v>
      </c>
      <c r="N423" s="57" t="s">
        <v>403</v>
      </c>
      <c r="O423" s="57">
        <v>10.95</v>
      </c>
      <c r="P423" s="57"/>
      <c r="Q423" s="57"/>
      <c r="R423" s="57"/>
      <c r="S423" s="57"/>
      <c r="T423" s="57"/>
      <c r="U423" s="57"/>
      <c r="V423" s="57"/>
      <c r="W423" s="495"/>
      <c r="X423" s="495"/>
      <c r="Y423" s="495"/>
      <c r="Z423" s="451"/>
      <c r="AA423" s="145"/>
      <c r="AB423" s="223"/>
      <c r="AC423" s="22"/>
      <c r="AH423" s="9"/>
      <c r="AJ423" s="27"/>
      <c r="AK423" s="84"/>
      <c r="AM423" s="13"/>
      <c r="AP423"/>
      <c r="AR423"/>
      <c r="AV423"/>
      <c r="AW423"/>
      <c r="AX423"/>
      <c r="AY423"/>
      <c r="AZ423"/>
      <c r="BC423"/>
      <c r="BD423"/>
      <c r="BG423"/>
      <c r="BH423"/>
      <c r="BI423"/>
      <c r="BJ423"/>
      <c r="BS423"/>
      <c r="BU423"/>
      <c r="BV423"/>
      <c r="BX423"/>
    </row>
    <row r="424" spans="1:76" ht="15.75">
      <c r="A424" s="263" t="s">
        <v>109</v>
      </c>
      <c r="B424" s="236" t="s">
        <v>109</v>
      </c>
      <c r="C424" s="57"/>
      <c r="D424" s="57">
        <v>432</v>
      </c>
      <c r="E424" s="57">
        <v>400</v>
      </c>
      <c r="F424" s="57">
        <v>11</v>
      </c>
      <c r="G424" s="57">
        <v>40184</v>
      </c>
      <c r="H424" s="57">
        <v>3.6</v>
      </c>
      <c r="I424" s="57">
        <v>41274</v>
      </c>
      <c r="J424" s="57">
        <v>-37.463285737868681</v>
      </c>
      <c r="K424" s="57">
        <v>-67.331752855635841</v>
      </c>
      <c r="L424" s="57">
        <v>-2967.95</v>
      </c>
      <c r="M424" s="57">
        <v>7.95</v>
      </c>
      <c r="N424" s="57" t="s">
        <v>145</v>
      </c>
      <c r="O424" s="57">
        <v>4407.95</v>
      </c>
      <c r="P424" s="57"/>
      <c r="Q424" s="57"/>
      <c r="R424" s="57"/>
      <c r="S424" s="57"/>
      <c r="T424" s="57"/>
      <c r="U424" s="57"/>
      <c r="V424" s="57"/>
      <c r="W424" s="495"/>
      <c r="X424" s="495"/>
      <c r="Y424" s="495"/>
      <c r="Z424" s="451"/>
      <c r="AA424" s="145"/>
      <c r="AB424" s="223"/>
      <c r="AC424" s="22"/>
      <c r="AH424" s="9"/>
      <c r="AJ424" s="27"/>
      <c r="AK424" s="84"/>
      <c r="AM424" s="13"/>
      <c r="AP424"/>
      <c r="AR424"/>
      <c r="AV424"/>
      <c r="AW424"/>
      <c r="AX424"/>
      <c r="AY424"/>
      <c r="AZ424"/>
      <c r="BC424"/>
      <c r="BD424"/>
      <c r="BG424"/>
      <c r="BH424"/>
      <c r="BI424"/>
      <c r="BJ424"/>
      <c r="BS424"/>
      <c r="BU424"/>
      <c r="BV424"/>
      <c r="BX424"/>
    </row>
    <row r="425" spans="1:76" ht="15.75">
      <c r="A425" s="263" t="s">
        <v>9</v>
      </c>
      <c r="B425" s="236" t="s">
        <v>799</v>
      </c>
      <c r="C425" s="57"/>
      <c r="D425" s="57">
        <v>396</v>
      </c>
      <c r="E425" s="57">
        <v>100</v>
      </c>
      <c r="F425" s="57">
        <v>3.5</v>
      </c>
      <c r="G425" s="57">
        <v>41117</v>
      </c>
      <c r="H425" s="57">
        <v>4</v>
      </c>
      <c r="I425" s="57">
        <v>41221</v>
      </c>
      <c r="J425" s="57">
        <v>29.836424643595365</v>
      </c>
      <c r="K425" s="57">
        <v>8.8731627653783374</v>
      </c>
      <c r="L425" s="57">
        <v>32.6</v>
      </c>
      <c r="M425" s="57">
        <v>17.399999999999999</v>
      </c>
      <c r="N425" s="57" t="s">
        <v>258</v>
      </c>
      <c r="O425" s="57">
        <v>367.4</v>
      </c>
      <c r="P425" s="57"/>
      <c r="Q425" s="57"/>
      <c r="R425" s="57"/>
      <c r="S425" s="57"/>
      <c r="T425" s="57"/>
      <c r="U425" s="57"/>
      <c r="V425" s="57"/>
      <c r="W425" s="495"/>
      <c r="X425" s="495"/>
      <c r="Y425" s="495"/>
      <c r="Z425" s="451"/>
      <c r="AA425" s="145"/>
      <c r="AB425" s="223"/>
      <c r="AC425" s="22"/>
      <c r="AH425" s="9"/>
      <c r="AJ425" s="27"/>
      <c r="AK425" s="84"/>
      <c r="AM425" s="13"/>
      <c r="AP425"/>
      <c r="AR425"/>
      <c r="AV425"/>
      <c r="AW425"/>
      <c r="AX425"/>
      <c r="AY425"/>
      <c r="AZ425"/>
      <c r="BC425"/>
      <c r="BD425"/>
      <c r="BG425"/>
      <c r="BH425"/>
      <c r="BI425"/>
      <c r="BJ425"/>
      <c r="BS425"/>
      <c r="BU425"/>
      <c r="BV425"/>
      <c r="BX425"/>
    </row>
    <row r="426" spans="1:76" ht="15.75">
      <c r="A426" s="263" t="s">
        <v>138</v>
      </c>
      <c r="B426" s="236" t="s">
        <v>311</v>
      </c>
      <c r="C426" s="57"/>
      <c r="D426" s="57">
        <v>84</v>
      </c>
      <c r="E426" s="57">
        <v>100</v>
      </c>
      <c r="F426" s="57">
        <v>0</v>
      </c>
      <c r="G426" s="57">
        <v>40564</v>
      </c>
      <c r="H426" s="57">
        <v>1.25</v>
      </c>
      <c r="I426" s="57">
        <v>40739</v>
      </c>
      <c r="J426" s="57">
        <v>559.03540790186412</v>
      </c>
      <c r="K426" s="57">
        <v>1336.7816091954023</v>
      </c>
      <c r="L426" s="57">
        <v>116.3</v>
      </c>
      <c r="M426" s="57">
        <v>8.6999999999999993</v>
      </c>
      <c r="N426" s="57" t="s">
        <v>403</v>
      </c>
      <c r="O426" s="57">
        <v>8.6999999999999993</v>
      </c>
      <c r="P426" s="57"/>
      <c r="Q426" s="57"/>
      <c r="R426" s="57"/>
      <c r="S426" s="57"/>
      <c r="T426" s="57"/>
      <c r="U426" s="57"/>
      <c r="V426" s="57"/>
      <c r="W426" s="495"/>
      <c r="X426" s="495"/>
      <c r="Y426" s="495"/>
      <c r="Z426" s="451"/>
      <c r="AA426" s="145"/>
      <c r="AB426" s="223"/>
      <c r="AC426" s="22"/>
      <c r="AH426" s="9"/>
      <c r="AJ426" s="27"/>
      <c r="AK426" s="84"/>
      <c r="AM426" s="13"/>
      <c r="AP426"/>
      <c r="AR426"/>
      <c r="AV426"/>
      <c r="AW426"/>
      <c r="AX426"/>
      <c r="AY426"/>
      <c r="AZ426"/>
      <c r="BC426"/>
      <c r="BD426"/>
      <c r="BG426"/>
      <c r="BH426"/>
      <c r="BI426"/>
      <c r="BJ426"/>
      <c r="BS426"/>
      <c r="BU426"/>
      <c r="BV426"/>
      <c r="BX426"/>
    </row>
    <row r="427" spans="1:76" ht="15.75">
      <c r="A427" s="263" t="s">
        <v>383</v>
      </c>
      <c r="B427" s="236" t="s">
        <v>383</v>
      </c>
      <c r="C427" s="57"/>
      <c r="D427" s="57">
        <v>197</v>
      </c>
      <c r="E427" s="57">
        <v>120</v>
      </c>
      <c r="F427" s="57">
        <v>11.5</v>
      </c>
      <c r="G427" s="57">
        <v>40200</v>
      </c>
      <c r="H427" s="57">
        <v>0.81</v>
      </c>
      <c r="I427" s="57">
        <v>40907</v>
      </c>
      <c r="J427" s="57">
        <v>-137.2654212379513</v>
      </c>
      <c r="K427" s="57">
        <v>-92.996865881335779</v>
      </c>
      <c r="L427" s="57">
        <v>-1290.75</v>
      </c>
      <c r="M427" s="57">
        <v>7.95</v>
      </c>
      <c r="N427" s="57" t="s">
        <v>145</v>
      </c>
      <c r="O427" s="57">
        <v>1387.95</v>
      </c>
      <c r="P427" s="57"/>
      <c r="Q427" s="57"/>
      <c r="R427" s="57"/>
      <c r="S427" s="57"/>
      <c r="T427" s="57"/>
      <c r="U427" s="57"/>
      <c r="V427" s="57"/>
      <c r="W427" s="495"/>
      <c r="X427" s="495"/>
      <c r="Y427" s="495"/>
      <c r="Z427" s="451"/>
      <c r="AA427" s="145"/>
      <c r="AB427" s="223"/>
      <c r="AC427" s="22"/>
      <c r="AH427" s="9"/>
      <c r="AJ427" s="27"/>
      <c r="AK427" s="84"/>
      <c r="AM427" s="13"/>
      <c r="AP427"/>
      <c r="AR427"/>
      <c r="AV427"/>
      <c r="AW427"/>
      <c r="AX427"/>
      <c r="AY427"/>
      <c r="AZ427"/>
      <c r="BC427"/>
      <c r="BD427"/>
      <c r="BG427"/>
      <c r="BH427"/>
      <c r="BI427"/>
      <c r="BJ427"/>
      <c r="BS427"/>
      <c r="BU427"/>
      <c r="BV427"/>
      <c r="BX427"/>
    </row>
    <row r="428" spans="1:76" ht="15.75">
      <c r="A428" s="263" t="s">
        <v>256</v>
      </c>
      <c r="B428" s="236" t="s">
        <v>473</v>
      </c>
      <c r="C428" s="57"/>
      <c r="D428" s="57">
        <v>286</v>
      </c>
      <c r="E428" s="57">
        <v>500</v>
      </c>
      <c r="F428" s="57">
        <v>3.4</v>
      </c>
      <c r="G428" s="57">
        <v>40900</v>
      </c>
      <c r="H428" s="57">
        <v>0.01</v>
      </c>
      <c r="I428" s="57">
        <v>41021</v>
      </c>
      <c r="J428" s="57">
        <v>-1775.0571702272032</v>
      </c>
      <c r="K428" s="57">
        <v>-99.707892738213474</v>
      </c>
      <c r="L428" s="57">
        <v>-1706.7</v>
      </c>
      <c r="M428" s="57">
        <v>11.7</v>
      </c>
      <c r="N428" s="57" t="s">
        <v>233</v>
      </c>
      <c r="O428" s="57">
        <v>1711.7</v>
      </c>
      <c r="P428" s="57"/>
      <c r="Q428" s="57"/>
      <c r="R428" s="57"/>
      <c r="S428" s="57"/>
      <c r="T428" s="57"/>
      <c r="U428" s="57"/>
      <c r="V428" s="57"/>
      <c r="W428" s="495"/>
      <c r="X428" s="495"/>
      <c r="Y428" s="495"/>
      <c r="Z428" s="451"/>
      <c r="AA428" s="145"/>
      <c r="AB428" s="223"/>
      <c r="AC428" s="22"/>
      <c r="AH428" s="9"/>
      <c r="AJ428" s="27"/>
      <c r="AK428" s="84"/>
      <c r="AM428" s="13"/>
      <c r="AP428"/>
      <c r="AR428"/>
      <c r="AV428"/>
      <c r="AW428"/>
      <c r="AX428"/>
      <c r="AY428"/>
      <c r="AZ428"/>
      <c r="BC428"/>
      <c r="BD428"/>
      <c r="BG428"/>
      <c r="BH428"/>
      <c r="BI428"/>
      <c r="BJ428"/>
      <c r="BS428"/>
      <c r="BU428"/>
      <c r="BV428"/>
      <c r="BX428"/>
    </row>
    <row r="429" spans="1:76" ht="15.75">
      <c r="A429" s="263" t="s">
        <v>10</v>
      </c>
      <c r="B429" s="236" t="s">
        <v>373</v>
      </c>
      <c r="C429" s="57"/>
      <c r="D429" s="57">
        <v>154</v>
      </c>
      <c r="E429" s="57">
        <v>500</v>
      </c>
      <c r="F429" s="57">
        <v>0</v>
      </c>
      <c r="G429" s="57">
        <v>40805</v>
      </c>
      <c r="H429" s="57">
        <v>0.35</v>
      </c>
      <c r="I429" s="57">
        <v>40862</v>
      </c>
      <c r="J429" s="57">
        <v>1732.2753565328569</v>
      </c>
      <c r="K429" s="57">
        <v>1395.7264957264958</v>
      </c>
      <c r="L429" s="57">
        <v>163.30000000000001</v>
      </c>
      <c r="M429" s="57">
        <v>11.7</v>
      </c>
      <c r="N429" s="57" t="s">
        <v>403</v>
      </c>
      <c r="O429" s="57">
        <v>11.7</v>
      </c>
      <c r="P429" s="57"/>
      <c r="Q429" s="57"/>
      <c r="R429" s="57"/>
      <c r="S429" s="57"/>
      <c r="T429" s="57"/>
      <c r="U429" s="57"/>
      <c r="V429" s="57"/>
      <c r="W429" s="495"/>
      <c r="X429" s="495"/>
      <c r="Y429" s="495"/>
      <c r="Z429" s="451"/>
      <c r="AA429" s="145"/>
      <c r="AB429" s="223"/>
      <c r="AC429" s="22"/>
      <c r="AH429" s="9"/>
      <c r="AJ429" s="27"/>
      <c r="AK429" s="84"/>
      <c r="AM429" s="13"/>
      <c r="AP429"/>
      <c r="AR429"/>
      <c r="AV429"/>
      <c r="AW429"/>
      <c r="AX429"/>
      <c r="AY429"/>
      <c r="AZ429"/>
      <c r="BC429"/>
      <c r="BD429"/>
      <c r="BG429"/>
      <c r="BH429"/>
      <c r="BI429"/>
      <c r="BJ429"/>
      <c r="BS429"/>
      <c r="BU429"/>
      <c r="BV429"/>
      <c r="BX429"/>
    </row>
    <row r="430" spans="1:76" ht="15.75">
      <c r="A430" s="263" t="s">
        <v>10</v>
      </c>
      <c r="B430" s="236" t="s">
        <v>10</v>
      </c>
      <c r="C430" s="57"/>
      <c r="D430" s="57">
        <v>192</v>
      </c>
      <c r="E430" s="57">
        <v>300</v>
      </c>
      <c r="F430" s="57">
        <v>12.54</v>
      </c>
      <c r="G430" s="57">
        <v>40804</v>
      </c>
      <c r="H430" s="57">
        <v>11</v>
      </c>
      <c r="I430" s="57">
        <v>40905</v>
      </c>
      <c r="J430" s="57">
        <v>-48.114686791608094</v>
      </c>
      <c r="K430" s="57">
        <v>-12.46568256873433</v>
      </c>
      <c r="L430" s="57">
        <v>-469.95</v>
      </c>
      <c r="M430" s="57">
        <v>7.95</v>
      </c>
      <c r="N430" s="57" t="s">
        <v>145</v>
      </c>
      <c r="O430" s="57">
        <v>3769.95</v>
      </c>
      <c r="P430" s="57"/>
      <c r="Q430" s="57"/>
      <c r="R430" s="57"/>
      <c r="S430" s="57"/>
      <c r="T430" s="57"/>
      <c r="U430" s="57"/>
      <c r="V430" s="57"/>
      <c r="W430" s="495"/>
      <c r="X430" s="495"/>
      <c r="Y430" s="495"/>
      <c r="Z430" s="451"/>
      <c r="AA430" s="145"/>
      <c r="AB430" s="223"/>
      <c r="AC430" s="22"/>
      <c r="AH430" s="9"/>
      <c r="AJ430" s="27"/>
      <c r="AK430" s="84"/>
      <c r="AM430" s="13"/>
      <c r="AP430"/>
      <c r="AR430"/>
      <c r="AV430"/>
      <c r="AW430"/>
      <c r="AX430"/>
      <c r="AY430"/>
      <c r="AZ430"/>
      <c r="BC430"/>
      <c r="BD430"/>
      <c r="BG430"/>
      <c r="BH430"/>
      <c r="BI430"/>
      <c r="BJ430"/>
      <c r="BS430"/>
      <c r="BU430"/>
      <c r="BV430"/>
      <c r="BX430"/>
    </row>
    <row r="431" spans="1:76" ht="15.75">
      <c r="A431" s="263" t="s">
        <v>10</v>
      </c>
      <c r="B431" s="236" t="s">
        <v>464</v>
      </c>
      <c r="C431" s="57"/>
      <c r="D431" s="57">
        <v>193</v>
      </c>
      <c r="E431" s="57">
        <v>300</v>
      </c>
      <c r="F431" s="57">
        <v>0</v>
      </c>
      <c r="G431" s="57">
        <v>40897</v>
      </c>
      <c r="H431" s="57">
        <v>0.8</v>
      </c>
      <c r="I431" s="57">
        <v>40905</v>
      </c>
      <c r="J431" s="57">
        <v>9457.1363077603255</v>
      </c>
      <c r="K431" s="57">
        <v>694.70198675496704</v>
      </c>
      <c r="L431" s="57">
        <v>209.8</v>
      </c>
      <c r="M431" s="57">
        <v>30.2</v>
      </c>
      <c r="N431" s="57" t="s">
        <v>404</v>
      </c>
      <c r="O431" s="57">
        <v>30.2</v>
      </c>
      <c r="P431" s="57"/>
      <c r="Q431" s="57"/>
      <c r="R431" s="57"/>
      <c r="S431" s="57"/>
      <c r="T431" s="57"/>
      <c r="U431" s="57"/>
      <c r="V431" s="57"/>
      <c r="W431" s="495"/>
      <c r="X431" s="495"/>
      <c r="Y431" s="495"/>
      <c r="Z431" s="451"/>
      <c r="AA431" s="145"/>
      <c r="AB431" s="223"/>
      <c r="AC431" s="22"/>
      <c r="AH431" s="9"/>
      <c r="AJ431" s="27"/>
      <c r="AK431" s="84"/>
      <c r="AM431" s="13"/>
      <c r="AP431"/>
      <c r="AR431"/>
      <c r="AV431"/>
      <c r="AW431"/>
      <c r="AX431"/>
      <c r="AY431"/>
      <c r="AZ431"/>
      <c r="BC431"/>
      <c r="BD431"/>
      <c r="BG431"/>
      <c r="BH431"/>
      <c r="BI431"/>
      <c r="BJ431"/>
      <c r="BS431"/>
      <c r="BU431"/>
      <c r="BV431"/>
      <c r="BX431"/>
    </row>
    <row r="432" spans="1:76" ht="15.75">
      <c r="A432" s="263" t="s">
        <v>10</v>
      </c>
      <c r="B432" s="236" t="s">
        <v>10</v>
      </c>
      <c r="C432" s="57"/>
      <c r="D432" s="57">
        <v>208</v>
      </c>
      <c r="E432" s="57">
        <v>200</v>
      </c>
      <c r="F432" s="57">
        <v>12.535500000000001</v>
      </c>
      <c r="G432" s="57">
        <v>40804</v>
      </c>
      <c r="H432" s="57">
        <v>11</v>
      </c>
      <c r="I432" s="57">
        <v>40930</v>
      </c>
      <c r="J432" s="57">
        <v>-38.769756470249646</v>
      </c>
      <c r="K432" s="57">
        <v>-12.526589928629653</v>
      </c>
      <c r="L432" s="57">
        <v>-315.05</v>
      </c>
      <c r="M432" s="57">
        <v>7.95</v>
      </c>
      <c r="N432" s="57" t="s">
        <v>145</v>
      </c>
      <c r="O432" s="57">
        <v>2515.0500000000002</v>
      </c>
      <c r="P432" s="57"/>
      <c r="Q432" s="57"/>
      <c r="R432" s="57"/>
      <c r="S432" s="57"/>
      <c r="T432" s="57"/>
      <c r="U432" s="57"/>
      <c r="V432" s="57"/>
      <c r="W432" s="495"/>
      <c r="X432" s="495"/>
      <c r="Y432" s="495"/>
      <c r="Z432" s="451"/>
      <c r="AA432" s="145"/>
      <c r="AB432" s="223"/>
      <c r="AC432" s="22"/>
      <c r="AH432" s="9"/>
      <c r="AJ432" s="27"/>
      <c r="AK432" s="84"/>
      <c r="AM432" s="13"/>
      <c r="AP432"/>
      <c r="AR432"/>
      <c r="AV432"/>
      <c r="AW432"/>
      <c r="AX432"/>
      <c r="AY432"/>
      <c r="AZ432"/>
      <c r="BC432"/>
      <c r="BD432"/>
      <c r="BG432"/>
      <c r="BH432"/>
      <c r="BI432"/>
      <c r="BJ432"/>
      <c r="BS432"/>
      <c r="BU432"/>
      <c r="BV432"/>
      <c r="BX432"/>
    </row>
    <row r="433" spans="1:76" ht="15.75">
      <c r="A433" s="263" t="s">
        <v>10</v>
      </c>
      <c r="B433" s="236" t="s">
        <v>464</v>
      </c>
      <c r="C433" s="57"/>
      <c r="D433" s="57">
        <v>210</v>
      </c>
      <c r="E433" s="57">
        <v>200</v>
      </c>
      <c r="F433" s="57">
        <v>0</v>
      </c>
      <c r="G433" s="57">
        <v>40897</v>
      </c>
      <c r="H433" s="57">
        <v>0.8</v>
      </c>
      <c r="I433" s="57">
        <v>40930</v>
      </c>
      <c r="J433" s="57">
        <v>1871.9853496203771</v>
      </c>
      <c r="K433" s="57">
        <v>443.29371816638377</v>
      </c>
      <c r="L433" s="57">
        <v>130.55000000000001</v>
      </c>
      <c r="M433" s="57">
        <v>29.45</v>
      </c>
      <c r="N433" s="57" t="s">
        <v>404</v>
      </c>
      <c r="O433" s="57">
        <v>29.45</v>
      </c>
      <c r="P433" s="57"/>
      <c r="Q433" s="57"/>
      <c r="R433" s="57"/>
      <c r="S433" s="57"/>
      <c r="T433" s="57"/>
      <c r="U433" s="57"/>
      <c r="V433" s="57"/>
      <c r="W433" s="495"/>
      <c r="X433" s="495"/>
      <c r="Y433" s="495"/>
      <c r="Z433" s="451"/>
      <c r="AA433" s="145"/>
      <c r="AB433" s="223"/>
      <c r="AC433" s="22"/>
      <c r="AH433" s="9"/>
      <c r="AJ433" s="27"/>
      <c r="AK433" s="84"/>
      <c r="AM433" s="13"/>
      <c r="AP433"/>
      <c r="AR433"/>
      <c r="AV433"/>
      <c r="AW433"/>
      <c r="AX433"/>
      <c r="AY433"/>
      <c r="AZ433"/>
      <c r="BC433"/>
      <c r="BD433"/>
      <c r="BG433"/>
      <c r="BH433"/>
      <c r="BI433"/>
      <c r="BJ433"/>
      <c r="BS433"/>
      <c r="BU433"/>
      <c r="BV433"/>
      <c r="BX433"/>
    </row>
    <row r="434" spans="1:76" ht="15.75">
      <c r="A434" s="263" t="s">
        <v>10</v>
      </c>
      <c r="B434" s="236" t="s">
        <v>495</v>
      </c>
      <c r="C434" s="57"/>
      <c r="D434" s="57">
        <v>301</v>
      </c>
      <c r="E434" s="57">
        <v>100</v>
      </c>
      <c r="F434" s="57">
        <v>0</v>
      </c>
      <c r="G434" s="57">
        <v>41016</v>
      </c>
      <c r="H434" s="57">
        <v>0.5</v>
      </c>
      <c r="I434" s="57">
        <v>41049</v>
      </c>
      <c r="J434" s="57">
        <v>1934.1681594399304</v>
      </c>
      <c r="K434" s="57">
        <v>474.71264367816099</v>
      </c>
      <c r="L434" s="57">
        <v>41.3</v>
      </c>
      <c r="M434" s="57">
        <v>8.6999999999999993</v>
      </c>
      <c r="N434" s="57" t="s">
        <v>403</v>
      </c>
      <c r="O434" s="57">
        <v>8.6999999999999993</v>
      </c>
      <c r="P434" s="57"/>
      <c r="Q434" s="57"/>
      <c r="R434" s="57"/>
      <c r="S434" s="57"/>
      <c r="T434" s="57"/>
      <c r="U434" s="57"/>
      <c r="V434" s="57"/>
      <c r="W434" s="495"/>
      <c r="X434" s="495"/>
      <c r="Y434" s="495"/>
      <c r="Z434" s="451"/>
      <c r="AA434" s="145"/>
      <c r="AB434" s="223"/>
      <c r="AC434" s="22"/>
      <c r="AH434" s="9"/>
      <c r="AJ434" s="27"/>
      <c r="AK434" s="84"/>
      <c r="AM434" s="13"/>
      <c r="AP434"/>
      <c r="AR434"/>
      <c r="AV434"/>
      <c r="AW434"/>
      <c r="AX434"/>
      <c r="AY434"/>
      <c r="AZ434"/>
      <c r="BC434"/>
      <c r="BD434"/>
      <c r="BG434"/>
      <c r="BH434"/>
      <c r="BI434"/>
      <c r="BJ434"/>
      <c r="BS434"/>
      <c r="BU434"/>
      <c r="BV434"/>
      <c r="BX434"/>
    </row>
    <row r="435" spans="1:76" ht="15.75">
      <c r="A435" s="263" t="s">
        <v>10</v>
      </c>
      <c r="B435" s="236" t="s">
        <v>495</v>
      </c>
      <c r="C435" s="57"/>
      <c r="D435" s="57">
        <v>302</v>
      </c>
      <c r="E435" s="57">
        <v>100</v>
      </c>
      <c r="F435" s="57">
        <v>0</v>
      </c>
      <c r="G435" s="57">
        <v>40933</v>
      </c>
      <c r="H435" s="57">
        <v>1.3</v>
      </c>
      <c r="I435" s="57">
        <v>41049</v>
      </c>
      <c r="J435" s="57">
        <v>858.29319134799232</v>
      </c>
      <c r="K435" s="57">
        <v>1394.2528735632186</v>
      </c>
      <c r="L435" s="57">
        <v>121.3</v>
      </c>
      <c r="M435" s="57">
        <v>8.6999999999999993</v>
      </c>
      <c r="N435" s="57" t="s">
        <v>403</v>
      </c>
      <c r="O435" s="57">
        <v>8.6999999999999993</v>
      </c>
      <c r="P435" s="57"/>
      <c r="Q435" s="57"/>
      <c r="R435" s="57"/>
      <c r="S435" s="57"/>
      <c r="T435" s="57"/>
      <c r="U435" s="57"/>
      <c r="V435" s="57"/>
      <c r="W435" s="495"/>
      <c r="X435" s="495"/>
      <c r="Y435" s="495"/>
      <c r="Z435" s="451"/>
      <c r="AA435" s="145"/>
      <c r="AB435" s="223"/>
      <c r="AC435" s="22"/>
      <c r="AH435" s="9"/>
      <c r="AJ435" s="27"/>
      <c r="AK435" s="84"/>
      <c r="AM435" s="13"/>
      <c r="AP435"/>
      <c r="AR435"/>
      <c r="AV435"/>
      <c r="AW435"/>
      <c r="AX435"/>
      <c r="AY435"/>
      <c r="AZ435"/>
      <c r="BC435"/>
      <c r="BD435"/>
      <c r="BG435"/>
      <c r="BH435"/>
      <c r="BI435"/>
      <c r="BJ435"/>
      <c r="BS435"/>
      <c r="BU435"/>
      <c r="BV435"/>
      <c r="BX435"/>
    </row>
    <row r="436" spans="1:76" ht="15.75">
      <c r="A436" s="263" t="s">
        <v>10</v>
      </c>
      <c r="B436" s="236" t="s">
        <v>756</v>
      </c>
      <c r="C436" s="57"/>
      <c r="D436" s="57">
        <v>316</v>
      </c>
      <c r="E436" s="57">
        <v>200</v>
      </c>
      <c r="F436" s="57">
        <v>0</v>
      </c>
      <c r="G436" s="57">
        <v>41078</v>
      </c>
      <c r="H436" s="57">
        <v>0.6</v>
      </c>
      <c r="I436" s="57">
        <v>41088</v>
      </c>
      <c r="J436" s="57">
        <v>5127.5120892982441</v>
      </c>
      <c r="K436" s="57">
        <v>307.47028862478777</v>
      </c>
      <c r="L436" s="57">
        <v>90.55</v>
      </c>
      <c r="M436" s="57">
        <v>29.45</v>
      </c>
      <c r="N436" s="57" t="s">
        <v>404</v>
      </c>
      <c r="O436" s="57">
        <v>29.45</v>
      </c>
      <c r="P436" s="57"/>
      <c r="Q436" s="57"/>
      <c r="R436" s="57"/>
      <c r="S436" s="57"/>
      <c r="T436" s="57"/>
      <c r="U436" s="57"/>
      <c r="V436" s="57"/>
      <c r="W436" s="495"/>
      <c r="X436" s="495"/>
      <c r="Y436" s="495"/>
      <c r="Z436" s="451"/>
      <c r="AA436" s="145"/>
      <c r="AB436" s="223"/>
      <c r="AC436" s="22"/>
      <c r="AH436" s="9"/>
      <c r="AJ436" s="27"/>
      <c r="AK436" s="84"/>
      <c r="AM436" s="13"/>
      <c r="AP436"/>
      <c r="AR436"/>
      <c r="AV436"/>
      <c r="AW436"/>
      <c r="AX436"/>
      <c r="AY436"/>
      <c r="AZ436"/>
      <c r="BC436"/>
      <c r="BD436"/>
      <c r="BG436"/>
      <c r="BH436"/>
      <c r="BI436"/>
      <c r="BJ436"/>
      <c r="BS436"/>
      <c r="BU436"/>
      <c r="BV436"/>
      <c r="BX436"/>
    </row>
    <row r="437" spans="1:76" ht="15.75">
      <c r="A437" s="263" t="s">
        <v>10</v>
      </c>
      <c r="B437" s="236" t="s">
        <v>10</v>
      </c>
      <c r="C437" s="57"/>
      <c r="D437" s="57">
        <v>319</v>
      </c>
      <c r="E437" s="57">
        <v>11</v>
      </c>
      <c r="F437" s="57">
        <v>12.535500000000001</v>
      </c>
      <c r="G437" s="57">
        <v>40804</v>
      </c>
      <c r="H437" s="57">
        <v>9</v>
      </c>
      <c r="I437" s="57">
        <v>41088</v>
      </c>
      <c r="J437" s="57">
        <v>-49.788275934962748</v>
      </c>
      <c r="K437" s="57">
        <v>-32.117621648307569</v>
      </c>
      <c r="L437" s="57">
        <v>-46.840499999999999</v>
      </c>
      <c r="M437" s="57">
        <v>7.95</v>
      </c>
      <c r="N437" s="57" t="s">
        <v>145</v>
      </c>
      <c r="O437" s="57">
        <v>145.84049999999999</v>
      </c>
      <c r="P437" s="57"/>
      <c r="Q437" s="57"/>
      <c r="R437" s="57"/>
      <c r="S437" s="57"/>
      <c r="T437" s="57"/>
      <c r="U437" s="57"/>
      <c r="V437" s="57"/>
      <c r="W437" s="495"/>
      <c r="X437" s="495"/>
      <c r="Y437" s="495"/>
      <c r="Z437" s="451"/>
      <c r="AA437" s="145"/>
      <c r="AB437" s="223"/>
      <c r="AC437" s="22"/>
      <c r="AH437" s="9"/>
      <c r="AJ437" s="27"/>
      <c r="AK437" s="84"/>
      <c r="AM437" s="13"/>
      <c r="AP437"/>
      <c r="AR437"/>
      <c r="AV437"/>
      <c r="AW437"/>
      <c r="AX437"/>
      <c r="AY437"/>
      <c r="AZ437"/>
      <c r="BC437"/>
      <c r="BD437"/>
      <c r="BG437"/>
      <c r="BH437"/>
      <c r="BI437"/>
      <c r="BJ437"/>
      <c r="BS437"/>
      <c r="BU437"/>
      <c r="BV437"/>
      <c r="BX437"/>
    </row>
    <row r="438" spans="1:76" ht="15.75">
      <c r="A438" s="263" t="s">
        <v>10</v>
      </c>
      <c r="B438" s="236" t="s">
        <v>10</v>
      </c>
      <c r="C438" s="57"/>
      <c r="D438" s="57">
        <v>320</v>
      </c>
      <c r="E438" s="57">
        <v>96</v>
      </c>
      <c r="F438" s="57">
        <v>11.25</v>
      </c>
      <c r="G438" s="57">
        <v>41009</v>
      </c>
      <c r="H438" s="57">
        <v>9</v>
      </c>
      <c r="I438" s="57">
        <v>41088</v>
      </c>
      <c r="J438" s="57">
        <v>-106.48653305166904</v>
      </c>
      <c r="K438" s="57">
        <v>-20.584585688680541</v>
      </c>
      <c r="L438" s="57">
        <v>-223.95</v>
      </c>
      <c r="M438" s="57">
        <v>7.95</v>
      </c>
      <c r="N438" s="57" t="s">
        <v>145</v>
      </c>
      <c r="O438" s="57">
        <v>1087.95</v>
      </c>
      <c r="P438" s="57"/>
      <c r="Q438" s="57"/>
      <c r="R438" s="57"/>
      <c r="S438" s="57"/>
      <c r="T438" s="57"/>
      <c r="U438" s="57"/>
      <c r="V438" s="57"/>
      <c r="W438" s="495"/>
      <c r="X438" s="495"/>
      <c r="Y438" s="495"/>
      <c r="Z438" s="451"/>
      <c r="AA438" s="145"/>
      <c r="AB438" s="223"/>
      <c r="AC438" s="22"/>
      <c r="AH438" s="9"/>
      <c r="AJ438" s="27"/>
      <c r="AK438" s="84"/>
      <c r="AM438" s="13"/>
      <c r="AP438"/>
      <c r="AR438"/>
      <c r="AV438"/>
      <c r="AW438"/>
      <c r="AX438"/>
      <c r="AY438"/>
      <c r="AZ438"/>
      <c r="BC438"/>
      <c r="BD438"/>
      <c r="BG438"/>
      <c r="BH438"/>
      <c r="BI438"/>
      <c r="BJ438"/>
      <c r="BS438"/>
      <c r="BU438"/>
      <c r="BV438"/>
      <c r="BX438"/>
    </row>
    <row r="439" spans="1:76" ht="15.75">
      <c r="A439" s="263" t="s">
        <v>10</v>
      </c>
      <c r="B439" s="236" t="s">
        <v>10</v>
      </c>
      <c r="C439" s="57"/>
      <c r="D439" s="57">
        <v>321</v>
      </c>
      <c r="E439" s="57">
        <v>94</v>
      </c>
      <c r="F439" s="57">
        <v>10</v>
      </c>
      <c r="G439" s="57">
        <v>40913</v>
      </c>
      <c r="H439" s="57">
        <v>9</v>
      </c>
      <c r="I439" s="57">
        <v>41088</v>
      </c>
      <c r="J439" s="57">
        <v>-23.868146841532059</v>
      </c>
      <c r="K439" s="57">
        <v>-10.754786644865238</v>
      </c>
      <c r="L439" s="57">
        <v>-101.95</v>
      </c>
      <c r="M439" s="57">
        <v>7.95</v>
      </c>
      <c r="N439" s="57" t="s">
        <v>145</v>
      </c>
      <c r="O439" s="57">
        <v>947.95</v>
      </c>
      <c r="P439" s="57"/>
      <c r="Q439" s="57"/>
      <c r="R439" s="57"/>
      <c r="S439" s="57"/>
      <c r="T439" s="57"/>
      <c r="U439" s="57"/>
      <c r="V439" s="57"/>
      <c r="W439" s="495"/>
      <c r="X439" s="495"/>
      <c r="Y439" s="495"/>
      <c r="Z439" s="451"/>
      <c r="AA439" s="145"/>
      <c r="AB439" s="223"/>
      <c r="AC439" s="22"/>
      <c r="AH439" s="9"/>
      <c r="AJ439" s="27"/>
      <c r="AK439" s="84"/>
      <c r="AM439" s="13"/>
      <c r="AP439"/>
      <c r="AR439"/>
      <c r="AV439"/>
      <c r="AW439"/>
      <c r="AX439"/>
      <c r="AY439"/>
      <c r="AZ439"/>
      <c r="BC439"/>
      <c r="BD439"/>
      <c r="BG439"/>
      <c r="BH439"/>
      <c r="BI439"/>
      <c r="BJ439"/>
      <c r="BS439"/>
      <c r="BU439"/>
      <c r="BV439"/>
      <c r="BX439"/>
    </row>
    <row r="440" spans="1:76" ht="15.75">
      <c r="A440" s="263" t="s">
        <v>10</v>
      </c>
      <c r="B440" s="236" t="s">
        <v>10</v>
      </c>
      <c r="C440" s="57"/>
      <c r="D440" s="57">
        <v>375</v>
      </c>
      <c r="E440" s="57">
        <v>100</v>
      </c>
      <c r="F440" s="57">
        <v>9.5</v>
      </c>
      <c r="G440" s="57">
        <v>41135</v>
      </c>
      <c r="H440" s="57">
        <v>9</v>
      </c>
      <c r="I440" s="57">
        <v>41178</v>
      </c>
      <c r="J440" s="57">
        <v>-52.968138940597775</v>
      </c>
      <c r="K440" s="57">
        <v>-6.0493762722480247</v>
      </c>
      <c r="L440" s="57">
        <v>-57.95</v>
      </c>
      <c r="M440" s="57">
        <v>7.95</v>
      </c>
      <c r="N440" s="57" t="s">
        <v>145</v>
      </c>
      <c r="O440" s="57">
        <v>957.95</v>
      </c>
      <c r="P440" s="57"/>
      <c r="Q440" s="57"/>
      <c r="R440" s="57"/>
      <c r="S440" s="57"/>
      <c r="T440" s="57"/>
      <c r="U440" s="57"/>
      <c r="V440" s="57"/>
      <c r="W440" s="495"/>
      <c r="X440" s="495"/>
      <c r="Y440" s="495"/>
      <c r="Z440" s="451"/>
      <c r="AA440" s="145"/>
      <c r="AB440" s="223"/>
      <c r="AC440" s="22"/>
      <c r="AH440" s="9"/>
      <c r="AJ440" s="27"/>
      <c r="AK440" s="84"/>
      <c r="AM440" s="13"/>
      <c r="AP440"/>
      <c r="AR440"/>
      <c r="AV440"/>
      <c r="AW440"/>
      <c r="AX440"/>
      <c r="AY440"/>
      <c r="AZ440"/>
      <c r="BC440"/>
      <c r="BD440"/>
      <c r="BG440"/>
      <c r="BH440"/>
      <c r="BI440"/>
      <c r="BJ440"/>
      <c r="BS440"/>
      <c r="BU440"/>
      <c r="BV440"/>
      <c r="BX440"/>
    </row>
    <row r="441" spans="1:76" ht="15.75">
      <c r="A441" s="263" t="s">
        <v>10</v>
      </c>
      <c r="B441" s="236" t="s">
        <v>812</v>
      </c>
      <c r="C441" s="57"/>
      <c r="D441" s="57">
        <v>376</v>
      </c>
      <c r="E441" s="57">
        <v>100</v>
      </c>
      <c r="F441" s="57">
        <v>0</v>
      </c>
      <c r="G441" s="57">
        <v>41150</v>
      </c>
      <c r="H441" s="57">
        <v>1</v>
      </c>
      <c r="I441" s="57">
        <v>41178</v>
      </c>
      <c r="J441" s="57">
        <v>1627.2131002722083</v>
      </c>
      <c r="K441" s="57">
        <v>248.43205574912895</v>
      </c>
      <c r="L441" s="57">
        <v>71.3</v>
      </c>
      <c r="M441" s="57">
        <v>28.7</v>
      </c>
      <c r="N441" s="57" t="s">
        <v>404</v>
      </c>
      <c r="O441" s="57">
        <v>28.7</v>
      </c>
      <c r="P441" s="57"/>
      <c r="Q441" s="57"/>
      <c r="R441" s="57"/>
      <c r="S441" s="57"/>
      <c r="T441" s="57"/>
      <c r="U441" s="57"/>
      <c r="V441" s="57"/>
      <c r="W441" s="495"/>
      <c r="X441" s="495"/>
      <c r="Y441" s="495"/>
      <c r="Z441" s="451"/>
      <c r="AA441" s="145"/>
      <c r="AB441" s="223"/>
      <c r="AC441" s="22"/>
      <c r="AH441" s="9"/>
      <c r="AJ441" s="27"/>
      <c r="AK441" s="84"/>
      <c r="AM441" s="13"/>
      <c r="AP441"/>
      <c r="AR441"/>
      <c r="AV441"/>
      <c r="AW441"/>
      <c r="AX441"/>
      <c r="AY441"/>
      <c r="AZ441"/>
      <c r="BC441"/>
      <c r="BD441"/>
      <c r="BG441"/>
      <c r="BH441"/>
      <c r="BI441"/>
      <c r="BJ441"/>
      <c r="BS441"/>
      <c r="BU441"/>
      <c r="BV441"/>
      <c r="BX441"/>
    </row>
    <row r="442" spans="1:76" ht="15.75">
      <c r="A442" s="263" t="s">
        <v>10</v>
      </c>
      <c r="B442" s="236" t="s">
        <v>10</v>
      </c>
      <c r="C442" s="57"/>
      <c r="D442" s="57">
        <v>472</v>
      </c>
      <c r="E442" s="57">
        <v>200</v>
      </c>
      <c r="F442" s="57">
        <v>8.5048999999999992</v>
      </c>
      <c r="G442" s="57">
        <v>41561</v>
      </c>
      <c r="H442" s="57">
        <v>8</v>
      </c>
      <c r="I442" s="57">
        <v>41592</v>
      </c>
      <c r="J442" s="57">
        <v>-77.549329885542932</v>
      </c>
      <c r="K442" s="57">
        <v>-6.3741639505421412</v>
      </c>
      <c r="L442" s="57">
        <v>-108.93</v>
      </c>
      <c r="M442" s="57">
        <v>7.95</v>
      </c>
      <c r="N442" s="57" t="s">
        <v>145</v>
      </c>
      <c r="O442" s="57">
        <v>1708.93</v>
      </c>
      <c r="P442" s="57"/>
      <c r="Q442" s="57"/>
      <c r="R442" s="57"/>
      <c r="S442" s="57"/>
      <c r="T442" s="57"/>
      <c r="U442" s="57"/>
      <c r="V442" s="57"/>
      <c r="W442" s="495"/>
      <c r="X442" s="495"/>
      <c r="Y442" s="495"/>
      <c r="Z442" s="451"/>
      <c r="AA442" s="145"/>
      <c r="AB442" s="223"/>
      <c r="AC442" s="22"/>
      <c r="AH442" s="9"/>
      <c r="AJ442" s="27"/>
      <c r="AK442" s="84"/>
      <c r="AM442" s="13"/>
      <c r="AP442"/>
      <c r="AR442"/>
      <c r="AV442"/>
      <c r="AW442"/>
      <c r="AX442"/>
      <c r="AY442"/>
      <c r="AZ442"/>
      <c r="BC442"/>
      <c r="BD442"/>
      <c r="BG442"/>
      <c r="BH442"/>
      <c r="BI442"/>
      <c r="BJ442"/>
      <c r="BS442"/>
      <c r="BU442"/>
      <c r="BV442"/>
      <c r="BX442"/>
    </row>
    <row r="443" spans="1:76" ht="15.75">
      <c r="A443" s="263" t="s">
        <v>10</v>
      </c>
      <c r="B443" s="236" t="s">
        <v>923</v>
      </c>
      <c r="C443" s="57"/>
      <c r="D443" s="57">
        <v>473</v>
      </c>
      <c r="E443" s="57">
        <v>200</v>
      </c>
      <c r="F443" s="57">
        <v>0</v>
      </c>
      <c r="G443" s="57">
        <v>41576</v>
      </c>
      <c r="H443" s="57">
        <v>0.65</v>
      </c>
      <c r="I443" s="57">
        <v>41592</v>
      </c>
      <c r="J443" s="57">
        <v>3387.2924826916578</v>
      </c>
      <c r="K443" s="57">
        <v>341.42614601018681</v>
      </c>
      <c r="L443" s="57">
        <v>100.55</v>
      </c>
      <c r="M443" s="57">
        <v>29.45</v>
      </c>
      <c r="N443" s="57" t="s">
        <v>404</v>
      </c>
      <c r="O443" s="57">
        <v>29.45</v>
      </c>
      <c r="P443" s="57"/>
      <c r="Q443" s="57"/>
      <c r="R443" s="57"/>
      <c r="S443" s="57"/>
      <c r="T443" s="57"/>
      <c r="U443" s="57"/>
      <c r="V443" s="57"/>
      <c r="W443" s="495"/>
      <c r="X443" s="495"/>
      <c r="Y443" s="495"/>
      <c r="Z443" s="451"/>
      <c r="AA443" s="145"/>
      <c r="AB443" s="223"/>
      <c r="AC443" s="22"/>
      <c r="AH443" s="9"/>
      <c r="AJ443" s="27"/>
      <c r="AK443" s="84"/>
      <c r="AM443" s="13"/>
      <c r="AP443"/>
      <c r="AR443"/>
      <c r="AV443"/>
      <c r="AW443"/>
      <c r="AX443"/>
      <c r="AY443"/>
      <c r="AZ443"/>
      <c r="BC443"/>
      <c r="BD443"/>
      <c r="BG443"/>
      <c r="BH443"/>
      <c r="BI443"/>
      <c r="BJ443"/>
      <c r="BS443"/>
      <c r="BU443"/>
      <c r="BV443"/>
      <c r="BX443"/>
    </row>
    <row r="444" spans="1:76" ht="15.75">
      <c r="A444" s="263" t="s">
        <v>66</v>
      </c>
      <c r="B444" s="236" t="s">
        <v>389</v>
      </c>
      <c r="C444" s="57"/>
      <c r="D444" s="57">
        <v>117</v>
      </c>
      <c r="E444" s="57">
        <v>100</v>
      </c>
      <c r="F444" s="57">
        <v>7.2</v>
      </c>
      <c r="G444" s="57">
        <v>40808</v>
      </c>
      <c r="H444" s="57">
        <v>4.95</v>
      </c>
      <c r="I444" s="57">
        <v>40834</v>
      </c>
      <c r="J444" s="57">
        <v>-559.53478453632385</v>
      </c>
      <c r="K444" s="57">
        <v>-32.87225386493084</v>
      </c>
      <c r="L444" s="57">
        <v>-242.4</v>
      </c>
      <c r="M444" s="57">
        <v>17.399999999999999</v>
      </c>
      <c r="N444" s="57" t="s">
        <v>15</v>
      </c>
      <c r="O444" s="57">
        <v>737.4</v>
      </c>
      <c r="P444" s="57"/>
      <c r="Q444" s="57"/>
      <c r="R444" s="57"/>
      <c r="S444" s="57"/>
      <c r="T444" s="57"/>
      <c r="U444" s="57"/>
      <c r="V444" s="57"/>
      <c r="W444" s="495"/>
      <c r="X444" s="495"/>
      <c r="Y444" s="495"/>
      <c r="Z444" s="451"/>
      <c r="AA444" s="145"/>
      <c r="AB444" s="223"/>
      <c r="AC444" s="22"/>
      <c r="AH444" s="9"/>
      <c r="AJ444" s="27"/>
      <c r="AK444" s="84"/>
      <c r="AM444" s="13"/>
      <c r="AP444"/>
      <c r="AR444"/>
      <c r="AV444"/>
      <c r="AW444"/>
      <c r="AX444"/>
      <c r="AY444"/>
      <c r="AZ444"/>
      <c r="BC444"/>
      <c r="BD444"/>
      <c r="BG444"/>
      <c r="BH444"/>
      <c r="BI444"/>
      <c r="BJ444"/>
      <c r="BS444"/>
      <c r="BU444"/>
      <c r="BV444"/>
      <c r="BX444"/>
    </row>
    <row r="445" spans="1:76" ht="15.75">
      <c r="A445" s="263" t="s">
        <v>66</v>
      </c>
      <c r="B445" s="236" t="s">
        <v>357</v>
      </c>
      <c r="C445" s="57"/>
      <c r="D445" s="57">
        <v>169</v>
      </c>
      <c r="E445" s="57">
        <v>100</v>
      </c>
      <c r="F445" s="57">
        <v>15.9</v>
      </c>
      <c r="G445" s="57">
        <v>40798</v>
      </c>
      <c r="H445" s="57">
        <v>7.25</v>
      </c>
      <c r="I445" s="57">
        <v>40878</v>
      </c>
      <c r="J445" s="57">
        <v>-363.26697585904918</v>
      </c>
      <c r="K445" s="57">
        <v>-54.896105512006976</v>
      </c>
      <c r="L445" s="57">
        <v>-882.4</v>
      </c>
      <c r="M445" s="57">
        <v>17.399999999999999</v>
      </c>
      <c r="N445" s="57" t="s">
        <v>278</v>
      </c>
      <c r="O445" s="57">
        <v>1607.4</v>
      </c>
      <c r="P445" s="57"/>
      <c r="Q445" s="57"/>
      <c r="R445" s="57"/>
      <c r="S445" s="57"/>
      <c r="T445" s="57"/>
      <c r="U445" s="57"/>
      <c r="V445" s="57"/>
      <c r="W445" s="495"/>
      <c r="X445" s="495"/>
      <c r="Y445" s="495"/>
      <c r="Z445" s="451"/>
      <c r="AA445" s="145"/>
      <c r="AB445" s="223"/>
      <c r="AC445" s="22"/>
      <c r="AH445" s="9"/>
      <c r="AJ445" s="27"/>
      <c r="AK445" s="84"/>
      <c r="AM445" s="13"/>
      <c r="AP445"/>
      <c r="AR445"/>
      <c r="AV445"/>
      <c r="AW445"/>
      <c r="AX445"/>
      <c r="AY445"/>
      <c r="AZ445"/>
      <c r="BC445"/>
      <c r="BD445"/>
      <c r="BG445"/>
      <c r="BH445"/>
      <c r="BI445"/>
      <c r="BJ445"/>
      <c r="BS445"/>
      <c r="BU445"/>
      <c r="BV445"/>
      <c r="BX445"/>
    </row>
    <row r="446" spans="1:76" ht="15.75">
      <c r="A446" s="263" t="s">
        <v>66</v>
      </c>
      <c r="B446" s="236" t="s">
        <v>453</v>
      </c>
      <c r="C446" s="57"/>
      <c r="D446" s="57">
        <v>187</v>
      </c>
      <c r="E446" s="57">
        <v>100</v>
      </c>
      <c r="F446" s="57">
        <v>0</v>
      </c>
      <c r="G446" s="57">
        <v>40877</v>
      </c>
      <c r="H446" s="57">
        <v>2.6</v>
      </c>
      <c r="I446" s="57">
        <v>40894</v>
      </c>
      <c r="J446" s="57">
        <v>7294.3287703210071</v>
      </c>
      <c r="K446" s="57">
        <v>2888.5057471264367</v>
      </c>
      <c r="L446" s="57">
        <v>251.3</v>
      </c>
      <c r="M446" s="57">
        <v>8.6999999999999993</v>
      </c>
      <c r="N446" s="57" t="s">
        <v>403</v>
      </c>
      <c r="O446" s="57">
        <v>8.6999999999999993</v>
      </c>
      <c r="P446" s="57"/>
      <c r="Q446" s="57"/>
      <c r="R446" s="57"/>
      <c r="S446" s="57"/>
      <c r="T446" s="57"/>
      <c r="U446" s="57"/>
      <c r="V446" s="57"/>
      <c r="W446" s="495"/>
      <c r="X446" s="495"/>
      <c r="Y446" s="495"/>
      <c r="Z446" s="451"/>
      <c r="AA446" s="145"/>
      <c r="AB446" s="223"/>
      <c r="AC446" s="22"/>
      <c r="AH446" s="9"/>
      <c r="AJ446" s="27"/>
      <c r="AK446" s="84"/>
      <c r="AM446" s="13"/>
      <c r="AP446"/>
      <c r="AR446"/>
      <c r="AV446"/>
      <c r="AW446"/>
      <c r="AX446"/>
      <c r="AY446"/>
      <c r="AZ446"/>
      <c r="BC446"/>
      <c r="BD446"/>
      <c r="BG446"/>
      <c r="BH446"/>
      <c r="BI446"/>
      <c r="BJ446"/>
      <c r="BS446"/>
      <c r="BU446"/>
      <c r="BV446"/>
      <c r="BX446"/>
    </row>
    <row r="447" spans="1:76" ht="15.75">
      <c r="A447" s="263" t="s">
        <v>66</v>
      </c>
      <c r="B447" s="236" t="s">
        <v>466</v>
      </c>
      <c r="C447" s="57"/>
      <c r="D447" s="57">
        <v>201</v>
      </c>
      <c r="E447" s="57">
        <v>100</v>
      </c>
      <c r="F447" s="57">
        <v>13.75</v>
      </c>
      <c r="G447" s="57">
        <v>40898</v>
      </c>
      <c r="H447" s="57">
        <v>17</v>
      </c>
      <c r="I447" s="57">
        <v>40925</v>
      </c>
      <c r="J447" s="57">
        <v>269.82878351505059</v>
      </c>
      <c r="K447" s="57">
        <v>22.091353059465675</v>
      </c>
      <c r="L447" s="57">
        <v>307.60000000000002</v>
      </c>
      <c r="M447" s="57">
        <v>17.399999999999999</v>
      </c>
      <c r="N447" s="57" t="s">
        <v>15</v>
      </c>
      <c r="O447" s="57">
        <v>1392.4</v>
      </c>
      <c r="P447" s="57"/>
      <c r="Q447" s="57"/>
      <c r="R447" s="57"/>
      <c r="S447" s="57"/>
      <c r="T447" s="57"/>
      <c r="U447" s="57"/>
      <c r="V447" s="57"/>
      <c r="W447" s="495"/>
      <c r="X447" s="495"/>
      <c r="Y447" s="495"/>
      <c r="Z447" s="451"/>
      <c r="AA447" s="145"/>
      <c r="AB447" s="223"/>
      <c r="AC447" s="22"/>
      <c r="AH447" s="9"/>
      <c r="AJ447" s="27"/>
      <c r="AK447" s="84"/>
      <c r="AM447" s="13"/>
      <c r="AP447"/>
      <c r="AR447"/>
      <c r="AV447"/>
      <c r="AW447"/>
      <c r="AX447"/>
      <c r="AY447"/>
      <c r="AZ447"/>
      <c r="BC447"/>
      <c r="BD447"/>
      <c r="BG447"/>
      <c r="BH447"/>
      <c r="BI447"/>
      <c r="BJ447"/>
      <c r="BS447"/>
      <c r="BU447"/>
      <c r="BV447"/>
      <c r="BX447"/>
    </row>
    <row r="448" spans="1:76" ht="15.75">
      <c r="A448" s="263" t="s">
        <v>66</v>
      </c>
      <c r="B448" s="236" t="s">
        <v>357</v>
      </c>
      <c r="C448" s="57"/>
      <c r="D448" s="57">
        <v>202</v>
      </c>
      <c r="E448" s="57">
        <v>100</v>
      </c>
      <c r="F448" s="57">
        <v>15.9</v>
      </c>
      <c r="G448" s="57">
        <v>40798</v>
      </c>
      <c r="H448" s="57">
        <v>1.25</v>
      </c>
      <c r="I448" s="57">
        <v>40927</v>
      </c>
      <c r="J448" s="57">
        <v>-722.66024852236887</v>
      </c>
      <c r="K448" s="57">
        <v>-92.2234664675874</v>
      </c>
      <c r="L448" s="57">
        <v>-1482.4</v>
      </c>
      <c r="M448" s="57">
        <v>17.399999999999999</v>
      </c>
      <c r="N448" s="57" t="s">
        <v>278</v>
      </c>
      <c r="O448" s="57">
        <v>1607.4</v>
      </c>
      <c r="P448" s="57"/>
      <c r="Q448" s="57"/>
      <c r="R448" s="57"/>
      <c r="S448" s="57"/>
      <c r="T448" s="57"/>
      <c r="U448" s="57"/>
      <c r="V448" s="57"/>
      <c r="W448" s="495"/>
      <c r="X448" s="495"/>
      <c r="Y448" s="495"/>
      <c r="Z448" s="451"/>
      <c r="AA448" s="145"/>
      <c r="AB448" s="223"/>
      <c r="AC448" s="22"/>
      <c r="AH448" s="9"/>
      <c r="AJ448" s="27"/>
      <c r="AK448" s="84"/>
      <c r="AM448" s="13"/>
      <c r="AP448"/>
      <c r="AR448"/>
      <c r="AV448"/>
      <c r="AW448"/>
      <c r="AX448"/>
      <c r="AY448"/>
      <c r="AZ448"/>
      <c r="BC448"/>
      <c r="BD448"/>
      <c r="BG448"/>
      <c r="BH448"/>
      <c r="BI448"/>
      <c r="BJ448"/>
      <c r="BS448"/>
      <c r="BU448"/>
      <c r="BV448"/>
      <c r="BX448"/>
    </row>
    <row r="449" spans="1:76" ht="15.75">
      <c r="A449" s="263" t="s">
        <v>66</v>
      </c>
      <c r="B449" s="236" t="s">
        <v>490</v>
      </c>
      <c r="C449" s="57"/>
      <c r="D449" s="57">
        <v>217</v>
      </c>
      <c r="E449" s="57">
        <v>100</v>
      </c>
      <c r="F449" s="57">
        <v>21</v>
      </c>
      <c r="G449" s="57">
        <v>40925</v>
      </c>
      <c r="H449" s="57">
        <v>11.5</v>
      </c>
      <c r="I449" s="57">
        <v>40949</v>
      </c>
      <c r="J449" s="57">
        <v>-928.35769654780859</v>
      </c>
      <c r="K449" s="57">
        <v>-45.688108057051103</v>
      </c>
      <c r="L449" s="57">
        <v>-967.4</v>
      </c>
      <c r="M449" s="57">
        <v>17.399999999999999</v>
      </c>
      <c r="N449" s="57" t="s">
        <v>15</v>
      </c>
      <c r="O449" s="57">
        <v>2117.4</v>
      </c>
      <c r="P449" s="57"/>
      <c r="Q449" s="57"/>
      <c r="R449" s="57"/>
      <c r="S449" s="57"/>
      <c r="T449" s="57"/>
      <c r="U449" s="57"/>
      <c r="V449" s="57"/>
      <c r="W449" s="495"/>
      <c r="X449" s="495"/>
      <c r="Y449" s="495"/>
      <c r="Z449" s="451"/>
      <c r="AA449" s="145"/>
      <c r="AB449" s="223"/>
      <c r="AC449" s="22"/>
      <c r="AH449" s="9"/>
      <c r="AJ449" s="27"/>
      <c r="AK449" s="84"/>
      <c r="AM449" s="13"/>
      <c r="AP449"/>
      <c r="AR449"/>
      <c r="AV449"/>
      <c r="AW449"/>
      <c r="AX449"/>
      <c r="AY449"/>
      <c r="AZ449"/>
      <c r="BC449"/>
      <c r="BD449"/>
      <c r="BG449"/>
      <c r="BH449"/>
      <c r="BI449"/>
      <c r="BJ449"/>
      <c r="BS449"/>
      <c r="BU449"/>
      <c r="BV449"/>
      <c r="BX449"/>
    </row>
    <row r="450" spans="1:76" ht="15.75">
      <c r="A450" s="263" t="s">
        <v>66</v>
      </c>
      <c r="B450" s="236" t="s">
        <v>505</v>
      </c>
      <c r="C450" s="57"/>
      <c r="D450" s="57">
        <v>242</v>
      </c>
      <c r="E450" s="57">
        <v>100</v>
      </c>
      <c r="F450" s="57">
        <v>0.83</v>
      </c>
      <c r="G450" s="57">
        <v>40963</v>
      </c>
      <c r="H450" s="57">
        <v>5.5</v>
      </c>
      <c r="I450" s="57">
        <v>40974</v>
      </c>
      <c r="J450" s="57">
        <v>5643.4178718513094</v>
      </c>
      <c r="K450" s="57">
        <v>447.80876494023909</v>
      </c>
      <c r="L450" s="57">
        <v>449.6</v>
      </c>
      <c r="M450" s="57">
        <v>17.399999999999999</v>
      </c>
      <c r="N450" s="57" t="s">
        <v>15</v>
      </c>
      <c r="O450" s="57">
        <v>100.4</v>
      </c>
      <c r="P450" s="57"/>
      <c r="Q450" s="57"/>
      <c r="R450" s="57"/>
      <c r="S450" s="57"/>
      <c r="T450" s="57"/>
      <c r="U450" s="57"/>
      <c r="V450" s="57"/>
      <c r="W450" s="495"/>
      <c r="X450" s="495"/>
      <c r="Y450" s="495"/>
      <c r="Z450" s="451"/>
      <c r="AA450" s="145"/>
      <c r="AB450" s="223"/>
      <c r="AC450" s="22"/>
      <c r="AH450" s="9"/>
      <c r="AJ450" s="27"/>
      <c r="AK450" s="84"/>
      <c r="AM450" s="13"/>
      <c r="AP450"/>
      <c r="AR450"/>
      <c r="AV450"/>
      <c r="AW450"/>
      <c r="AX450"/>
      <c r="AY450"/>
      <c r="AZ450"/>
      <c r="BC450"/>
      <c r="BD450"/>
      <c r="BG450"/>
      <c r="BH450"/>
      <c r="BI450"/>
      <c r="BJ450"/>
      <c r="BS450"/>
      <c r="BU450"/>
      <c r="BV450"/>
      <c r="BX450"/>
    </row>
    <row r="451" spans="1:76" ht="15.75">
      <c r="A451" s="263" t="s">
        <v>66</v>
      </c>
      <c r="B451" s="236" t="s">
        <v>513</v>
      </c>
      <c r="C451" s="57"/>
      <c r="D451" s="57">
        <v>279</v>
      </c>
      <c r="E451" s="57">
        <v>100</v>
      </c>
      <c r="F451" s="57">
        <v>10</v>
      </c>
      <c r="G451" s="57">
        <v>40983</v>
      </c>
      <c r="H451" s="57">
        <v>6.65</v>
      </c>
      <c r="I451" s="57">
        <v>41019</v>
      </c>
      <c r="J451" s="57">
        <v>-431.12440550687728</v>
      </c>
      <c r="K451" s="57">
        <v>-34.637310792215445</v>
      </c>
      <c r="L451" s="57">
        <v>-352.4</v>
      </c>
      <c r="M451" s="57">
        <v>17.399999999999999</v>
      </c>
      <c r="N451" s="57" t="s">
        <v>15</v>
      </c>
      <c r="O451" s="57">
        <v>1017.4</v>
      </c>
      <c r="P451" s="57"/>
      <c r="Q451" s="57"/>
      <c r="R451" s="57"/>
      <c r="S451" s="57"/>
      <c r="T451" s="57"/>
      <c r="U451" s="57"/>
      <c r="V451" s="57"/>
      <c r="W451" s="495"/>
      <c r="X451" s="495"/>
      <c r="Y451" s="495"/>
      <c r="Z451" s="451"/>
      <c r="AA451" s="145"/>
      <c r="AB451" s="223"/>
      <c r="AC451" s="22"/>
      <c r="AH451" s="9"/>
      <c r="AJ451" s="27"/>
      <c r="AK451" s="84"/>
      <c r="AM451" s="13"/>
      <c r="AP451"/>
      <c r="AR451"/>
      <c r="AV451"/>
      <c r="AW451"/>
      <c r="AX451"/>
      <c r="AY451"/>
      <c r="AZ451"/>
      <c r="BC451"/>
      <c r="BD451"/>
      <c r="BG451"/>
      <c r="BH451"/>
      <c r="BI451"/>
      <c r="BJ451"/>
      <c r="BS451"/>
      <c r="BU451"/>
      <c r="BV451"/>
      <c r="BX451"/>
    </row>
    <row r="452" spans="1:76" ht="15.75">
      <c r="A452" s="263" t="s">
        <v>66</v>
      </c>
      <c r="B452" s="236" t="s">
        <v>688</v>
      </c>
      <c r="C452" s="57"/>
      <c r="D452" s="57">
        <v>307</v>
      </c>
      <c r="E452" s="57">
        <v>100</v>
      </c>
      <c r="F452" s="57">
        <v>0</v>
      </c>
      <c r="G452" s="57">
        <v>41024</v>
      </c>
      <c r="H452" s="57">
        <v>5</v>
      </c>
      <c r="I452" s="57">
        <v>41075</v>
      </c>
      <c r="J452" s="57">
        <v>2899.4491207019678</v>
      </c>
      <c r="K452" s="57">
        <v>5647.1264367816093</v>
      </c>
      <c r="L452" s="57">
        <v>491.3</v>
      </c>
      <c r="M452" s="57">
        <v>8.6999999999999993</v>
      </c>
      <c r="N452" s="57" t="s">
        <v>403</v>
      </c>
      <c r="O452" s="57">
        <v>8.6999999999999993</v>
      </c>
      <c r="P452" s="57"/>
      <c r="Q452" s="57"/>
      <c r="R452" s="57"/>
      <c r="S452" s="57"/>
      <c r="T452" s="57"/>
      <c r="U452" s="57"/>
      <c r="V452" s="57"/>
      <c r="W452" s="495"/>
      <c r="X452" s="495"/>
      <c r="Y452" s="495"/>
      <c r="Z452" s="451"/>
      <c r="AA452" s="145"/>
      <c r="AB452" s="223"/>
      <c r="AC452" s="22"/>
      <c r="AH452" s="9"/>
      <c r="AJ452" s="27"/>
      <c r="AK452" s="84"/>
      <c r="AM452" s="13"/>
      <c r="AP452"/>
      <c r="AR452"/>
      <c r="AV452"/>
      <c r="AW452"/>
      <c r="AX452"/>
      <c r="AY452"/>
      <c r="AZ452"/>
      <c r="BC452"/>
      <c r="BD452"/>
      <c r="BG452"/>
      <c r="BH452"/>
      <c r="BI452"/>
      <c r="BJ452"/>
      <c r="BS452"/>
      <c r="BU452"/>
      <c r="BV452"/>
      <c r="BX452"/>
    </row>
    <row r="453" spans="1:76" ht="15.75">
      <c r="A453" s="263" t="s">
        <v>66</v>
      </c>
      <c r="B453" s="236" t="s">
        <v>763</v>
      </c>
      <c r="C453" s="57"/>
      <c r="D453" s="57">
        <v>337</v>
      </c>
      <c r="E453" s="57">
        <v>100</v>
      </c>
      <c r="F453" s="57">
        <v>2</v>
      </c>
      <c r="G453" s="57">
        <v>41087</v>
      </c>
      <c r="H453" s="57">
        <v>7.5</v>
      </c>
      <c r="I453" s="57">
        <v>41106</v>
      </c>
      <c r="J453" s="57">
        <v>2378.9052348567639</v>
      </c>
      <c r="K453" s="57">
        <v>244.98620055197793</v>
      </c>
      <c r="L453" s="57">
        <v>532.6</v>
      </c>
      <c r="M453" s="57">
        <v>17.399999999999999</v>
      </c>
      <c r="N453" s="57" t="s">
        <v>15</v>
      </c>
      <c r="O453" s="57">
        <v>217.4</v>
      </c>
      <c r="P453" s="57"/>
      <c r="Q453" s="57"/>
      <c r="R453" s="57"/>
      <c r="S453" s="57"/>
      <c r="T453" s="57"/>
      <c r="U453" s="57"/>
      <c r="V453" s="57"/>
      <c r="W453" s="495"/>
      <c r="X453" s="495"/>
      <c r="Y453" s="495"/>
      <c r="Z453" s="451"/>
      <c r="AA453" s="145"/>
      <c r="AB453" s="223"/>
      <c r="AC453" s="22"/>
      <c r="AH453" s="9"/>
      <c r="AJ453" s="27"/>
      <c r="AK453" s="84"/>
      <c r="AM453" s="13"/>
      <c r="AP453"/>
      <c r="AR453"/>
      <c r="AV453"/>
      <c r="AW453"/>
      <c r="AX453"/>
      <c r="AY453"/>
      <c r="AZ453"/>
      <c r="BC453"/>
      <c r="BD453"/>
      <c r="BG453"/>
      <c r="BH453"/>
      <c r="BI453"/>
      <c r="BJ453"/>
      <c r="BS453"/>
      <c r="BU453"/>
      <c r="BV453"/>
      <c r="BX453"/>
    </row>
    <row r="454" spans="1:76" ht="15.75">
      <c r="A454" s="263" t="s">
        <v>66</v>
      </c>
      <c r="B454" s="236" t="s">
        <v>783</v>
      </c>
      <c r="C454" s="57"/>
      <c r="D454" s="57">
        <v>360</v>
      </c>
      <c r="E454" s="57">
        <v>100</v>
      </c>
      <c r="F454" s="57">
        <v>1</v>
      </c>
      <c r="G454" s="57">
        <v>41109</v>
      </c>
      <c r="H454" s="57">
        <v>3.5</v>
      </c>
      <c r="I454" s="57">
        <v>41136</v>
      </c>
      <c r="J454" s="57">
        <v>1476.6902969913117</v>
      </c>
      <c r="K454" s="57">
        <v>198.1260647359455</v>
      </c>
      <c r="L454" s="57">
        <v>232.6</v>
      </c>
      <c r="M454" s="57">
        <v>17.399999999999999</v>
      </c>
      <c r="N454" s="57" t="s">
        <v>15</v>
      </c>
      <c r="O454" s="57">
        <v>117.4</v>
      </c>
      <c r="P454" s="57"/>
      <c r="Q454" s="57"/>
      <c r="R454" s="57"/>
      <c r="S454" s="57"/>
      <c r="T454" s="57"/>
      <c r="U454" s="57"/>
      <c r="V454" s="57"/>
      <c r="W454" s="495"/>
      <c r="X454" s="495"/>
      <c r="Y454" s="495"/>
      <c r="Z454" s="451"/>
      <c r="AA454" s="145"/>
      <c r="AB454" s="223"/>
      <c r="AC454" s="22"/>
      <c r="AH454" s="9"/>
      <c r="AJ454" s="27"/>
      <c r="AK454" s="84"/>
      <c r="AM454" s="13"/>
      <c r="AP454"/>
      <c r="AR454"/>
      <c r="AV454"/>
      <c r="AW454"/>
      <c r="AX454"/>
      <c r="AY454"/>
      <c r="AZ454"/>
      <c r="BC454"/>
      <c r="BD454"/>
      <c r="BG454"/>
      <c r="BH454"/>
      <c r="BI454"/>
      <c r="BJ454"/>
      <c r="BS454"/>
      <c r="BU454"/>
      <c r="BV454"/>
      <c r="BX454"/>
    </row>
    <row r="455" spans="1:76" ht="15.75">
      <c r="A455" s="263" t="s">
        <v>66</v>
      </c>
      <c r="B455" s="236" t="s">
        <v>820</v>
      </c>
      <c r="C455" s="57"/>
      <c r="D455" s="57">
        <v>374</v>
      </c>
      <c r="E455" s="57">
        <v>100</v>
      </c>
      <c r="F455" s="57">
        <v>0.9</v>
      </c>
      <c r="G455" s="57">
        <v>41163</v>
      </c>
      <c r="H455" s="57">
        <v>3.05</v>
      </c>
      <c r="I455" s="57">
        <v>41177</v>
      </c>
      <c r="J455" s="57">
        <v>2721.2095143172592</v>
      </c>
      <c r="K455" s="57">
        <v>183.98510242085655</v>
      </c>
      <c r="L455" s="57">
        <v>197.6</v>
      </c>
      <c r="M455" s="57">
        <v>17.399999999999999</v>
      </c>
      <c r="N455" s="57" t="s">
        <v>15</v>
      </c>
      <c r="O455" s="57">
        <v>107.4</v>
      </c>
      <c r="P455" s="57"/>
      <c r="Q455" s="57"/>
      <c r="R455" s="57"/>
      <c r="S455" s="57"/>
      <c r="T455" s="57"/>
      <c r="U455" s="57"/>
      <c r="V455" s="57"/>
      <c r="W455" s="495"/>
      <c r="X455" s="495"/>
      <c r="Y455" s="495"/>
      <c r="Z455" s="451"/>
      <c r="AA455" s="145"/>
      <c r="AB455" s="223"/>
      <c r="AC455" s="22"/>
      <c r="AH455" s="9"/>
      <c r="AJ455" s="27"/>
      <c r="AK455" s="84"/>
      <c r="AM455" s="13"/>
      <c r="AP455"/>
      <c r="AR455"/>
      <c r="AV455"/>
      <c r="AW455"/>
      <c r="AX455"/>
      <c r="AY455"/>
      <c r="AZ455"/>
      <c r="BC455"/>
      <c r="BD455"/>
      <c r="BG455"/>
      <c r="BH455"/>
      <c r="BI455"/>
      <c r="BJ455"/>
      <c r="BS455"/>
      <c r="BU455"/>
      <c r="BV455"/>
      <c r="BX455"/>
    </row>
    <row r="456" spans="1:76" ht="15.75">
      <c r="A456" s="263" t="s">
        <v>66</v>
      </c>
      <c r="B456" s="236" t="s">
        <v>828</v>
      </c>
      <c r="C456" s="57"/>
      <c r="D456" s="57">
        <v>395</v>
      </c>
      <c r="E456" s="57">
        <v>100</v>
      </c>
      <c r="F456" s="57">
        <v>2.5</v>
      </c>
      <c r="G456" s="57">
        <v>41187</v>
      </c>
      <c r="H456" s="57">
        <v>2.7</v>
      </c>
      <c r="I456" s="57">
        <v>41220</v>
      </c>
      <c r="J456" s="57">
        <v>10.702567971649016</v>
      </c>
      <c r="K456" s="57">
        <v>0.97232610321616475</v>
      </c>
      <c r="L456" s="57">
        <v>2.6</v>
      </c>
      <c r="M456" s="57">
        <v>17.399999999999999</v>
      </c>
      <c r="N456" s="57" t="s">
        <v>15</v>
      </c>
      <c r="O456" s="57">
        <v>267.39999999999998</v>
      </c>
      <c r="P456" s="57"/>
      <c r="Q456" s="57"/>
      <c r="R456" s="57"/>
      <c r="S456" s="57"/>
      <c r="T456" s="57"/>
      <c r="U456" s="57"/>
      <c r="V456" s="57"/>
      <c r="W456" s="495"/>
      <c r="X456" s="495"/>
      <c r="Y456" s="495"/>
      <c r="Z456" s="451"/>
      <c r="AA456" s="145"/>
      <c r="AB456" s="223"/>
      <c r="AC456" s="22"/>
      <c r="AH456" s="9"/>
      <c r="AJ456" s="27"/>
      <c r="AK456" s="84"/>
      <c r="AM456" s="13"/>
      <c r="AP456"/>
      <c r="AR456"/>
      <c r="AV456"/>
      <c r="AW456"/>
      <c r="AX456"/>
      <c r="AY456"/>
      <c r="AZ456"/>
      <c r="BC456"/>
      <c r="BD456"/>
      <c r="BG456"/>
      <c r="BH456"/>
      <c r="BI456"/>
      <c r="BJ456"/>
      <c r="BS456"/>
      <c r="BU456"/>
      <c r="BV456"/>
      <c r="BX456"/>
    </row>
    <row r="457" spans="1:76" ht="15.75">
      <c r="A457" s="263" t="s">
        <v>66</v>
      </c>
      <c r="B457" s="236" t="s">
        <v>874</v>
      </c>
      <c r="C457" s="57"/>
      <c r="D457" s="57">
        <v>418</v>
      </c>
      <c r="E457" s="57">
        <v>100</v>
      </c>
      <c r="F457" s="57">
        <v>1.3</v>
      </c>
      <c r="G457" s="57">
        <v>41243</v>
      </c>
      <c r="H457" s="57">
        <v>0.95</v>
      </c>
      <c r="I457" s="57">
        <v>41264</v>
      </c>
      <c r="J457" s="57">
        <v>-763.49846274506592</v>
      </c>
      <c r="K457" s="57">
        <v>-35.549525101763912</v>
      </c>
      <c r="L457" s="57">
        <v>-52.4</v>
      </c>
      <c r="M457" s="57">
        <v>17.399999999999999</v>
      </c>
      <c r="N457" s="57" t="s">
        <v>15</v>
      </c>
      <c r="O457" s="57">
        <v>147.4</v>
      </c>
      <c r="P457" s="57"/>
      <c r="Q457" s="57"/>
      <c r="R457" s="57"/>
      <c r="S457" s="57"/>
      <c r="T457" s="57"/>
      <c r="U457" s="57"/>
      <c r="V457" s="57"/>
      <c r="W457" s="495"/>
      <c r="X457" s="495"/>
      <c r="Y457" s="495"/>
      <c r="Z457" s="451"/>
      <c r="AA457" s="145"/>
      <c r="AB457" s="223"/>
      <c r="AC457" s="22"/>
      <c r="AH457" s="9"/>
      <c r="AJ457" s="27"/>
      <c r="AK457" s="84"/>
      <c r="AM457" s="13"/>
      <c r="AP457"/>
      <c r="AR457"/>
      <c r="AV457"/>
      <c r="AW457"/>
      <c r="AX457"/>
      <c r="AY457"/>
      <c r="AZ457"/>
      <c r="BC457"/>
      <c r="BD457"/>
      <c r="BG457"/>
      <c r="BH457"/>
      <c r="BI457"/>
      <c r="BJ457"/>
      <c r="BS457"/>
      <c r="BU457"/>
      <c r="BV457"/>
      <c r="BX457"/>
    </row>
    <row r="458" spans="1:76" ht="15.75">
      <c r="A458" s="263" t="s">
        <v>66</v>
      </c>
      <c r="B458" s="236" t="s">
        <v>66</v>
      </c>
      <c r="C458" s="57"/>
      <c r="D458" s="57">
        <v>433</v>
      </c>
      <c r="E458" s="57">
        <v>100</v>
      </c>
      <c r="F458" s="57">
        <v>79.621899999999997</v>
      </c>
      <c r="G458" s="57">
        <v>40804</v>
      </c>
      <c r="H458" s="57">
        <v>35.299999999999997</v>
      </c>
      <c r="I458" s="57">
        <v>41274</v>
      </c>
      <c r="J458" s="57">
        <v>-63.246282652074669</v>
      </c>
      <c r="K458" s="57">
        <v>-55.709686404504815</v>
      </c>
      <c r="L458" s="57">
        <v>-4440.1400000000003</v>
      </c>
      <c r="M458" s="57">
        <v>7.95</v>
      </c>
      <c r="N458" s="57" t="s">
        <v>145</v>
      </c>
      <c r="O458" s="57">
        <v>7970.14</v>
      </c>
      <c r="P458" s="57"/>
      <c r="Q458" s="57"/>
      <c r="R458" s="57"/>
      <c r="S458" s="57"/>
      <c r="T458" s="57"/>
      <c r="U458" s="57"/>
      <c r="V458" s="57"/>
      <c r="W458" s="495"/>
      <c r="X458" s="495"/>
      <c r="Y458" s="495"/>
      <c r="Z458" s="451"/>
      <c r="AA458" s="145"/>
      <c r="AB458" s="223"/>
      <c r="AC458" s="22"/>
      <c r="AH458" s="9"/>
      <c r="AJ458" s="27"/>
      <c r="AK458" s="84"/>
      <c r="AM458" s="13"/>
      <c r="AP458"/>
      <c r="AR458"/>
      <c r="AV458"/>
      <c r="AW458"/>
      <c r="AX458"/>
      <c r="AY458"/>
      <c r="AZ458"/>
      <c r="BC458"/>
      <c r="BD458"/>
      <c r="BG458"/>
      <c r="BH458"/>
      <c r="BI458"/>
      <c r="BJ458"/>
      <c r="BS458"/>
      <c r="BU458"/>
      <c r="BV458"/>
      <c r="BX458"/>
    </row>
    <row r="459" spans="1:76" ht="15.75">
      <c r="A459" s="263" t="s">
        <v>66</v>
      </c>
      <c r="B459" s="236" t="s">
        <v>927</v>
      </c>
      <c r="C459" s="57"/>
      <c r="D459" s="57">
        <v>471</v>
      </c>
      <c r="E459" s="57">
        <v>100</v>
      </c>
      <c r="F459" s="57">
        <v>0.15</v>
      </c>
      <c r="G459" s="57">
        <v>41586</v>
      </c>
      <c r="H459" s="57">
        <v>0.8</v>
      </c>
      <c r="I459" s="57">
        <v>41591</v>
      </c>
      <c r="J459" s="57">
        <v>6598.2379466918665</v>
      </c>
      <c r="K459" s="57">
        <v>146.91358024691365</v>
      </c>
      <c r="L459" s="57">
        <v>47.6</v>
      </c>
      <c r="M459" s="57">
        <v>17.399999999999999</v>
      </c>
      <c r="N459" s="57" t="s">
        <v>15</v>
      </c>
      <c r="O459" s="57">
        <v>32.4</v>
      </c>
      <c r="P459" s="57"/>
      <c r="Q459" s="57"/>
      <c r="R459" s="57"/>
      <c r="S459" s="57"/>
      <c r="T459" s="57"/>
      <c r="U459" s="57"/>
      <c r="V459" s="57"/>
      <c r="W459" s="495"/>
      <c r="X459" s="495"/>
      <c r="Y459" s="495"/>
      <c r="Z459" s="451"/>
      <c r="AA459" s="145"/>
      <c r="AB459" s="223"/>
      <c r="AC459" s="22"/>
      <c r="AH459" s="9"/>
      <c r="AJ459" s="27"/>
      <c r="AK459" s="84"/>
      <c r="AM459" s="13"/>
      <c r="AP459"/>
      <c r="AR459"/>
      <c r="AV459"/>
      <c r="AW459"/>
      <c r="AX459"/>
      <c r="AY459"/>
      <c r="AZ459"/>
      <c r="BC459"/>
      <c r="BD459"/>
      <c r="BG459"/>
      <c r="BH459"/>
      <c r="BI459"/>
      <c r="BJ459"/>
      <c r="BS459"/>
      <c r="BU459"/>
      <c r="BV459"/>
      <c r="BX459"/>
    </row>
    <row r="460" spans="1:76" ht="15.75">
      <c r="A460" s="263" t="s">
        <v>66</v>
      </c>
      <c r="B460" s="236" t="s">
        <v>983</v>
      </c>
      <c r="C460" s="57"/>
      <c r="D460" s="57">
        <v>483</v>
      </c>
      <c r="E460" s="57">
        <v>100</v>
      </c>
      <c r="F460" s="57">
        <v>0</v>
      </c>
      <c r="G460" s="57">
        <v>41635</v>
      </c>
      <c r="H460" s="57">
        <v>1.25</v>
      </c>
      <c r="I460" s="57">
        <v>41656</v>
      </c>
      <c r="J460" s="57">
        <v>3427.2518516422074</v>
      </c>
      <c r="K460" s="57">
        <v>618.39080459770128</v>
      </c>
      <c r="L460" s="57">
        <v>107.6</v>
      </c>
      <c r="M460" s="57">
        <v>17.399999999999999</v>
      </c>
      <c r="N460" s="57" t="s">
        <v>15</v>
      </c>
      <c r="O460" s="57">
        <v>17.399999999999999</v>
      </c>
      <c r="P460" s="57"/>
      <c r="Q460" s="57"/>
      <c r="R460" s="57"/>
      <c r="S460" s="57"/>
      <c r="T460" s="57"/>
      <c r="U460" s="57"/>
      <c r="V460" s="57"/>
      <c r="W460" s="495"/>
      <c r="X460" s="495"/>
      <c r="Y460" s="495"/>
      <c r="Z460" s="451"/>
      <c r="AA460" s="145"/>
      <c r="AB460" s="223"/>
      <c r="AC460" s="22"/>
      <c r="AH460" s="9"/>
      <c r="AJ460" s="27"/>
      <c r="AK460" s="84"/>
      <c r="AM460" s="13"/>
      <c r="AP460"/>
      <c r="AR460"/>
      <c r="AV460"/>
      <c r="AW460"/>
      <c r="AX460"/>
      <c r="AY460"/>
      <c r="AZ460"/>
      <c r="BC460"/>
      <c r="BD460"/>
      <c r="BG460"/>
      <c r="BH460"/>
      <c r="BI460"/>
      <c r="BJ460"/>
      <c r="BS460"/>
      <c r="BU460"/>
      <c r="BV460"/>
      <c r="BX460"/>
    </row>
    <row r="461" spans="1:76" ht="15.75">
      <c r="A461" s="263" t="s">
        <v>139</v>
      </c>
      <c r="B461" s="236"/>
      <c r="C461" s="57"/>
      <c r="D461" s="57">
        <v>20</v>
      </c>
      <c r="E461" s="57">
        <v>150</v>
      </c>
      <c r="F461" s="57">
        <v>42.5</v>
      </c>
      <c r="G461" s="57">
        <v>40199</v>
      </c>
      <c r="H461" s="57">
        <v>50</v>
      </c>
      <c r="I461" s="57">
        <v>40297</v>
      </c>
      <c r="J461" s="57">
        <v>60.685068429154946</v>
      </c>
      <c r="K461" s="57">
        <v>17.500528752379392</v>
      </c>
      <c r="L461" s="57">
        <v>1117.05</v>
      </c>
      <c r="M461" s="57">
        <v>7.95</v>
      </c>
      <c r="N461" s="57" t="s">
        <v>145</v>
      </c>
      <c r="O461" s="57">
        <v>6382.95</v>
      </c>
      <c r="P461" s="57"/>
      <c r="Q461" s="57"/>
      <c r="R461" s="57"/>
      <c r="S461" s="57"/>
      <c r="T461" s="57"/>
      <c r="U461" s="57"/>
      <c r="V461" s="57"/>
      <c r="W461" s="495"/>
      <c r="X461" s="495"/>
      <c r="Y461" s="495"/>
      <c r="Z461" s="451"/>
      <c r="AA461" s="145"/>
      <c r="AB461" s="223"/>
      <c r="AC461" s="22"/>
      <c r="AH461" s="9"/>
      <c r="AJ461" s="27"/>
      <c r="AK461" s="84"/>
      <c r="AM461" s="13"/>
      <c r="AP461"/>
      <c r="AR461"/>
      <c r="AV461"/>
      <c r="AW461"/>
      <c r="AX461"/>
      <c r="AY461"/>
      <c r="AZ461"/>
      <c r="BC461"/>
      <c r="BD461"/>
      <c r="BG461"/>
      <c r="BH461"/>
      <c r="BI461"/>
      <c r="BJ461"/>
      <c r="BS461"/>
      <c r="BU461"/>
      <c r="BV461"/>
      <c r="BX461"/>
    </row>
    <row r="462" spans="1:76" ht="15.75">
      <c r="A462" s="263" t="s">
        <v>139</v>
      </c>
      <c r="B462" s="236"/>
      <c r="C462" s="57"/>
      <c r="D462" s="57">
        <v>27</v>
      </c>
      <c r="E462" s="57">
        <v>50</v>
      </c>
      <c r="F462" s="57">
        <v>42.5</v>
      </c>
      <c r="G462" s="57">
        <v>40199</v>
      </c>
      <c r="H462" s="57">
        <v>47.27</v>
      </c>
      <c r="I462" s="57">
        <v>40477</v>
      </c>
      <c r="J462" s="57">
        <v>13.524445565982049</v>
      </c>
      <c r="K462" s="57">
        <v>10.808973487423531</v>
      </c>
      <c r="L462" s="57">
        <v>230.55</v>
      </c>
      <c r="M462" s="57">
        <v>7.95</v>
      </c>
      <c r="N462" s="57" t="s">
        <v>145</v>
      </c>
      <c r="O462" s="57">
        <v>2132.9499999999998</v>
      </c>
      <c r="P462" s="57"/>
      <c r="Q462" s="57"/>
      <c r="R462" s="57"/>
      <c r="S462" s="57"/>
      <c r="T462" s="57"/>
      <c r="U462" s="57"/>
      <c r="V462" s="57"/>
      <c r="W462" s="495"/>
      <c r="X462" s="495"/>
      <c r="Y462" s="495"/>
      <c r="Z462" s="451"/>
      <c r="AA462" s="145"/>
      <c r="AB462" s="223"/>
      <c r="AC462" s="22"/>
      <c r="AH462" s="9"/>
      <c r="AJ462" s="27"/>
      <c r="AK462" s="84"/>
      <c r="AM462" s="13"/>
      <c r="AP462"/>
      <c r="AR462"/>
      <c r="AV462"/>
      <c r="AW462"/>
      <c r="AX462"/>
      <c r="AY462"/>
      <c r="AZ462"/>
      <c r="BC462"/>
      <c r="BD462"/>
      <c r="BG462"/>
      <c r="BH462"/>
      <c r="BI462"/>
      <c r="BJ462"/>
      <c r="BS462"/>
      <c r="BU462"/>
      <c r="BV462"/>
      <c r="BX462"/>
    </row>
    <row r="463" spans="1:76" ht="15.75">
      <c r="A463" s="263" t="s">
        <v>8</v>
      </c>
      <c r="B463" s="236"/>
      <c r="C463" s="57"/>
      <c r="D463" s="57">
        <v>8</v>
      </c>
      <c r="E463" s="57">
        <v>200</v>
      </c>
      <c r="F463" s="57">
        <v>51.9</v>
      </c>
      <c r="G463" s="57">
        <v>40106</v>
      </c>
      <c r="H463" s="57">
        <v>53.5</v>
      </c>
      <c r="I463" s="57">
        <v>40134</v>
      </c>
      <c r="J463" s="57">
        <v>38.582143705797549</v>
      </c>
      <c r="K463" s="57">
        <v>3.0039613205685503</v>
      </c>
      <c r="L463" s="57">
        <v>312.05</v>
      </c>
      <c r="M463" s="57">
        <v>7.95</v>
      </c>
      <c r="N463" s="57" t="s">
        <v>145</v>
      </c>
      <c r="O463" s="57">
        <v>10387.950000000001</v>
      </c>
      <c r="P463" s="57"/>
      <c r="Q463" s="57"/>
      <c r="R463" s="57"/>
      <c r="S463" s="57"/>
      <c r="T463" s="57"/>
      <c r="U463" s="57"/>
      <c r="V463" s="57"/>
      <c r="W463" s="495"/>
      <c r="X463" s="495"/>
      <c r="Y463" s="495"/>
      <c r="Z463" s="451"/>
      <c r="AA463" s="145"/>
      <c r="AB463" s="223"/>
      <c r="AC463" s="22"/>
      <c r="AH463" s="9"/>
      <c r="AJ463" s="27"/>
      <c r="AK463" s="84"/>
      <c r="AM463" s="13"/>
      <c r="AP463"/>
      <c r="AR463"/>
      <c r="AV463"/>
      <c r="AW463"/>
      <c r="AX463"/>
      <c r="AY463"/>
      <c r="AZ463"/>
      <c r="BC463"/>
      <c r="BD463"/>
      <c r="BG463"/>
      <c r="BH463"/>
      <c r="BI463"/>
      <c r="BJ463"/>
      <c r="BS463"/>
      <c r="BU463"/>
      <c r="BV463"/>
      <c r="BX463"/>
    </row>
    <row r="464" spans="1:76" ht="15.75">
      <c r="A464" s="263" t="s">
        <v>8</v>
      </c>
      <c r="B464" s="236"/>
      <c r="C464" s="57"/>
      <c r="D464" s="57">
        <v>13</v>
      </c>
      <c r="E464" s="57">
        <v>100</v>
      </c>
      <c r="F464" s="57">
        <v>51.9</v>
      </c>
      <c r="G464" s="57">
        <v>40106</v>
      </c>
      <c r="H464" s="57">
        <v>54.11</v>
      </c>
      <c r="I464" s="57">
        <v>40242</v>
      </c>
      <c r="J464" s="57">
        <v>10.780812186556396</v>
      </c>
      <c r="K464" s="57">
        <v>4.0987312305812829</v>
      </c>
      <c r="L464" s="57">
        <v>213.05</v>
      </c>
      <c r="M464" s="57">
        <v>7.95</v>
      </c>
      <c r="N464" s="57" t="s">
        <v>145</v>
      </c>
      <c r="O464" s="57">
        <v>5197.95</v>
      </c>
      <c r="P464" s="57"/>
      <c r="Q464" s="57"/>
      <c r="R464" s="57"/>
      <c r="S464" s="57"/>
      <c r="T464" s="57"/>
      <c r="U464" s="57"/>
      <c r="V464" s="57"/>
      <c r="W464" s="495"/>
      <c r="X464" s="495"/>
      <c r="Y464" s="495"/>
      <c r="Z464" s="451"/>
      <c r="AA464" s="145"/>
      <c r="AB464" s="223"/>
      <c r="AC464" s="22"/>
      <c r="AH464" s="9"/>
      <c r="AJ464" s="27"/>
      <c r="AK464" s="84"/>
      <c r="AM464" s="13"/>
      <c r="AP464"/>
      <c r="AR464"/>
      <c r="AV464"/>
      <c r="AW464"/>
      <c r="AX464"/>
      <c r="AY464"/>
      <c r="AZ464"/>
      <c r="BC464"/>
      <c r="BD464"/>
      <c r="BG464"/>
      <c r="BH464"/>
      <c r="BI464"/>
      <c r="BJ464"/>
      <c r="BS464"/>
      <c r="BU464"/>
      <c r="BV464"/>
      <c r="BX464"/>
    </row>
    <row r="465" spans="1:76" ht="15.75">
      <c r="A465" s="263" t="s">
        <v>8</v>
      </c>
      <c r="B465" s="236"/>
      <c r="C465" s="57"/>
      <c r="D465" s="57">
        <v>28</v>
      </c>
      <c r="E465" s="57">
        <v>205</v>
      </c>
      <c r="F465" s="57">
        <v>51.015099999999997</v>
      </c>
      <c r="G465" s="57">
        <v>40106</v>
      </c>
      <c r="H465" s="57">
        <v>55</v>
      </c>
      <c r="I465" s="57">
        <v>40486</v>
      </c>
      <c r="J465" s="57">
        <v>7.1512749904453106</v>
      </c>
      <c r="K465" s="57">
        <v>7.7293233628690095</v>
      </c>
      <c r="L465" s="57">
        <v>808.95450000000005</v>
      </c>
      <c r="M465" s="57">
        <v>7.95</v>
      </c>
      <c r="N465" s="57" t="s">
        <v>145</v>
      </c>
      <c r="O465" s="57">
        <v>10466.0455</v>
      </c>
      <c r="P465" s="57"/>
      <c r="Q465" s="57"/>
      <c r="R465" s="57"/>
      <c r="S465" s="57"/>
      <c r="T465" s="57"/>
      <c r="U465" s="57"/>
      <c r="V465" s="57"/>
      <c r="W465" s="495"/>
      <c r="X465" s="495"/>
      <c r="Y465" s="495"/>
      <c r="Z465" s="451"/>
      <c r="AA465" s="145"/>
      <c r="AB465" s="223"/>
      <c r="AC465" s="22"/>
      <c r="AH465" s="9"/>
      <c r="AJ465" s="27"/>
      <c r="AK465" s="84"/>
      <c r="AM465" s="13"/>
      <c r="AP465"/>
      <c r="AR465"/>
      <c r="AV465"/>
      <c r="AW465"/>
      <c r="AX465"/>
      <c r="AY465"/>
      <c r="AZ465"/>
      <c r="BC465"/>
      <c r="BD465"/>
      <c r="BG465"/>
      <c r="BH465"/>
      <c r="BI465"/>
      <c r="BJ465"/>
      <c r="BS465"/>
      <c r="BU465"/>
      <c r="BV465"/>
      <c r="BX465"/>
    </row>
    <row r="466" spans="1:76" ht="15.75">
      <c r="A466" s="263" t="s">
        <v>8</v>
      </c>
      <c r="B466" s="236" t="s">
        <v>8</v>
      </c>
      <c r="C466" s="57"/>
      <c r="D466" s="57">
        <v>510</v>
      </c>
      <c r="E466" s="57">
        <v>101</v>
      </c>
      <c r="F466" s="57">
        <v>80.617199999999997</v>
      </c>
      <c r="G466" s="57">
        <v>41637</v>
      </c>
      <c r="H466" s="57">
        <v>86</v>
      </c>
      <c r="I466" s="57">
        <v>41992</v>
      </c>
      <c r="J466" s="57">
        <v>6.5452589856857326</v>
      </c>
      <c r="K466" s="57">
        <v>6.57293156491468</v>
      </c>
      <c r="L466" s="57">
        <v>535.71280000000002</v>
      </c>
      <c r="M466" s="57">
        <v>7.95</v>
      </c>
      <c r="N466" s="57" t="s">
        <v>145</v>
      </c>
      <c r="O466" s="57">
        <v>8150.2871999999998</v>
      </c>
      <c r="P466" s="57"/>
      <c r="Q466" s="57"/>
      <c r="R466" s="57"/>
      <c r="S466" s="57"/>
      <c r="T466" s="57"/>
      <c r="U466" s="57"/>
      <c r="V466" s="57"/>
      <c r="W466" s="495"/>
      <c r="X466" s="495"/>
      <c r="Y466" s="495"/>
      <c r="Z466" s="451"/>
      <c r="AA466" s="145"/>
      <c r="AB466" s="223"/>
      <c r="AC466" s="22"/>
      <c r="AH466" s="9"/>
      <c r="AJ466" s="27"/>
      <c r="AK466" s="84"/>
      <c r="AM466" s="13"/>
      <c r="AP466"/>
      <c r="AR466"/>
      <c r="AV466"/>
      <c r="AW466"/>
      <c r="AX466"/>
      <c r="AY466"/>
      <c r="AZ466"/>
      <c r="BC466"/>
      <c r="BD466"/>
      <c r="BG466"/>
      <c r="BH466"/>
      <c r="BI466"/>
      <c r="BJ466"/>
      <c r="BS466"/>
      <c r="BU466"/>
      <c r="BV466"/>
      <c r="BX466"/>
    </row>
    <row r="467" spans="1:76" ht="15.75">
      <c r="A467" s="263" t="s">
        <v>986</v>
      </c>
      <c r="B467" s="236" t="s">
        <v>986</v>
      </c>
      <c r="C467" s="57"/>
      <c r="D467" s="57">
        <v>489</v>
      </c>
      <c r="E467" s="57">
        <v>100</v>
      </c>
      <c r="F467" s="57">
        <v>31.98</v>
      </c>
      <c r="G467" s="57">
        <v>41645</v>
      </c>
      <c r="H467" s="57">
        <v>30</v>
      </c>
      <c r="I467" s="57">
        <v>41704</v>
      </c>
      <c r="J467" s="57">
        <v>-41.075596472007049</v>
      </c>
      <c r="K467" s="57">
        <v>-6.4239928882234594</v>
      </c>
      <c r="L467" s="57">
        <v>-205.95</v>
      </c>
      <c r="M467" s="57">
        <v>7.95</v>
      </c>
      <c r="N467" s="57" t="s">
        <v>145</v>
      </c>
      <c r="O467" s="57">
        <v>3205.95</v>
      </c>
      <c r="P467" s="57"/>
      <c r="Q467" s="57"/>
      <c r="R467" s="57"/>
      <c r="S467" s="57"/>
      <c r="T467" s="57"/>
      <c r="U467" s="57"/>
      <c r="V467" s="57"/>
      <c r="W467" s="495"/>
      <c r="X467" s="495"/>
      <c r="Y467" s="495"/>
      <c r="Z467" s="451"/>
      <c r="AA467" s="145"/>
      <c r="AB467" s="223"/>
      <c r="AC467" s="22"/>
      <c r="AH467" s="9"/>
      <c r="AJ467" s="27"/>
      <c r="AK467" s="84"/>
      <c r="AM467" s="13"/>
      <c r="AP467"/>
      <c r="AR467"/>
      <c r="AV467"/>
      <c r="AW467"/>
      <c r="AX467"/>
      <c r="AY467"/>
      <c r="AZ467"/>
      <c r="BC467"/>
      <c r="BD467"/>
      <c r="BG467"/>
      <c r="BH467"/>
      <c r="BI467"/>
      <c r="BJ467"/>
      <c r="BS467"/>
      <c r="BU467"/>
      <c r="BV467"/>
      <c r="BX467"/>
    </row>
    <row r="468" spans="1:76" ht="15.75">
      <c r="A468" s="263" t="s">
        <v>986</v>
      </c>
      <c r="B468" s="236" t="s">
        <v>987</v>
      </c>
      <c r="C468" s="57"/>
      <c r="D468" s="57">
        <v>490</v>
      </c>
      <c r="E468" s="57">
        <v>100</v>
      </c>
      <c r="F468" s="57">
        <v>0</v>
      </c>
      <c r="G468" s="57">
        <v>41648</v>
      </c>
      <c r="H468" s="57">
        <v>3</v>
      </c>
      <c r="I468" s="57">
        <v>41704</v>
      </c>
      <c r="J468" s="57">
        <v>1529.6663454287116</v>
      </c>
      <c r="K468" s="57">
        <v>945.29616724738685</v>
      </c>
      <c r="L468" s="57">
        <v>271.3</v>
      </c>
      <c r="M468" s="57">
        <v>28.7</v>
      </c>
      <c r="N468" s="57" t="s">
        <v>404</v>
      </c>
      <c r="O468" s="57">
        <v>28.7</v>
      </c>
      <c r="P468" s="57"/>
      <c r="Q468" s="57"/>
      <c r="R468" s="57"/>
      <c r="S468" s="57"/>
      <c r="T468" s="57"/>
      <c r="U468" s="57"/>
      <c r="V468" s="57"/>
      <c r="W468" s="495"/>
      <c r="X468" s="495"/>
      <c r="Y468" s="495"/>
      <c r="Z468" s="451"/>
      <c r="AA468" s="145"/>
      <c r="AB468" s="223"/>
      <c r="AC468" s="22"/>
      <c r="AH468" s="9"/>
      <c r="AJ468" s="27"/>
      <c r="AK468" s="84"/>
      <c r="AM468" s="13"/>
      <c r="AP468"/>
      <c r="AR468"/>
      <c r="AV468"/>
      <c r="AW468"/>
      <c r="AX468"/>
      <c r="AY468"/>
      <c r="AZ468"/>
      <c r="BC468"/>
      <c r="BD468"/>
      <c r="BG468"/>
      <c r="BH468"/>
      <c r="BI468"/>
      <c r="BJ468"/>
      <c r="BS468"/>
      <c r="BU468"/>
      <c r="BV468"/>
      <c r="BX468"/>
    </row>
    <row r="469" spans="1:76" ht="15.75">
      <c r="A469" s="263" t="s">
        <v>245</v>
      </c>
      <c r="B469" s="236" t="s">
        <v>288</v>
      </c>
      <c r="C469" s="57"/>
      <c r="D469" s="57">
        <v>74</v>
      </c>
      <c r="E469" s="57">
        <v>1000</v>
      </c>
      <c r="F469" s="57">
        <v>0</v>
      </c>
      <c r="G469" s="57">
        <v>40687</v>
      </c>
      <c r="H469" s="57">
        <v>0.3</v>
      </c>
      <c r="I469" s="57">
        <v>40712</v>
      </c>
      <c r="J469" s="57">
        <v>4330.6132681161725</v>
      </c>
      <c r="K469" s="57">
        <v>1841.7475728155341</v>
      </c>
      <c r="L469" s="57">
        <v>284.55</v>
      </c>
      <c r="M469" s="57">
        <v>15.45</v>
      </c>
      <c r="N469" s="57" t="s">
        <v>403</v>
      </c>
      <c r="O469" s="57">
        <v>15.45</v>
      </c>
      <c r="P469" s="57"/>
      <c r="Q469" s="57"/>
      <c r="R469" s="57"/>
      <c r="S469" s="57"/>
      <c r="T469" s="57"/>
      <c r="U469" s="57"/>
      <c r="V469" s="57"/>
      <c r="W469" s="495"/>
      <c r="X469" s="495"/>
      <c r="Y469" s="495"/>
      <c r="Z469" s="451"/>
      <c r="AA469" s="145"/>
      <c r="AB469" s="223"/>
      <c r="AC469" s="22"/>
      <c r="AH469" s="9"/>
      <c r="AJ469" s="27"/>
      <c r="AK469" s="84"/>
      <c r="AM469" s="13"/>
      <c r="AP469"/>
      <c r="AR469"/>
      <c r="AV469"/>
      <c r="AW469"/>
      <c r="AX469"/>
      <c r="AY469"/>
      <c r="AZ469"/>
      <c r="BC469"/>
      <c r="BD469"/>
      <c r="BG469"/>
      <c r="BH469"/>
      <c r="BI469"/>
      <c r="BJ469"/>
      <c r="BS469"/>
      <c r="BU469"/>
      <c r="BV469"/>
      <c r="BX469"/>
    </row>
    <row r="470" spans="1:76" ht="15.75">
      <c r="A470" s="263" t="s">
        <v>245</v>
      </c>
      <c r="B470" s="236" t="s">
        <v>371</v>
      </c>
      <c r="C470" s="57"/>
      <c r="D470" s="57">
        <v>111</v>
      </c>
      <c r="E470" s="57">
        <v>1000</v>
      </c>
      <c r="F470" s="57">
        <v>0</v>
      </c>
      <c r="G470" s="57">
        <v>40715</v>
      </c>
      <c r="H470" s="57">
        <v>0.65</v>
      </c>
      <c r="I470" s="57">
        <v>40802</v>
      </c>
      <c r="J470" s="57">
        <v>1568.8133634876599</v>
      </c>
      <c r="K470" s="57">
        <v>4107.1197411003241</v>
      </c>
      <c r="L470" s="57">
        <v>634.54999999999995</v>
      </c>
      <c r="M470" s="57">
        <v>15.45</v>
      </c>
      <c r="N470" s="57" t="s">
        <v>403</v>
      </c>
      <c r="O470" s="57">
        <v>15.45</v>
      </c>
      <c r="P470" s="57"/>
      <c r="Q470" s="57"/>
      <c r="R470" s="57"/>
      <c r="S470" s="57"/>
      <c r="T470" s="57"/>
      <c r="U470" s="57"/>
      <c r="V470" s="57"/>
      <c r="W470" s="495"/>
      <c r="X470" s="495"/>
      <c r="Y470" s="495"/>
      <c r="Z470" s="451"/>
      <c r="AA470" s="145"/>
      <c r="AB470" s="223"/>
      <c r="AC470" s="22"/>
      <c r="AH470" s="9"/>
      <c r="AJ470" s="27"/>
      <c r="AK470" s="84"/>
      <c r="AM470" s="13"/>
      <c r="AP470"/>
      <c r="AR470"/>
      <c r="AV470"/>
      <c r="AW470"/>
      <c r="AX470"/>
      <c r="AY470"/>
      <c r="AZ470"/>
      <c r="BC470"/>
      <c r="BD470"/>
      <c r="BG470"/>
      <c r="BH470"/>
      <c r="BI470"/>
      <c r="BJ470"/>
      <c r="BS470"/>
      <c r="BU470"/>
      <c r="BV470"/>
      <c r="BX470"/>
    </row>
    <row r="471" spans="1:76" ht="15.75">
      <c r="A471" s="263" t="s">
        <v>245</v>
      </c>
      <c r="B471" s="236" t="s">
        <v>407</v>
      </c>
      <c r="C471" s="57"/>
      <c r="D471" s="57">
        <v>152</v>
      </c>
      <c r="E471" s="57">
        <v>1000</v>
      </c>
      <c r="F471" s="57">
        <v>0</v>
      </c>
      <c r="G471" s="57">
        <v>40822</v>
      </c>
      <c r="H471" s="57">
        <v>0.3</v>
      </c>
      <c r="I471" s="57">
        <v>40866</v>
      </c>
      <c r="J471" s="57">
        <v>2460.5757205205523</v>
      </c>
      <c r="K471" s="57">
        <v>1841.7475728155341</v>
      </c>
      <c r="L471" s="57">
        <v>284.55</v>
      </c>
      <c r="M471" s="57">
        <v>15.45</v>
      </c>
      <c r="N471" s="57" t="s">
        <v>403</v>
      </c>
      <c r="O471" s="57">
        <v>15.45</v>
      </c>
      <c r="P471" s="57"/>
      <c r="Q471" s="57"/>
      <c r="R471" s="57"/>
      <c r="S471" s="57"/>
      <c r="T471" s="57"/>
      <c r="U471" s="57"/>
      <c r="V471" s="57"/>
      <c r="W471" s="495"/>
      <c r="X471" s="495"/>
      <c r="Y471" s="495"/>
      <c r="Z471" s="451"/>
      <c r="AA471" s="145"/>
      <c r="AB471" s="223"/>
      <c r="AC471" s="22"/>
      <c r="AH471" s="9"/>
      <c r="AJ471" s="27"/>
      <c r="AK471" s="84"/>
      <c r="AM471" s="13"/>
      <c r="AP471"/>
      <c r="AR471"/>
      <c r="AV471"/>
      <c r="AW471"/>
      <c r="AX471"/>
      <c r="AY471"/>
      <c r="AZ471"/>
      <c r="BC471"/>
      <c r="BD471"/>
      <c r="BG471"/>
      <c r="BH471"/>
      <c r="BI471"/>
      <c r="BJ471"/>
      <c r="BS471"/>
      <c r="BU471"/>
      <c r="BV471"/>
      <c r="BX471"/>
    </row>
    <row r="472" spans="1:76" ht="15.75">
      <c r="A472" s="263" t="s">
        <v>245</v>
      </c>
      <c r="B472" s="236" t="s">
        <v>460</v>
      </c>
      <c r="C472" s="57"/>
      <c r="D472" s="57">
        <v>245</v>
      </c>
      <c r="E472" s="57">
        <v>1000</v>
      </c>
      <c r="F472" s="57">
        <v>0.3</v>
      </c>
      <c r="G472" s="57">
        <v>40878</v>
      </c>
      <c r="H472" s="57">
        <v>0.55000000000000004</v>
      </c>
      <c r="I472" s="57">
        <v>40975</v>
      </c>
      <c r="J472" s="57">
        <v>191.19304443723388</v>
      </c>
      <c r="K472" s="57">
        <v>66.213357509821719</v>
      </c>
      <c r="L472" s="57">
        <v>219.1</v>
      </c>
      <c r="M472" s="57">
        <v>30.9</v>
      </c>
      <c r="N472" s="57" t="s">
        <v>15</v>
      </c>
      <c r="O472" s="57">
        <v>330.9</v>
      </c>
      <c r="P472" s="57"/>
      <c r="Q472" s="57"/>
      <c r="R472" s="57"/>
      <c r="S472" s="57"/>
      <c r="T472" s="57"/>
      <c r="U472" s="57"/>
      <c r="V472" s="57"/>
      <c r="W472" s="495"/>
      <c r="X472" s="495"/>
      <c r="Y472" s="495"/>
      <c r="Z472" s="451"/>
      <c r="AA472" s="145"/>
      <c r="AB472" s="223"/>
      <c r="AC472" s="22"/>
      <c r="AH472" s="9"/>
      <c r="AJ472" s="27"/>
      <c r="AK472" s="84"/>
      <c r="AM472" s="13"/>
      <c r="AP472"/>
      <c r="AR472"/>
      <c r="AV472"/>
      <c r="AW472"/>
      <c r="AX472"/>
      <c r="AY472"/>
      <c r="AZ472"/>
      <c r="BC472"/>
      <c r="BD472"/>
      <c r="BG472"/>
      <c r="BH472"/>
      <c r="BI472"/>
      <c r="BJ472"/>
      <c r="BS472"/>
      <c r="BU472"/>
      <c r="BV472"/>
      <c r="BX472"/>
    </row>
    <row r="473" spans="1:76" ht="15.75">
      <c r="A473" s="263" t="s">
        <v>245</v>
      </c>
      <c r="B473" s="236" t="s">
        <v>516</v>
      </c>
      <c r="C473" s="57"/>
      <c r="D473" s="57">
        <v>306</v>
      </c>
      <c r="E473" s="57">
        <v>1000</v>
      </c>
      <c r="F473" s="57">
        <v>0.4</v>
      </c>
      <c r="G473" s="57">
        <v>40987</v>
      </c>
      <c r="H473" s="57">
        <v>0.75</v>
      </c>
      <c r="I473" s="57">
        <v>41074</v>
      </c>
      <c r="J473" s="57">
        <v>232.5080047087653</v>
      </c>
      <c r="K473" s="57">
        <v>74.054304943142256</v>
      </c>
      <c r="L473" s="57">
        <v>319.10000000000002</v>
      </c>
      <c r="M473" s="57">
        <v>30.9</v>
      </c>
      <c r="N473" s="57" t="s">
        <v>15</v>
      </c>
      <c r="O473" s="57">
        <v>430.9</v>
      </c>
      <c r="P473" s="57"/>
      <c r="Q473" s="57"/>
      <c r="R473" s="57"/>
      <c r="S473" s="57"/>
      <c r="T473" s="57"/>
      <c r="U473" s="57"/>
      <c r="V473" s="57"/>
      <c r="W473" s="495"/>
      <c r="X473" s="495"/>
      <c r="Y473" s="495"/>
      <c r="Z473" s="451"/>
      <c r="AA473" s="145"/>
      <c r="AB473" s="223"/>
      <c r="AC473" s="22"/>
      <c r="AH473" s="9"/>
      <c r="AJ473" s="27"/>
      <c r="AK473" s="84"/>
      <c r="AM473" s="13"/>
      <c r="AP473"/>
      <c r="AR473"/>
      <c r="AV473"/>
      <c r="AW473"/>
      <c r="AX473"/>
      <c r="AY473"/>
      <c r="AZ473"/>
      <c r="BC473"/>
      <c r="BD473"/>
      <c r="BG473"/>
      <c r="BH473"/>
      <c r="BI473"/>
      <c r="BJ473"/>
      <c r="BS473"/>
      <c r="BU473"/>
      <c r="BV473"/>
      <c r="BX473"/>
    </row>
    <row r="474" spans="1:76" ht="15.75">
      <c r="A474" s="263" t="s">
        <v>245</v>
      </c>
      <c r="B474" s="236" t="s">
        <v>759</v>
      </c>
      <c r="C474" s="57"/>
      <c r="D474" s="57">
        <v>355</v>
      </c>
      <c r="E474" s="57">
        <v>1000</v>
      </c>
      <c r="F474" s="57">
        <v>0.4</v>
      </c>
      <c r="G474" s="57">
        <v>41079</v>
      </c>
      <c r="H474" s="57">
        <v>0.75</v>
      </c>
      <c r="I474" s="57">
        <v>41124</v>
      </c>
      <c r="J474" s="57">
        <v>449.51547577027952</v>
      </c>
      <c r="K474" s="57">
        <v>74.054304943142256</v>
      </c>
      <c r="L474" s="57">
        <v>319.10000000000002</v>
      </c>
      <c r="M474" s="57">
        <v>30.9</v>
      </c>
      <c r="N474" s="57" t="s">
        <v>15</v>
      </c>
      <c r="O474" s="57">
        <v>430.9</v>
      </c>
      <c r="P474" s="57"/>
      <c r="Q474" s="57"/>
      <c r="R474" s="57"/>
      <c r="S474" s="57"/>
      <c r="T474" s="57"/>
      <c r="U474" s="57"/>
      <c r="V474" s="57"/>
      <c r="W474" s="495"/>
      <c r="X474" s="495"/>
      <c r="Y474" s="495"/>
      <c r="Z474" s="451"/>
      <c r="AA474" s="145"/>
      <c r="AB474" s="223"/>
      <c r="AC474" s="22"/>
      <c r="AH474" s="9"/>
      <c r="AJ474" s="27"/>
      <c r="AK474" s="84"/>
      <c r="AM474" s="13"/>
      <c r="AP474"/>
      <c r="AR474"/>
      <c r="AV474"/>
      <c r="AW474"/>
      <c r="AX474"/>
      <c r="AY474"/>
      <c r="AZ474"/>
      <c r="BC474"/>
      <c r="BD474"/>
      <c r="BG474"/>
      <c r="BH474"/>
      <c r="BI474"/>
      <c r="BJ474"/>
      <c r="BS474"/>
      <c r="BU474"/>
      <c r="BV474"/>
      <c r="BX474"/>
    </row>
    <row r="475" spans="1:76" ht="15.75">
      <c r="A475" s="263" t="s">
        <v>245</v>
      </c>
      <c r="B475" s="236" t="s">
        <v>759</v>
      </c>
      <c r="C475" s="57"/>
      <c r="D475" s="57">
        <v>363</v>
      </c>
      <c r="E475" s="57">
        <v>1000</v>
      </c>
      <c r="F475" s="57">
        <v>0.6</v>
      </c>
      <c r="G475" s="57">
        <v>41142</v>
      </c>
      <c r="H475" s="57">
        <v>0.8</v>
      </c>
      <c r="I475" s="57">
        <v>41148</v>
      </c>
      <c r="J475" s="57">
        <v>1444.5748341045785</v>
      </c>
      <c r="K475" s="57">
        <v>26.802979870026952</v>
      </c>
      <c r="L475" s="57">
        <v>169.1</v>
      </c>
      <c r="M475" s="57">
        <v>30.9</v>
      </c>
      <c r="N475" s="57" t="s">
        <v>15</v>
      </c>
      <c r="O475" s="57">
        <v>630.9</v>
      </c>
      <c r="P475" s="57"/>
      <c r="Q475" s="57"/>
      <c r="R475" s="57"/>
      <c r="S475" s="57"/>
      <c r="T475" s="57"/>
      <c r="U475" s="57"/>
      <c r="V475" s="57"/>
      <c r="W475" s="495"/>
      <c r="X475" s="495"/>
      <c r="Y475" s="495"/>
      <c r="Z475" s="451"/>
      <c r="AA475" s="145"/>
      <c r="AB475" s="223"/>
      <c r="AC475" s="22"/>
      <c r="AH475" s="9"/>
      <c r="AJ475" s="27"/>
      <c r="AK475" s="84"/>
      <c r="AM475" s="13"/>
      <c r="AP475"/>
      <c r="AR475"/>
      <c r="AV475"/>
      <c r="AW475"/>
      <c r="AX475"/>
      <c r="AY475"/>
      <c r="AZ475"/>
      <c r="BC475"/>
      <c r="BD475"/>
      <c r="BG475"/>
      <c r="BH475"/>
      <c r="BI475"/>
      <c r="BJ475"/>
      <c r="BS475"/>
      <c r="BU475"/>
      <c r="BV475"/>
      <c r="BX475"/>
    </row>
    <row r="476" spans="1:76" ht="15.75">
      <c r="A476" s="263" t="s">
        <v>245</v>
      </c>
      <c r="B476" s="236" t="s">
        <v>817</v>
      </c>
      <c r="C476" s="57"/>
      <c r="D476" s="57">
        <v>399</v>
      </c>
      <c r="E476" s="57">
        <v>1000</v>
      </c>
      <c r="F476" s="57">
        <v>0.7</v>
      </c>
      <c r="G476" s="57">
        <v>41162</v>
      </c>
      <c r="H476" s="57">
        <v>0.95</v>
      </c>
      <c r="I476" s="57">
        <v>41226</v>
      </c>
      <c r="J476" s="57">
        <v>149.52757278829341</v>
      </c>
      <c r="K476" s="57">
        <v>29.97674100424134</v>
      </c>
      <c r="L476" s="57">
        <v>219.1</v>
      </c>
      <c r="M476" s="57">
        <v>30.9</v>
      </c>
      <c r="N476" s="57" t="s">
        <v>15</v>
      </c>
      <c r="O476" s="57">
        <v>730.9</v>
      </c>
      <c r="P476" s="57"/>
      <c r="Q476" s="57"/>
      <c r="R476" s="57"/>
      <c r="S476" s="57"/>
      <c r="T476" s="57"/>
      <c r="U476" s="57"/>
      <c r="V476" s="57"/>
      <c r="W476" s="495"/>
      <c r="X476" s="495"/>
      <c r="Y476" s="495"/>
      <c r="Z476" s="451"/>
      <c r="AA476" s="145"/>
      <c r="AB476" s="223"/>
      <c r="AC476" s="22"/>
      <c r="AH476" s="9"/>
      <c r="AJ476" s="27"/>
      <c r="AK476" s="84"/>
      <c r="AM476" s="13"/>
      <c r="AP476"/>
      <c r="AR476"/>
      <c r="AV476"/>
      <c r="AW476"/>
      <c r="AX476"/>
      <c r="AY476"/>
      <c r="AZ476"/>
      <c r="BC476"/>
      <c r="BD476"/>
      <c r="BG476"/>
      <c r="BH476"/>
      <c r="BI476"/>
      <c r="BJ476"/>
      <c r="BS476"/>
      <c r="BU476"/>
      <c r="BV476"/>
      <c r="BX476"/>
    </row>
    <row r="477" spans="1:76" ht="15.75">
      <c r="A477" s="263" t="s">
        <v>245</v>
      </c>
      <c r="B477" s="236" t="s">
        <v>878</v>
      </c>
      <c r="C477" s="57"/>
      <c r="D477" s="57">
        <v>445</v>
      </c>
      <c r="E477" s="57">
        <v>1000</v>
      </c>
      <c r="F477" s="57">
        <v>0.5</v>
      </c>
      <c r="G477" s="57">
        <v>41260</v>
      </c>
      <c r="H477" s="57">
        <v>0.75</v>
      </c>
      <c r="I477" s="57">
        <v>41312</v>
      </c>
      <c r="J477" s="57">
        <v>242.51409102570489</v>
      </c>
      <c r="K477" s="57">
        <v>41.269542286682984</v>
      </c>
      <c r="L477" s="57">
        <v>219.1</v>
      </c>
      <c r="M477" s="57">
        <v>30.9</v>
      </c>
      <c r="N477" s="57" t="s">
        <v>15</v>
      </c>
      <c r="O477" s="57">
        <v>530.9</v>
      </c>
      <c r="P477" s="57"/>
      <c r="Q477" s="57"/>
      <c r="R477" s="57"/>
      <c r="S477" s="57"/>
      <c r="T477" s="57"/>
      <c r="U477" s="57"/>
      <c r="V477" s="57"/>
      <c r="W477" s="495"/>
      <c r="X477" s="495"/>
      <c r="Y477" s="495"/>
      <c r="Z477" s="451"/>
      <c r="AA477" s="145"/>
      <c r="AB477" s="223"/>
      <c r="AC477" s="22"/>
      <c r="AH477" s="9"/>
      <c r="AJ477" s="27"/>
      <c r="AK477" s="84"/>
      <c r="AM477" s="13"/>
      <c r="AP477"/>
      <c r="AR477"/>
      <c r="AV477"/>
      <c r="AW477"/>
      <c r="AX477"/>
      <c r="AY477"/>
      <c r="AZ477"/>
      <c r="BC477"/>
      <c r="BD477"/>
      <c r="BG477"/>
      <c r="BH477"/>
      <c r="BI477"/>
      <c r="BJ477"/>
      <c r="BS477"/>
      <c r="BU477"/>
      <c r="BV477"/>
      <c r="BX477"/>
    </row>
    <row r="478" spans="1:76" ht="15.75">
      <c r="A478" s="263" t="s">
        <v>897</v>
      </c>
      <c r="B478" s="236" t="s">
        <v>897</v>
      </c>
      <c r="C478" s="57"/>
      <c r="D478" s="57">
        <v>517</v>
      </c>
      <c r="E478" s="57">
        <v>1000</v>
      </c>
      <c r="F478" s="57">
        <v>10</v>
      </c>
      <c r="G478" s="57">
        <v>40644</v>
      </c>
      <c r="H478" s="57">
        <v>1E-3</v>
      </c>
      <c r="I478" s="57">
        <v>42174</v>
      </c>
      <c r="J478" s="57">
        <v>-219.74276441097001</v>
      </c>
      <c r="K478" s="57">
        <v>-99.990007943684759</v>
      </c>
      <c r="L478" s="57">
        <v>-10006.950000000001</v>
      </c>
      <c r="M478" s="57">
        <v>7.95</v>
      </c>
      <c r="N478" s="57" t="s">
        <v>145</v>
      </c>
      <c r="O478" s="57">
        <v>10007.950000000001</v>
      </c>
      <c r="P478" s="57"/>
      <c r="Q478" s="57"/>
      <c r="R478" s="57"/>
      <c r="S478" s="57"/>
      <c r="T478" s="57"/>
      <c r="U478" s="57"/>
      <c r="V478" s="57"/>
      <c r="W478" s="495"/>
      <c r="X478" s="495"/>
      <c r="Y478" s="495"/>
      <c r="Z478" s="451"/>
      <c r="AA478" s="145"/>
      <c r="AB478" s="223"/>
      <c r="AC478" s="22"/>
      <c r="AH478" s="9"/>
      <c r="AJ478" s="27"/>
      <c r="AK478" s="84"/>
      <c r="AM478" s="13"/>
      <c r="AP478"/>
      <c r="AR478"/>
      <c r="AV478"/>
      <c r="AW478"/>
      <c r="AX478"/>
      <c r="AY478"/>
      <c r="AZ478"/>
      <c r="BC478"/>
      <c r="BD478"/>
      <c r="BG478"/>
      <c r="BH478"/>
      <c r="BI478"/>
      <c r="BJ478"/>
      <c r="BS478"/>
      <c r="BU478"/>
      <c r="BV478"/>
      <c r="BX478"/>
    </row>
    <row r="479" spans="1:76" ht="15.75">
      <c r="A479" s="263" t="s">
        <v>474</v>
      </c>
      <c r="B479" s="236" t="s">
        <v>752</v>
      </c>
      <c r="C479" s="57"/>
      <c r="D479" s="57">
        <v>342</v>
      </c>
      <c r="E479" s="57">
        <v>100</v>
      </c>
      <c r="F479" s="57">
        <v>1.1499999999999999</v>
      </c>
      <c r="G479" s="57">
        <v>41075</v>
      </c>
      <c r="H479" s="57">
        <v>0.28999999999999998</v>
      </c>
      <c r="I479" s="57">
        <v>41110</v>
      </c>
      <c r="J479" s="57">
        <v>-1583.6117483814239</v>
      </c>
      <c r="K479" s="57">
        <v>-78.096676737160109</v>
      </c>
      <c r="L479" s="57">
        <v>-103.4</v>
      </c>
      <c r="M479" s="57">
        <v>17.399999999999999</v>
      </c>
      <c r="N479" s="57" t="s">
        <v>258</v>
      </c>
      <c r="O479" s="57">
        <v>132.4</v>
      </c>
      <c r="P479" s="57"/>
      <c r="Q479" s="57"/>
      <c r="R479" s="57"/>
      <c r="S479" s="57"/>
      <c r="T479" s="57"/>
      <c r="U479" s="57"/>
      <c r="V479" s="57"/>
      <c r="W479" s="495"/>
      <c r="X479" s="495"/>
      <c r="Y479" s="495"/>
      <c r="Z479" s="451"/>
      <c r="AA479" s="145"/>
      <c r="AB479" s="223"/>
      <c r="AC479" s="22"/>
      <c r="AH479" s="9"/>
      <c r="AJ479" s="27"/>
      <c r="AK479" s="84"/>
      <c r="AM479" s="13"/>
      <c r="AP479"/>
      <c r="AR479"/>
      <c r="AV479"/>
      <c r="AW479"/>
      <c r="AX479"/>
      <c r="AY479"/>
      <c r="AZ479"/>
      <c r="BC479"/>
      <c r="BD479"/>
      <c r="BG479"/>
      <c r="BH479"/>
      <c r="BI479"/>
      <c r="BJ479"/>
      <c r="BS479"/>
      <c r="BU479"/>
      <c r="BV479"/>
      <c r="BX479"/>
    </row>
    <row r="480" spans="1:76" ht="15.75">
      <c r="A480" s="263" t="s">
        <v>257</v>
      </c>
      <c r="B480" s="236" t="s">
        <v>225</v>
      </c>
      <c r="C480" s="57"/>
      <c r="D480" s="57">
        <v>51</v>
      </c>
      <c r="E480" s="57">
        <v>1000</v>
      </c>
      <c r="F480" s="57">
        <v>3.6724000000000001</v>
      </c>
      <c r="G480" s="57">
        <v>40620</v>
      </c>
      <c r="H480" s="57">
        <v>4.05</v>
      </c>
      <c r="I480" s="57">
        <v>40623</v>
      </c>
      <c r="J480" s="57">
        <v>1088.8262327533423</v>
      </c>
      <c r="K480" s="57">
        <v>9.3619204493289718</v>
      </c>
      <c r="L480" s="57">
        <v>346.7</v>
      </c>
      <c r="M480" s="57">
        <v>30.9</v>
      </c>
      <c r="N480" s="57" t="s">
        <v>278</v>
      </c>
      <c r="O480" s="57">
        <v>3703.3</v>
      </c>
      <c r="P480" s="57"/>
      <c r="Q480" s="57"/>
      <c r="R480" s="57"/>
      <c r="S480" s="57"/>
      <c r="T480" s="57"/>
      <c r="U480" s="57"/>
      <c r="V480" s="57"/>
      <c r="W480" s="495"/>
      <c r="X480" s="495"/>
      <c r="Y480" s="495"/>
      <c r="Z480" s="451"/>
      <c r="AA480" s="145"/>
      <c r="AB480" s="223"/>
      <c r="AC480" s="22"/>
      <c r="AH480" s="9"/>
      <c r="AJ480" s="27"/>
      <c r="AK480" s="84"/>
      <c r="AM480" s="13"/>
      <c r="AP480"/>
      <c r="AR480"/>
      <c r="AV480"/>
      <c r="AW480"/>
      <c r="AX480"/>
      <c r="AY480"/>
      <c r="AZ480"/>
      <c r="BC480"/>
      <c r="BD480"/>
      <c r="BG480"/>
      <c r="BH480"/>
      <c r="BI480"/>
      <c r="BJ480"/>
      <c r="BS480"/>
      <c r="BU480"/>
      <c r="BV480"/>
      <c r="BX480"/>
    </row>
    <row r="481" spans="1:76" ht="15.75">
      <c r="A481" s="263" t="s">
        <v>257</v>
      </c>
      <c r="B481" s="236" t="s">
        <v>246</v>
      </c>
      <c r="C481" s="57"/>
      <c r="D481" s="57">
        <v>52</v>
      </c>
      <c r="E481" s="57">
        <v>500</v>
      </c>
      <c r="F481" s="57">
        <v>9.5324000000000009</v>
      </c>
      <c r="G481" s="57">
        <v>40632</v>
      </c>
      <c r="H481" s="57">
        <v>10</v>
      </c>
      <c r="I481" s="57">
        <v>40644</v>
      </c>
      <c r="J481" s="57">
        <v>130.76432757383071</v>
      </c>
      <c r="K481" s="57">
        <v>4.3928511775513597</v>
      </c>
      <c r="L481" s="57">
        <v>210.4</v>
      </c>
      <c r="M481" s="57">
        <v>23.4</v>
      </c>
      <c r="N481" s="57" t="s">
        <v>258</v>
      </c>
      <c r="O481" s="57">
        <v>4789.6000000000004</v>
      </c>
      <c r="P481" s="57"/>
      <c r="Q481" s="57"/>
      <c r="R481" s="57"/>
      <c r="S481" s="57"/>
      <c r="T481" s="57"/>
      <c r="U481" s="57"/>
      <c r="V481" s="57"/>
      <c r="W481" s="495"/>
      <c r="X481" s="495"/>
      <c r="Y481" s="495"/>
      <c r="Z481" s="451"/>
      <c r="AA481" s="145"/>
      <c r="AB481" s="223"/>
      <c r="AC481" s="22"/>
      <c r="AH481" s="9"/>
      <c r="AJ481" s="27"/>
      <c r="AK481" s="84"/>
      <c r="AM481" s="13"/>
      <c r="AP481"/>
      <c r="AR481"/>
      <c r="AV481"/>
      <c r="AW481"/>
      <c r="AX481"/>
      <c r="AY481"/>
      <c r="AZ481"/>
      <c r="BC481"/>
      <c r="BD481"/>
      <c r="BG481"/>
      <c r="BH481"/>
      <c r="BI481"/>
      <c r="BJ481"/>
      <c r="BS481"/>
      <c r="BU481"/>
      <c r="BV481"/>
      <c r="BX481"/>
    </row>
    <row r="482" spans="1:76" ht="15.75">
      <c r="A482" s="263" t="s">
        <v>257</v>
      </c>
      <c r="B482" s="236" t="s">
        <v>362</v>
      </c>
      <c r="C482" s="57"/>
      <c r="D482" s="57">
        <v>212</v>
      </c>
      <c r="E482" s="57">
        <v>2000</v>
      </c>
      <c r="F482" s="57">
        <v>0.22</v>
      </c>
      <c r="G482" s="57">
        <v>40764</v>
      </c>
      <c r="H482" s="57">
        <v>1E-3</v>
      </c>
      <c r="I482" s="57">
        <v>40930</v>
      </c>
      <c r="J482" s="57">
        <v>-1197.1278523264759</v>
      </c>
      <c r="K482" s="57">
        <v>-99.567987903661304</v>
      </c>
      <c r="L482" s="57">
        <v>-460.95</v>
      </c>
      <c r="M482" s="57">
        <v>22.95</v>
      </c>
      <c r="N482" s="57" t="s">
        <v>405</v>
      </c>
      <c r="O482" s="57">
        <v>462.95</v>
      </c>
      <c r="P482" s="57"/>
      <c r="Q482" s="57"/>
      <c r="R482" s="57"/>
      <c r="S482" s="57"/>
      <c r="T482" s="57"/>
      <c r="U482" s="57"/>
      <c r="V482" s="57"/>
      <c r="W482" s="495"/>
      <c r="X482" s="495"/>
      <c r="Y482" s="495"/>
      <c r="Z482" s="451"/>
      <c r="AA482" s="145"/>
      <c r="AB482" s="223"/>
      <c r="AC482" s="22"/>
      <c r="AH482" s="9"/>
      <c r="AJ482" s="27"/>
      <c r="AK482" s="84"/>
      <c r="AM482" s="13"/>
      <c r="AP482"/>
      <c r="AR482"/>
      <c r="AV482"/>
      <c r="AW482"/>
      <c r="AX482"/>
      <c r="AY482"/>
      <c r="AZ482"/>
      <c r="BC482"/>
      <c r="BD482"/>
      <c r="BG482"/>
      <c r="BH482"/>
      <c r="BI482"/>
      <c r="BJ482"/>
      <c r="BS482"/>
      <c r="BU482"/>
      <c r="BV482"/>
      <c r="BX482"/>
    </row>
    <row r="483" spans="1:76" ht="15.75">
      <c r="A483" s="263" t="s">
        <v>178</v>
      </c>
      <c r="B483" s="236" t="s">
        <v>467</v>
      </c>
      <c r="C483" s="57"/>
      <c r="D483" s="57">
        <v>213</v>
      </c>
      <c r="E483" s="57">
        <v>100</v>
      </c>
      <c r="F483" s="57">
        <v>0</v>
      </c>
      <c r="G483" s="57">
        <v>40898</v>
      </c>
      <c r="H483" s="57">
        <v>1.1000000000000001</v>
      </c>
      <c r="I483" s="57">
        <v>40930</v>
      </c>
      <c r="J483" s="57">
        <v>2893.9450910879236</v>
      </c>
      <c r="K483" s="57">
        <v>1164.3678160919542</v>
      </c>
      <c r="L483" s="57">
        <v>101.3</v>
      </c>
      <c r="M483" s="57">
        <v>8.6999999999999993</v>
      </c>
      <c r="N483" s="57" t="s">
        <v>403</v>
      </c>
      <c r="O483" s="57">
        <v>8.6999999999999993</v>
      </c>
      <c r="P483" s="57"/>
      <c r="Q483" s="57"/>
      <c r="R483" s="57"/>
      <c r="S483" s="57"/>
      <c r="T483" s="57"/>
      <c r="U483" s="57"/>
      <c r="V483" s="57"/>
      <c r="W483" s="495"/>
      <c r="X483" s="495"/>
      <c r="Y483" s="495"/>
      <c r="Z483" s="451"/>
      <c r="AA483" s="145"/>
      <c r="AB483" s="223"/>
      <c r="AC483" s="22"/>
      <c r="AH483" s="9"/>
      <c r="AJ483" s="27"/>
      <c r="AK483" s="84"/>
      <c r="AM483" s="13"/>
      <c r="AP483"/>
      <c r="AR483"/>
      <c r="AV483"/>
      <c r="AW483"/>
      <c r="AX483"/>
      <c r="AY483"/>
      <c r="AZ483"/>
      <c r="BC483"/>
      <c r="BD483"/>
      <c r="BG483"/>
      <c r="BH483"/>
      <c r="BI483"/>
      <c r="BJ483"/>
      <c r="BS483"/>
      <c r="BU483"/>
      <c r="BV483"/>
      <c r="BX483"/>
    </row>
    <row r="484" spans="1:76" ht="15.75">
      <c r="A484" s="263" t="s">
        <v>178</v>
      </c>
      <c r="B484" s="236" t="s">
        <v>514</v>
      </c>
      <c r="C484" s="57"/>
      <c r="D484" s="57">
        <v>281</v>
      </c>
      <c r="E484" s="57">
        <v>100</v>
      </c>
      <c r="F484" s="57">
        <v>0.62</v>
      </c>
      <c r="G484" s="57">
        <v>40984</v>
      </c>
      <c r="H484" s="57">
        <v>0.5</v>
      </c>
      <c r="I484" s="57">
        <v>41019</v>
      </c>
      <c r="J484" s="57">
        <v>-482.2957355174417</v>
      </c>
      <c r="K484" s="57">
        <v>-37.027707808564237</v>
      </c>
      <c r="L484" s="57">
        <v>-29.4</v>
      </c>
      <c r="M484" s="57">
        <v>17.399999999999999</v>
      </c>
      <c r="N484" s="57" t="s">
        <v>15</v>
      </c>
      <c r="O484" s="57">
        <v>79.400000000000006</v>
      </c>
      <c r="P484" s="57"/>
      <c r="Q484" s="57"/>
      <c r="R484" s="57"/>
      <c r="S484" s="57"/>
      <c r="T484" s="57"/>
      <c r="U484" s="57"/>
      <c r="V484" s="57"/>
      <c r="W484" s="495"/>
      <c r="X484" s="495"/>
      <c r="Y484" s="495"/>
      <c r="Z484" s="451"/>
      <c r="AA484" s="145"/>
      <c r="AB484" s="223"/>
      <c r="AC484" s="22"/>
      <c r="AH484" s="9"/>
      <c r="AJ484" s="27"/>
      <c r="AK484" s="84"/>
      <c r="AM484" s="13"/>
      <c r="AP484"/>
      <c r="AR484"/>
      <c r="AV484"/>
      <c r="AW484"/>
      <c r="AX484"/>
      <c r="AY484"/>
      <c r="AZ484"/>
      <c r="BC484"/>
      <c r="BD484"/>
      <c r="BG484"/>
      <c r="BH484"/>
      <c r="BI484"/>
      <c r="BJ484"/>
      <c r="BS484"/>
      <c r="BU484"/>
      <c r="BV484"/>
      <c r="BX484"/>
    </row>
    <row r="485" spans="1:76" ht="15.75">
      <c r="A485" s="263" t="s">
        <v>178</v>
      </c>
      <c r="B485" s="236" t="s">
        <v>758</v>
      </c>
      <c r="C485" s="57"/>
      <c r="D485" s="57">
        <v>315</v>
      </c>
      <c r="E485" s="57">
        <v>100</v>
      </c>
      <c r="F485" s="57">
        <v>2</v>
      </c>
      <c r="G485" s="57">
        <v>41079</v>
      </c>
      <c r="H485" s="57">
        <v>2.2000000000000002</v>
      </c>
      <c r="I485" s="57">
        <v>41085</v>
      </c>
      <c r="J485" s="57">
        <v>72.322144296952743</v>
      </c>
      <c r="K485" s="57">
        <v>1.1959521619135347</v>
      </c>
      <c r="L485" s="57">
        <v>2.6</v>
      </c>
      <c r="M485" s="57">
        <v>17.399999999999999</v>
      </c>
      <c r="N485" s="57" t="s">
        <v>15</v>
      </c>
      <c r="O485" s="57">
        <v>217.4</v>
      </c>
      <c r="P485" s="57"/>
      <c r="Q485" s="57"/>
      <c r="R485" s="57"/>
      <c r="S485" s="57"/>
      <c r="T485" s="57"/>
      <c r="U485" s="57"/>
      <c r="V485" s="57"/>
      <c r="W485" s="495"/>
      <c r="X485" s="495"/>
      <c r="Y485" s="495"/>
      <c r="Z485" s="451"/>
      <c r="AA485" s="145"/>
      <c r="AB485" s="223"/>
      <c r="AC485" s="22"/>
      <c r="AH485" s="9"/>
      <c r="AJ485" s="27"/>
      <c r="AK485" s="84"/>
      <c r="AM485" s="13"/>
      <c r="AP485"/>
      <c r="AR485"/>
      <c r="AV485"/>
      <c r="AW485"/>
      <c r="AX485"/>
      <c r="AY485"/>
      <c r="AZ485"/>
      <c r="BC485"/>
      <c r="BD485"/>
      <c r="BG485"/>
      <c r="BH485"/>
      <c r="BI485"/>
      <c r="BJ485"/>
      <c r="BS485"/>
      <c r="BU485"/>
      <c r="BV485"/>
      <c r="BX485"/>
    </row>
    <row r="486" spans="1:76" ht="15.75">
      <c r="A486" s="263" t="s">
        <v>178</v>
      </c>
      <c r="B486" s="236" t="s">
        <v>770</v>
      </c>
      <c r="C486" s="57"/>
      <c r="D486" s="57">
        <v>347</v>
      </c>
      <c r="E486" s="57">
        <v>100</v>
      </c>
      <c r="F486" s="57">
        <v>0.75</v>
      </c>
      <c r="G486" s="57">
        <v>41089</v>
      </c>
      <c r="H486" s="57">
        <v>1.1000000000000001</v>
      </c>
      <c r="I486" s="57">
        <v>41114</v>
      </c>
      <c r="J486" s="57">
        <v>254.5559452313758</v>
      </c>
      <c r="K486" s="57">
        <v>19.047619047619065</v>
      </c>
      <c r="L486" s="57">
        <v>17.600000000000001</v>
      </c>
      <c r="M486" s="57">
        <v>17.399999999999999</v>
      </c>
      <c r="N486" s="57" t="s">
        <v>15</v>
      </c>
      <c r="O486" s="57">
        <v>92.4</v>
      </c>
      <c r="P486" s="57"/>
      <c r="Q486" s="57"/>
      <c r="R486" s="57"/>
      <c r="S486" s="57"/>
      <c r="T486" s="57"/>
      <c r="U486" s="57"/>
      <c r="V486" s="57"/>
      <c r="W486" s="495"/>
      <c r="X486" s="495"/>
      <c r="Y486" s="495"/>
      <c r="Z486" s="451"/>
      <c r="AA486" s="145"/>
      <c r="AB486" s="223"/>
      <c r="AC486" s="22"/>
      <c r="AH486" s="9"/>
      <c r="AJ486" s="27"/>
      <c r="AK486" s="84"/>
      <c r="AM486" s="13"/>
      <c r="AP486"/>
      <c r="AR486"/>
      <c r="AV486"/>
      <c r="AW486"/>
      <c r="AX486"/>
      <c r="AY486"/>
      <c r="AZ486"/>
      <c r="BC486"/>
      <c r="BD486"/>
      <c r="BG486"/>
      <c r="BH486"/>
      <c r="BI486"/>
      <c r="BJ486"/>
      <c r="BS486"/>
      <c r="BU486"/>
      <c r="BV486"/>
      <c r="BX486"/>
    </row>
    <row r="487" spans="1:76" ht="15.75">
      <c r="A487" s="263" t="s">
        <v>178</v>
      </c>
      <c r="B487" s="236" t="s">
        <v>795</v>
      </c>
      <c r="C487" s="57"/>
      <c r="D487" s="57">
        <v>383</v>
      </c>
      <c r="E487" s="57">
        <v>100</v>
      </c>
      <c r="F487" s="57">
        <v>0.7</v>
      </c>
      <c r="G487" s="57">
        <v>41117</v>
      </c>
      <c r="H487" s="57">
        <v>1.25</v>
      </c>
      <c r="I487" s="57">
        <v>41197</v>
      </c>
      <c r="J487" s="57">
        <v>163.25466992987023</v>
      </c>
      <c r="K487" s="57">
        <v>43.020594965675073</v>
      </c>
      <c r="L487" s="57">
        <v>37.6</v>
      </c>
      <c r="M487" s="57">
        <v>17.399999999999999</v>
      </c>
      <c r="N487" s="57" t="s">
        <v>15</v>
      </c>
      <c r="O487" s="57">
        <v>87.4</v>
      </c>
      <c r="P487" s="57"/>
      <c r="Q487" s="57"/>
      <c r="R487" s="57"/>
      <c r="S487" s="57"/>
      <c r="T487" s="57"/>
      <c r="U487" s="57"/>
      <c r="V487" s="57"/>
      <c r="W487" s="495"/>
      <c r="X487" s="495"/>
      <c r="Y487" s="495"/>
      <c r="Z487" s="451"/>
      <c r="AA487" s="145"/>
      <c r="AB487" s="223"/>
      <c r="AC487" s="22"/>
      <c r="AH487" s="9"/>
      <c r="AJ487" s="27"/>
      <c r="AK487" s="84"/>
      <c r="AM487" s="13"/>
      <c r="AP487"/>
      <c r="AR487"/>
      <c r="AV487"/>
      <c r="AW487"/>
      <c r="AX487"/>
      <c r="AY487"/>
      <c r="AZ487"/>
      <c r="BC487"/>
      <c r="BD487"/>
      <c r="BG487"/>
      <c r="BH487"/>
      <c r="BI487"/>
      <c r="BJ487"/>
      <c r="BS487"/>
      <c r="BU487"/>
      <c r="BV487"/>
      <c r="BX487"/>
    </row>
    <row r="488" spans="1:76" ht="15.75">
      <c r="A488" s="263" t="s">
        <v>178</v>
      </c>
      <c r="B488" s="236" t="s">
        <v>410</v>
      </c>
      <c r="C488" s="57"/>
      <c r="D488" s="57">
        <v>412</v>
      </c>
      <c r="E488" s="57">
        <v>500</v>
      </c>
      <c r="F488" s="57">
        <v>1.9</v>
      </c>
      <c r="G488" s="57">
        <v>40821</v>
      </c>
      <c r="H488" s="57">
        <v>0.01</v>
      </c>
      <c r="I488" s="57">
        <v>41232</v>
      </c>
      <c r="J488" s="57">
        <v>-469.7916536159762</v>
      </c>
      <c r="K488" s="57">
        <v>-99.49581526671372</v>
      </c>
      <c r="L488" s="57">
        <v>-986.7</v>
      </c>
      <c r="M488" s="57">
        <v>41.7</v>
      </c>
      <c r="N488" s="57" t="s">
        <v>508</v>
      </c>
      <c r="O488" s="57">
        <v>991.7</v>
      </c>
      <c r="P488" s="57"/>
      <c r="Q488" s="57"/>
      <c r="R488" s="57"/>
      <c r="S488" s="57"/>
      <c r="T488" s="57"/>
      <c r="U488" s="57"/>
      <c r="V488" s="57"/>
      <c r="W488" s="495"/>
      <c r="X488" s="495"/>
      <c r="Y488" s="495"/>
      <c r="Z488" s="451"/>
      <c r="AA488" s="145"/>
      <c r="AB488" s="223"/>
      <c r="AC488" s="22"/>
      <c r="AH488" s="9"/>
      <c r="AJ488" s="27"/>
      <c r="AK488" s="84"/>
      <c r="AM488" s="13"/>
      <c r="AP488"/>
      <c r="AR488"/>
      <c r="AV488"/>
      <c r="AW488"/>
      <c r="AX488"/>
      <c r="AY488"/>
      <c r="AZ488"/>
      <c r="BC488"/>
      <c r="BD488"/>
      <c r="BG488"/>
      <c r="BH488"/>
      <c r="BI488"/>
      <c r="BJ488"/>
      <c r="BS488"/>
      <c r="BU488"/>
      <c r="BV488"/>
      <c r="BX488"/>
    </row>
    <row r="489" spans="1:76" ht="15.75">
      <c r="A489" s="263" t="s">
        <v>178</v>
      </c>
      <c r="B489" s="236" t="s">
        <v>855</v>
      </c>
      <c r="C489" s="57"/>
      <c r="D489" s="57">
        <v>424</v>
      </c>
      <c r="E489" s="57">
        <v>600</v>
      </c>
      <c r="F489" s="57">
        <v>0</v>
      </c>
      <c r="G489" s="57">
        <v>41232</v>
      </c>
      <c r="H489" s="57">
        <v>0.65</v>
      </c>
      <c r="I489" s="57">
        <v>41265</v>
      </c>
      <c r="J489" s="57">
        <v>2750.1602970617014</v>
      </c>
      <c r="K489" s="57">
        <v>1101.8489984591679</v>
      </c>
      <c r="L489" s="57">
        <v>357.55</v>
      </c>
      <c r="M489" s="57">
        <v>32.450000000000003</v>
      </c>
      <c r="N489" s="57" t="s">
        <v>404</v>
      </c>
      <c r="O489" s="57">
        <v>32.450000000000003</v>
      </c>
      <c r="P489" s="57"/>
      <c r="Q489" s="57"/>
      <c r="R489" s="57"/>
      <c r="S489" s="57"/>
      <c r="T489" s="57"/>
      <c r="U489" s="57"/>
      <c r="V489" s="57"/>
      <c r="W489" s="495"/>
      <c r="X489" s="495"/>
      <c r="Y489" s="495"/>
      <c r="Z489" s="451"/>
      <c r="AA489" s="145"/>
      <c r="AB489" s="223"/>
      <c r="AC489" s="22"/>
      <c r="AH489" s="9"/>
      <c r="AJ489" s="27"/>
      <c r="AK489" s="84"/>
      <c r="AM489" s="13"/>
      <c r="AP489"/>
      <c r="AR489"/>
      <c r="AV489"/>
      <c r="AW489"/>
      <c r="AX489"/>
      <c r="AY489"/>
      <c r="AZ489"/>
      <c r="BC489"/>
      <c r="BD489"/>
      <c r="BG489"/>
      <c r="BH489"/>
      <c r="BI489"/>
      <c r="BJ489"/>
      <c r="BS489"/>
      <c r="BU489"/>
      <c r="BV489"/>
      <c r="BX489"/>
    </row>
    <row r="490" spans="1:76" ht="15.75">
      <c r="A490" s="263" t="s">
        <v>178</v>
      </c>
      <c r="B490" s="236" t="s">
        <v>178</v>
      </c>
      <c r="C490" s="57"/>
      <c r="D490" s="57">
        <v>426</v>
      </c>
      <c r="E490" s="57">
        <v>100</v>
      </c>
      <c r="F490" s="57">
        <v>16.43</v>
      </c>
      <c r="G490" s="57">
        <v>40878</v>
      </c>
      <c r="H490" s="57">
        <v>18</v>
      </c>
      <c r="I490" s="57">
        <v>41266</v>
      </c>
      <c r="J490" s="57">
        <v>8.1312014332513751</v>
      </c>
      <c r="K490" s="57">
        <v>9.0281353160301698</v>
      </c>
      <c r="L490" s="57">
        <v>149.05000000000001</v>
      </c>
      <c r="M490" s="57">
        <v>7.95</v>
      </c>
      <c r="N490" s="57" t="s">
        <v>145</v>
      </c>
      <c r="O490" s="57">
        <v>1650.95</v>
      </c>
      <c r="P490" s="57"/>
      <c r="Q490" s="57"/>
      <c r="R490" s="57"/>
      <c r="S490" s="57"/>
      <c r="T490" s="57"/>
      <c r="U490" s="57"/>
      <c r="V490" s="57"/>
      <c r="W490" s="495"/>
      <c r="X490" s="495"/>
      <c r="Y490" s="495"/>
      <c r="Z490" s="451"/>
      <c r="AA490" s="145"/>
      <c r="AB490" s="223"/>
      <c r="AC490" s="22"/>
      <c r="AH490" s="9"/>
      <c r="AJ490" s="27"/>
      <c r="AK490" s="84"/>
      <c r="AM490" s="13"/>
      <c r="AP490"/>
      <c r="AR490"/>
      <c r="AV490"/>
      <c r="AW490"/>
      <c r="AX490"/>
      <c r="AY490"/>
      <c r="AZ490"/>
      <c r="BC490"/>
      <c r="BD490"/>
      <c r="BG490"/>
      <c r="BH490"/>
      <c r="BI490"/>
      <c r="BJ490"/>
      <c r="BS490"/>
      <c r="BU490"/>
      <c r="BV490"/>
      <c r="BX490"/>
    </row>
    <row r="491" spans="1:76" ht="15.75">
      <c r="A491" s="263" t="s">
        <v>178</v>
      </c>
      <c r="B491" s="236" t="s">
        <v>178</v>
      </c>
      <c r="C491" s="57"/>
      <c r="D491" s="57">
        <v>427</v>
      </c>
      <c r="E491" s="57">
        <v>500</v>
      </c>
      <c r="F491" s="57">
        <v>17.5</v>
      </c>
      <c r="G491" s="57">
        <v>41232</v>
      </c>
      <c r="H491" s="57">
        <v>18</v>
      </c>
      <c r="I491" s="57">
        <v>41266</v>
      </c>
      <c r="J491" s="57">
        <v>29.267329659843636</v>
      </c>
      <c r="K491" s="57">
        <v>2.7637746276240533</v>
      </c>
      <c r="L491" s="57">
        <v>242.05</v>
      </c>
      <c r="M491" s="57">
        <v>7.95</v>
      </c>
      <c r="N491" s="57" t="s">
        <v>145</v>
      </c>
      <c r="O491" s="57">
        <v>8757.9500000000007</v>
      </c>
      <c r="P491" s="57"/>
      <c r="Q491" s="57"/>
      <c r="R491" s="57"/>
      <c r="S491" s="57"/>
      <c r="T491" s="57"/>
      <c r="U491" s="57"/>
      <c r="V491" s="57"/>
      <c r="W491" s="495"/>
      <c r="X491" s="495"/>
      <c r="Y491" s="495"/>
      <c r="Z491" s="451"/>
      <c r="AA491" s="145"/>
      <c r="AB491" s="223"/>
      <c r="AC491" s="22"/>
      <c r="AH491" s="9"/>
      <c r="AJ491" s="27"/>
      <c r="AK491" s="84"/>
      <c r="AM491" s="13"/>
      <c r="AP491"/>
      <c r="AR491"/>
      <c r="AV491"/>
      <c r="AW491"/>
      <c r="AX491"/>
      <c r="AY491"/>
      <c r="AZ491"/>
      <c r="BC491"/>
      <c r="BD491"/>
      <c r="BG491"/>
      <c r="BH491"/>
      <c r="BI491"/>
      <c r="BJ491"/>
      <c r="BS491"/>
      <c r="BU491"/>
      <c r="BV491"/>
      <c r="BX491"/>
    </row>
    <row r="492" spans="1:76" ht="15.75">
      <c r="A492" s="263" t="s">
        <v>140</v>
      </c>
      <c r="B492" s="236" t="s">
        <v>43</v>
      </c>
      <c r="C492" s="57"/>
      <c r="D492" s="57">
        <v>45</v>
      </c>
      <c r="E492" s="57">
        <v>500</v>
      </c>
      <c r="F492" s="57">
        <v>2.9824000000000002</v>
      </c>
      <c r="G492" s="57">
        <v>40539</v>
      </c>
      <c r="H492" s="57">
        <v>3.6</v>
      </c>
      <c r="I492" s="57">
        <v>40584</v>
      </c>
      <c r="J492" s="57">
        <v>140.02639962145506</v>
      </c>
      <c r="K492" s="57">
        <v>18.843258946256427</v>
      </c>
      <c r="L492" s="57">
        <v>285.39999999999998</v>
      </c>
      <c r="M492" s="57">
        <v>23.4</v>
      </c>
      <c r="N492" s="57" t="s">
        <v>258</v>
      </c>
      <c r="O492" s="57">
        <v>1514.6</v>
      </c>
      <c r="P492" s="57"/>
      <c r="Q492" s="57"/>
      <c r="R492" s="57"/>
      <c r="S492" s="57"/>
      <c r="T492" s="57"/>
      <c r="U492" s="57"/>
      <c r="V492" s="57"/>
      <c r="W492" s="495"/>
      <c r="X492" s="495"/>
      <c r="Y492" s="495"/>
      <c r="Z492" s="451"/>
      <c r="AA492" s="145"/>
      <c r="AB492" s="223"/>
      <c r="AC492" s="22"/>
      <c r="AH492" s="9"/>
      <c r="AJ492" s="27"/>
      <c r="AK492" s="84"/>
      <c r="AM492" s="13"/>
      <c r="AP492"/>
      <c r="AR492"/>
      <c r="AV492"/>
      <c r="AW492"/>
      <c r="AX492"/>
      <c r="AY492"/>
      <c r="AZ492"/>
      <c r="BC492"/>
      <c r="BD492"/>
      <c r="BG492"/>
      <c r="BH492"/>
      <c r="BI492"/>
      <c r="BJ492"/>
      <c r="BS492"/>
      <c r="BU492"/>
      <c r="BV492"/>
      <c r="BX492"/>
    </row>
    <row r="493" spans="1:76" ht="15.75">
      <c r="A493" s="263" t="s">
        <v>140</v>
      </c>
      <c r="B493" s="236" t="s">
        <v>17</v>
      </c>
      <c r="C493" s="57"/>
      <c r="D493" s="57">
        <v>46</v>
      </c>
      <c r="E493" s="57">
        <v>400</v>
      </c>
      <c r="F493" s="57">
        <v>4.6374000000000004</v>
      </c>
      <c r="G493" s="57">
        <v>40539</v>
      </c>
      <c r="H493" s="57">
        <v>5.8</v>
      </c>
      <c r="I493" s="57">
        <v>40619</v>
      </c>
      <c r="J493" s="57">
        <v>97.934128552381637</v>
      </c>
      <c r="K493" s="57">
        <v>23.610711507517852</v>
      </c>
      <c r="L493" s="57">
        <v>443.14</v>
      </c>
      <c r="M493" s="57">
        <v>21.9</v>
      </c>
      <c r="N493" s="57" t="s">
        <v>258</v>
      </c>
      <c r="O493" s="57">
        <v>1876.86</v>
      </c>
      <c r="P493" s="57"/>
      <c r="Q493" s="57"/>
      <c r="R493" s="57"/>
      <c r="S493" s="57"/>
      <c r="T493" s="57"/>
      <c r="U493" s="57"/>
      <c r="V493" s="57"/>
      <c r="W493" s="495"/>
      <c r="X493" s="495"/>
      <c r="Y493" s="495"/>
      <c r="Z493" s="451"/>
      <c r="AA493" s="145"/>
      <c r="AB493" s="223"/>
      <c r="AC493" s="22"/>
      <c r="AH493" s="9"/>
      <c r="AJ493" s="27"/>
      <c r="AK493" s="84"/>
      <c r="AM493" s="13"/>
      <c r="AP493"/>
      <c r="AR493"/>
      <c r="AV493"/>
      <c r="AW493"/>
      <c r="AX493"/>
      <c r="AY493"/>
      <c r="AZ493"/>
      <c r="BC493"/>
      <c r="BD493"/>
      <c r="BG493"/>
      <c r="BH493"/>
      <c r="BI493"/>
      <c r="BJ493"/>
      <c r="BS493"/>
      <c r="BU493"/>
      <c r="BV493"/>
      <c r="BX493"/>
    </row>
    <row r="494" spans="1:76" ht="15.75">
      <c r="A494" s="263" t="s">
        <v>140</v>
      </c>
      <c r="B494" s="236" t="s">
        <v>28</v>
      </c>
      <c r="C494" s="57"/>
      <c r="D494" s="57">
        <v>47</v>
      </c>
      <c r="E494" s="57">
        <v>900</v>
      </c>
      <c r="F494" s="57">
        <v>0</v>
      </c>
      <c r="G494" s="57">
        <v>40504</v>
      </c>
      <c r="H494" s="57">
        <v>0.35</v>
      </c>
      <c r="I494" s="57">
        <v>40565</v>
      </c>
      <c r="J494" s="57">
        <v>1833.8109474425312</v>
      </c>
      <c r="K494" s="57">
        <v>2042.8571428571431</v>
      </c>
      <c r="L494" s="57">
        <v>300.3</v>
      </c>
      <c r="M494" s="57">
        <v>14.7</v>
      </c>
      <c r="N494" s="57" t="s">
        <v>403</v>
      </c>
      <c r="O494" s="57">
        <v>14.7</v>
      </c>
      <c r="P494" s="57"/>
      <c r="Q494" s="57"/>
      <c r="R494" s="57"/>
      <c r="S494" s="57"/>
      <c r="T494" s="57"/>
      <c r="U494" s="57"/>
      <c r="V494" s="57"/>
      <c r="W494" s="495"/>
      <c r="X494" s="495"/>
      <c r="Y494" s="495"/>
      <c r="Z494" s="451"/>
      <c r="AA494" s="145"/>
      <c r="AB494" s="223"/>
      <c r="AC494" s="22"/>
      <c r="AH494" s="9"/>
      <c r="AJ494" s="27"/>
      <c r="AK494" s="84"/>
      <c r="AM494" s="13"/>
      <c r="AP494"/>
      <c r="AR494"/>
      <c r="AV494"/>
      <c r="AW494"/>
      <c r="AX494"/>
      <c r="AY494"/>
      <c r="AZ494"/>
      <c r="BC494"/>
      <c r="BD494"/>
      <c r="BG494"/>
      <c r="BH494"/>
      <c r="BI494"/>
      <c r="BJ494"/>
      <c r="BS494"/>
      <c r="BU494"/>
      <c r="BV494"/>
      <c r="BX494"/>
    </row>
    <row r="495" spans="1:76" ht="15.75">
      <c r="A495" s="263" t="s">
        <v>140</v>
      </c>
      <c r="B495" s="236" t="s">
        <v>284</v>
      </c>
      <c r="C495" s="57"/>
      <c r="D495" s="57">
        <v>73</v>
      </c>
      <c r="E495" s="57">
        <v>900</v>
      </c>
      <c r="F495" s="57">
        <v>0</v>
      </c>
      <c r="G495" s="57">
        <v>40672</v>
      </c>
      <c r="H495" s="57">
        <v>0.6</v>
      </c>
      <c r="I495" s="57">
        <v>40712</v>
      </c>
      <c r="J495" s="57">
        <v>3288.3960017684367</v>
      </c>
      <c r="K495" s="57">
        <v>3573.4693877551026</v>
      </c>
      <c r="L495" s="57">
        <v>525.29999999999995</v>
      </c>
      <c r="M495" s="57">
        <v>14.7</v>
      </c>
      <c r="N495" s="57" t="s">
        <v>403</v>
      </c>
      <c r="O495" s="57">
        <v>14.7</v>
      </c>
      <c r="P495" s="57"/>
      <c r="Q495" s="57"/>
      <c r="R495" s="57"/>
      <c r="S495" s="57"/>
      <c r="T495" s="57"/>
      <c r="U495" s="57"/>
      <c r="V495" s="57"/>
      <c r="W495" s="495"/>
      <c r="X495" s="495"/>
      <c r="Y495" s="495"/>
      <c r="Z495" s="451"/>
      <c r="AA495" s="145"/>
      <c r="AB495" s="223"/>
      <c r="AC495" s="22"/>
      <c r="AH495" s="9"/>
      <c r="AJ495" s="27"/>
      <c r="AK495" s="84"/>
      <c r="AM495" s="13"/>
      <c r="AP495"/>
      <c r="AR495"/>
      <c r="AV495"/>
      <c r="AW495"/>
      <c r="AX495"/>
      <c r="AY495"/>
      <c r="AZ495"/>
      <c r="BC495"/>
      <c r="BD495"/>
      <c r="BG495"/>
      <c r="BH495"/>
      <c r="BI495"/>
      <c r="BJ495"/>
      <c r="BS495"/>
      <c r="BU495"/>
      <c r="BV495"/>
      <c r="BX495"/>
    </row>
    <row r="496" spans="1:76" ht="15.75">
      <c r="A496" s="263" t="s">
        <v>140</v>
      </c>
      <c r="B496" s="236" t="s">
        <v>365</v>
      </c>
      <c r="C496" s="57"/>
      <c r="D496" s="57">
        <v>114</v>
      </c>
      <c r="E496" s="57">
        <v>900</v>
      </c>
      <c r="F496" s="57">
        <v>0.25</v>
      </c>
      <c r="G496" s="57">
        <v>40714</v>
      </c>
      <c r="H496" s="57">
        <v>0.85</v>
      </c>
      <c r="I496" s="57">
        <v>40813</v>
      </c>
      <c r="J496" s="57">
        <v>405.91244531475508</v>
      </c>
      <c r="K496" s="57">
        <v>200.70754716981128</v>
      </c>
      <c r="L496" s="57">
        <v>510.6</v>
      </c>
      <c r="M496" s="57">
        <v>29.4</v>
      </c>
      <c r="N496" s="57" t="s">
        <v>15</v>
      </c>
      <c r="O496" s="57">
        <v>254.4</v>
      </c>
      <c r="P496" s="57"/>
      <c r="Q496" s="57"/>
      <c r="R496" s="57"/>
      <c r="S496" s="57"/>
      <c r="T496" s="57"/>
      <c r="U496" s="57"/>
      <c r="V496" s="57"/>
      <c r="W496" s="495"/>
      <c r="X496" s="495"/>
      <c r="Y496" s="495"/>
      <c r="Z496" s="451"/>
      <c r="AA496" s="145"/>
      <c r="AB496" s="223"/>
      <c r="AC496" s="22"/>
      <c r="AH496" s="9"/>
      <c r="AJ496" s="27"/>
      <c r="AK496" s="84"/>
      <c r="AM496" s="13"/>
      <c r="AP496"/>
      <c r="AR496"/>
      <c r="AV496"/>
      <c r="AW496"/>
      <c r="AX496"/>
      <c r="AY496"/>
      <c r="AZ496"/>
      <c r="BC496"/>
      <c r="BD496"/>
      <c r="BG496"/>
      <c r="BH496"/>
      <c r="BI496"/>
      <c r="BJ496"/>
      <c r="BS496"/>
      <c r="BU496"/>
      <c r="BV496"/>
      <c r="BX496"/>
    </row>
    <row r="497" spans="1:76" ht="15.75">
      <c r="A497" s="263" t="s">
        <v>140</v>
      </c>
      <c r="B497" s="236" t="s">
        <v>388</v>
      </c>
      <c r="C497" s="57"/>
      <c r="D497" s="57">
        <v>150</v>
      </c>
      <c r="E497" s="57">
        <v>900</v>
      </c>
      <c r="F497" s="57">
        <v>0.1</v>
      </c>
      <c r="G497" s="57">
        <v>40829</v>
      </c>
      <c r="H497" s="57">
        <v>0.25</v>
      </c>
      <c r="I497" s="57">
        <v>40864</v>
      </c>
      <c r="J497" s="57">
        <v>660.77639558502938</v>
      </c>
      <c r="K497" s="57">
        <v>88.442211055276402</v>
      </c>
      <c r="L497" s="57">
        <v>105.6</v>
      </c>
      <c r="M497" s="57">
        <v>29.4</v>
      </c>
      <c r="N497" s="57" t="s">
        <v>15</v>
      </c>
      <c r="O497" s="57">
        <v>119.4</v>
      </c>
      <c r="P497" s="57"/>
      <c r="Q497" s="57"/>
      <c r="R497" s="57"/>
      <c r="S497" s="57"/>
      <c r="T497" s="57"/>
      <c r="U497" s="57"/>
      <c r="V497" s="57"/>
      <c r="W497" s="495"/>
      <c r="X497" s="495"/>
      <c r="Y497" s="495"/>
      <c r="Z497" s="451"/>
      <c r="AA497" s="145"/>
      <c r="AB497" s="223"/>
      <c r="AC497" s="22"/>
      <c r="AH497" s="9"/>
      <c r="AJ497" s="27"/>
      <c r="AK497" s="84"/>
      <c r="AM497" s="13"/>
      <c r="AP497"/>
      <c r="AR497"/>
      <c r="AV497"/>
      <c r="AW497"/>
      <c r="AX497"/>
      <c r="AY497"/>
      <c r="AZ497"/>
      <c r="BC497"/>
      <c r="BD497"/>
      <c r="BG497"/>
      <c r="BH497"/>
      <c r="BI497"/>
      <c r="BJ497"/>
      <c r="BS497"/>
      <c r="BU497"/>
      <c r="BV497"/>
      <c r="BX497"/>
    </row>
    <row r="498" spans="1:76" ht="15.75">
      <c r="A498" s="599" t="s">
        <v>140</v>
      </c>
      <c r="B498" s="236" t="s">
        <v>463</v>
      </c>
      <c r="C498" s="57"/>
      <c r="D498" s="57">
        <v>195</v>
      </c>
      <c r="E498" s="57">
        <v>900</v>
      </c>
      <c r="F498" s="57">
        <v>0.1</v>
      </c>
      <c r="G498" s="57">
        <v>40889</v>
      </c>
      <c r="H498" s="57">
        <v>0.75</v>
      </c>
      <c r="I498" s="57">
        <v>40906</v>
      </c>
      <c r="J498" s="57">
        <v>3719.2071989330607</v>
      </c>
      <c r="K498" s="57">
        <v>465.32663316582909</v>
      </c>
      <c r="L498" s="57">
        <v>555.6</v>
      </c>
      <c r="M498" s="57">
        <v>29.4</v>
      </c>
      <c r="N498" s="57" t="s">
        <v>15</v>
      </c>
      <c r="O498" s="57">
        <v>119.4</v>
      </c>
      <c r="P498" s="57"/>
      <c r="Q498" s="57"/>
      <c r="R498" s="57"/>
      <c r="S498" s="57"/>
      <c r="T498" s="57"/>
      <c r="U498" s="57"/>
      <c r="V498" s="57"/>
      <c r="W498" s="495"/>
      <c r="X498" s="495"/>
      <c r="Y498" s="495"/>
      <c r="Z498" s="451"/>
      <c r="AA498" s="145"/>
      <c r="AB498" s="223"/>
      <c r="AC498" s="22"/>
      <c r="AH498" s="9"/>
      <c r="AJ498" s="27"/>
      <c r="AK498" s="84"/>
      <c r="AM498" s="13"/>
      <c r="AP498"/>
      <c r="AR498"/>
      <c r="AV498"/>
      <c r="AW498"/>
      <c r="AX498"/>
      <c r="AY498"/>
      <c r="AZ498"/>
      <c r="BC498"/>
      <c r="BD498"/>
      <c r="BG498"/>
      <c r="BH498"/>
      <c r="BI498"/>
      <c r="BJ498"/>
      <c r="BS498"/>
      <c r="BU498"/>
      <c r="BV498"/>
      <c r="BX498"/>
    </row>
    <row r="499" spans="1:76" ht="15.75">
      <c r="A499" s="599" t="s">
        <v>140</v>
      </c>
      <c r="B499" s="236" t="s">
        <v>486</v>
      </c>
      <c r="C499" s="57"/>
      <c r="D499" s="57">
        <v>222</v>
      </c>
      <c r="E499" s="57">
        <v>900</v>
      </c>
      <c r="F499" s="57">
        <v>0.1</v>
      </c>
      <c r="G499" s="57">
        <v>40918</v>
      </c>
      <c r="H499" s="57">
        <v>0.5</v>
      </c>
      <c r="I499" s="57">
        <v>40956</v>
      </c>
      <c r="J499" s="57">
        <v>1274.3959456819482</v>
      </c>
      <c r="K499" s="57">
        <v>276.8844221105528</v>
      </c>
      <c r="L499" s="57">
        <v>330.6</v>
      </c>
      <c r="M499" s="57">
        <v>29.4</v>
      </c>
      <c r="N499" s="57" t="s">
        <v>15</v>
      </c>
      <c r="O499" s="57">
        <v>119.4</v>
      </c>
      <c r="P499" s="57"/>
      <c r="Q499" s="57"/>
      <c r="R499" s="57"/>
      <c r="S499" s="57"/>
      <c r="T499" s="57"/>
      <c r="U499" s="57"/>
      <c r="V499" s="57"/>
      <c r="W499" s="495"/>
      <c r="X499" s="495"/>
      <c r="Y499" s="495"/>
      <c r="Z499" s="451"/>
      <c r="AA499" s="145"/>
      <c r="AB499" s="223"/>
      <c r="AC499" s="22"/>
      <c r="AH499" s="9"/>
      <c r="AJ499" s="27"/>
      <c r="AK499" s="84"/>
      <c r="AM499" s="13"/>
      <c r="AP499"/>
      <c r="AR499"/>
      <c r="AV499"/>
      <c r="AW499"/>
      <c r="AX499"/>
      <c r="AY499"/>
      <c r="AZ499"/>
      <c r="BC499"/>
      <c r="BD499"/>
      <c r="BG499"/>
      <c r="BH499"/>
      <c r="BI499"/>
      <c r="BJ499"/>
      <c r="BS499"/>
      <c r="BU499"/>
      <c r="BV499"/>
      <c r="BX499"/>
    </row>
    <row r="500" spans="1:76" ht="15.75">
      <c r="A500" s="599" t="s">
        <v>140</v>
      </c>
      <c r="B500" s="236" t="s">
        <v>729</v>
      </c>
      <c r="C500" s="57"/>
      <c r="D500" s="57">
        <v>332</v>
      </c>
      <c r="E500" s="57">
        <v>900</v>
      </c>
      <c r="F500" s="57">
        <v>0.65</v>
      </c>
      <c r="G500" s="57">
        <v>41039</v>
      </c>
      <c r="H500" s="57">
        <v>1</v>
      </c>
      <c r="I500" s="57">
        <v>41102</v>
      </c>
      <c r="J500" s="57">
        <v>221.17179721295184</v>
      </c>
      <c r="K500" s="57">
        <v>46.484375</v>
      </c>
      <c r="L500" s="57">
        <v>285.60000000000002</v>
      </c>
      <c r="M500" s="57">
        <v>29.4</v>
      </c>
      <c r="N500" s="57" t="s">
        <v>15</v>
      </c>
      <c r="O500" s="57">
        <v>614.4</v>
      </c>
      <c r="P500" s="57"/>
      <c r="Q500" s="57"/>
      <c r="R500" s="57"/>
      <c r="S500" s="57"/>
      <c r="T500" s="57"/>
      <c r="U500" s="57"/>
      <c r="V500" s="57"/>
      <c r="W500" s="495"/>
      <c r="X500" s="495"/>
      <c r="Y500" s="495"/>
      <c r="Z500" s="451"/>
      <c r="AA500" s="145"/>
      <c r="AB500" s="223"/>
      <c r="AC500" s="22"/>
      <c r="AH500" s="9"/>
      <c r="AJ500" s="27"/>
      <c r="AK500" s="84"/>
      <c r="AM500" s="13"/>
      <c r="AP500"/>
      <c r="AR500"/>
      <c r="AV500"/>
      <c r="AW500"/>
      <c r="AX500"/>
      <c r="AY500"/>
      <c r="AZ500"/>
      <c r="BC500"/>
      <c r="BD500"/>
      <c r="BG500"/>
      <c r="BH500"/>
      <c r="BI500"/>
      <c r="BJ500"/>
      <c r="BS500"/>
      <c r="BU500"/>
      <c r="BV500"/>
      <c r="BX500"/>
    </row>
    <row r="501" spans="1:76" ht="15.75">
      <c r="A501" s="599" t="s">
        <v>140</v>
      </c>
      <c r="B501" s="236" t="s">
        <v>140</v>
      </c>
      <c r="C501" s="57"/>
      <c r="D501" s="57">
        <v>385</v>
      </c>
      <c r="E501" s="57">
        <v>400</v>
      </c>
      <c r="F501" s="57">
        <v>6.5</v>
      </c>
      <c r="G501" s="57">
        <v>40360</v>
      </c>
      <c r="H501" s="57">
        <v>3</v>
      </c>
      <c r="I501" s="57">
        <v>41200</v>
      </c>
      <c r="J501" s="57">
        <v>-33.729602867529572</v>
      </c>
      <c r="K501" s="57">
        <v>-53.986847907360193</v>
      </c>
      <c r="L501" s="57">
        <v>-1407.95</v>
      </c>
      <c r="M501" s="57">
        <v>7.95</v>
      </c>
      <c r="N501" s="57" t="s">
        <v>145</v>
      </c>
      <c r="O501" s="57">
        <v>2607.9499999999998</v>
      </c>
      <c r="P501" s="57"/>
      <c r="Q501" s="57"/>
      <c r="R501" s="57"/>
      <c r="S501" s="57"/>
      <c r="T501" s="57"/>
      <c r="U501" s="57"/>
      <c r="V501" s="57"/>
      <c r="W501" s="495"/>
      <c r="X501" s="495"/>
      <c r="Y501" s="495"/>
      <c r="Z501" s="451"/>
      <c r="AA501" s="145"/>
      <c r="AB501" s="223"/>
      <c r="AC501" s="22"/>
      <c r="AH501" s="9"/>
      <c r="AJ501" s="27"/>
      <c r="AK501" s="84"/>
      <c r="AM501" s="13"/>
      <c r="AP501"/>
      <c r="AR501"/>
      <c r="AV501"/>
      <c r="AW501"/>
      <c r="AX501"/>
      <c r="AY501"/>
      <c r="AZ501"/>
      <c r="BC501"/>
      <c r="BD501"/>
      <c r="BG501"/>
      <c r="BH501"/>
      <c r="BI501"/>
      <c r="BJ501"/>
      <c r="BS501"/>
      <c r="BU501"/>
      <c r="BV501"/>
      <c r="BX501"/>
    </row>
    <row r="502" spans="1:76" ht="15.75">
      <c r="A502" s="599" t="s">
        <v>140</v>
      </c>
      <c r="B502" s="236" t="s">
        <v>790</v>
      </c>
      <c r="C502" s="57"/>
      <c r="D502" s="57">
        <v>386</v>
      </c>
      <c r="E502" s="57">
        <v>400</v>
      </c>
      <c r="F502" s="57">
        <v>0</v>
      </c>
      <c r="G502" s="57">
        <v>41116</v>
      </c>
      <c r="H502" s="57">
        <v>0.5</v>
      </c>
      <c r="I502" s="57">
        <v>41200</v>
      </c>
      <c r="J502" s="57">
        <v>810.79725488971735</v>
      </c>
      <c r="K502" s="57">
        <v>546.20355411954779</v>
      </c>
      <c r="L502" s="57">
        <v>169.05</v>
      </c>
      <c r="M502" s="57">
        <v>30.95</v>
      </c>
      <c r="N502" s="57" t="s">
        <v>404</v>
      </c>
      <c r="O502" s="57">
        <v>30.95</v>
      </c>
      <c r="P502" s="57"/>
      <c r="Q502" s="57"/>
      <c r="R502" s="57"/>
      <c r="S502" s="57"/>
      <c r="T502" s="57"/>
      <c r="U502" s="57"/>
      <c r="V502" s="57"/>
      <c r="W502" s="495"/>
      <c r="X502" s="495"/>
      <c r="Y502" s="495"/>
      <c r="Z502" s="451"/>
      <c r="AA502" s="145"/>
      <c r="AB502" s="223"/>
      <c r="AC502" s="22"/>
      <c r="AH502" s="9"/>
      <c r="AJ502" s="27"/>
      <c r="AK502" s="84"/>
      <c r="AM502" s="13"/>
      <c r="AP502"/>
      <c r="AR502"/>
      <c r="AV502"/>
      <c r="AW502"/>
      <c r="AX502"/>
      <c r="AY502"/>
      <c r="AZ502"/>
      <c r="BC502"/>
      <c r="BD502"/>
      <c r="BG502"/>
      <c r="BH502"/>
      <c r="BI502"/>
      <c r="BJ502"/>
      <c r="BS502"/>
      <c r="BU502"/>
      <c r="BV502"/>
      <c r="BX502"/>
    </row>
    <row r="503" spans="1:76" ht="15.75">
      <c r="A503" s="599" t="s">
        <v>140</v>
      </c>
      <c r="B503" s="236" t="s">
        <v>140</v>
      </c>
      <c r="C503" s="57"/>
      <c r="D503" s="57">
        <v>391</v>
      </c>
      <c r="E503" s="57">
        <v>500</v>
      </c>
      <c r="F503" s="57">
        <v>6.5</v>
      </c>
      <c r="G503" s="57">
        <v>40360</v>
      </c>
      <c r="H503" s="57">
        <v>3</v>
      </c>
      <c r="I503" s="57">
        <v>41201</v>
      </c>
      <c r="J503" s="57">
        <v>-33.663027956850357</v>
      </c>
      <c r="K503" s="57">
        <v>-53.958777759020244</v>
      </c>
      <c r="L503" s="57">
        <v>-1757.95</v>
      </c>
      <c r="M503" s="57">
        <v>7.95</v>
      </c>
      <c r="N503" s="57" t="s">
        <v>145</v>
      </c>
      <c r="O503" s="57">
        <v>3257.95</v>
      </c>
      <c r="P503" s="57"/>
      <c r="Q503" s="57"/>
      <c r="R503" s="57"/>
      <c r="S503" s="57"/>
      <c r="T503" s="57"/>
      <c r="U503" s="57"/>
      <c r="V503" s="57"/>
      <c r="W503" s="495"/>
      <c r="X503" s="495"/>
      <c r="Y503" s="495"/>
      <c r="Z503" s="451"/>
      <c r="AA503" s="145"/>
      <c r="AB503" s="223"/>
      <c r="AC503" s="22"/>
      <c r="AH503" s="9"/>
      <c r="AJ503" s="27"/>
      <c r="AK503" s="84"/>
      <c r="AM503" s="13"/>
      <c r="AP503"/>
      <c r="AR503"/>
      <c r="AV503"/>
      <c r="AW503"/>
      <c r="AX503"/>
      <c r="AY503"/>
      <c r="AZ503"/>
      <c r="BC503"/>
      <c r="BD503"/>
      <c r="BG503"/>
      <c r="BH503"/>
      <c r="BI503"/>
      <c r="BJ503"/>
      <c r="BS503"/>
      <c r="BU503"/>
      <c r="BV503"/>
      <c r="BX503"/>
    </row>
    <row r="504" spans="1:76" ht="15.75">
      <c r="A504" s="599" t="s">
        <v>140</v>
      </c>
      <c r="B504" s="236" t="s">
        <v>790</v>
      </c>
      <c r="C504" s="57"/>
      <c r="D504" s="57">
        <v>392</v>
      </c>
      <c r="E504" s="57">
        <v>500</v>
      </c>
      <c r="F504" s="57">
        <v>0</v>
      </c>
      <c r="G504" s="57">
        <v>41116</v>
      </c>
      <c r="H504" s="57">
        <v>0.5</v>
      </c>
      <c r="I504" s="57">
        <v>41201</v>
      </c>
      <c r="J504" s="57">
        <v>1017.1583374788064</v>
      </c>
      <c r="K504" s="57">
        <v>968.37606837606836</v>
      </c>
      <c r="L504" s="57">
        <v>226.6</v>
      </c>
      <c r="M504" s="57">
        <v>23.4</v>
      </c>
      <c r="N504" s="57" t="s">
        <v>15</v>
      </c>
      <c r="O504" s="57">
        <v>23.4</v>
      </c>
      <c r="P504" s="57"/>
      <c r="Q504" s="57"/>
      <c r="R504" s="57"/>
      <c r="S504" s="57"/>
      <c r="T504" s="57"/>
      <c r="U504" s="57"/>
      <c r="V504" s="57"/>
      <c r="W504" s="495"/>
      <c r="X504" s="495"/>
      <c r="Y504" s="495"/>
      <c r="Z504" s="451"/>
      <c r="AA504" s="145"/>
      <c r="AB504" s="223"/>
      <c r="AC504" s="22"/>
      <c r="AH504" s="9"/>
      <c r="AJ504" s="27"/>
      <c r="AK504" s="84"/>
      <c r="AM504" s="13"/>
      <c r="AP504"/>
      <c r="AR504"/>
      <c r="AV504"/>
      <c r="AW504"/>
      <c r="AX504"/>
      <c r="AY504"/>
      <c r="AZ504"/>
      <c r="BC504"/>
      <c r="BD504"/>
      <c r="BG504"/>
      <c r="BH504"/>
      <c r="BI504"/>
      <c r="BJ504"/>
      <c r="BS504"/>
      <c r="BU504"/>
      <c r="BV504"/>
      <c r="BX504"/>
    </row>
    <row r="505" spans="1:76" ht="15.75">
      <c r="A505" s="599" t="s">
        <v>428</v>
      </c>
      <c r="B505" s="236" t="s">
        <v>428</v>
      </c>
      <c r="C505" s="57"/>
      <c r="D505" s="57">
        <v>406</v>
      </c>
      <c r="E505" s="57">
        <v>100</v>
      </c>
      <c r="F505" s="57">
        <v>43.82</v>
      </c>
      <c r="G505" s="57">
        <v>41159</v>
      </c>
      <c r="H505" s="57">
        <v>43</v>
      </c>
      <c r="I505" s="57">
        <v>41230</v>
      </c>
      <c r="J505" s="57">
        <v>-10.64299634139109</v>
      </c>
      <c r="K505" s="57">
        <v>-2.0489982801626514</v>
      </c>
      <c r="L505" s="57">
        <v>-89.95</v>
      </c>
      <c r="M505" s="57">
        <v>7.95</v>
      </c>
      <c r="N505" s="57" t="s">
        <v>145</v>
      </c>
      <c r="O505" s="57">
        <v>4389.95</v>
      </c>
      <c r="P505" s="57"/>
      <c r="Q505" s="57"/>
      <c r="R505" s="57"/>
      <c r="S505" s="57"/>
      <c r="T505" s="57"/>
      <c r="U505" s="57"/>
      <c r="V505" s="57"/>
      <c r="W505" s="495"/>
      <c r="X505" s="495"/>
      <c r="Y505" s="495"/>
      <c r="Z505" s="451"/>
      <c r="AA505" s="145"/>
      <c r="AB505" s="223"/>
      <c r="AC505" s="22"/>
      <c r="AH505" s="9"/>
      <c r="AJ505" s="27"/>
      <c r="AK505" s="84"/>
      <c r="AM505" s="13"/>
      <c r="AP505"/>
      <c r="AR505"/>
      <c r="AV505"/>
      <c r="AW505"/>
      <c r="AX505"/>
      <c r="AY505"/>
      <c r="AZ505"/>
      <c r="BC505"/>
      <c r="BD505"/>
      <c r="BG505"/>
      <c r="BH505"/>
      <c r="BI505"/>
      <c r="BJ505"/>
      <c r="BS505"/>
      <c r="BU505"/>
      <c r="BV505"/>
      <c r="BX505"/>
    </row>
    <row r="506" spans="1:76" ht="15.75">
      <c r="A506" s="599" t="s">
        <v>428</v>
      </c>
      <c r="B506" s="236" t="s">
        <v>829</v>
      </c>
      <c r="C506" s="57"/>
      <c r="D506" s="57">
        <v>411</v>
      </c>
      <c r="E506" s="57">
        <v>100</v>
      </c>
      <c r="F506" s="57">
        <v>0</v>
      </c>
      <c r="G506" s="57">
        <v>41190</v>
      </c>
      <c r="H506" s="57">
        <v>2</v>
      </c>
      <c r="I506" s="57">
        <v>41230</v>
      </c>
      <c r="J506" s="57">
        <v>1771.5459724514958</v>
      </c>
      <c r="K506" s="57">
        <v>596.8641114982579</v>
      </c>
      <c r="L506" s="57">
        <v>171.3</v>
      </c>
      <c r="M506" s="57">
        <v>28.7</v>
      </c>
      <c r="N506" s="57" t="s">
        <v>404</v>
      </c>
      <c r="O506" s="57">
        <v>28.7</v>
      </c>
      <c r="P506" s="57"/>
      <c r="Q506" s="57"/>
      <c r="R506" s="57"/>
      <c r="S506" s="57"/>
      <c r="T506" s="57"/>
      <c r="U506" s="57"/>
      <c r="V506" s="57"/>
      <c r="W506" s="495"/>
      <c r="X506" s="495"/>
      <c r="Y506" s="495"/>
      <c r="Z506" s="451"/>
      <c r="AA506" s="145"/>
      <c r="AB506" s="223"/>
      <c r="AC506" s="22"/>
      <c r="AH506" s="9"/>
      <c r="AJ506" s="27"/>
      <c r="AK506" s="84"/>
      <c r="AM506" s="13"/>
      <c r="AP506"/>
      <c r="AR506"/>
      <c r="AV506"/>
      <c r="AW506"/>
      <c r="AX506"/>
      <c r="AY506"/>
      <c r="AZ506"/>
      <c r="BC506"/>
      <c r="BD506"/>
      <c r="BG506"/>
      <c r="BH506"/>
      <c r="BI506"/>
      <c r="BJ506"/>
      <c r="BS506"/>
      <c r="BU506"/>
      <c r="BV506"/>
      <c r="BX506"/>
    </row>
    <row r="507" spans="1:76" ht="15.75">
      <c r="A507"/>
      <c r="W507" s="495"/>
      <c r="X507" s="495"/>
      <c r="Y507" s="495"/>
      <c r="Z507" s="451"/>
      <c r="AA507" s="145"/>
      <c r="AB507" s="223"/>
      <c r="AC507" s="22"/>
      <c r="AH507" s="9"/>
      <c r="AJ507" s="27"/>
      <c r="AK507" s="84"/>
      <c r="AM507" s="13"/>
      <c r="AP507"/>
      <c r="AR507"/>
      <c r="AV507"/>
      <c r="AW507"/>
      <c r="AX507"/>
      <c r="AY507"/>
      <c r="AZ507"/>
      <c r="BC507"/>
      <c r="BD507"/>
      <c r="BG507"/>
      <c r="BH507"/>
      <c r="BI507"/>
      <c r="BJ507"/>
      <c r="BS507"/>
      <c r="BU507"/>
      <c r="BV507"/>
      <c r="BX507"/>
    </row>
    <row r="508" spans="1:76" ht="15.75">
      <c r="A508"/>
      <c r="W508" s="495"/>
      <c r="X508" s="495"/>
      <c r="Y508" s="495"/>
      <c r="Z508" s="451"/>
      <c r="AA508" s="145"/>
      <c r="AB508" s="223"/>
      <c r="AC508" s="22"/>
      <c r="AH508" s="9"/>
      <c r="AJ508" s="27"/>
      <c r="AK508" s="84"/>
      <c r="AM508" s="13"/>
      <c r="AP508"/>
      <c r="AR508"/>
      <c r="AV508"/>
      <c r="AW508"/>
      <c r="AX508"/>
      <c r="AY508"/>
      <c r="AZ508"/>
      <c r="BC508"/>
      <c r="BD508"/>
      <c r="BG508"/>
      <c r="BH508"/>
      <c r="BI508"/>
      <c r="BJ508"/>
      <c r="BS508"/>
      <c r="BU508"/>
      <c r="BV508"/>
      <c r="BX508"/>
    </row>
    <row r="509" spans="1:76" ht="15.75">
      <c r="A509"/>
      <c r="W509" s="495"/>
      <c r="X509" s="495"/>
      <c r="Y509" s="495"/>
      <c r="Z509" s="451"/>
      <c r="AA509" s="145"/>
      <c r="AB509" s="223"/>
      <c r="AC509" s="22"/>
      <c r="AH509" s="9"/>
      <c r="AJ509" s="27"/>
      <c r="AK509" s="84"/>
      <c r="AM509" s="13"/>
      <c r="AP509"/>
      <c r="AR509"/>
      <c r="AV509"/>
      <c r="AW509"/>
      <c r="AX509"/>
      <c r="AY509"/>
      <c r="AZ509"/>
      <c r="BC509"/>
      <c r="BD509"/>
      <c r="BG509"/>
      <c r="BH509"/>
      <c r="BI509"/>
      <c r="BJ509"/>
      <c r="BS509"/>
      <c r="BU509"/>
      <c r="BV509"/>
      <c r="BX509"/>
    </row>
    <row r="510" spans="1:76" ht="15.75">
      <c r="A510"/>
      <c r="W510" s="495"/>
      <c r="X510" s="495"/>
      <c r="Y510" s="495"/>
      <c r="Z510" s="451"/>
      <c r="AA510" s="145"/>
      <c r="AB510" s="223"/>
      <c r="AC510" s="22"/>
      <c r="AH510" s="9"/>
      <c r="AJ510" s="27"/>
      <c r="AK510" s="84"/>
      <c r="AM510" s="13"/>
      <c r="AP510"/>
      <c r="AR510"/>
      <c r="AV510"/>
      <c r="AW510"/>
      <c r="AX510"/>
      <c r="AY510"/>
      <c r="AZ510"/>
      <c r="BC510"/>
      <c r="BD510"/>
      <c r="BG510"/>
      <c r="BH510"/>
      <c r="BI510"/>
      <c r="BJ510"/>
      <c r="BS510"/>
      <c r="BU510"/>
      <c r="BV510"/>
      <c r="BX510"/>
    </row>
    <row r="511" spans="1:76" ht="15.75">
      <c r="A511"/>
      <c r="W511" s="495"/>
      <c r="X511" s="495"/>
      <c r="Y511" s="495"/>
      <c r="Z511" s="451"/>
      <c r="AA511" s="145"/>
      <c r="AB511" s="223"/>
      <c r="AC511" s="22"/>
      <c r="AH511" s="9"/>
      <c r="AJ511" s="27"/>
      <c r="AK511" s="84"/>
      <c r="AM511" s="13"/>
      <c r="AP511"/>
      <c r="AR511"/>
      <c r="AV511"/>
      <c r="AW511"/>
      <c r="AX511"/>
      <c r="AY511"/>
      <c r="AZ511"/>
      <c r="BC511"/>
      <c r="BD511"/>
      <c r="BG511"/>
      <c r="BH511"/>
      <c r="BI511"/>
      <c r="BJ511"/>
      <c r="BS511"/>
      <c r="BU511"/>
      <c r="BV511"/>
      <c r="BX511"/>
    </row>
    <row r="512" spans="1:76" ht="15.75">
      <c r="A512"/>
      <c r="W512" s="495"/>
      <c r="X512" s="495"/>
      <c r="Y512" s="495"/>
      <c r="Z512" s="451"/>
      <c r="AA512" s="145"/>
      <c r="AB512" s="223"/>
      <c r="AC512" s="22"/>
      <c r="AH512" s="9"/>
      <c r="AJ512" s="27"/>
      <c r="AK512" s="84"/>
      <c r="AM512" s="13"/>
      <c r="AP512"/>
      <c r="AR512"/>
      <c r="AV512"/>
      <c r="AW512"/>
      <c r="AX512"/>
      <c r="AY512"/>
      <c r="AZ512"/>
      <c r="BC512"/>
      <c r="BD512"/>
      <c r="BG512"/>
      <c r="BH512"/>
      <c r="BI512"/>
      <c r="BJ512"/>
      <c r="BS512"/>
      <c r="BU512"/>
      <c r="BV512"/>
      <c r="BX512"/>
    </row>
    <row r="513" spans="1:76" ht="15.75">
      <c r="A513"/>
      <c r="W513" s="495"/>
      <c r="X513" s="495"/>
      <c r="Y513" s="495"/>
      <c r="Z513" s="451"/>
      <c r="AA513" s="145"/>
      <c r="AB513" s="223"/>
      <c r="AC513" s="22"/>
      <c r="AH513" s="9"/>
      <c r="AJ513" s="27"/>
      <c r="AK513" s="84"/>
      <c r="AM513" s="13"/>
      <c r="AP513"/>
      <c r="AR513"/>
      <c r="AV513"/>
      <c r="AW513"/>
      <c r="AX513"/>
      <c r="AY513"/>
      <c r="AZ513"/>
      <c r="BC513"/>
      <c r="BD513"/>
      <c r="BG513"/>
      <c r="BH513"/>
      <c r="BI513"/>
      <c r="BJ513"/>
      <c r="BS513"/>
      <c r="BU513"/>
      <c r="BV513"/>
      <c r="BX513"/>
    </row>
    <row r="514" spans="1:76" ht="15.75">
      <c r="A514"/>
      <c r="W514" s="495"/>
      <c r="X514" s="495"/>
      <c r="Y514" s="495"/>
      <c r="Z514" s="451"/>
      <c r="AA514" s="145"/>
      <c r="AB514" s="223"/>
      <c r="AC514" s="22"/>
      <c r="AH514" s="9"/>
      <c r="AJ514" s="27"/>
      <c r="AK514" s="84"/>
      <c r="AM514" s="13"/>
      <c r="AP514"/>
      <c r="AR514"/>
      <c r="AV514"/>
      <c r="AW514"/>
      <c r="AX514"/>
      <c r="AY514"/>
      <c r="AZ514"/>
      <c r="BC514"/>
      <c r="BD514"/>
      <c r="BG514"/>
      <c r="BH514"/>
      <c r="BI514"/>
      <c r="BJ514"/>
      <c r="BS514"/>
      <c r="BU514"/>
      <c r="BV514"/>
      <c r="BX514"/>
    </row>
    <row r="515" spans="1:76" ht="15.75">
      <c r="A515"/>
      <c r="W515" s="495"/>
      <c r="X515" s="495"/>
      <c r="Y515" s="495"/>
      <c r="Z515" s="451"/>
      <c r="AA515" s="145"/>
      <c r="AB515" s="223"/>
      <c r="AC515" s="22"/>
      <c r="AH515" s="9"/>
      <c r="AJ515" s="27"/>
      <c r="AK515" s="84"/>
      <c r="AM515" s="13"/>
      <c r="AP515"/>
      <c r="AR515"/>
      <c r="AV515"/>
      <c r="AW515"/>
      <c r="AX515"/>
      <c r="AY515"/>
      <c r="AZ515"/>
      <c r="BC515"/>
      <c r="BD515"/>
      <c r="BG515"/>
      <c r="BH515"/>
      <c r="BI515"/>
      <c r="BJ515"/>
      <c r="BS515"/>
      <c r="BU515"/>
      <c r="BV515"/>
      <c r="BX515"/>
    </row>
    <row r="516" spans="1:76" ht="15.75">
      <c r="A516"/>
      <c r="W516" s="495"/>
      <c r="X516" s="495"/>
      <c r="Y516" s="495"/>
      <c r="Z516" s="451"/>
      <c r="AA516" s="145"/>
      <c r="AB516" s="223"/>
      <c r="AC516" s="22"/>
      <c r="AH516" s="9"/>
      <c r="AJ516" s="27"/>
      <c r="AK516" s="84"/>
      <c r="AM516" s="13"/>
      <c r="AP516"/>
      <c r="AR516"/>
      <c r="AV516"/>
      <c r="AW516"/>
      <c r="AX516"/>
      <c r="AY516"/>
      <c r="AZ516"/>
      <c r="BC516"/>
      <c r="BD516"/>
      <c r="BG516"/>
      <c r="BH516"/>
      <c r="BI516"/>
      <c r="BJ516"/>
      <c r="BS516"/>
      <c r="BU516"/>
      <c r="BV516"/>
      <c r="BX516"/>
    </row>
    <row r="517" spans="1:76" ht="15.75">
      <c r="A517"/>
      <c r="W517" s="495"/>
      <c r="X517" s="495"/>
      <c r="Y517" s="495"/>
      <c r="Z517" s="451"/>
      <c r="AA517" s="145"/>
      <c r="AB517" s="223"/>
      <c r="AC517" s="22"/>
      <c r="AH517" s="9"/>
      <c r="AJ517" s="27"/>
      <c r="AK517" s="84"/>
      <c r="AM517" s="13"/>
      <c r="AP517"/>
      <c r="AR517"/>
      <c r="AV517"/>
      <c r="AW517"/>
      <c r="AX517"/>
      <c r="AY517"/>
      <c r="AZ517"/>
      <c r="BC517"/>
      <c r="BD517"/>
      <c r="BG517"/>
      <c r="BH517"/>
      <c r="BI517"/>
      <c r="BJ517"/>
      <c r="BS517"/>
      <c r="BU517"/>
      <c r="BV517"/>
      <c r="BX517"/>
    </row>
    <row r="518" spans="1:76" ht="15.75">
      <c r="A518"/>
      <c r="W518" s="495"/>
      <c r="X518" s="495"/>
      <c r="Y518" s="495"/>
      <c r="Z518" s="451"/>
      <c r="AA518" s="145"/>
      <c r="AB518" s="223"/>
      <c r="AC518" s="22"/>
      <c r="AH518" s="9"/>
      <c r="AJ518" s="27"/>
      <c r="AK518" s="84"/>
      <c r="AM518" s="13"/>
      <c r="AP518"/>
      <c r="AR518"/>
      <c r="AV518"/>
      <c r="AW518"/>
      <c r="AX518"/>
      <c r="AY518"/>
      <c r="AZ518"/>
      <c r="BC518"/>
      <c r="BD518"/>
      <c r="BG518"/>
      <c r="BH518"/>
      <c r="BI518"/>
      <c r="BJ518"/>
      <c r="BS518"/>
      <c r="BU518"/>
      <c r="BV518"/>
      <c r="BX518"/>
    </row>
    <row r="519" spans="1:76" ht="15.75">
      <c r="A519"/>
      <c r="W519" s="495"/>
      <c r="X519" s="495"/>
      <c r="Y519" s="495"/>
      <c r="Z519" s="451"/>
      <c r="AA519" s="145"/>
      <c r="AB519" s="223"/>
      <c r="AC519" s="22"/>
      <c r="AH519" s="9"/>
      <c r="AJ519" s="27"/>
      <c r="AK519" s="84"/>
      <c r="AM519" s="13"/>
      <c r="AP519"/>
      <c r="AR519"/>
      <c r="AV519"/>
      <c r="AW519"/>
      <c r="AX519"/>
      <c r="AY519"/>
      <c r="AZ519"/>
      <c r="BC519"/>
      <c r="BD519"/>
      <c r="BG519"/>
      <c r="BH519"/>
      <c r="BI519"/>
      <c r="BJ519"/>
      <c r="BS519"/>
      <c r="BU519"/>
      <c r="BV519"/>
      <c r="BX519"/>
    </row>
    <row r="520" spans="1:76" ht="15.75">
      <c r="A520"/>
      <c r="W520" s="495"/>
      <c r="X520" s="495"/>
      <c r="Y520" s="495"/>
      <c r="Z520" s="451"/>
      <c r="AA520" s="145"/>
      <c r="AB520" s="223"/>
      <c r="AC520" s="22"/>
      <c r="AH520" s="9"/>
      <c r="AJ520" s="27"/>
      <c r="AK520" s="84"/>
      <c r="AM520" s="13"/>
      <c r="AP520"/>
      <c r="AR520"/>
      <c r="AV520"/>
      <c r="AW520"/>
      <c r="AX520"/>
      <c r="AY520"/>
      <c r="AZ520"/>
      <c r="BC520"/>
      <c r="BD520"/>
      <c r="BG520"/>
      <c r="BH520"/>
      <c r="BI520"/>
      <c r="BJ520"/>
      <c r="BS520"/>
      <c r="BU520"/>
      <c r="BV520"/>
      <c r="BX520"/>
    </row>
    <row r="521" spans="1:76" ht="15.75">
      <c r="A521"/>
      <c r="W521" s="495"/>
      <c r="X521" s="495"/>
      <c r="Y521" s="495"/>
      <c r="Z521" s="451"/>
      <c r="AA521" s="145"/>
      <c r="AB521" s="223"/>
      <c r="AC521" s="22"/>
      <c r="AH521" s="9"/>
      <c r="AJ521" s="27"/>
      <c r="AK521" s="84"/>
      <c r="AM521" s="13"/>
      <c r="AP521"/>
      <c r="AR521"/>
      <c r="AV521"/>
      <c r="AW521"/>
      <c r="AX521"/>
      <c r="AY521"/>
      <c r="AZ521"/>
      <c r="BC521"/>
      <c r="BD521"/>
      <c r="BG521"/>
      <c r="BH521"/>
      <c r="BI521"/>
      <c r="BJ521"/>
      <c r="BS521"/>
      <c r="BU521"/>
      <c r="BV521"/>
      <c r="BX521"/>
    </row>
    <row r="522" spans="1:76" ht="15.75">
      <c r="A522"/>
      <c r="W522" s="495"/>
      <c r="X522" s="495"/>
      <c r="Y522" s="495"/>
      <c r="Z522" s="451"/>
      <c r="AA522" s="145"/>
      <c r="AB522" s="223"/>
      <c r="AC522" s="22"/>
      <c r="AH522" s="9"/>
      <c r="AJ522" s="27"/>
      <c r="AK522" s="84"/>
      <c r="AM522" s="13"/>
      <c r="AP522"/>
      <c r="AR522"/>
      <c r="AV522"/>
      <c r="AW522"/>
      <c r="AX522"/>
      <c r="AY522"/>
      <c r="AZ522"/>
      <c r="BC522"/>
      <c r="BD522"/>
      <c r="BG522"/>
      <c r="BH522"/>
      <c r="BI522"/>
      <c r="BJ522"/>
      <c r="BS522"/>
      <c r="BU522"/>
      <c r="BV522"/>
      <c r="BX522"/>
    </row>
    <row r="523" spans="1:76" ht="15.75">
      <c r="A523"/>
      <c r="W523" s="495"/>
      <c r="X523" s="495"/>
      <c r="Y523" s="495"/>
      <c r="Z523" s="451"/>
      <c r="AA523" s="145"/>
      <c r="AB523" s="223"/>
      <c r="AC523" s="22"/>
      <c r="AH523" s="9"/>
      <c r="AJ523" s="27"/>
      <c r="AK523" s="84"/>
      <c r="AM523" s="13"/>
      <c r="AP523"/>
      <c r="AR523"/>
      <c r="AV523"/>
      <c r="AW523"/>
      <c r="AX523"/>
      <c r="AY523"/>
      <c r="AZ523"/>
      <c r="BC523"/>
      <c r="BD523"/>
      <c r="BG523"/>
      <c r="BH523"/>
      <c r="BI523"/>
      <c r="BJ523"/>
      <c r="BS523"/>
      <c r="BU523"/>
      <c r="BV523"/>
      <c r="BX523"/>
    </row>
    <row r="524" spans="1:76" ht="15.75">
      <c r="A524"/>
      <c r="W524" s="495"/>
      <c r="X524" s="495"/>
      <c r="Y524" s="495"/>
      <c r="Z524" s="451"/>
      <c r="AA524" s="145"/>
      <c r="AB524" s="223"/>
      <c r="AC524" s="22"/>
      <c r="AH524" s="9"/>
      <c r="AJ524" s="27"/>
      <c r="AK524" s="84"/>
      <c r="AM524" s="13"/>
      <c r="AP524"/>
      <c r="AR524"/>
      <c r="AV524"/>
      <c r="AW524"/>
      <c r="AX524"/>
      <c r="AY524"/>
      <c r="AZ524"/>
      <c r="BC524"/>
      <c r="BD524"/>
      <c r="BG524"/>
      <c r="BH524"/>
      <c r="BI524"/>
      <c r="BJ524"/>
      <c r="BS524"/>
      <c r="BU524"/>
      <c r="BV524"/>
      <c r="BX524"/>
    </row>
    <row r="525" spans="1:76" ht="15.75">
      <c r="A525"/>
      <c r="W525" s="495"/>
      <c r="X525" s="495"/>
      <c r="Y525" s="495"/>
      <c r="Z525" s="451"/>
      <c r="AA525" s="145"/>
      <c r="AB525" s="223"/>
      <c r="AC525" s="22"/>
      <c r="AH525" s="9"/>
      <c r="AJ525" s="27"/>
      <c r="AK525" s="84"/>
      <c r="AM525" s="13"/>
      <c r="AP525"/>
      <c r="AR525"/>
      <c r="AV525"/>
      <c r="AW525"/>
      <c r="AX525"/>
      <c r="AY525"/>
      <c r="AZ525"/>
      <c r="BC525"/>
      <c r="BD525"/>
      <c r="BG525"/>
      <c r="BH525"/>
      <c r="BI525"/>
      <c r="BJ525"/>
      <c r="BS525"/>
      <c r="BU525"/>
      <c r="BV525"/>
      <c r="BX525"/>
    </row>
    <row r="526" spans="1:76" ht="15.75">
      <c r="A526" s="307"/>
      <c r="W526" s="495"/>
      <c r="X526" s="495"/>
      <c r="Y526" s="495"/>
      <c r="Z526" s="451"/>
      <c r="AA526" s="145"/>
      <c r="AB526" s="223"/>
      <c r="AC526" s="22"/>
      <c r="AH526" s="9"/>
      <c r="AJ526" s="27"/>
      <c r="AK526" s="84"/>
      <c r="AM526" s="13"/>
      <c r="AP526"/>
      <c r="AR526"/>
      <c r="AV526"/>
      <c r="AW526"/>
      <c r="AX526"/>
      <c r="AY526"/>
      <c r="AZ526"/>
      <c r="BC526"/>
      <c r="BD526"/>
      <c r="BG526"/>
      <c r="BH526"/>
      <c r="BI526"/>
      <c r="BJ526"/>
      <c r="BS526"/>
      <c r="BU526"/>
      <c r="BV526"/>
      <c r="BX526"/>
    </row>
    <row r="527" spans="1:76" ht="15.75">
      <c r="A527"/>
      <c r="W527" s="495"/>
      <c r="X527" s="495"/>
      <c r="Y527" s="495"/>
      <c r="Z527" s="451"/>
      <c r="AA527" s="145"/>
      <c r="AB527" s="223"/>
      <c r="AC527" s="22"/>
      <c r="AH527" s="9"/>
      <c r="AJ527" s="27"/>
      <c r="AK527" s="84"/>
      <c r="AM527" s="13"/>
      <c r="AP527"/>
      <c r="AR527"/>
      <c r="AV527"/>
      <c r="AW527"/>
      <c r="AX527"/>
      <c r="AY527"/>
      <c r="AZ527"/>
      <c r="BC527"/>
      <c r="BD527"/>
      <c r="BG527"/>
      <c r="BH527"/>
      <c r="BI527"/>
      <c r="BJ527"/>
      <c r="BS527"/>
      <c r="BU527"/>
      <c r="BV527"/>
      <c r="BX527"/>
    </row>
    <row r="528" spans="1:76" ht="15.75">
      <c r="A528"/>
      <c r="W528" s="495"/>
      <c r="X528" s="495"/>
      <c r="Y528" s="495"/>
      <c r="Z528" s="451"/>
      <c r="AA528" s="145"/>
      <c r="AB528" s="223"/>
      <c r="AC528" s="22"/>
      <c r="AH528" s="9"/>
      <c r="AJ528" s="27"/>
      <c r="AK528" s="84"/>
      <c r="AM528" s="13"/>
      <c r="AP528"/>
      <c r="AR528"/>
      <c r="AV528"/>
      <c r="AW528"/>
      <c r="AX528"/>
      <c r="AY528"/>
      <c r="AZ528"/>
      <c r="BC528"/>
      <c r="BD528"/>
      <c r="BG528"/>
      <c r="BH528"/>
      <c r="BI528"/>
      <c r="BJ528"/>
      <c r="BS528"/>
      <c r="BU528"/>
      <c r="BV528"/>
      <c r="BX528"/>
    </row>
    <row r="529" spans="1:76" ht="15.75">
      <c r="A529"/>
      <c r="W529" s="495"/>
      <c r="X529" s="495"/>
      <c r="Y529" s="495"/>
      <c r="Z529" s="451"/>
      <c r="AA529" s="145"/>
      <c r="AB529" s="223"/>
      <c r="AC529" s="22"/>
      <c r="AH529" s="9"/>
      <c r="AJ529" s="27"/>
      <c r="AK529" s="84"/>
      <c r="AM529" s="13"/>
      <c r="AP529"/>
      <c r="AR529"/>
      <c r="AV529"/>
      <c r="AW529"/>
      <c r="AX529"/>
      <c r="AY529"/>
      <c r="AZ529"/>
      <c r="BC529"/>
      <c r="BD529"/>
      <c r="BG529"/>
      <c r="BH529"/>
      <c r="BI529"/>
      <c r="BJ529"/>
      <c r="BS529"/>
      <c r="BU529"/>
      <c r="BV529"/>
      <c r="BX529"/>
    </row>
    <row r="530" spans="1:76" ht="15.75">
      <c r="A530"/>
      <c r="W530" s="495"/>
      <c r="X530" s="495"/>
      <c r="Y530" s="495"/>
      <c r="Z530" s="451"/>
      <c r="AA530" s="145"/>
      <c r="AB530" s="223"/>
      <c r="AC530" s="22"/>
      <c r="AH530" s="9"/>
      <c r="AJ530" s="27"/>
      <c r="AK530" s="84"/>
      <c r="AM530" s="13"/>
      <c r="AP530"/>
      <c r="AR530"/>
      <c r="AV530"/>
      <c r="AW530"/>
      <c r="AX530"/>
      <c r="AY530"/>
      <c r="AZ530"/>
      <c r="BC530"/>
      <c r="BD530"/>
      <c r="BG530"/>
      <c r="BH530"/>
      <c r="BI530"/>
      <c r="BJ530"/>
      <c r="BS530"/>
      <c r="BU530"/>
      <c r="BV530"/>
      <c r="BX530"/>
    </row>
    <row r="531" spans="1:76" ht="15.75">
      <c r="A531"/>
      <c r="W531" s="495"/>
      <c r="X531" s="495"/>
      <c r="Y531" s="495"/>
      <c r="Z531" s="451"/>
      <c r="AA531" s="145"/>
      <c r="AB531" s="223"/>
      <c r="AC531" s="22"/>
      <c r="AH531" s="9"/>
      <c r="AJ531" s="27"/>
      <c r="AK531" s="84"/>
      <c r="AM531" s="13"/>
      <c r="AP531"/>
      <c r="AR531"/>
      <c r="AV531"/>
      <c r="AW531"/>
      <c r="AX531"/>
      <c r="AY531"/>
      <c r="AZ531"/>
      <c r="BC531"/>
      <c r="BD531"/>
      <c r="BG531"/>
      <c r="BH531"/>
      <c r="BI531"/>
      <c r="BJ531"/>
      <c r="BS531"/>
      <c r="BU531"/>
      <c r="BV531"/>
      <c r="BX531"/>
    </row>
    <row r="532" spans="1:76" ht="15.75">
      <c r="A532"/>
      <c r="W532" s="495"/>
      <c r="X532" s="495"/>
      <c r="Y532" s="495"/>
      <c r="Z532" s="451"/>
      <c r="AA532" s="145"/>
      <c r="AB532" s="223"/>
      <c r="AC532" s="22"/>
      <c r="AH532" s="9"/>
      <c r="AJ532" s="27"/>
      <c r="AK532" s="84"/>
      <c r="AM532" s="13"/>
      <c r="AP532"/>
      <c r="AR532"/>
      <c r="AV532"/>
      <c r="AW532"/>
      <c r="AX532"/>
      <c r="AY532"/>
      <c r="AZ532"/>
      <c r="BC532"/>
      <c r="BD532"/>
      <c r="BG532"/>
      <c r="BH532"/>
      <c r="BI532"/>
      <c r="BJ532"/>
      <c r="BS532"/>
      <c r="BU532"/>
      <c r="BV532"/>
      <c r="BX532"/>
    </row>
    <row r="533" spans="1:76" ht="15.75">
      <c r="A533"/>
      <c r="W533" s="495"/>
      <c r="X533" s="495"/>
      <c r="Y533" s="495"/>
      <c r="Z533" s="451"/>
      <c r="AA533" s="145"/>
      <c r="AB533" s="223"/>
      <c r="AC533" s="22"/>
      <c r="AH533" s="9"/>
      <c r="AJ533" s="27"/>
      <c r="AK533" s="84"/>
      <c r="AM533" s="13"/>
      <c r="AP533"/>
      <c r="AR533"/>
      <c r="AV533"/>
      <c r="AW533"/>
      <c r="AX533"/>
      <c r="AY533"/>
      <c r="AZ533"/>
      <c r="BC533"/>
      <c r="BD533"/>
      <c r="BG533"/>
      <c r="BH533"/>
      <c r="BI533"/>
      <c r="BJ533"/>
      <c r="BS533"/>
      <c r="BU533"/>
      <c r="BV533"/>
      <c r="BX533"/>
    </row>
    <row r="534" spans="1:76" ht="15.75">
      <c r="A534"/>
      <c r="W534" s="495"/>
      <c r="X534" s="495"/>
      <c r="Y534" s="495"/>
      <c r="Z534" s="451"/>
      <c r="AA534" s="145"/>
      <c r="AB534" s="223"/>
      <c r="AC534" s="22"/>
      <c r="AH534" s="9"/>
      <c r="AJ534" s="27"/>
      <c r="AK534" s="84"/>
      <c r="AM534" s="13"/>
      <c r="AP534"/>
      <c r="AR534"/>
      <c r="AV534"/>
      <c r="AW534"/>
      <c r="AX534"/>
      <c r="AY534"/>
      <c r="AZ534"/>
      <c r="BC534"/>
      <c r="BD534"/>
      <c r="BG534"/>
      <c r="BH534"/>
      <c r="BI534"/>
      <c r="BJ534"/>
      <c r="BS534"/>
      <c r="BU534"/>
      <c r="BV534"/>
      <c r="BX534"/>
    </row>
    <row r="535" spans="1:76" ht="15.75">
      <c r="A535"/>
      <c r="W535" s="495"/>
      <c r="X535" s="495"/>
      <c r="Y535" s="495"/>
      <c r="Z535" s="451"/>
      <c r="AA535" s="145"/>
      <c r="AB535" s="223"/>
      <c r="AC535" s="22"/>
      <c r="AH535" s="9"/>
      <c r="AJ535" s="27"/>
      <c r="AK535" s="84"/>
      <c r="AM535" s="13"/>
      <c r="AP535"/>
      <c r="AR535"/>
      <c r="AV535"/>
      <c r="AW535"/>
      <c r="AX535"/>
      <c r="AY535"/>
      <c r="AZ535"/>
      <c r="BC535"/>
      <c r="BD535"/>
      <c r="BG535"/>
      <c r="BH535"/>
      <c r="BI535"/>
      <c r="BJ535"/>
      <c r="BS535"/>
      <c r="BU535"/>
      <c r="BV535"/>
      <c r="BX535"/>
    </row>
    <row r="536" spans="1:76" ht="15.75">
      <c r="A536"/>
      <c r="W536" s="495"/>
      <c r="X536" s="495"/>
      <c r="Y536" s="495"/>
      <c r="Z536" s="451"/>
      <c r="AA536" s="145"/>
      <c r="AB536" s="223"/>
      <c r="AC536" s="22"/>
      <c r="AH536" s="9"/>
      <c r="AJ536" s="27"/>
      <c r="AK536" s="84"/>
      <c r="AM536" s="13"/>
      <c r="AP536"/>
      <c r="AR536"/>
      <c r="AV536"/>
      <c r="AW536"/>
      <c r="AX536"/>
      <c r="AY536"/>
      <c r="AZ536"/>
      <c r="BC536"/>
      <c r="BD536"/>
      <c r="BG536"/>
      <c r="BH536"/>
      <c r="BI536"/>
      <c r="BJ536"/>
      <c r="BS536"/>
      <c r="BU536"/>
      <c r="BV536"/>
      <c r="BX536"/>
    </row>
    <row r="537" spans="1:76" ht="15.75">
      <c r="A537"/>
      <c r="W537" s="495"/>
      <c r="X537" s="495"/>
      <c r="Y537" s="495"/>
      <c r="Z537" s="451"/>
      <c r="AA537" s="145"/>
      <c r="AB537" s="223"/>
      <c r="AC537" s="22"/>
      <c r="AH537" s="9"/>
      <c r="AJ537" s="27"/>
      <c r="AK537" s="84"/>
      <c r="AM537" s="13"/>
      <c r="AP537"/>
      <c r="AR537"/>
      <c r="AV537"/>
      <c r="AW537"/>
      <c r="AX537"/>
      <c r="AY537"/>
      <c r="AZ537"/>
      <c r="BC537"/>
      <c r="BD537"/>
      <c r="BG537"/>
      <c r="BH537"/>
      <c r="BI537"/>
      <c r="BJ537"/>
      <c r="BS537"/>
      <c r="BU537"/>
      <c r="BV537"/>
      <c r="BX537"/>
    </row>
    <row r="538" spans="1:76" ht="15.75">
      <c r="A538"/>
      <c r="W538" s="495"/>
      <c r="X538" s="495"/>
      <c r="Y538" s="495"/>
      <c r="Z538" s="451"/>
      <c r="AA538" s="145"/>
      <c r="AB538" s="223"/>
      <c r="AC538" s="22"/>
      <c r="AH538" s="9"/>
      <c r="AJ538" s="27"/>
      <c r="AK538" s="84"/>
      <c r="AM538" s="13"/>
      <c r="AP538"/>
      <c r="AR538"/>
      <c r="AV538"/>
      <c r="AW538"/>
      <c r="AX538"/>
      <c r="AY538"/>
      <c r="AZ538"/>
      <c r="BC538"/>
      <c r="BD538"/>
      <c r="BG538"/>
      <c r="BH538"/>
      <c r="BI538"/>
      <c r="BJ538"/>
      <c r="BS538"/>
      <c r="BU538"/>
      <c r="BV538"/>
      <c r="BX538"/>
    </row>
    <row r="539" spans="1:76" ht="15.75">
      <c r="A539" s="305"/>
      <c r="W539" s="495"/>
      <c r="X539" s="495"/>
      <c r="Y539" s="495"/>
      <c r="Z539" s="451"/>
      <c r="AA539" s="145"/>
      <c r="AB539" s="223"/>
      <c r="AC539" s="22"/>
      <c r="AH539" s="9"/>
      <c r="AJ539" s="27"/>
      <c r="AK539" s="84"/>
      <c r="AM539" s="13"/>
      <c r="AP539"/>
      <c r="AR539"/>
      <c r="AV539"/>
      <c r="AW539"/>
      <c r="AX539"/>
      <c r="AY539"/>
      <c r="AZ539"/>
      <c r="BC539"/>
      <c r="BD539"/>
      <c r="BG539"/>
      <c r="BH539"/>
      <c r="BI539"/>
      <c r="BJ539"/>
      <c r="BS539"/>
      <c r="BU539"/>
      <c r="BV539"/>
      <c r="BX539"/>
    </row>
    <row r="540" spans="1:76" ht="15.75">
      <c r="W540" s="495"/>
      <c r="X540" s="495"/>
      <c r="Y540" s="495"/>
      <c r="Z540" s="451"/>
      <c r="AA540" s="145"/>
      <c r="AB540" s="223"/>
      <c r="AC540" s="22"/>
      <c r="AH540" s="9"/>
      <c r="AJ540" s="27"/>
      <c r="AK540" s="84"/>
      <c r="AM540" s="13"/>
      <c r="AP540"/>
      <c r="AR540"/>
      <c r="AV540"/>
      <c r="AW540"/>
      <c r="AX540"/>
      <c r="AY540"/>
      <c r="AZ540"/>
      <c r="BC540"/>
      <c r="BD540"/>
      <c r="BG540"/>
      <c r="BH540"/>
      <c r="BI540"/>
      <c r="BJ540"/>
      <c r="BS540"/>
      <c r="BU540"/>
      <c r="BV540"/>
      <c r="BX540"/>
    </row>
    <row r="541" spans="1:76" ht="15.75">
      <c r="W541" s="495"/>
      <c r="X541" s="495"/>
      <c r="Y541" s="495"/>
      <c r="Z541" s="451"/>
      <c r="AA541" s="145"/>
      <c r="AB541" s="223"/>
      <c r="AC541" s="22"/>
      <c r="AH541" s="9"/>
      <c r="AJ541" s="27"/>
      <c r="AK541" s="84"/>
      <c r="AM541" s="13"/>
      <c r="AP541"/>
      <c r="AR541"/>
      <c r="AV541"/>
      <c r="AW541"/>
      <c r="AX541"/>
      <c r="AY541"/>
      <c r="AZ541"/>
      <c r="BC541"/>
      <c r="BD541"/>
      <c r="BG541"/>
      <c r="BH541"/>
      <c r="BI541"/>
      <c r="BJ541"/>
      <c r="BS541"/>
      <c r="BU541"/>
      <c r="BV541"/>
      <c r="BX541"/>
    </row>
    <row r="542" spans="1:76" ht="15.75">
      <c r="W542" s="495"/>
      <c r="X542" s="495"/>
      <c r="Y542" s="495"/>
      <c r="Z542" s="451"/>
      <c r="AA542" s="145"/>
      <c r="AB542" s="223"/>
      <c r="AC542" s="22"/>
      <c r="AH542" s="9"/>
      <c r="AJ542" s="27"/>
      <c r="AK542" s="84"/>
      <c r="AM542" s="13"/>
      <c r="AP542"/>
      <c r="AR542"/>
      <c r="AV542"/>
      <c r="AW542"/>
      <c r="AX542"/>
      <c r="AY542"/>
      <c r="AZ542"/>
      <c r="BC542"/>
      <c r="BD542"/>
      <c r="BG542"/>
      <c r="BH542"/>
      <c r="BI542"/>
      <c r="BJ542"/>
      <c r="BS542"/>
      <c r="BU542"/>
      <c r="BV542"/>
      <c r="BX542"/>
    </row>
    <row r="543" spans="1:76" ht="15.75">
      <c r="W543" s="495"/>
      <c r="X543" s="495"/>
      <c r="Y543" s="495"/>
      <c r="Z543" s="451"/>
      <c r="AA543" s="145"/>
      <c r="AB543" s="223"/>
      <c r="AC543" s="22"/>
      <c r="AH543" s="9"/>
      <c r="AJ543" s="27"/>
      <c r="AK543" s="84"/>
      <c r="AM543" s="13"/>
      <c r="AP543"/>
      <c r="AR543"/>
      <c r="AV543"/>
      <c r="AW543"/>
      <c r="AX543"/>
      <c r="AY543"/>
      <c r="AZ543"/>
      <c r="BC543"/>
      <c r="BD543"/>
      <c r="BG543"/>
      <c r="BH543"/>
      <c r="BI543"/>
      <c r="BJ543"/>
      <c r="BS543"/>
      <c r="BU543"/>
      <c r="BV543"/>
      <c r="BX543"/>
    </row>
    <row r="544" spans="1:76" ht="15.75">
      <c r="W544" s="495"/>
      <c r="X544" s="495"/>
      <c r="Y544" s="495"/>
      <c r="Z544" s="451"/>
      <c r="AA544" s="145"/>
      <c r="AB544" s="223"/>
      <c r="AC544" s="22"/>
      <c r="AH544" s="9"/>
      <c r="AJ544" s="27"/>
      <c r="AK544" s="84"/>
      <c r="AM544" s="13"/>
      <c r="AP544"/>
      <c r="AR544"/>
      <c r="AV544"/>
      <c r="AW544"/>
      <c r="AX544"/>
      <c r="AY544"/>
      <c r="AZ544"/>
      <c r="BC544"/>
      <c r="BD544"/>
      <c r="BG544"/>
      <c r="BH544"/>
      <c r="BI544"/>
      <c r="BJ544"/>
      <c r="BS544"/>
      <c r="BU544"/>
      <c r="BV544"/>
      <c r="BX544"/>
    </row>
    <row r="545" spans="23:76" ht="15.75">
      <c r="W545" s="495"/>
      <c r="X545" s="495"/>
      <c r="Y545" s="495"/>
      <c r="Z545" s="451"/>
      <c r="AA545" s="145"/>
      <c r="AB545" s="223"/>
      <c r="AC545" s="22"/>
      <c r="AH545" s="9"/>
      <c r="AJ545" s="27"/>
      <c r="AK545" s="84"/>
      <c r="AM545" s="13"/>
      <c r="AP545"/>
      <c r="AR545"/>
      <c r="AV545"/>
      <c r="AW545"/>
      <c r="AX545"/>
      <c r="AY545"/>
      <c r="AZ545"/>
      <c r="BC545"/>
      <c r="BD545"/>
      <c r="BG545"/>
      <c r="BH545"/>
      <c r="BI545"/>
      <c r="BJ545"/>
      <c r="BS545"/>
      <c r="BU545"/>
      <c r="BV545"/>
      <c r="BX545"/>
    </row>
    <row r="546" spans="23:76" ht="15.75">
      <c r="W546" s="495"/>
      <c r="X546" s="495"/>
      <c r="Y546" s="495"/>
      <c r="Z546" s="451"/>
      <c r="AA546" s="145"/>
      <c r="AB546" s="223"/>
      <c r="AC546" s="22"/>
      <c r="AH546" s="9"/>
      <c r="AJ546" s="27"/>
      <c r="AK546" s="84"/>
      <c r="AM546" s="13"/>
      <c r="AP546"/>
      <c r="AR546"/>
      <c r="AV546"/>
      <c r="AW546"/>
      <c r="AX546"/>
      <c r="AY546"/>
      <c r="AZ546"/>
      <c r="BC546"/>
      <c r="BD546"/>
      <c r="BG546"/>
      <c r="BH546"/>
      <c r="BI546"/>
      <c r="BJ546"/>
      <c r="BS546"/>
      <c r="BU546"/>
      <c r="BV546"/>
      <c r="BX546"/>
    </row>
    <row r="547" spans="23:76" ht="15.75">
      <c r="W547" s="495"/>
      <c r="X547" s="495"/>
      <c r="Y547" s="495"/>
      <c r="Z547" s="451"/>
      <c r="AA547" s="145"/>
      <c r="AB547" s="223"/>
      <c r="AC547" s="22"/>
      <c r="AH547" s="9"/>
      <c r="AJ547" s="27"/>
      <c r="AK547" s="84"/>
      <c r="AM547" s="13"/>
      <c r="AP547"/>
      <c r="AR547"/>
      <c r="AV547"/>
      <c r="AW547"/>
      <c r="AX547"/>
      <c r="AY547"/>
      <c r="AZ547"/>
      <c r="BC547"/>
      <c r="BD547"/>
      <c r="BG547"/>
      <c r="BH547"/>
      <c r="BI547"/>
      <c r="BJ547"/>
      <c r="BS547"/>
      <c r="BU547"/>
      <c r="BV547"/>
      <c r="BX547"/>
    </row>
    <row r="548" spans="23:76" ht="15.75">
      <c r="W548" s="495"/>
      <c r="X548" s="495"/>
      <c r="Y548" s="495"/>
      <c r="Z548" s="451"/>
      <c r="AA548" s="145"/>
      <c r="AB548" s="223"/>
      <c r="AC548" s="22"/>
      <c r="AH548" s="9"/>
      <c r="AJ548" s="27"/>
      <c r="AK548" s="84"/>
      <c r="AM548" s="13"/>
      <c r="AP548"/>
      <c r="AR548"/>
      <c r="AV548"/>
      <c r="AW548"/>
      <c r="AX548"/>
      <c r="AY548"/>
      <c r="AZ548"/>
      <c r="BC548"/>
      <c r="BD548"/>
      <c r="BG548"/>
      <c r="BH548"/>
      <c r="BI548"/>
      <c r="BJ548"/>
      <c r="BS548"/>
      <c r="BU548"/>
      <c r="BV548"/>
      <c r="BX548"/>
    </row>
    <row r="549" spans="23:76" ht="15.75">
      <c r="W549" s="495"/>
      <c r="X549" s="495"/>
      <c r="Y549" s="495"/>
      <c r="Z549" s="451"/>
      <c r="AA549" s="145"/>
      <c r="AB549" s="223"/>
      <c r="AC549" s="22"/>
      <c r="AH549" s="9"/>
      <c r="AJ549" s="27"/>
      <c r="AK549" s="84"/>
      <c r="AM549" s="13"/>
      <c r="AP549"/>
      <c r="AR549"/>
      <c r="AV549"/>
      <c r="AW549"/>
      <c r="AX549"/>
      <c r="AY549"/>
      <c r="AZ549"/>
      <c r="BC549"/>
      <c r="BD549"/>
      <c r="BG549"/>
      <c r="BH549"/>
      <c r="BI549"/>
      <c r="BJ549"/>
      <c r="BS549"/>
      <c r="BU549"/>
      <c r="BV549"/>
      <c r="BX549"/>
    </row>
    <row r="550" spans="23:76" ht="15.75">
      <c r="W550" s="495"/>
      <c r="X550" s="495"/>
      <c r="Y550" s="495"/>
      <c r="Z550" s="451"/>
      <c r="AA550" s="145"/>
      <c r="AB550" s="223"/>
      <c r="AC550" s="22"/>
      <c r="AH550" s="9"/>
      <c r="AJ550" s="27"/>
      <c r="AK550" s="84"/>
      <c r="AM550" s="13"/>
      <c r="AP550"/>
      <c r="AR550"/>
      <c r="AV550"/>
      <c r="AW550"/>
      <c r="AX550"/>
      <c r="AY550"/>
      <c r="AZ550"/>
      <c r="BC550"/>
      <c r="BD550"/>
      <c r="BG550"/>
      <c r="BH550"/>
      <c r="BI550"/>
      <c r="BJ550"/>
      <c r="BS550"/>
      <c r="BU550"/>
      <c r="BV550"/>
      <c r="BX550"/>
    </row>
    <row r="551" spans="23:76" ht="15.75">
      <c r="W551" s="495"/>
      <c r="X551" s="495"/>
      <c r="Y551" s="495"/>
      <c r="Z551" s="451"/>
      <c r="AA551" s="145"/>
      <c r="AB551" s="223"/>
      <c r="AC551" s="22"/>
      <c r="AH551" s="9"/>
      <c r="AJ551" s="27"/>
      <c r="AK551" s="84"/>
      <c r="AM551" s="13"/>
      <c r="AP551"/>
      <c r="AR551"/>
      <c r="AV551"/>
      <c r="AW551"/>
      <c r="AX551"/>
      <c r="AY551"/>
      <c r="AZ551"/>
      <c r="BC551"/>
      <c r="BD551"/>
      <c r="BG551"/>
      <c r="BH551"/>
      <c r="BI551"/>
      <c r="BJ551"/>
      <c r="BS551"/>
      <c r="BU551"/>
      <c r="BV551"/>
      <c r="BX551"/>
    </row>
    <row r="552" spans="23:76" ht="15.75">
      <c r="W552" s="495"/>
      <c r="X552" s="495"/>
      <c r="Y552" s="495"/>
      <c r="Z552" s="451"/>
      <c r="AA552" s="145"/>
      <c r="AB552" s="223"/>
      <c r="AC552" s="22"/>
      <c r="AH552" s="9"/>
      <c r="AJ552" s="27"/>
      <c r="AK552" s="84"/>
      <c r="AM552" s="13"/>
      <c r="AP552"/>
      <c r="AR552"/>
      <c r="AV552"/>
      <c r="AW552"/>
      <c r="AX552"/>
      <c r="AY552"/>
      <c r="AZ552"/>
      <c r="BC552"/>
      <c r="BD552"/>
      <c r="BG552"/>
      <c r="BH552"/>
      <c r="BI552"/>
      <c r="BJ552"/>
      <c r="BS552"/>
      <c r="BU552"/>
      <c r="BV552"/>
      <c r="BX552"/>
    </row>
    <row r="553" spans="23:76" ht="15.75">
      <c r="W553" s="495"/>
      <c r="X553" s="495"/>
      <c r="Y553" s="495"/>
      <c r="Z553" s="451"/>
      <c r="AA553" s="145"/>
      <c r="AB553" s="223"/>
      <c r="AC553" s="22"/>
      <c r="AH553" s="9"/>
      <c r="AJ553" s="27"/>
      <c r="AK553" s="84"/>
      <c r="AM553" s="13"/>
      <c r="AP553"/>
      <c r="AR553"/>
      <c r="AV553"/>
      <c r="AW553"/>
      <c r="AX553"/>
      <c r="AY553"/>
      <c r="AZ553"/>
      <c r="BC553"/>
      <c r="BD553"/>
      <c r="BG553"/>
      <c r="BH553"/>
      <c r="BI553"/>
      <c r="BJ553"/>
      <c r="BS553"/>
      <c r="BU553"/>
      <c r="BV553"/>
      <c r="BX553"/>
    </row>
    <row r="554" spans="23:76" ht="15.75">
      <c r="W554" s="495"/>
      <c r="X554" s="495"/>
      <c r="Y554" s="495"/>
      <c r="Z554" s="451"/>
      <c r="AA554" s="145"/>
      <c r="AB554" s="223"/>
      <c r="AC554" s="22"/>
      <c r="AH554" s="9"/>
      <c r="AJ554" s="27"/>
      <c r="AK554" s="84"/>
      <c r="AM554" s="13"/>
      <c r="AP554"/>
      <c r="AR554"/>
      <c r="AV554"/>
      <c r="AW554"/>
      <c r="AX554"/>
      <c r="AY554"/>
      <c r="AZ554"/>
      <c r="BC554"/>
      <c r="BD554"/>
      <c r="BG554"/>
      <c r="BH554"/>
      <c r="BI554"/>
      <c r="BJ554"/>
      <c r="BS554"/>
      <c r="BU554"/>
      <c r="BV554"/>
      <c r="BX554"/>
    </row>
    <row r="555" spans="23:76" ht="15.75">
      <c r="W555" s="495"/>
      <c r="X555" s="495"/>
      <c r="Y555" s="495"/>
      <c r="Z555" s="451"/>
      <c r="AA555" s="145"/>
      <c r="AB555" s="223"/>
      <c r="AC555" s="22"/>
      <c r="AH555" s="9"/>
      <c r="AJ555" s="27"/>
      <c r="AK555" s="84"/>
      <c r="AM555" s="13"/>
      <c r="AP555"/>
      <c r="AR555"/>
      <c r="AV555"/>
      <c r="AW555"/>
      <c r="AX555"/>
      <c r="AY555"/>
      <c r="AZ555"/>
      <c r="BC555"/>
      <c r="BD555"/>
      <c r="BG555"/>
      <c r="BH555"/>
      <c r="BI555"/>
      <c r="BJ555"/>
      <c r="BS555"/>
      <c r="BU555"/>
      <c r="BV555"/>
      <c r="BX555"/>
    </row>
    <row r="556" spans="23:76" ht="15.75">
      <c r="W556" s="495"/>
      <c r="X556" s="495"/>
      <c r="Y556" s="495"/>
      <c r="Z556" s="451"/>
      <c r="AA556" s="145"/>
      <c r="AB556" s="223"/>
      <c r="AC556" s="22"/>
      <c r="AH556" s="9"/>
      <c r="AJ556" s="27"/>
      <c r="AK556" s="84"/>
      <c r="AM556" s="13"/>
      <c r="AP556"/>
      <c r="AR556"/>
      <c r="AV556"/>
      <c r="AW556"/>
      <c r="AX556"/>
      <c r="AY556"/>
      <c r="AZ556"/>
      <c r="BC556"/>
      <c r="BD556"/>
      <c r="BG556"/>
      <c r="BH556"/>
      <c r="BI556"/>
      <c r="BJ556"/>
      <c r="BS556"/>
      <c r="BU556"/>
      <c r="BV556"/>
      <c r="BX556"/>
    </row>
    <row r="557" spans="23:76" ht="15.75">
      <c r="W557" s="495"/>
      <c r="X557" s="495"/>
      <c r="Y557" s="495"/>
      <c r="Z557" s="451"/>
      <c r="AA557" s="145"/>
      <c r="AB557" s="223"/>
      <c r="AC557" s="22"/>
      <c r="AH557" s="9"/>
      <c r="AJ557" s="27"/>
      <c r="AK557" s="84"/>
      <c r="AM557" s="13"/>
      <c r="AP557"/>
      <c r="AR557"/>
      <c r="AV557"/>
      <c r="AW557"/>
      <c r="AX557"/>
      <c r="AY557"/>
      <c r="AZ557"/>
      <c r="BC557"/>
      <c r="BD557"/>
      <c r="BG557"/>
      <c r="BH557"/>
      <c r="BI557"/>
      <c r="BJ557"/>
      <c r="BS557"/>
      <c r="BU557"/>
      <c r="BV557"/>
      <c r="BX557"/>
    </row>
    <row r="558" spans="23:76" ht="15.75">
      <c r="W558" s="495"/>
      <c r="X558" s="495"/>
      <c r="Y558" s="495"/>
      <c r="Z558" s="451"/>
      <c r="AA558" s="145"/>
      <c r="AB558" s="223"/>
      <c r="AC558" s="22"/>
      <c r="AH558" s="9"/>
      <c r="AJ558" s="27"/>
      <c r="AK558" s="84"/>
      <c r="AM558" s="13"/>
      <c r="AP558"/>
      <c r="AR558"/>
      <c r="AV558"/>
      <c r="AW558"/>
      <c r="AX558"/>
      <c r="AY558"/>
      <c r="AZ558"/>
      <c r="BC558"/>
      <c r="BD558"/>
      <c r="BG558"/>
      <c r="BH558"/>
      <c r="BI558"/>
      <c r="BJ558"/>
      <c r="BS558"/>
      <c r="BU558"/>
      <c r="BV558"/>
      <c r="BX558"/>
    </row>
    <row r="559" spans="23:76" ht="15.75">
      <c r="W559" s="495"/>
      <c r="X559" s="495"/>
      <c r="Y559" s="495"/>
      <c r="Z559" s="451"/>
      <c r="AA559" s="145"/>
      <c r="AB559" s="223"/>
      <c r="AC559" s="22"/>
      <c r="AH559" s="9"/>
      <c r="AJ559" s="27"/>
      <c r="AK559" s="84"/>
      <c r="AM559" s="13"/>
      <c r="AP559"/>
      <c r="AR559"/>
      <c r="AV559"/>
      <c r="AW559"/>
      <c r="AX559"/>
      <c r="AY559"/>
      <c r="AZ559"/>
      <c r="BC559"/>
      <c r="BD559"/>
      <c r="BG559"/>
      <c r="BH559"/>
      <c r="BI559"/>
      <c r="BJ559"/>
      <c r="BS559"/>
      <c r="BU559"/>
      <c r="BV559"/>
      <c r="BX559"/>
    </row>
    <row r="560" spans="23:76" ht="15.75">
      <c r="W560" s="495"/>
      <c r="X560" s="495"/>
      <c r="Y560" s="495"/>
      <c r="Z560" s="451"/>
      <c r="AA560" s="145"/>
      <c r="AB560" s="223"/>
      <c r="AC560" s="22"/>
      <c r="AH560" s="9"/>
      <c r="AJ560" s="27"/>
      <c r="AK560" s="84"/>
      <c r="AM560" s="13"/>
      <c r="AP560"/>
      <c r="AR560"/>
      <c r="AV560"/>
      <c r="AW560"/>
      <c r="AX560"/>
      <c r="AY560"/>
      <c r="AZ560"/>
      <c r="BC560"/>
      <c r="BD560"/>
      <c r="BG560"/>
      <c r="BH560"/>
      <c r="BI560"/>
      <c r="BJ560"/>
      <c r="BS560"/>
      <c r="BU560"/>
      <c r="BV560"/>
      <c r="BX560"/>
    </row>
    <row r="561" spans="23:76" ht="15.75">
      <c r="W561" s="495"/>
      <c r="X561" s="495"/>
      <c r="Y561" s="495"/>
      <c r="Z561" s="451"/>
      <c r="AA561" s="145"/>
      <c r="AB561" s="223"/>
      <c r="AC561" s="22"/>
      <c r="AH561" s="9"/>
      <c r="AJ561" s="27"/>
      <c r="AK561" s="84"/>
      <c r="AM561" s="13"/>
      <c r="AP561"/>
      <c r="AR561"/>
      <c r="AV561"/>
      <c r="AW561"/>
      <c r="AX561"/>
      <c r="AY561"/>
      <c r="AZ561"/>
      <c r="BC561"/>
      <c r="BD561"/>
      <c r="BG561"/>
      <c r="BH561"/>
      <c r="BI561"/>
      <c r="BJ561"/>
      <c r="BS561"/>
      <c r="BU561"/>
      <c r="BV561"/>
      <c r="BX561"/>
    </row>
    <row r="562" spans="23:76" ht="15.75">
      <c r="W562" s="495"/>
      <c r="X562" s="495"/>
      <c r="Y562" s="495"/>
      <c r="Z562" s="451"/>
      <c r="AA562" s="145"/>
      <c r="AB562" s="223"/>
      <c r="AC562" s="22"/>
      <c r="AH562" s="9"/>
      <c r="AJ562" s="27"/>
      <c r="AK562" s="84"/>
      <c r="AM562" s="13"/>
      <c r="AP562"/>
      <c r="AR562"/>
      <c r="AV562"/>
      <c r="AW562"/>
      <c r="AX562"/>
      <c r="AY562"/>
      <c r="AZ562"/>
      <c r="BC562"/>
      <c r="BD562"/>
      <c r="BG562"/>
      <c r="BH562"/>
      <c r="BI562"/>
      <c r="BJ562"/>
      <c r="BS562"/>
      <c r="BU562"/>
      <c r="BV562"/>
      <c r="BX562"/>
    </row>
    <row r="563" spans="23:76" ht="15.75">
      <c r="W563" s="495"/>
      <c r="X563" s="495"/>
      <c r="Y563" s="495"/>
      <c r="Z563" s="451"/>
      <c r="AA563" s="145"/>
      <c r="AB563" s="223"/>
      <c r="AC563" s="22"/>
      <c r="AH563" s="9"/>
      <c r="AJ563" s="27"/>
      <c r="AK563" s="84"/>
      <c r="AM563" s="13"/>
      <c r="AP563"/>
      <c r="AR563"/>
      <c r="AV563"/>
      <c r="AW563"/>
      <c r="AX563"/>
      <c r="AY563"/>
      <c r="AZ563"/>
      <c r="BC563"/>
      <c r="BD563"/>
      <c r="BG563"/>
      <c r="BH563"/>
      <c r="BI563"/>
      <c r="BJ563"/>
      <c r="BS563"/>
      <c r="BU563"/>
      <c r="BV563"/>
      <c r="BX563"/>
    </row>
    <row r="564" spans="23:76" ht="15.75">
      <c r="W564" s="495"/>
      <c r="X564" s="495"/>
      <c r="Y564" s="495"/>
      <c r="Z564" s="451"/>
      <c r="AA564" s="145"/>
      <c r="AB564" s="223"/>
      <c r="AC564" s="22"/>
      <c r="AH564" s="9"/>
      <c r="AJ564" s="27"/>
      <c r="AK564" s="84"/>
      <c r="AM564" s="13"/>
      <c r="AP564"/>
      <c r="AR564"/>
      <c r="AV564"/>
      <c r="AW564"/>
      <c r="AX564"/>
      <c r="AY564"/>
      <c r="AZ564"/>
      <c r="BC564"/>
      <c r="BD564"/>
      <c r="BG564"/>
      <c r="BH564"/>
      <c r="BI564"/>
      <c r="BJ564"/>
      <c r="BS564"/>
      <c r="BU564"/>
      <c r="BV564"/>
      <c r="BX564"/>
    </row>
    <row r="565" spans="23:76" ht="15.75">
      <c r="W565" s="495"/>
      <c r="X565" s="495"/>
      <c r="Y565" s="495"/>
      <c r="Z565" s="451"/>
      <c r="AA565" s="145"/>
      <c r="AB565" s="223"/>
      <c r="AC565" s="22"/>
      <c r="AH565" s="9"/>
      <c r="AJ565" s="27"/>
      <c r="AK565" s="84"/>
      <c r="AM565" s="13"/>
      <c r="AP565"/>
      <c r="AR565"/>
      <c r="AV565"/>
      <c r="AW565"/>
      <c r="AX565"/>
      <c r="AY565"/>
      <c r="AZ565"/>
      <c r="BC565"/>
      <c r="BD565"/>
      <c r="BG565"/>
      <c r="BH565"/>
      <c r="BI565"/>
      <c r="BJ565"/>
      <c r="BS565"/>
      <c r="BU565"/>
      <c r="BV565"/>
      <c r="BX565"/>
    </row>
    <row r="566" spans="23:76" ht="15.75">
      <c r="W566" s="495"/>
      <c r="X566" s="495"/>
      <c r="Y566" s="495"/>
      <c r="Z566" s="451"/>
      <c r="AA566" s="145"/>
      <c r="AB566" s="223"/>
      <c r="AC566" s="22"/>
      <c r="AH566" s="9"/>
      <c r="AJ566" s="27"/>
      <c r="AK566" s="84"/>
      <c r="AM566" s="13"/>
      <c r="AP566"/>
      <c r="AR566"/>
      <c r="AV566"/>
      <c r="AW566"/>
      <c r="AX566"/>
      <c r="AY566"/>
      <c r="AZ566"/>
      <c r="BC566"/>
      <c r="BD566"/>
      <c r="BG566"/>
      <c r="BH566"/>
      <c r="BI566"/>
      <c r="BJ566"/>
      <c r="BS566"/>
      <c r="BU566"/>
      <c r="BV566"/>
      <c r="BX566"/>
    </row>
    <row r="567" spans="23:76" ht="15.75">
      <c r="W567" s="495"/>
      <c r="X567" s="495"/>
      <c r="Y567" s="495"/>
      <c r="Z567" s="451"/>
      <c r="AA567" s="145"/>
      <c r="AB567" s="223"/>
      <c r="AC567" s="22"/>
      <c r="AH567" s="9"/>
      <c r="AJ567" s="27"/>
      <c r="AK567" s="84"/>
      <c r="AM567" s="13"/>
      <c r="AP567"/>
      <c r="AR567"/>
      <c r="AV567"/>
      <c r="AW567"/>
      <c r="AX567"/>
      <c r="AY567"/>
      <c r="AZ567"/>
      <c r="BC567"/>
      <c r="BD567"/>
      <c r="BG567"/>
      <c r="BH567"/>
      <c r="BI567"/>
      <c r="BJ567"/>
      <c r="BS567"/>
      <c r="BU567"/>
      <c r="BV567"/>
      <c r="BX567"/>
    </row>
    <row r="568" spans="23:76" ht="15.75">
      <c r="W568" s="495"/>
      <c r="X568" s="495"/>
      <c r="Y568" s="495"/>
      <c r="Z568" s="451"/>
      <c r="AA568" s="145"/>
      <c r="AB568" s="223"/>
      <c r="AC568" s="22"/>
      <c r="AH568" s="9"/>
      <c r="AJ568" s="27"/>
      <c r="AK568" s="84"/>
      <c r="AM568" s="13"/>
      <c r="AP568"/>
      <c r="AR568"/>
      <c r="AV568"/>
      <c r="AW568"/>
      <c r="AX568"/>
      <c r="AY568"/>
      <c r="AZ568"/>
      <c r="BC568"/>
      <c r="BD568"/>
      <c r="BG568"/>
      <c r="BH568"/>
      <c r="BI568"/>
      <c r="BJ568"/>
      <c r="BS568"/>
      <c r="BU568"/>
      <c r="BV568"/>
      <c r="BX568"/>
    </row>
    <row r="569" spans="23:76" ht="15.75">
      <c r="W569" s="495"/>
      <c r="X569" s="495"/>
      <c r="Y569" s="495"/>
      <c r="Z569" s="451"/>
      <c r="AA569" s="145"/>
      <c r="AB569" s="223"/>
      <c r="AC569" s="22"/>
      <c r="AH569" s="9"/>
      <c r="AJ569" s="27"/>
      <c r="AK569" s="84"/>
      <c r="AM569" s="13"/>
      <c r="AP569"/>
      <c r="AR569"/>
      <c r="AV569"/>
      <c r="AW569"/>
      <c r="AX569"/>
      <c r="AY569"/>
      <c r="AZ569"/>
      <c r="BC569"/>
      <c r="BD569"/>
      <c r="BG569"/>
      <c r="BH569"/>
      <c r="BI569"/>
      <c r="BJ569"/>
      <c r="BS569"/>
      <c r="BU569"/>
      <c r="BV569"/>
      <c r="BX569"/>
    </row>
    <row r="570" spans="23:76" ht="15.75">
      <c r="W570" s="495"/>
      <c r="X570" s="495"/>
      <c r="Y570" s="495"/>
      <c r="Z570" s="451"/>
      <c r="AA570" s="145"/>
      <c r="AB570" s="223"/>
      <c r="AC570" s="22"/>
      <c r="AH570" s="9"/>
      <c r="AJ570" s="27"/>
      <c r="AK570" s="84"/>
      <c r="AM570" s="13"/>
      <c r="AP570"/>
      <c r="AR570"/>
      <c r="AV570"/>
      <c r="AW570"/>
      <c r="AX570"/>
      <c r="AY570"/>
      <c r="AZ570"/>
      <c r="BC570"/>
      <c r="BD570"/>
      <c r="BG570"/>
      <c r="BH570"/>
      <c r="BI570"/>
      <c r="BJ570"/>
      <c r="BS570"/>
      <c r="BU570"/>
      <c r="BV570"/>
      <c r="BX570"/>
    </row>
    <row r="571" spans="23:76" ht="15.75">
      <c r="W571" s="495"/>
      <c r="X571" s="495"/>
      <c r="Y571" s="495"/>
      <c r="Z571" s="451"/>
      <c r="AA571" s="145"/>
      <c r="AB571" s="223"/>
      <c r="AC571" s="22"/>
      <c r="AH571" s="9"/>
      <c r="AJ571" s="27"/>
      <c r="AK571" s="84"/>
      <c r="AM571" s="13"/>
      <c r="AP571"/>
      <c r="AR571"/>
      <c r="AV571"/>
      <c r="AW571"/>
      <c r="AX571"/>
      <c r="AY571"/>
      <c r="AZ571"/>
      <c r="BC571"/>
      <c r="BD571"/>
      <c r="BG571"/>
      <c r="BH571"/>
      <c r="BI571"/>
      <c r="BJ571"/>
      <c r="BS571"/>
      <c r="BU571"/>
      <c r="BV571"/>
      <c r="BX571"/>
    </row>
    <row r="572" spans="23:76" ht="15.75">
      <c r="W572" s="495"/>
      <c r="X572" s="495"/>
      <c r="Y572" s="495"/>
      <c r="Z572" s="451"/>
      <c r="AA572" s="145"/>
      <c r="AB572" s="223"/>
      <c r="AC572" s="22"/>
      <c r="AH572" s="9"/>
      <c r="AJ572" s="27"/>
      <c r="AK572" s="84"/>
      <c r="AM572" s="13"/>
      <c r="AP572"/>
      <c r="AR572"/>
      <c r="AV572"/>
      <c r="AW572"/>
      <c r="AX572"/>
      <c r="AY572"/>
      <c r="AZ572"/>
      <c r="BC572"/>
      <c r="BD572"/>
      <c r="BG572"/>
      <c r="BH572"/>
      <c r="BI572"/>
      <c r="BJ572"/>
      <c r="BS572"/>
      <c r="BU572"/>
      <c r="BV572"/>
      <c r="BX572"/>
    </row>
    <row r="573" spans="23:76" ht="15.75">
      <c r="W573" s="495"/>
      <c r="X573" s="495"/>
      <c r="Y573" s="495"/>
      <c r="Z573" s="451"/>
      <c r="AA573" s="145"/>
      <c r="AB573" s="223"/>
      <c r="AC573" s="22"/>
      <c r="AH573" s="9"/>
      <c r="AJ573" s="27"/>
      <c r="AK573" s="84"/>
      <c r="AM573" s="13"/>
      <c r="AP573"/>
      <c r="AR573"/>
      <c r="AV573"/>
      <c r="AW573"/>
      <c r="AX573"/>
      <c r="AY573"/>
      <c r="AZ573"/>
      <c r="BC573"/>
      <c r="BD573"/>
      <c r="BG573"/>
      <c r="BH573"/>
      <c r="BI573"/>
      <c r="BJ573"/>
      <c r="BS573"/>
      <c r="BU573"/>
      <c r="BV573"/>
      <c r="BX573"/>
    </row>
    <row r="574" spans="23:76" ht="15.75">
      <c r="W574" s="495"/>
      <c r="X574" s="495"/>
      <c r="Y574" s="495"/>
      <c r="Z574" s="451"/>
      <c r="AA574" s="145"/>
      <c r="AB574" s="223"/>
      <c r="AC574" s="22"/>
      <c r="AH574" s="9"/>
      <c r="AJ574" s="27"/>
      <c r="AK574" s="84"/>
      <c r="AM574" s="13"/>
      <c r="AP574"/>
      <c r="AR574"/>
      <c r="AV574"/>
      <c r="AW574"/>
      <c r="AX574"/>
      <c r="AY574"/>
      <c r="AZ574"/>
      <c r="BC574"/>
      <c r="BD574"/>
      <c r="BG574"/>
      <c r="BH574"/>
      <c r="BI574"/>
      <c r="BJ574"/>
      <c r="BS574"/>
      <c r="BU574"/>
      <c r="BV574"/>
      <c r="BX574"/>
    </row>
    <row r="575" spans="23:76" ht="15.75">
      <c r="W575" s="495"/>
      <c r="X575" s="495"/>
      <c r="Y575" s="495"/>
      <c r="Z575" s="451"/>
      <c r="AA575" s="145"/>
      <c r="AB575" s="223"/>
      <c r="AC575" s="22"/>
      <c r="AH575" s="9"/>
      <c r="AJ575" s="27"/>
      <c r="AK575" s="84"/>
      <c r="AM575" s="13"/>
      <c r="AP575"/>
      <c r="AR575"/>
      <c r="AV575"/>
      <c r="AW575"/>
      <c r="AX575"/>
      <c r="AY575"/>
      <c r="AZ575"/>
      <c r="BC575"/>
      <c r="BD575"/>
      <c r="BG575"/>
      <c r="BH575"/>
      <c r="BI575"/>
      <c r="BJ575"/>
      <c r="BS575"/>
      <c r="BU575"/>
      <c r="BV575"/>
      <c r="BX575"/>
    </row>
    <row r="576" spans="23:76" ht="15.75">
      <c r="W576" s="495"/>
      <c r="X576" s="495"/>
      <c r="Y576" s="495"/>
      <c r="Z576" s="451"/>
      <c r="AA576" s="145"/>
      <c r="AB576" s="223"/>
      <c r="AC576" s="22"/>
      <c r="AH576" s="9"/>
      <c r="AJ576" s="27"/>
      <c r="AK576" s="84"/>
      <c r="AM576" s="13"/>
      <c r="AP576"/>
      <c r="AR576"/>
      <c r="AV576"/>
      <c r="AW576"/>
      <c r="AX576"/>
      <c r="AY576"/>
      <c r="AZ576"/>
      <c r="BC576"/>
      <c r="BD576"/>
      <c r="BG576"/>
      <c r="BH576"/>
      <c r="BI576"/>
      <c r="BJ576"/>
      <c r="BS576"/>
      <c r="BU576"/>
      <c r="BV576"/>
      <c r="BX576"/>
    </row>
    <row r="577" spans="23:76" ht="15.75">
      <c r="W577" s="495"/>
      <c r="X577" s="495"/>
      <c r="Y577" s="495"/>
      <c r="Z577" s="451"/>
      <c r="AA577" s="145"/>
      <c r="AB577" s="223"/>
      <c r="AC577" s="22"/>
      <c r="AH577" s="9"/>
      <c r="AJ577" s="27"/>
      <c r="AK577" s="84"/>
      <c r="AM577" s="13"/>
      <c r="AP577"/>
      <c r="AR577"/>
      <c r="AV577"/>
      <c r="AW577"/>
      <c r="AX577"/>
      <c r="AY577"/>
      <c r="AZ577"/>
      <c r="BC577"/>
      <c r="BD577"/>
      <c r="BG577"/>
      <c r="BH577"/>
      <c r="BI577"/>
      <c r="BJ577"/>
      <c r="BS577"/>
      <c r="BU577"/>
      <c r="BV577"/>
      <c r="BX577"/>
    </row>
    <row r="578" spans="23:76" ht="15.75">
      <c r="W578" s="495"/>
      <c r="X578" s="495"/>
      <c r="Y578" s="495"/>
      <c r="Z578" s="451"/>
      <c r="AA578" s="145"/>
      <c r="AB578" s="223"/>
      <c r="AC578" s="22"/>
      <c r="AH578" s="9"/>
      <c r="AJ578" s="27"/>
      <c r="AK578" s="84"/>
      <c r="AM578" s="13"/>
      <c r="AP578"/>
      <c r="AR578"/>
      <c r="AV578"/>
      <c r="AW578"/>
      <c r="AX578"/>
      <c r="AY578"/>
      <c r="AZ578"/>
      <c r="BC578"/>
      <c r="BD578"/>
      <c r="BG578"/>
      <c r="BH578"/>
      <c r="BI578"/>
      <c r="BJ578"/>
      <c r="BS578"/>
      <c r="BU578"/>
      <c r="BV578"/>
      <c r="BX578"/>
    </row>
    <row r="579" spans="23:76" ht="15.75">
      <c r="W579" s="495"/>
      <c r="X579" s="495"/>
      <c r="Y579" s="495"/>
      <c r="Z579" s="451"/>
      <c r="AA579" s="145"/>
      <c r="AB579" s="223"/>
      <c r="AC579" s="22"/>
      <c r="AH579" s="9"/>
      <c r="AJ579" s="27"/>
      <c r="AK579" s="84"/>
      <c r="AM579" s="13"/>
      <c r="AP579"/>
      <c r="AR579"/>
      <c r="AV579"/>
      <c r="AW579"/>
      <c r="AX579"/>
      <c r="AY579"/>
      <c r="AZ579"/>
      <c r="BC579"/>
      <c r="BD579"/>
      <c r="BG579"/>
      <c r="BH579"/>
      <c r="BI579"/>
      <c r="BJ579"/>
      <c r="BS579"/>
      <c r="BU579"/>
      <c r="BV579"/>
      <c r="BX579"/>
    </row>
    <row r="580" spans="23:76" ht="15.75">
      <c r="W580" s="495"/>
      <c r="X580" s="495"/>
      <c r="Y580" s="495"/>
      <c r="Z580" s="451"/>
      <c r="AA580" s="145"/>
      <c r="AB580" s="223"/>
      <c r="AC580" s="22"/>
      <c r="AH580" s="9"/>
      <c r="AJ580" s="27"/>
      <c r="AK580" s="84"/>
      <c r="AM580" s="13"/>
      <c r="AP580"/>
      <c r="AR580"/>
      <c r="AV580"/>
      <c r="AW580"/>
      <c r="AX580"/>
      <c r="AY580"/>
      <c r="AZ580"/>
      <c r="BC580"/>
      <c r="BD580"/>
      <c r="BG580"/>
      <c r="BH580"/>
      <c r="BI580"/>
      <c r="BJ580"/>
      <c r="BS580"/>
      <c r="BU580"/>
      <c r="BV580"/>
      <c r="BX580"/>
    </row>
    <row r="581" spans="23:76" ht="15.75">
      <c r="W581" s="495"/>
      <c r="X581" s="495"/>
      <c r="Y581" s="495"/>
      <c r="Z581" s="451"/>
      <c r="AA581" s="145"/>
      <c r="AB581" s="223"/>
      <c r="AC581" s="22"/>
      <c r="AH581" s="9"/>
      <c r="AJ581" s="27"/>
      <c r="AK581" s="84"/>
      <c r="AM581" s="13"/>
      <c r="AP581"/>
      <c r="AR581"/>
      <c r="AV581"/>
      <c r="AW581"/>
      <c r="AX581"/>
      <c r="AY581"/>
      <c r="AZ581"/>
      <c r="BC581"/>
      <c r="BD581"/>
      <c r="BG581"/>
      <c r="BH581"/>
      <c r="BI581"/>
      <c r="BJ581"/>
      <c r="BS581"/>
      <c r="BU581"/>
      <c r="BV581"/>
      <c r="BX581"/>
    </row>
    <row r="582" spans="23:76" ht="15.75">
      <c r="W582" s="495"/>
      <c r="X582" s="495"/>
      <c r="Y582" s="495"/>
      <c r="Z582" s="451"/>
      <c r="AA582" s="145"/>
      <c r="AB582" s="223"/>
      <c r="AC582" s="22"/>
      <c r="AH582" s="9"/>
      <c r="AJ582" s="27"/>
      <c r="AK582" s="84"/>
      <c r="AM582" s="13"/>
      <c r="AP582"/>
      <c r="AR582"/>
      <c r="AV582"/>
      <c r="AW582"/>
      <c r="AX582"/>
      <c r="AY582"/>
      <c r="AZ582"/>
      <c r="BC582"/>
      <c r="BD582"/>
      <c r="BG582"/>
      <c r="BH582"/>
      <c r="BI582"/>
      <c r="BJ582"/>
      <c r="BS582"/>
      <c r="BU582"/>
      <c r="BV582"/>
      <c r="BX582"/>
    </row>
    <row r="583" spans="23:76" ht="15.75">
      <c r="W583" s="495"/>
      <c r="X583" s="495"/>
      <c r="Y583" s="495"/>
      <c r="Z583" s="451"/>
      <c r="AA583" s="145"/>
      <c r="AB583" s="223"/>
      <c r="AC583" s="22"/>
      <c r="AH583" s="9"/>
      <c r="AJ583" s="27"/>
      <c r="AK583" s="84"/>
      <c r="AM583" s="13"/>
      <c r="AP583"/>
      <c r="AR583"/>
      <c r="AV583"/>
      <c r="AW583"/>
      <c r="AX583"/>
      <c r="AY583"/>
      <c r="AZ583"/>
      <c r="BC583"/>
      <c r="BD583"/>
      <c r="BG583"/>
      <c r="BH583"/>
      <c r="BI583"/>
      <c r="BJ583"/>
      <c r="BS583"/>
      <c r="BU583"/>
      <c r="BV583"/>
      <c r="BX583"/>
    </row>
    <row r="584" spans="23:76" ht="15.75">
      <c r="W584" s="495"/>
      <c r="X584" s="495"/>
      <c r="Y584" s="495"/>
      <c r="Z584" s="451"/>
      <c r="AA584" s="145"/>
      <c r="AB584" s="223"/>
      <c r="AC584" s="22"/>
      <c r="AH584" s="9"/>
      <c r="AJ584" s="27"/>
      <c r="AK584" s="84"/>
      <c r="AM584" s="13"/>
      <c r="AP584"/>
      <c r="AR584"/>
      <c r="AV584"/>
      <c r="AW584"/>
      <c r="AX584"/>
      <c r="AY584"/>
      <c r="AZ584"/>
      <c r="BC584"/>
      <c r="BD584"/>
      <c r="BG584"/>
      <c r="BH584"/>
      <c r="BI584"/>
      <c r="BJ584"/>
      <c r="BS584"/>
      <c r="BU584"/>
      <c r="BV584"/>
      <c r="BX584"/>
    </row>
    <row r="585" spans="23:76" ht="15.75">
      <c r="W585" s="495"/>
      <c r="X585" s="495"/>
      <c r="Y585" s="495"/>
      <c r="Z585" s="451"/>
      <c r="AA585" s="145"/>
      <c r="AB585" s="223"/>
      <c r="AC585" s="22"/>
      <c r="AH585" s="9"/>
      <c r="AJ585" s="27"/>
      <c r="AK585" s="84"/>
      <c r="AM585" s="13"/>
      <c r="AP585"/>
      <c r="AR585"/>
      <c r="AV585"/>
      <c r="AW585"/>
      <c r="AX585"/>
      <c r="AY585"/>
      <c r="AZ585"/>
      <c r="BC585"/>
      <c r="BD585"/>
      <c r="BG585"/>
      <c r="BH585"/>
      <c r="BI585"/>
      <c r="BJ585"/>
      <c r="BS585"/>
      <c r="BU585"/>
      <c r="BV585"/>
      <c r="BX585"/>
    </row>
    <row r="586" spans="23:76" ht="15.75">
      <c r="W586" s="495"/>
      <c r="X586" s="495"/>
      <c r="Y586" s="495"/>
      <c r="Z586" s="451"/>
      <c r="AA586" s="145"/>
      <c r="AB586" s="223"/>
      <c r="AC586" s="22"/>
      <c r="AH586" s="9"/>
      <c r="AJ586" s="27"/>
      <c r="AK586" s="84"/>
      <c r="AM586" s="13"/>
      <c r="AP586"/>
      <c r="AR586"/>
      <c r="AV586"/>
      <c r="AW586"/>
      <c r="AX586"/>
      <c r="AY586"/>
      <c r="AZ586"/>
      <c r="BC586"/>
      <c r="BD586"/>
      <c r="BG586"/>
      <c r="BH586"/>
      <c r="BI586"/>
      <c r="BJ586"/>
      <c r="BS586"/>
      <c r="BU586"/>
      <c r="BV586"/>
      <c r="BX586"/>
    </row>
    <row r="587" spans="23:76" ht="15.75">
      <c r="W587" s="495"/>
      <c r="X587" s="495"/>
      <c r="Y587" s="495"/>
      <c r="Z587" s="451"/>
      <c r="AA587" s="145"/>
      <c r="AB587" s="223"/>
      <c r="AC587" s="22"/>
      <c r="AH587" s="9"/>
      <c r="AJ587" s="27"/>
      <c r="AK587" s="84"/>
      <c r="AM587" s="13"/>
      <c r="AP587"/>
      <c r="AR587"/>
      <c r="AV587"/>
      <c r="AW587"/>
      <c r="AX587"/>
      <c r="AY587"/>
      <c r="AZ587"/>
      <c r="BC587"/>
      <c r="BD587"/>
      <c r="BG587"/>
      <c r="BH587"/>
      <c r="BI587"/>
      <c r="BJ587"/>
      <c r="BS587"/>
      <c r="BU587"/>
      <c r="BV587"/>
      <c r="BX587"/>
    </row>
    <row r="588" spans="23:76" ht="15.75">
      <c r="W588" s="495"/>
      <c r="X588" s="495"/>
      <c r="Y588" s="495"/>
      <c r="Z588" s="451"/>
      <c r="AA588" s="145"/>
      <c r="AB588" s="223"/>
      <c r="AC588" s="22"/>
      <c r="AH588" s="9"/>
      <c r="AJ588" s="27"/>
      <c r="AK588" s="84"/>
      <c r="AM588" s="13"/>
      <c r="AP588"/>
      <c r="AR588"/>
      <c r="AV588"/>
      <c r="AW588"/>
      <c r="AX588"/>
      <c r="AY588"/>
      <c r="AZ588"/>
      <c r="BC588"/>
      <c r="BD588"/>
      <c r="BG588"/>
      <c r="BH588"/>
      <c r="BI588"/>
      <c r="BJ588"/>
      <c r="BS588"/>
      <c r="BU588"/>
      <c r="BV588"/>
      <c r="BX588"/>
    </row>
    <row r="589" spans="23:76" ht="15.75">
      <c r="W589" s="495"/>
      <c r="X589" s="495"/>
      <c r="Y589" s="495"/>
      <c r="Z589" s="451"/>
      <c r="AA589" s="145"/>
      <c r="AB589" s="223"/>
      <c r="AC589" s="22"/>
      <c r="AH589" s="9"/>
      <c r="AJ589" s="27"/>
      <c r="AK589" s="84"/>
      <c r="AM589" s="13"/>
      <c r="AP589"/>
      <c r="AR589"/>
      <c r="AV589"/>
      <c r="AW589"/>
      <c r="AX589"/>
      <c r="AY589"/>
      <c r="AZ589"/>
      <c r="BC589"/>
      <c r="BD589"/>
      <c r="BG589"/>
      <c r="BH589"/>
      <c r="BI589"/>
      <c r="BJ589"/>
      <c r="BS589"/>
      <c r="BU589"/>
      <c r="BV589"/>
      <c r="BX589"/>
    </row>
    <row r="590" spans="23:76" ht="15.75">
      <c r="W590" s="495"/>
      <c r="X590" s="495"/>
      <c r="Y590" s="495"/>
      <c r="Z590" s="451"/>
      <c r="AA590" s="145"/>
      <c r="AB590" s="223"/>
      <c r="AC590" s="22"/>
      <c r="AH590" s="9"/>
      <c r="AJ590" s="27"/>
      <c r="AK590" s="84"/>
      <c r="AM590" s="13"/>
      <c r="AP590"/>
      <c r="AR590"/>
      <c r="AV590"/>
      <c r="AW590"/>
      <c r="AX590"/>
      <c r="AY590"/>
      <c r="AZ590"/>
      <c r="BC590"/>
      <c r="BD590"/>
      <c r="BG590"/>
      <c r="BH590"/>
      <c r="BI590"/>
      <c r="BJ590"/>
      <c r="BS590"/>
      <c r="BU590"/>
      <c r="BV590"/>
      <c r="BX590"/>
    </row>
    <row r="591" spans="23:76" ht="15.75">
      <c r="W591" s="495"/>
      <c r="X591" s="495"/>
      <c r="Y591" s="495"/>
      <c r="Z591" s="451"/>
      <c r="AA591" s="145"/>
      <c r="AB591" s="223"/>
      <c r="AC591" s="22"/>
      <c r="AH591" s="9"/>
      <c r="AJ591" s="27"/>
      <c r="AK591" s="84"/>
      <c r="AM591" s="13"/>
      <c r="AP591"/>
      <c r="AR591"/>
      <c r="AV591"/>
      <c r="AW591"/>
      <c r="AX591"/>
      <c r="AY591"/>
      <c r="AZ591"/>
      <c r="BC591"/>
      <c r="BD591"/>
      <c r="BG591"/>
      <c r="BH591"/>
      <c r="BI591"/>
      <c r="BJ591"/>
      <c r="BS591"/>
      <c r="BU591"/>
      <c r="BV591"/>
      <c r="BX591"/>
    </row>
    <row r="592" spans="23:76" ht="15.75">
      <c r="W592" s="495"/>
      <c r="X592" s="495"/>
      <c r="Y592" s="495"/>
      <c r="Z592" s="451"/>
      <c r="AA592" s="145"/>
      <c r="AB592" s="223"/>
      <c r="AC592" s="22"/>
      <c r="AH592" s="9"/>
      <c r="AJ592" s="27"/>
      <c r="AK592" s="84"/>
      <c r="AM592" s="13"/>
      <c r="AP592"/>
      <c r="AR592"/>
      <c r="AV592"/>
      <c r="AW592"/>
      <c r="AX592"/>
      <c r="AY592"/>
      <c r="AZ592"/>
      <c r="BC592"/>
      <c r="BD592"/>
      <c r="BG592"/>
      <c r="BH592"/>
      <c r="BI592"/>
      <c r="BJ592"/>
      <c r="BS592"/>
      <c r="BU592"/>
      <c r="BV592"/>
      <c r="BX592"/>
    </row>
    <row r="593" spans="23:76" ht="15.75">
      <c r="W593" s="495"/>
      <c r="X593" s="495"/>
      <c r="Y593" s="495"/>
      <c r="Z593" s="451"/>
      <c r="AA593" s="145"/>
      <c r="AB593" s="223"/>
      <c r="AC593" s="22"/>
      <c r="AH593" s="9"/>
      <c r="AJ593" s="27"/>
      <c r="AK593" s="84"/>
      <c r="AM593" s="13"/>
      <c r="AP593"/>
      <c r="AR593"/>
      <c r="AV593"/>
      <c r="AW593"/>
      <c r="AX593"/>
      <c r="AY593"/>
      <c r="AZ593"/>
      <c r="BC593"/>
      <c r="BD593"/>
      <c r="BG593"/>
      <c r="BH593"/>
      <c r="BI593"/>
      <c r="BJ593"/>
      <c r="BS593"/>
      <c r="BU593"/>
      <c r="BV593"/>
      <c r="BX593"/>
    </row>
    <row r="594" spans="23:76" ht="15.75">
      <c r="W594" s="495"/>
      <c r="X594" s="495"/>
      <c r="Y594" s="495"/>
      <c r="Z594" s="451"/>
      <c r="AA594" s="145"/>
      <c r="AB594" s="223"/>
      <c r="AC594" s="22"/>
      <c r="AH594" s="9"/>
      <c r="AJ594" s="27"/>
      <c r="AK594" s="84"/>
      <c r="AM594" s="13"/>
      <c r="AP594"/>
      <c r="AR594"/>
      <c r="AV594"/>
      <c r="AW594"/>
      <c r="AX594"/>
      <c r="AY594"/>
      <c r="AZ594"/>
      <c r="BC594"/>
      <c r="BD594"/>
      <c r="BG594"/>
      <c r="BH594"/>
      <c r="BI594"/>
      <c r="BJ594"/>
      <c r="BS594"/>
      <c r="BU594"/>
      <c r="BV594"/>
      <c r="BX594"/>
    </row>
    <row r="595" spans="23:76" ht="15.75">
      <c r="W595" s="495"/>
      <c r="X595" s="495"/>
      <c r="Y595" s="495"/>
      <c r="Z595" s="451"/>
      <c r="AA595" s="145"/>
      <c r="AB595" s="223"/>
      <c r="AC595" s="22"/>
      <c r="AH595" s="9"/>
      <c r="AJ595" s="27"/>
      <c r="AK595" s="84"/>
      <c r="AM595" s="13"/>
      <c r="AP595"/>
      <c r="AR595"/>
      <c r="AV595"/>
      <c r="AW595"/>
      <c r="AX595"/>
      <c r="AY595"/>
      <c r="AZ595"/>
      <c r="BC595"/>
      <c r="BD595"/>
      <c r="BG595"/>
      <c r="BH595"/>
      <c r="BI595"/>
      <c r="BJ595"/>
      <c r="BS595"/>
      <c r="BU595"/>
      <c r="BV595"/>
      <c r="BX595"/>
    </row>
    <row r="596" spans="23:76" ht="15.75">
      <c r="W596" s="495"/>
      <c r="X596" s="495"/>
      <c r="Y596" s="495"/>
      <c r="Z596" s="451"/>
      <c r="AA596" s="145"/>
      <c r="AB596" s="223"/>
      <c r="AC596" s="22"/>
      <c r="AH596" s="9"/>
      <c r="AJ596" s="27"/>
      <c r="AK596" s="84"/>
      <c r="AM596" s="13"/>
      <c r="AP596"/>
      <c r="AR596"/>
      <c r="AV596"/>
      <c r="AW596"/>
      <c r="AX596"/>
      <c r="AY596"/>
      <c r="AZ596"/>
      <c r="BC596"/>
      <c r="BD596"/>
      <c r="BG596"/>
      <c r="BH596"/>
      <c r="BI596"/>
      <c r="BJ596"/>
      <c r="BS596"/>
      <c r="BU596"/>
      <c r="BV596"/>
      <c r="BX596"/>
    </row>
    <row r="597" spans="23:76" ht="15.75">
      <c r="W597" s="495"/>
      <c r="X597" s="495"/>
      <c r="Y597" s="495"/>
      <c r="Z597" s="451"/>
      <c r="AA597" s="145"/>
      <c r="AB597" s="223"/>
      <c r="AC597" s="22"/>
      <c r="AH597" s="9"/>
      <c r="AJ597" s="27"/>
      <c r="AK597" s="84"/>
      <c r="AM597" s="13"/>
      <c r="AP597"/>
      <c r="AR597"/>
      <c r="AV597"/>
      <c r="AW597"/>
      <c r="AX597"/>
      <c r="AY597"/>
      <c r="AZ597"/>
      <c r="BC597"/>
      <c r="BD597"/>
      <c r="BG597"/>
      <c r="BH597"/>
      <c r="BI597"/>
      <c r="BJ597"/>
      <c r="BS597"/>
      <c r="BU597"/>
      <c r="BV597"/>
      <c r="BX597"/>
    </row>
    <row r="598" spans="23:76" ht="15.75">
      <c r="W598" s="495"/>
      <c r="X598" s="495"/>
      <c r="Y598" s="495"/>
      <c r="Z598" s="451"/>
      <c r="AA598" s="145"/>
      <c r="AB598" s="223"/>
      <c r="AC598" s="22"/>
      <c r="AH598" s="9"/>
      <c r="AJ598" s="27"/>
      <c r="AK598" s="84"/>
      <c r="AM598" s="13"/>
      <c r="AP598"/>
      <c r="AR598"/>
      <c r="AV598"/>
      <c r="AW598"/>
      <c r="AX598"/>
      <c r="AY598"/>
      <c r="AZ598"/>
      <c r="BC598"/>
      <c r="BD598"/>
      <c r="BG598"/>
      <c r="BH598"/>
      <c r="BI598"/>
      <c r="BJ598"/>
      <c r="BS598"/>
      <c r="BU598"/>
      <c r="BV598"/>
      <c r="BX598"/>
    </row>
    <row r="599" spans="23:76" ht="15.75">
      <c r="W599" s="495"/>
      <c r="X599" s="495"/>
      <c r="Y599" s="495"/>
      <c r="Z599" s="451"/>
      <c r="AA599" s="145"/>
      <c r="AB599" s="223"/>
      <c r="AC599" s="22"/>
      <c r="AH599" s="9"/>
      <c r="AJ599" s="27"/>
      <c r="AK599" s="84"/>
      <c r="AM599" s="13"/>
      <c r="AP599"/>
      <c r="AR599"/>
      <c r="AV599"/>
      <c r="AW599"/>
      <c r="AX599"/>
      <c r="AY599"/>
      <c r="AZ599"/>
      <c r="BC599"/>
      <c r="BD599"/>
      <c r="BG599"/>
      <c r="BH599"/>
      <c r="BI599"/>
      <c r="BJ599"/>
      <c r="BS599"/>
      <c r="BU599"/>
      <c r="BV599"/>
      <c r="BX599"/>
    </row>
    <row r="600" spans="23:76" ht="15.75">
      <c r="W600" s="495"/>
      <c r="X600" s="495"/>
      <c r="Y600" s="495"/>
      <c r="Z600" s="451"/>
      <c r="AA600" s="145"/>
      <c r="AB600" s="223"/>
      <c r="AC600" s="22"/>
      <c r="AH600" s="9"/>
      <c r="AJ600" s="27"/>
      <c r="AK600" s="84"/>
      <c r="AM600" s="13"/>
      <c r="AP600"/>
      <c r="AR600"/>
      <c r="AV600"/>
      <c r="AW600"/>
      <c r="AX600"/>
      <c r="AY600"/>
      <c r="AZ600"/>
      <c r="BC600"/>
      <c r="BD600"/>
      <c r="BG600"/>
      <c r="BH600"/>
      <c r="BI600"/>
      <c r="BJ600"/>
      <c r="BS600"/>
      <c r="BU600"/>
      <c r="BV600"/>
      <c r="BX600"/>
    </row>
    <row r="601" spans="23:76" ht="15.75">
      <c r="W601" s="495"/>
      <c r="X601" s="495"/>
      <c r="Y601" s="495"/>
      <c r="Z601" s="451"/>
      <c r="AA601" s="145"/>
      <c r="AB601" s="223"/>
      <c r="AC601" s="22"/>
      <c r="AH601" s="9"/>
      <c r="AJ601" s="27"/>
      <c r="AK601" s="84"/>
      <c r="AM601" s="13"/>
      <c r="AP601"/>
      <c r="AR601"/>
      <c r="AV601"/>
      <c r="AW601"/>
      <c r="AX601"/>
      <c r="AY601"/>
      <c r="AZ601"/>
      <c r="BC601"/>
      <c r="BD601"/>
      <c r="BG601"/>
      <c r="BH601"/>
      <c r="BI601"/>
      <c r="BJ601"/>
      <c r="BS601"/>
      <c r="BU601"/>
      <c r="BV601"/>
      <c r="BX601"/>
    </row>
    <row r="602" spans="23:76" ht="15.75">
      <c r="W602" s="495"/>
      <c r="X602" s="495"/>
      <c r="Y602" s="495"/>
      <c r="Z602" s="451"/>
      <c r="AA602" s="145"/>
      <c r="AB602" s="223"/>
      <c r="AC602" s="22"/>
      <c r="AH602" s="9"/>
      <c r="AJ602" s="27"/>
      <c r="AK602" s="84"/>
      <c r="AM602" s="13"/>
      <c r="AP602"/>
      <c r="AR602"/>
      <c r="AV602"/>
      <c r="AW602"/>
      <c r="AX602"/>
      <c r="AY602"/>
      <c r="AZ602"/>
      <c r="BC602"/>
      <c r="BD602"/>
      <c r="BG602"/>
      <c r="BH602"/>
      <c r="BI602"/>
      <c r="BJ602"/>
      <c r="BS602"/>
      <c r="BU602"/>
      <c r="BV602"/>
      <c r="BX602"/>
    </row>
    <row r="603" spans="23:76" ht="15.75">
      <c r="W603" s="495"/>
      <c r="X603" s="495"/>
      <c r="Y603" s="495"/>
      <c r="Z603" s="451"/>
      <c r="AA603" s="145"/>
      <c r="AB603" s="223"/>
      <c r="AC603" s="22"/>
      <c r="AH603" s="9"/>
      <c r="AJ603" s="27"/>
      <c r="AK603" s="84"/>
      <c r="AM603" s="13"/>
      <c r="AP603"/>
      <c r="AR603"/>
      <c r="AV603"/>
      <c r="AW603"/>
      <c r="AX603"/>
      <c r="AY603"/>
      <c r="AZ603"/>
      <c r="BC603"/>
      <c r="BD603"/>
      <c r="BG603"/>
      <c r="BH603"/>
      <c r="BI603"/>
      <c r="BJ603"/>
      <c r="BS603"/>
      <c r="BU603"/>
      <c r="BV603"/>
      <c r="BX603"/>
    </row>
    <row r="604" spans="23:76" ht="15.75">
      <c r="W604" s="495"/>
      <c r="X604" s="495"/>
      <c r="Y604" s="495"/>
      <c r="Z604" s="451"/>
      <c r="AA604" s="145"/>
      <c r="AB604" s="223"/>
      <c r="AC604" s="22"/>
      <c r="AH604" s="9"/>
      <c r="AJ604" s="27"/>
      <c r="AK604" s="84"/>
      <c r="AM604" s="13"/>
      <c r="AP604"/>
      <c r="AR604"/>
      <c r="AV604"/>
      <c r="AW604"/>
      <c r="AX604"/>
      <c r="AY604"/>
      <c r="AZ604"/>
      <c r="BC604"/>
      <c r="BD604"/>
      <c r="BG604"/>
      <c r="BH604"/>
      <c r="BI604"/>
      <c r="BJ604"/>
      <c r="BS604"/>
      <c r="BU604"/>
      <c r="BV604"/>
      <c r="BX604"/>
    </row>
    <row r="605" spans="23:76" ht="15.75">
      <c r="W605" s="495"/>
      <c r="X605" s="495"/>
      <c r="Y605" s="495"/>
      <c r="Z605" s="451"/>
      <c r="AA605" s="145"/>
      <c r="AB605" s="223"/>
      <c r="AC605" s="22"/>
      <c r="AH605" s="9"/>
      <c r="AJ605" s="27"/>
      <c r="AK605" s="84"/>
      <c r="AM605" s="13"/>
      <c r="AP605"/>
      <c r="AR605"/>
      <c r="AV605"/>
      <c r="AW605"/>
      <c r="AX605"/>
      <c r="AY605"/>
      <c r="AZ605"/>
      <c r="BC605"/>
      <c r="BD605"/>
      <c r="BG605"/>
      <c r="BH605"/>
      <c r="BI605"/>
      <c r="BJ605"/>
      <c r="BS605"/>
      <c r="BU605"/>
      <c r="BV605"/>
      <c r="BX605"/>
    </row>
    <row r="606" spans="23:76" ht="15.75">
      <c r="W606" s="495"/>
      <c r="X606" s="495"/>
      <c r="Y606" s="495"/>
      <c r="Z606" s="451"/>
      <c r="AA606" s="145"/>
      <c r="AB606" s="223"/>
      <c r="AC606" s="22"/>
      <c r="AH606" s="9"/>
      <c r="AJ606" s="27"/>
      <c r="AK606" s="84"/>
      <c r="AM606" s="13"/>
      <c r="AP606"/>
      <c r="AR606"/>
      <c r="AV606"/>
      <c r="AW606"/>
      <c r="AX606"/>
      <c r="AY606"/>
      <c r="AZ606"/>
      <c r="BC606"/>
      <c r="BD606"/>
      <c r="BG606"/>
      <c r="BH606"/>
      <c r="BI606"/>
      <c r="BJ606"/>
      <c r="BS606"/>
      <c r="BU606"/>
      <c r="BV606"/>
      <c r="BX606"/>
    </row>
    <row r="607" spans="23:76" ht="15.75">
      <c r="W607" s="495"/>
      <c r="X607" s="495"/>
      <c r="Y607" s="495"/>
      <c r="Z607" s="451"/>
      <c r="AA607" s="145"/>
      <c r="AB607" s="223"/>
      <c r="AC607" s="22"/>
      <c r="AH607" s="9"/>
      <c r="AJ607" s="27"/>
      <c r="AK607" s="84"/>
      <c r="AM607" s="13"/>
      <c r="AP607"/>
      <c r="AR607"/>
      <c r="AV607"/>
      <c r="AW607"/>
      <c r="AX607"/>
      <c r="AY607"/>
      <c r="AZ607"/>
      <c r="BC607"/>
      <c r="BD607"/>
      <c r="BG607"/>
      <c r="BH607"/>
      <c r="BI607"/>
      <c r="BJ607"/>
      <c r="BS607"/>
      <c r="BU607"/>
      <c r="BV607"/>
      <c r="BX607"/>
    </row>
    <row r="608" spans="23:76" ht="15.75">
      <c r="W608" s="495"/>
      <c r="X608" s="495"/>
      <c r="Y608" s="495"/>
      <c r="Z608" s="451"/>
      <c r="AA608" s="145"/>
      <c r="AB608" s="223"/>
      <c r="AC608" s="22"/>
      <c r="AH608" s="9"/>
      <c r="AJ608" s="27"/>
      <c r="AK608" s="84"/>
      <c r="AM608" s="13"/>
      <c r="AP608"/>
      <c r="AR608"/>
      <c r="AV608"/>
      <c r="AW608"/>
      <c r="AX608"/>
      <c r="AY608"/>
      <c r="AZ608"/>
      <c r="BC608"/>
      <c r="BD608"/>
      <c r="BG608"/>
      <c r="BH608"/>
      <c r="BI608"/>
      <c r="BJ608"/>
      <c r="BS608"/>
      <c r="BU608"/>
      <c r="BV608"/>
      <c r="BX608"/>
    </row>
    <row r="609" spans="23:76" ht="15.75">
      <c r="W609" s="495"/>
      <c r="X609" s="495"/>
      <c r="Y609" s="495"/>
      <c r="Z609" s="451"/>
      <c r="AA609" s="145"/>
      <c r="AB609" s="223"/>
      <c r="AC609" s="22"/>
      <c r="AH609" s="9"/>
      <c r="AJ609" s="27"/>
      <c r="AK609" s="84"/>
      <c r="AM609" s="13"/>
      <c r="AP609"/>
      <c r="AR609"/>
      <c r="AV609"/>
      <c r="AW609"/>
      <c r="AX609"/>
      <c r="AY609"/>
      <c r="AZ609"/>
      <c r="BC609"/>
      <c r="BD609"/>
      <c r="BG609"/>
      <c r="BH609"/>
      <c r="BI609"/>
      <c r="BJ609"/>
      <c r="BS609"/>
      <c r="BU609"/>
      <c r="BV609"/>
      <c r="BX609"/>
    </row>
    <row r="610" spans="23:76" ht="15.75">
      <c r="W610" s="495"/>
      <c r="X610" s="495"/>
      <c r="Y610" s="495"/>
      <c r="Z610" s="451"/>
      <c r="AA610" s="145"/>
      <c r="AB610" s="223"/>
      <c r="AC610" s="22"/>
      <c r="AH610" s="9"/>
      <c r="AJ610" s="27"/>
      <c r="AK610" s="84"/>
      <c r="AM610" s="13"/>
      <c r="AP610"/>
      <c r="AR610"/>
      <c r="AV610"/>
      <c r="AW610"/>
      <c r="AX610"/>
      <c r="AY610"/>
      <c r="AZ610"/>
      <c r="BC610"/>
      <c r="BD610"/>
      <c r="BG610"/>
      <c r="BH610"/>
      <c r="BI610"/>
      <c r="BJ610"/>
      <c r="BS610"/>
      <c r="BU610"/>
      <c r="BV610"/>
      <c r="BX610"/>
    </row>
    <row r="611" spans="23:76" ht="15.75">
      <c r="W611" s="495"/>
      <c r="X611" s="495"/>
      <c r="Y611" s="495"/>
      <c r="Z611" s="451"/>
      <c r="AA611" s="145"/>
      <c r="AB611" s="223"/>
      <c r="AC611" s="22"/>
      <c r="AH611" s="9"/>
      <c r="AJ611" s="27"/>
      <c r="AK611" s="84"/>
      <c r="AM611" s="13"/>
      <c r="AP611"/>
      <c r="AR611"/>
      <c r="AV611"/>
      <c r="AW611"/>
      <c r="AX611"/>
      <c r="AY611"/>
      <c r="AZ611"/>
      <c r="BC611"/>
      <c r="BD611"/>
      <c r="BG611"/>
      <c r="BH611"/>
      <c r="BI611"/>
      <c r="BJ611"/>
      <c r="BS611"/>
      <c r="BU611"/>
      <c r="BV611"/>
      <c r="BX611"/>
    </row>
    <row r="612" spans="23:76" ht="15.75">
      <c r="W612" s="495"/>
      <c r="X612" s="495"/>
      <c r="Y612" s="495"/>
      <c r="Z612" s="451"/>
      <c r="AA612" s="145"/>
      <c r="AB612" s="223"/>
      <c r="AC612" s="22"/>
      <c r="AH612" s="9"/>
      <c r="AJ612" s="27"/>
      <c r="AK612" s="84"/>
      <c r="AM612" s="13"/>
      <c r="AP612"/>
      <c r="AR612"/>
      <c r="AV612"/>
      <c r="AW612"/>
      <c r="AX612"/>
      <c r="AY612"/>
      <c r="AZ612"/>
      <c r="BC612"/>
      <c r="BD612"/>
      <c r="BG612"/>
      <c r="BH612"/>
      <c r="BI612"/>
      <c r="BJ612"/>
      <c r="BS612"/>
      <c r="BU612"/>
      <c r="BV612"/>
      <c r="BX612"/>
    </row>
    <row r="613" spans="23:76" ht="15.75">
      <c r="W613" s="495"/>
      <c r="X613" s="495"/>
      <c r="Y613" s="495"/>
      <c r="Z613" s="451"/>
      <c r="AA613" s="145"/>
      <c r="AB613" s="223"/>
      <c r="AC613" s="22"/>
      <c r="AH613" s="9"/>
      <c r="AJ613" s="27"/>
      <c r="AK613" s="84"/>
      <c r="AM613" s="13"/>
      <c r="AP613"/>
      <c r="AR613"/>
      <c r="AV613"/>
      <c r="AW613"/>
      <c r="AX613"/>
      <c r="AY613"/>
      <c r="AZ613"/>
      <c r="BC613"/>
      <c r="BD613"/>
      <c r="BG613"/>
      <c r="BH613"/>
      <c r="BI613"/>
      <c r="BJ613"/>
      <c r="BS613"/>
      <c r="BU613"/>
      <c r="BV613"/>
      <c r="BX613"/>
    </row>
    <row r="614" spans="23:76" ht="15.75">
      <c r="W614" s="495"/>
      <c r="X614" s="495"/>
      <c r="Y614" s="495"/>
      <c r="Z614" s="451"/>
      <c r="AA614" s="145"/>
      <c r="AB614" s="223"/>
      <c r="AC614" s="22"/>
      <c r="AH614" s="9"/>
      <c r="AJ614" s="27"/>
      <c r="AK614" s="84"/>
      <c r="AM614" s="13"/>
      <c r="AP614"/>
      <c r="AR614"/>
      <c r="AV614"/>
      <c r="AW614"/>
      <c r="AX614"/>
      <c r="AY614"/>
      <c r="AZ614"/>
      <c r="BC614"/>
      <c r="BD614"/>
      <c r="BG614"/>
      <c r="BH614"/>
      <c r="BI614"/>
      <c r="BJ614"/>
      <c r="BS614"/>
      <c r="BU614"/>
      <c r="BV614"/>
      <c r="BX614"/>
    </row>
    <row r="615" spans="23:76" ht="15.75">
      <c r="W615" s="495"/>
      <c r="X615" s="495"/>
      <c r="Y615" s="495"/>
      <c r="Z615" s="451"/>
      <c r="AA615" s="145"/>
      <c r="AB615" s="223"/>
      <c r="AC615" s="22"/>
      <c r="AH615" s="9"/>
      <c r="AJ615" s="27"/>
      <c r="AK615" s="84"/>
      <c r="AM615" s="13"/>
      <c r="AP615"/>
      <c r="AR615"/>
      <c r="AV615"/>
      <c r="AW615"/>
      <c r="AX615"/>
      <c r="AY615"/>
      <c r="AZ615"/>
      <c r="BC615"/>
      <c r="BD615"/>
      <c r="BG615"/>
      <c r="BH615"/>
      <c r="BI615"/>
      <c r="BJ615"/>
      <c r="BS615"/>
      <c r="BU615"/>
      <c r="BV615"/>
      <c r="BX615"/>
    </row>
    <row r="616" spans="23:76" ht="15.75">
      <c r="W616" s="495"/>
      <c r="X616" s="495"/>
      <c r="Y616" s="495"/>
      <c r="Z616" s="451"/>
      <c r="AA616" s="145"/>
      <c r="AB616" s="223"/>
      <c r="AC616" s="22"/>
      <c r="AH616" s="9"/>
      <c r="AJ616" s="27"/>
      <c r="AK616" s="84"/>
      <c r="AM616" s="13"/>
      <c r="AP616"/>
      <c r="AR616"/>
      <c r="AV616"/>
      <c r="AW616"/>
      <c r="AX616"/>
      <c r="AY616"/>
      <c r="AZ616"/>
      <c r="BC616"/>
      <c r="BD616"/>
      <c r="BG616"/>
      <c r="BH616"/>
      <c r="BI616"/>
      <c r="BJ616"/>
      <c r="BS616"/>
      <c r="BU616"/>
      <c r="BV616"/>
      <c r="BX616"/>
    </row>
    <row r="617" spans="23:76" ht="15.75">
      <c r="W617" s="495"/>
      <c r="X617" s="495"/>
      <c r="Y617" s="495"/>
      <c r="Z617" s="451"/>
      <c r="AA617" s="145"/>
      <c r="AB617" s="223"/>
      <c r="AC617" s="22"/>
      <c r="AH617" s="9"/>
      <c r="AJ617" s="27"/>
      <c r="AK617" s="84"/>
      <c r="AM617" s="13"/>
      <c r="AP617"/>
      <c r="AR617"/>
      <c r="AV617"/>
      <c r="AW617"/>
      <c r="AX617"/>
      <c r="AY617"/>
      <c r="AZ617"/>
      <c r="BC617"/>
      <c r="BD617"/>
      <c r="BG617"/>
      <c r="BH617"/>
      <c r="BI617"/>
      <c r="BJ617"/>
      <c r="BS617"/>
      <c r="BU617"/>
      <c r="BV617"/>
      <c r="BX617"/>
    </row>
    <row r="618" spans="23:76" ht="15.75">
      <c r="W618" s="495"/>
      <c r="X618" s="495"/>
      <c r="Y618" s="495"/>
      <c r="Z618" s="451"/>
      <c r="AA618" s="145"/>
      <c r="AB618" s="223"/>
      <c r="AC618" s="22"/>
      <c r="AH618" s="9"/>
      <c r="AJ618" s="27"/>
      <c r="AK618" s="84"/>
      <c r="AM618" s="13"/>
      <c r="AP618"/>
      <c r="AR618"/>
      <c r="AV618"/>
      <c r="AW618"/>
      <c r="AX618"/>
      <c r="AY618"/>
      <c r="AZ618"/>
      <c r="BC618"/>
      <c r="BD618"/>
      <c r="BG618"/>
      <c r="BH618"/>
      <c r="BI618"/>
      <c r="BJ618"/>
      <c r="BS618"/>
      <c r="BU618"/>
      <c r="BV618"/>
      <c r="BX618"/>
    </row>
    <row r="619" spans="23:76" ht="15.75">
      <c r="W619" s="495"/>
      <c r="X619" s="495"/>
      <c r="Y619" s="495"/>
      <c r="Z619" s="451"/>
      <c r="AA619" s="145"/>
      <c r="AB619" s="223"/>
      <c r="AC619" s="22"/>
      <c r="AH619" s="9"/>
      <c r="AJ619" s="27"/>
      <c r="AK619" s="84"/>
      <c r="AM619" s="13"/>
      <c r="AP619"/>
      <c r="AR619"/>
      <c r="AV619"/>
      <c r="AW619"/>
      <c r="AX619"/>
      <c r="AY619"/>
      <c r="AZ619"/>
      <c r="BC619"/>
      <c r="BD619"/>
      <c r="BG619"/>
      <c r="BH619"/>
      <c r="BI619"/>
      <c r="BJ619"/>
      <c r="BS619"/>
      <c r="BU619"/>
      <c r="BV619"/>
      <c r="BX619"/>
    </row>
    <row r="620" spans="23:76" ht="15.75">
      <c r="W620" s="495"/>
      <c r="X620" s="495"/>
      <c r="Y620" s="495"/>
      <c r="Z620" s="451"/>
      <c r="AA620" s="145"/>
      <c r="AB620" s="223"/>
      <c r="AC620" s="22"/>
      <c r="AH620" s="9"/>
      <c r="AJ620" s="27"/>
      <c r="AK620" s="84"/>
      <c r="AM620" s="13"/>
      <c r="AP620"/>
      <c r="AR620"/>
      <c r="AV620"/>
      <c r="AW620"/>
      <c r="AX620"/>
      <c r="AY620"/>
      <c r="AZ620"/>
      <c r="BC620"/>
      <c r="BD620"/>
      <c r="BG620"/>
      <c r="BH620"/>
      <c r="BI620"/>
      <c r="BJ620"/>
      <c r="BS620"/>
      <c r="BU620"/>
      <c r="BV620"/>
      <c r="BX620"/>
    </row>
    <row r="621" spans="23:76" ht="15.75">
      <c r="W621" s="495"/>
      <c r="X621" s="495"/>
      <c r="Y621" s="495"/>
      <c r="Z621" s="451"/>
      <c r="AA621" s="145"/>
      <c r="AB621" s="223"/>
      <c r="AC621" s="22"/>
      <c r="AH621" s="9"/>
      <c r="AJ621" s="27"/>
      <c r="AK621" s="84"/>
      <c r="AM621" s="13"/>
      <c r="AP621"/>
      <c r="AR621"/>
      <c r="AV621"/>
      <c r="AW621"/>
      <c r="AX621"/>
      <c r="AY621"/>
      <c r="AZ621"/>
      <c r="BC621"/>
      <c r="BD621"/>
      <c r="BG621"/>
      <c r="BH621"/>
      <c r="BI621"/>
      <c r="BJ621"/>
      <c r="BS621"/>
      <c r="BU621"/>
      <c r="BV621"/>
      <c r="BX621"/>
    </row>
    <row r="622" spans="23:76" ht="15.75">
      <c r="W622" s="495"/>
      <c r="X622" s="495"/>
      <c r="Y622" s="495"/>
      <c r="Z622" s="451"/>
      <c r="AA622" s="145"/>
      <c r="AB622" s="223"/>
      <c r="AC622" s="22"/>
      <c r="AH622" s="9"/>
      <c r="AJ622" s="27"/>
      <c r="AK622" s="84"/>
      <c r="AM622" s="13"/>
      <c r="AP622"/>
      <c r="AR622"/>
      <c r="AV622"/>
      <c r="AW622"/>
      <c r="AX622"/>
      <c r="AY622"/>
      <c r="AZ622"/>
      <c r="BC622"/>
      <c r="BD622"/>
      <c r="BG622"/>
      <c r="BH622"/>
      <c r="BI622"/>
      <c r="BJ622"/>
      <c r="BS622"/>
      <c r="BU622"/>
      <c r="BV622"/>
      <c r="BX622"/>
    </row>
    <row r="623" spans="23:76" ht="15.75">
      <c r="W623" s="495"/>
      <c r="X623" s="495"/>
      <c r="Y623" s="495"/>
      <c r="Z623" s="451"/>
      <c r="AA623" s="145"/>
      <c r="AB623" s="223"/>
      <c r="AC623" s="22"/>
      <c r="AH623" s="9"/>
      <c r="AJ623" s="27"/>
      <c r="AK623" s="84"/>
      <c r="AM623" s="13"/>
      <c r="AP623"/>
      <c r="AR623"/>
      <c r="AV623"/>
      <c r="AW623"/>
      <c r="AX623"/>
      <c r="AY623"/>
      <c r="AZ623"/>
      <c r="BC623"/>
      <c r="BD623"/>
      <c r="BG623"/>
      <c r="BH623"/>
      <c r="BI623"/>
      <c r="BJ623"/>
      <c r="BS623"/>
      <c r="BU623"/>
      <c r="BV623"/>
      <c r="BX623"/>
    </row>
    <row r="624" spans="23:76" ht="15.75">
      <c r="W624" s="495"/>
      <c r="X624" s="495"/>
      <c r="Y624" s="495"/>
      <c r="Z624" s="451"/>
      <c r="AA624" s="145"/>
      <c r="AB624" s="223"/>
      <c r="AC624" s="22"/>
      <c r="AH624" s="9"/>
      <c r="AJ624" s="27"/>
      <c r="AK624" s="84"/>
      <c r="AM624" s="13"/>
      <c r="AP624"/>
      <c r="AR624"/>
      <c r="AV624"/>
      <c r="AW624"/>
      <c r="AX624"/>
      <c r="AY624"/>
      <c r="AZ624"/>
      <c r="BC624"/>
      <c r="BD624"/>
      <c r="BG624"/>
      <c r="BH624"/>
      <c r="BI624"/>
      <c r="BJ624"/>
      <c r="BS624"/>
      <c r="BU624"/>
      <c r="BV624"/>
      <c r="BX624"/>
    </row>
    <row r="625" spans="23:76" ht="15.75">
      <c r="W625" s="495"/>
      <c r="X625" s="495"/>
      <c r="Y625" s="495"/>
      <c r="Z625" s="451"/>
      <c r="AA625" s="145"/>
      <c r="AB625" s="223"/>
      <c r="AC625" s="22"/>
      <c r="AH625" s="9"/>
      <c r="AJ625" s="27"/>
      <c r="AK625" s="84"/>
      <c r="AM625" s="13"/>
      <c r="AP625"/>
      <c r="AR625"/>
      <c r="AV625"/>
      <c r="AW625"/>
      <c r="AX625"/>
      <c r="AY625"/>
      <c r="AZ625"/>
      <c r="BC625"/>
      <c r="BD625"/>
      <c r="BG625"/>
      <c r="BH625"/>
      <c r="BI625"/>
      <c r="BJ625"/>
      <c r="BS625"/>
      <c r="BU625"/>
      <c r="BV625"/>
      <c r="BX625"/>
    </row>
    <row r="626" spans="23:76" ht="15.75">
      <c r="W626" s="495"/>
      <c r="X626" s="495"/>
      <c r="Y626" s="495"/>
      <c r="Z626" s="451"/>
      <c r="AA626" s="145"/>
      <c r="AB626" s="223"/>
      <c r="AC626" s="22"/>
      <c r="AH626" s="9"/>
      <c r="AJ626" s="27"/>
      <c r="AK626" s="84"/>
      <c r="AM626" s="13"/>
      <c r="AP626"/>
      <c r="AR626"/>
      <c r="AV626"/>
      <c r="AW626"/>
      <c r="AX626"/>
      <c r="AY626"/>
      <c r="AZ626"/>
      <c r="BC626"/>
      <c r="BD626"/>
      <c r="BG626"/>
      <c r="BH626"/>
      <c r="BI626"/>
      <c r="BJ626"/>
      <c r="BS626"/>
      <c r="BU626"/>
      <c r="BV626"/>
      <c r="BX626"/>
    </row>
    <row r="627" spans="23:76" ht="15.75">
      <c r="W627" s="495"/>
      <c r="X627" s="495"/>
      <c r="Y627" s="495"/>
      <c r="Z627" s="451"/>
      <c r="AA627" s="145"/>
      <c r="AB627" s="223"/>
      <c r="AC627" s="22"/>
      <c r="AH627" s="9"/>
      <c r="AJ627" s="27"/>
      <c r="AK627" s="84"/>
      <c r="AM627" s="13"/>
      <c r="AP627"/>
      <c r="AR627"/>
      <c r="AV627"/>
      <c r="AW627"/>
      <c r="AX627"/>
      <c r="AY627"/>
      <c r="AZ627"/>
      <c r="BC627"/>
      <c r="BD627"/>
      <c r="BG627"/>
      <c r="BH627"/>
      <c r="BI627"/>
      <c r="BJ627"/>
      <c r="BS627"/>
      <c r="BU627"/>
      <c r="BV627"/>
      <c r="BX627"/>
    </row>
    <row r="628" spans="23:76" ht="15.75">
      <c r="W628" s="495"/>
      <c r="X628" s="495"/>
      <c r="Y628" s="495"/>
      <c r="Z628" s="451"/>
      <c r="AA628" s="145"/>
      <c r="AB628" s="223"/>
      <c r="AC628" s="22"/>
      <c r="AH628" s="9"/>
      <c r="AJ628" s="27"/>
      <c r="AK628" s="84"/>
      <c r="AM628" s="13"/>
      <c r="AP628"/>
      <c r="AR628"/>
      <c r="AV628"/>
      <c r="AW628"/>
      <c r="AX628"/>
      <c r="AY628"/>
      <c r="AZ628"/>
      <c r="BC628"/>
      <c r="BD628"/>
      <c r="BG628"/>
      <c r="BH628"/>
      <c r="BI628"/>
      <c r="BJ628"/>
      <c r="BS628"/>
      <c r="BU628"/>
      <c r="BV628"/>
      <c r="BX628"/>
    </row>
    <row r="629" spans="23:76" ht="15.75">
      <c r="W629" s="495"/>
      <c r="X629" s="495"/>
      <c r="Y629" s="495"/>
      <c r="Z629" s="451"/>
      <c r="AA629" s="145"/>
      <c r="AB629" s="223"/>
      <c r="AC629" s="22"/>
      <c r="AH629" s="9"/>
      <c r="AJ629" s="27"/>
      <c r="AK629" s="84"/>
      <c r="AM629" s="13"/>
      <c r="AP629"/>
      <c r="AR629"/>
      <c r="AV629"/>
      <c r="AW629"/>
      <c r="AX629"/>
      <c r="AY629"/>
      <c r="AZ629"/>
      <c r="BC629"/>
      <c r="BD629"/>
      <c r="BG629"/>
      <c r="BH629"/>
      <c r="BI629"/>
      <c r="BJ629"/>
      <c r="BS629"/>
      <c r="BU629"/>
      <c r="BV629"/>
      <c r="BX629"/>
    </row>
    <row r="630" spans="23:76" ht="15.75">
      <c r="W630" s="495"/>
      <c r="X630" s="495"/>
      <c r="Y630" s="495"/>
      <c r="Z630" s="451"/>
      <c r="AA630" s="145"/>
      <c r="AB630" s="223"/>
      <c r="AC630" s="22"/>
      <c r="AH630" s="9"/>
      <c r="AJ630" s="27"/>
      <c r="AK630" s="84"/>
      <c r="AM630" s="13"/>
      <c r="AP630"/>
      <c r="AR630"/>
      <c r="AV630"/>
      <c r="AW630"/>
      <c r="AX630"/>
      <c r="AY630"/>
      <c r="AZ630"/>
      <c r="BC630"/>
      <c r="BD630"/>
      <c r="BG630"/>
      <c r="BH630"/>
      <c r="BI630"/>
      <c r="BJ630"/>
      <c r="BS630"/>
      <c r="BU630"/>
      <c r="BV630"/>
      <c r="BX630"/>
    </row>
    <row r="631" spans="23:76" ht="15.75">
      <c r="W631" s="495"/>
      <c r="X631" s="495"/>
      <c r="Y631" s="495"/>
      <c r="Z631" s="451"/>
      <c r="AA631" s="145"/>
      <c r="AB631" s="223"/>
      <c r="AC631" s="22"/>
      <c r="AH631" s="9"/>
      <c r="AJ631" s="27"/>
      <c r="AK631" s="84"/>
      <c r="AM631" s="13"/>
      <c r="AP631"/>
      <c r="AR631"/>
      <c r="AV631"/>
      <c r="AW631"/>
      <c r="AX631"/>
      <c r="AY631"/>
      <c r="AZ631"/>
      <c r="BC631"/>
      <c r="BD631"/>
      <c r="BG631"/>
      <c r="BH631"/>
      <c r="BI631"/>
      <c r="BJ631"/>
      <c r="BS631"/>
      <c r="BU631"/>
      <c r="BV631"/>
      <c r="BX631"/>
    </row>
    <row r="632" spans="23:76" ht="15.75">
      <c r="W632" s="495"/>
      <c r="X632" s="495"/>
      <c r="Y632" s="495"/>
      <c r="Z632" s="451"/>
      <c r="AA632" s="145"/>
      <c r="AB632" s="223"/>
      <c r="AC632" s="22"/>
      <c r="AH632" s="9"/>
      <c r="AJ632" s="27"/>
      <c r="AK632" s="84"/>
      <c r="AM632" s="13"/>
      <c r="AP632"/>
      <c r="AR632"/>
      <c r="AV632"/>
      <c r="AW632"/>
      <c r="AX632"/>
      <c r="AY632"/>
      <c r="AZ632"/>
      <c r="BC632"/>
      <c r="BD632"/>
      <c r="BG632"/>
      <c r="BH632"/>
      <c r="BI632"/>
      <c r="BJ632"/>
      <c r="BS632"/>
      <c r="BU632"/>
      <c r="BV632"/>
      <c r="BX632"/>
    </row>
    <row r="633" spans="23:76" ht="15.75">
      <c r="W633" s="495"/>
      <c r="X633" s="495"/>
      <c r="Y633" s="495"/>
      <c r="Z633" s="451"/>
      <c r="AA633" s="145"/>
      <c r="AB633" s="223"/>
      <c r="AC633" s="22"/>
      <c r="AH633" s="9"/>
      <c r="AJ633" s="27"/>
      <c r="AK633" s="84"/>
      <c r="AM633" s="13"/>
      <c r="AP633"/>
      <c r="AR633"/>
      <c r="AV633"/>
      <c r="AW633"/>
      <c r="AX633"/>
      <c r="AY633"/>
      <c r="AZ633"/>
      <c r="BC633"/>
      <c r="BD633"/>
      <c r="BG633"/>
      <c r="BH633"/>
      <c r="BI633"/>
      <c r="BJ633"/>
      <c r="BS633"/>
      <c r="BU633"/>
      <c r="BV633"/>
      <c r="BX633"/>
    </row>
    <row r="634" spans="23:76" ht="15.75">
      <c r="W634" s="495"/>
      <c r="X634" s="495"/>
      <c r="Y634" s="495"/>
      <c r="Z634" s="451"/>
      <c r="AA634" s="145"/>
      <c r="AB634" s="223"/>
      <c r="AC634" s="22"/>
      <c r="AH634" s="9"/>
      <c r="AJ634" s="27"/>
      <c r="AK634" s="84"/>
      <c r="AM634" s="13"/>
      <c r="AP634"/>
      <c r="AR634"/>
      <c r="AV634"/>
      <c r="AW634"/>
      <c r="AX634"/>
      <c r="AY634"/>
      <c r="AZ634"/>
      <c r="BC634"/>
      <c r="BD634"/>
      <c r="BG634"/>
      <c r="BH634"/>
      <c r="BI634"/>
      <c r="BJ634"/>
      <c r="BS634"/>
      <c r="BU634"/>
      <c r="BV634"/>
      <c r="BX634"/>
    </row>
    <row r="635" spans="23:76" ht="15.75">
      <c r="W635" s="495"/>
      <c r="X635" s="495"/>
      <c r="Y635" s="495"/>
      <c r="Z635" s="451"/>
      <c r="AA635" s="145"/>
      <c r="AB635" s="223"/>
      <c r="AC635" s="22"/>
      <c r="AH635" s="9"/>
      <c r="AJ635" s="27"/>
      <c r="AK635" s="84"/>
      <c r="AM635" s="13"/>
      <c r="AP635"/>
      <c r="AR635"/>
      <c r="AV635"/>
      <c r="AW635"/>
      <c r="AX635"/>
      <c r="AY635"/>
      <c r="AZ635"/>
      <c r="BC635"/>
      <c r="BD635"/>
      <c r="BG635"/>
      <c r="BH635"/>
      <c r="BI635"/>
      <c r="BJ635"/>
      <c r="BS635"/>
      <c r="BU635"/>
      <c r="BV635"/>
      <c r="BX635"/>
    </row>
    <row r="636" spans="23:76" ht="15.75">
      <c r="W636" s="495"/>
      <c r="X636" s="495"/>
      <c r="Y636" s="495"/>
      <c r="Z636" s="451"/>
      <c r="AA636" s="145"/>
      <c r="AB636" s="223"/>
      <c r="AC636" s="22"/>
      <c r="AH636" s="9"/>
      <c r="AJ636" s="27"/>
      <c r="AK636" s="84"/>
      <c r="AM636" s="13"/>
      <c r="AP636"/>
      <c r="AR636"/>
      <c r="AV636"/>
      <c r="AW636"/>
      <c r="AX636"/>
      <c r="AY636"/>
      <c r="AZ636"/>
      <c r="BC636"/>
      <c r="BD636"/>
      <c r="BG636"/>
      <c r="BH636"/>
      <c r="BI636"/>
      <c r="BJ636"/>
      <c r="BS636"/>
      <c r="BU636"/>
      <c r="BV636"/>
      <c r="BX636"/>
    </row>
    <row r="637" spans="23:76" ht="15.75">
      <c r="W637" s="495"/>
      <c r="X637" s="495"/>
      <c r="Y637" s="495"/>
      <c r="Z637" s="451"/>
      <c r="AA637" s="145"/>
      <c r="AB637" s="223"/>
      <c r="AC637" s="22"/>
      <c r="AH637" s="9"/>
      <c r="AJ637" s="27"/>
      <c r="AK637" s="84"/>
      <c r="AM637" s="13"/>
      <c r="AP637"/>
      <c r="AR637"/>
      <c r="AV637"/>
      <c r="AW637"/>
      <c r="AX637"/>
      <c r="AY637"/>
      <c r="AZ637"/>
      <c r="BC637"/>
      <c r="BD637"/>
      <c r="BG637"/>
      <c r="BH637"/>
      <c r="BI637"/>
      <c r="BJ637"/>
      <c r="BS637"/>
      <c r="BU637"/>
      <c r="BV637"/>
      <c r="BX637"/>
    </row>
    <row r="638" spans="23:76" ht="15.75">
      <c r="W638" s="495"/>
      <c r="X638" s="495"/>
      <c r="Y638" s="495"/>
      <c r="Z638" s="451"/>
      <c r="AA638" s="145"/>
      <c r="AB638" s="223"/>
      <c r="AC638" s="22"/>
      <c r="AH638" s="9"/>
      <c r="AJ638" s="27"/>
      <c r="AK638" s="84"/>
      <c r="AM638" s="13"/>
      <c r="AP638"/>
      <c r="AR638"/>
      <c r="AV638"/>
      <c r="AW638"/>
      <c r="AX638"/>
      <c r="AY638"/>
      <c r="AZ638"/>
      <c r="BC638"/>
      <c r="BD638"/>
      <c r="BG638"/>
      <c r="BH638"/>
      <c r="BI638"/>
      <c r="BJ638"/>
      <c r="BS638"/>
      <c r="BU638"/>
      <c r="BV638"/>
      <c r="BX638"/>
    </row>
    <row r="639" spans="23:76" ht="15.75">
      <c r="W639" s="495"/>
      <c r="X639" s="495"/>
      <c r="Y639" s="495"/>
      <c r="Z639" s="451"/>
      <c r="AA639" s="145"/>
      <c r="AB639" s="223"/>
      <c r="AC639" s="22"/>
      <c r="AH639" s="9"/>
      <c r="AJ639" s="27"/>
      <c r="AK639" s="84"/>
      <c r="AM639" s="13"/>
      <c r="AP639"/>
      <c r="AR639"/>
      <c r="AV639"/>
      <c r="AW639"/>
      <c r="AX639"/>
      <c r="AY639"/>
      <c r="AZ639"/>
      <c r="BC639"/>
      <c r="BD639"/>
      <c r="BG639"/>
      <c r="BH639"/>
      <c r="BI639"/>
      <c r="BJ639"/>
      <c r="BS639"/>
      <c r="BU639"/>
      <c r="BV639"/>
      <c r="BX639"/>
    </row>
    <row r="640" spans="23:76" ht="15.75">
      <c r="W640" s="495"/>
      <c r="X640" s="495"/>
      <c r="Y640" s="495"/>
      <c r="Z640" s="451"/>
      <c r="AA640" s="145"/>
      <c r="AB640" s="223"/>
      <c r="AC640" s="22"/>
      <c r="AH640" s="9"/>
      <c r="AJ640" s="27"/>
      <c r="AK640" s="84"/>
      <c r="AM640" s="13"/>
      <c r="AP640"/>
      <c r="AR640"/>
      <c r="AV640"/>
      <c r="AW640"/>
      <c r="AX640"/>
      <c r="AY640"/>
      <c r="AZ640"/>
      <c r="BC640"/>
      <c r="BD640"/>
      <c r="BG640"/>
      <c r="BH640"/>
      <c r="BI640"/>
      <c r="BJ640"/>
      <c r="BS640"/>
      <c r="BU640"/>
      <c r="BV640"/>
      <c r="BX640"/>
    </row>
    <row r="641" spans="23:76" ht="15.75">
      <c r="W641" s="495"/>
      <c r="X641" s="495"/>
      <c r="Y641" s="495"/>
      <c r="Z641" s="451"/>
      <c r="AA641" s="145"/>
      <c r="AB641" s="223"/>
      <c r="AC641" s="22"/>
      <c r="AH641" s="9"/>
      <c r="AJ641" s="27"/>
      <c r="AK641" s="84"/>
      <c r="AM641" s="13"/>
      <c r="AP641"/>
      <c r="AR641"/>
      <c r="AV641"/>
      <c r="AW641"/>
      <c r="AX641"/>
      <c r="AY641"/>
      <c r="AZ641"/>
      <c r="BC641"/>
      <c r="BD641"/>
      <c r="BG641"/>
      <c r="BH641"/>
      <c r="BI641"/>
      <c r="BJ641"/>
      <c r="BS641"/>
      <c r="BU641"/>
      <c r="BV641"/>
      <c r="BX641"/>
    </row>
    <row r="642" spans="23:76" ht="15.75">
      <c r="W642" s="495"/>
      <c r="X642" s="495"/>
      <c r="Y642" s="495"/>
      <c r="Z642" s="451"/>
      <c r="AA642" s="145"/>
      <c r="AB642" s="223"/>
      <c r="AC642" s="22"/>
      <c r="AH642" s="9"/>
      <c r="AJ642" s="27"/>
      <c r="AK642" s="84"/>
      <c r="AM642" s="13"/>
      <c r="AP642"/>
      <c r="AR642"/>
      <c r="AV642"/>
      <c r="AW642"/>
      <c r="AX642"/>
      <c r="AY642"/>
      <c r="AZ642"/>
      <c r="BC642"/>
      <c r="BD642"/>
      <c r="BG642"/>
      <c r="BH642"/>
      <c r="BI642"/>
      <c r="BJ642"/>
      <c r="BS642"/>
      <c r="BU642"/>
      <c r="BV642"/>
      <c r="BX642"/>
    </row>
    <row r="643" spans="23:76" ht="15.75">
      <c r="W643" s="495"/>
      <c r="X643" s="495"/>
      <c r="Y643" s="495"/>
      <c r="Z643" s="451"/>
      <c r="AA643" s="145"/>
      <c r="AB643" s="223"/>
      <c r="AC643" s="22"/>
      <c r="AH643" s="9"/>
      <c r="AJ643" s="27"/>
      <c r="AK643" s="84"/>
      <c r="AM643" s="13"/>
      <c r="AP643"/>
      <c r="AR643"/>
      <c r="AV643"/>
      <c r="AW643"/>
      <c r="AX643"/>
      <c r="AY643"/>
      <c r="AZ643"/>
      <c r="BC643"/>
      <c r="BD643"/>
      <c r="BG643"/>
      <c r="BH643"/>
      <c r="BI643"/>
      <c r="BJ643"/>
      <c r="BS643"/>
      <c r="BU643"/>
      <c r="BV643"/>
      <c r="BX643"/>
    </row>
    <row r="644" spans="23:76" ht="15.75">
      <c r="W644" s="495"/>
      <c r="X644" s="495"/>
      <c r="Y644" s="495"/>
      <c r="Z644" s="451"/>
      <c r="AA644" s="145"/>
      <c r="AB644" s="223"/>
      <c r="AC644" s="22"/>
      <c r="AH644" s="9"/>
      <c r="AJ644" s="27"/>
      <c r="AK644" s="84"/>
      <c r="AM644" s="13"/>
      <c r="AP644"/>
      <c r="AR644"/>
      <c r="AV644"/>
      <c r="AW644"/>
      <c r="AX644"/>
      <c r="AY644"/>
      <c r="AZ644"/>
      <c r="BC644"/>
      <c r="BD644"/>
      <c r="BG644"/>
      <c r="BH644"/>
      <c r="BI644"/>
      <c r="BJ644"/>
      <c r="BS644"/>
      <c r="BU644"/>
      <c r="BV644"/>
      <c r="BX644"/>
    </row>
    <row r="645" spans="23:76" ht="15.75">
      <c r="W645" s="495"/>
      <c r="X645" s="495"/>
      <c r="Y645" s="495"/>
      <c r="Z645" s="451"/>
      <c r="AA645" s="145"/>
      <c r="AB645" s="223"/>
      <c r="AC645" s="22"/>
      <c r="AH645" s="9"/>
      <c r="AJ645" s="27"/>
      <c r="AK645" s="84"/>
      <c r="AM645" s="13"/>
      <c r="AP645"/>
      <c r="AR645"/>
      <c r="AV645"/>
      <c r="AW645"/>
      <c r="AX645"/>
      <c r="AY645"/>
      <c r="AZ645"/>
      <c r="BC645"/>
      <c r="BD645"/>
      <c r="BG645"/>
      <c r="BH645"/>
      <c r="BI645"/>
      <c r="BJ645"/>
      <c r="BS645"/>
      <c r="BU645"/>
      <c r="BV645"/>
      <c r="BX645"/>
    </row>
    <row r="646" spans="23:76" ht="15.75">
      <c r="W646" s="495"/>
      <c r="X646" s="495"/>
      <c r="Y646" s="495"/>
      <c r="Z646" s="451"/>
      <c r="AA646" s="145"/>
      <c r="AB646" s="223"/>
      <c r="AC646" s="22"/>
      <c r="AH646" s="9"/>
      <c r="AJ646" s="27"/>
      <c r="AK646" s="84"/>
      <c r="AM646" s="13"/>
      <c r="AP646"/>
      <c r="AR646"/>
      <c r="AV646"/>
      <c r="AW646"/>
      <c r="AX646"/>
      <c r="AY646"/>
      <c r="AZ646"/>
      <c r="BC646"/>
      <c r="BD646"/>
      <c r="BG646"/>
      <c r="BH646"/>
      <c r="BI646"/>
      <c r="BJ646"/>
      <c r="BS646"/>
      <c r="BU646"/>
      <c r="BV646"/>
      <c r="BX646"/>
    </row>
    <row r="647" spans="23:76" ht="15.75">
      <c r="W647" s="495"/>
      <c r="X647" s="495"/>
      <c r="Y647" s="495"/>
      <c r="Z647" s="451"/>
      <c r="AA647" s="145"/>
      <c r="AB647" s="223"/>
      <c r="AC647" s="22"/>
      <c r="AH647" s="9"/>
      <c r="AJ647" s="27"/>
      <c r="AK647" s="84"/>
      <c r="AM647" s="13"/>
      <c r="AP647"/>
      <c r="AR647"/>
      <c r="AV647"/>
      <c r="AW647"/>
      <c r="AX647"/>
      <c r="AY647"/>
      <c r="AZ647"/>
      <c r="BC647"/>
      <c r="BD647"/>
      <c r="BG647"/>
      <c r="BH647"/>
      <c r="BI647"/>
      <c r="BJ647"/>
      <c r="BS647"/>
      <c r="BU647"/>
      <c r="BV647"/>
      <c r="BX647"/>
    </row>
    <row r="648" spans="23:76" ht="15.75">
      <c r="W648" s="495"/>
      <c r="X648" s="495"/>
      <c r="Y648" s="495"/>
      <c r="Z648" s="451"/>
      <c r="AA648" s="145"/>
      <c r="AB648" s="223"/>
      <c r="AC648" s="22"/>
      <c r="AH648" s="9"/>
      <c r="AJ648" s="27"/>
      <c r="AK648" s="84"/>
      <c r="AM648" s="13"/>
      <c r="AP648"/>
      <c r="AR648"/>
      <c r="AV648"/>
      <c r="AW648"/>
      <c r="AX648"/>
      <c r="AY648"/>
      <c r="AZ648"/>
      <c r="BC648"/>
      <c r="BD648"/>
      <c r="BG648"/>
      <c r="BH648"/>
      <c r="BI648"/>
      <c r="BJ648"/>
      <c r="BS648"/>
      <c r="BU648"/>
      <c r="BV648"/>
      <c r="BX648"/>
    </row>
    <row r="649" spans="23:76" ht="15.75">
      <c r="W649" s="495"/>
      <c r="X649" s="495"/>
      <c r="Y649" s="495"/>
      <c r="Z649" s="451"/>
      <c r="AA649" s="145"/>
      <c r="AB649" s="223"/>
      <c r="AC649" s="22"/>
      <c r="AH649" s="9"/>
      <c r="AJ649" s="27"/>
      <c r="AK649" s="84"/>
      <c r="AM649" s="13"/>
      <c r="AP649"/>
      <c r="AR649"/>
      <c r="AV649"/>
      <c r="AW649"/>
      <c r="AX649"/>
      <c r="AY649"/>
      <c r="AZ649"/>
      <c r="BC649"/>
      <c r="BD649"/>
      <c r="BG649"/>
      <c r="BH649"/>
      <c r="BI649"/>
      <c r="BJ649"/>
      <c r="BS649"/>
      <c r="BU649"/>
      <c r="BV649"/>
      <c r="BX649"/>
    </row>
    <row r="650" spans="23:76" ht="15.75">
      <c r="W650" s="495"/>
      <c r="X650" s="495"/>
      <c r="Y650" s="495"/>
      <c r="Z650" s="451"/>
      <c r="AA650" s="145"/>
      <c r="AB650" s="223"/>
      <c r="AC650" s="22"/>
      <c r="AH650" s="9"/>
      <c r="AJ650" s="27"/>
      <c r="AK650" s="84"/>
      <c r="AM650" s="13"/>
      <c r="AP650"/>
      <c r="AR650"/>
      <c r="AV650"/>
      <c r="AW650"/>
      <c r="AX650"/>
      <c r="AY650"/>
      <c r="AZ650"/>
      <c r="BC650"/>
      <c r="BD650"/>
      <c r="BG650"/>
      <c r="BH650"/>
      <c r="BI650"/>
      <c r="BJ650"/>
      <c r="BS650"/>
      <c r="BU650"/>
      <c r="BV650"/>
      <c r="BX650"/>
    </row>
    <row r="651" spans="23:76" ht="15.75">
      <c r="W651" s="495"/>
      <c r="X651" s="495"/>
      <c r="Y651" s="495"/>
      <c r="Z651" s="451"/>
      <c r="AA651" s="145"/>
      <c r="AB651" s="223"/>
      <c r="AC651" s="22"/>
      <c r="AH651" s="9"/>
      <c r="AJ651" s="27"/>
      <c r="AK651" s="84"/>
      <c r="AM651" s="13"/>
      <c r="AP651"/>
      <c r="AR651"/>
      <c r="AV651"/>
      <c r="AW651"/>
      <c r="AX651"/>
      <c r="AY651"/>
      <c r="AZ651"/>
      <c r="BC651"/>
      <c r="BD651"/>
      <c r="BG651"/>
      <c r="BH651"/>
      <c r="BI651"/>
      <c r="BJ651"/>
      <c r="BS651"/>
      <c r="BU651"/>
      <c r="BV651"/>
      <c r="BX651"/>
    </row>
    <row r="652" spans="23:76" ht="15.75">
      <c r="W652" s="495"/>
      <c r="X652" s="495"/>
      <c r="Y652" s="495"/>
      <c r="Z652" s="451"/>
      <c r="AA652" s="145"/>
      <c r="AB652" s="223"/>
      <c r="AC652" s="22"/>
      <c r="AH652" s="9"/>
      <c r="AJ652" s="27"/>
      <c r="AK652" s="84"/>
      <c r="AM652" s="13"/>
      <c r="AP652"/>
      <c r="AR652"/>
      <c r="AV652"/>
      <c r="AW652"/>
      <c r="AX652"/>
      <c r="AY652"/>
      <c r="AZ652"/>
      <c r="BC652"/>
      <c r="BD652"/>
      <c r="BG652"/>
      <c r="BH652"/>
      <c r="BI652"/>
      <c r="BJ652"/>
      <c r="BS652"/>
      <c r="BU652"/>
      <c r="BV652"/>
      <c r="BX652"/>
    </row>
    <row r="653" spans="23:76" ht="15.75">
      <c r="W653" s="495"/>
      <c r="X653" s="495"/>
      <c r="Y653" s="495"/>
      <c r="Z653" s="451"/>
      <c r="AA653" s="145"/>
      <c r="AB653" s="223"/>
      <c r="AC653" s="22"/>
      <c r="AH653" s="9"/>
      <c r="AJ653" s="27"/>
      <c r="AK653" s="84"/>
      <c r="AM653" s="13"/>
      <c r="AP653"/>
      <c r="AR653"/>
      <c r="AV653"/>
      <c r="AW653"/>
      <c r="AX653"/>
      <c r="AY653"/>
      <c r="AZ653"/>
      <c r="BC653"/>
      <c r="BD653"/>
      <c r="BG653"/>
      <c r="BH653"/>
      <c r="BI653"/>
      <c r="BJ653"/>
      <c r="BS653"/>
      <c r="BU653"/>
      <c r="BV653"/>
      <c r="BX653"/>
    </row>
    <row r="654" spans="23:76" ht="15.75">
      <c r="W654" s="495"/>
      <c r="X654" s="495"/>
      <c r="Y654" s="495"/>
      <c r="Z654" s="451"/>
      <c r="AA654" s="145"/>
      <c r="AB654" s="223"/>
      <c r="AC654" s="22"/>
      <c r="AH654" s="9"/>
      <c r="AJ654" s="27"/>
      <c r="AK654" s="84"/>
      <c r="AM654" s="13"/>
      <c r="AP654"/>
      <c r="AR654"/>
      <c r="AV654"/>
      <c r="AW654"/>
      <c r="AX654"/>
      <c r="AY654"/>
      <c r="AZ654"/>
      <c r="BC654"/>
      <c r="BD654"/>
      <c r="BG654"/>
      <c r="BH654"/>
      <c r="BI654"/>
      <c r="BJ654"/>
      <c r="BS654"/>
      <c r="BU654"/>
      <c r="BV654"/>
      <c r="BX654"/>
    </row>
    <row r="655" spans="23:76" ht="15.75">
      <c r="W655" s="495"/>
      <c r="X655" s="495"/>
      <c r="Y655" s="495"/>
      <c r="Z655" s="451"/>
      <c r="AA655" s="145"/>
      <c r="AB655" s="223"/>
      <c r="AC655" s="22"/>
      <c r="AH655" s="9"/>
      <c r="AJ655" s="27"/>
      <c r="AK655" s="84"/>
      <c r="AM655" s="13"/>
      <c r="AP655"/>
      <c r="AR655"/>
      <c r="AV655"/>
      <c r="AW655"/>
      <c r="AX655"/>
      <c r="AY655"/>
      <c r="AZ655"/>
      <c r="BC655"/>
      <c r="BD655"/>
      <c r="BG655"/>
      <c r="BH655"/>
      <c r="BI655"/>
      <c r="BJ655"/>
      <c r="BS655"/>
      <c r="BU655"/>
      <c r="BV655"/>
      <c r="BX655"/>
    </row>
    <row r="656" spans="23:76" ht="15.75">
      <c r="W656" s="495"/>
      <c r="X656" s="495"/>
      <c r="Y656" s="495"/>
      <c r="Z656" s="451"/>
      <c r="AA656" s="145"/>
      <c r="AB656" s="223"/>
      <c r="AC656" s="22"/>
      <c r="AH656" s="9"/>
      <c r="AJ656" s="27"/>
      <c r="AK656" s="84"/>
      <c r="AM656" s="13"/>
      <c r="AP656"/>
      <c r="AR656"/>
      <c r="AV656"/>
      <c r="AW656"/>
      <c r="AX656"/>
      <c r="AY656"/>
      <c r="AZ656"/>
      <c r="BC656"/>
      <c r="BD656"/>
      <c r="BG656"/>
      <c r="BH656"/>
      <c r="BI656"/>
      <c r="BJ656"/>
      <c r="BS656"/>
      <c r="BU656"/>
      <c r="BV656"/>
      <c r="BX656"/>
    </row>
    <row r="657" spans="23:76" ht="15.75">
      <c r="W657" s="495"/>
      <c r="X657" s="495"/>
      <c r="Y657" s="495"/>
      <c r="Z657" s="451"/>
      <c r="AA657" s="145"/>
      <c r="AB657" s="223"/>
      <c r="AC657" s="22"/>
      <c r="AH657" s="9"/>
      <c r="AJ657" s="27"/>
      <c r="AK657" s="84"/>
      <c r="AM657" s="13"/>
      <c r="AP657"/>
      <c r="AR657"/>
      <c r="AV657"/>
      <c r="AW657"/>
      <c r="AX657"/>
      <c r="AY657"/>
      <c r="AZ657"/>
      <c r="BC657"/>
      <c r="BD657"/>
      <c r="BG657"/>
      <c r="BH657"/>
      <c r="BI657"/>
      <c r="BJ657"/>
      <c r="BS657"/>
      <c r="BU657"/>
      <c r="BV657"/>
      <c r="BX657"/>
    </row>
    <row r="658" spans="23:76" ht="15.75">
      <c r="W658" s="495"/>
      <c r="X658" s="495"/>
      <c r="Y658" s="495"/>
      <c r="Z658" s="451"/>
      <c r="AA658" s="145"/>
      <c r="AB658" s="223"/>
      <c r="AC658" s="22"/>
      <c r="AH658" s="9"/>
      <c r="AJ658" s="27"/>
      <c r="AK658" s="84"/>
      <c r="AM658" s="13"/>
      <c r="AP658"/>
      <c r="AR658"/>
      <c r="AV658"/>
      <c r="AW658"/>
      <c r="AX658"/>
      <c r="AY658"/>
      <c r="AZ658"/>
      <c r="BC658"/>
      <c r="BD658"/>
      <c r="BG658"/>
      <c r="BH658"/>
      <c r="BI658"/>
      <c r="BJ658"/>
      <c r="BS658"/>
      <c r="BU658"/>
      <c r="BV658"/>
      <c r="BX658"/>
    </row>
    <row r="659" spans="23:76" ht="15.75">
      <c r="W659" s="495"/>
      <c r="X659" s="495"/>
      <c r="Y659" s="495"/>
      <c r="Z659" s="451"/>
      <c r="AA659" s="145"/>
      <c r="AB659" s="223"/>
      <c r="AC659" s="22"/>
      <c r="AH659" s="9"/>
      <c r="AJ659" s="27"/>
      <c r="AK659" s="84"/>
      <c r="AM659" s="13"/>
      <c r="AP659"/>
      <c r="AR659"/>
      <c r="AV659"/>
      <c r="AW659"/>
      <c r="AX659"/>
      <c r="AY659"/>
      <c r="AZ659"/>
      <c r="BC659"/>
      <c r="BD659"/>
      <c r="BG659"/>
      <c r="BH659"/>
      <c r="BI659"/>
      <c r="BJ659"/>
      <c r="BS659"/>
      <c r="BU659"/>
      <c r="BV659"/>
      <c r="BX659"/>
    </row>
    <row r="660" spans="23:76" ht="15.75">
      <c r="W660" s="495"/>
      <c r="X660" s="495"/>
      <c r="Y660" s="495"/>
      <c r="Z660" s="451"/>
      <c r="AA660" s="145"/>
      <c r="AB660" s="223"/>
      <c r="AC660" s="22"/>
      <c r="AH660" s="9"/>
      <c r="AJ660" s="27"/>
      <c r="AK660" s="84"/>
      <c r="AM660" s="13"/>
      <c r="AP660"/>
      <c r="AR660"/>
      <c r="AV660"/>
      <c r="AW660"/>
      <c r="AX660"/>
      <c r="AY660"/>
      <c r="AZ660"/>
      <c r="BC660"/>
      <c r="BD660"/>
      <c r="BG660"/>
      <c r="BH660"/>
      <c r="BI660"/>
      <c r="BJ660"/>
      <c r="BS660"/>
      <c r="BU660"/>
      <c r="BV660"/>
      <c r="BX660"/>
    </row>
    <row r="661" spans="23:76" ht="15.75">
      <c r="W661" s="495"/>
      <c r="X661" s="495"/>
      <c r="Y661" s="495"/>
      <c r="Z661" s="451"/>
      <c r="AA661" s="145"/>
      <c r="AB661" s="223"/>
      <c r="AC661" s="22"/>
      <c r="AH661" s="9"/>
      <c r="AJ661" s="27"/>
      <c r="AK661" s="84"/>
      <c r="AM661" s="13"/>
      <c r="AP661"/>
      <c r="AR661"/>
      <c r="AV661"/>
      <c r="AW661"/>
      <c r="AX661"/>
      <c r="AY661"/>
      <c r="AZ661"/>
      <c r="BC661"/>
      <c r="BD661"/>
      <c r="BG661"/>
      <c r="BH661"/>
      <c r="BI661"/>
      <c r="BJ661"/>
      <c r="BS661"/>
      <c r="BU661"/>
      <c r="BV661"/>
      <c r="BX661"/>
    </row>
    <row r="662" spans="23:76" ht="15.75">
      <c r="W662" s="495"/>
      <c r="X662" s="495"/>
      <c r="Y662" s="495"/>
      <c r="Z662" s="451"/>
      <c r="AA662" s="145"/>
      <c r="AB662" s="223"/>
      <c r="AC662" s="22"/>
      <c r="AH662" s="9"/>
      <c r="AJ662" s="27"/>
      <c r="AK662" s="84"/>
      <c r="AM662" s="13"/>
      <c r="AP662"/>
      <c r="AR662"/>
      <c r="AV662"/>
      <c r="AW662"/>
      <c r="AX662"/>
      <c r="AY662"/>
      <c r="AZ662"/>
      <c r="BC662"/>
      <c r="BD662"/>
      <c r="BG662"/>
      <c r="BH662"/>
      <c r="BI662"/>
      <c r="BJ662"/>
      <c r="BS662"/>
      <c r="BU662"/>
      <c r="BV662"/>
      <c r="BX662"/>
    </row>
    <row r="663" spans="23:76" ht="15.75">
      <c r="W663" s="495"/>
      <c r="X663" s="495"/>
      <c r="Y663" s="495"/>
      <c r="Z663" s="451"/>
      <c r="AA663" s="145"/>
      <c r="AB663" s="223"/>
      <c r="AC663" s="22"/>
      <c r="AH663" s="9"/>
      <c r="AJ663" s="27"/>
      <c r="AK663" s="84"/>
      <c r="AM663" s="13"/>
      <c r="AP663"/>
      <c r="AR663"/>
      <c r="AV663"/>
      <c r="AW663"/>
      <c r="AX663"/>
      <c r="AY663"/>
      <c r="AZ663"/>
      <c r="BC663"/>
      <c r="BD663"/>
      <c r="BG663"/>
      <c r="BH663"/>
      <c r="BI663"/>
      <c r="BJ663"/>
      <c r="BS663"/>
      <c r="BU663"/>
      <c r="BV663"/>
      <c r="BX663"/>
    </row>
    <row r="664" spans="23:76" ht="15.75">
      <c r="W664" s="495"/>
      <c r="X664" s="495"/>
      <c r="Y664" s="495"/>
      <c r="Z664" s="451"/>
      <c r="AA664" s="145"/>
      <c r="AB664" s="223"/>
      <c r="AC664" s="22"/>
      <c r="AH664" s="9"/>
      <c r="AJ664" s="27"/>
      <c r="AK664" s="84"/>
      <c r="AM664" s="13"/>
      <c r="AP664"/>
      <c r="AR664"/>
      <c r="AV664"/>
      <c r="AW664"/>
      <c r="AX664"/>
      <c r="AY664"/>
      <c r="AZ664"/>
      <c r="BC664"/>
      <c r="BD664"/>
      <c r="BG664"/>
      <c r="BH664"/>
      <c r="BI664"/>
      <c r="BJ664"/>
      <c r="BS664"/>
      <c r="BU664"/>
      <c r="BV664"/>
      <c r="BX664"/>
    </row>
    <row r="665" spans="23:76" ht="15.75">
      <c r="W665" s="495"/>
      <c r="X665" s="495"/>
      <c r="Y665" s="495"/>
      <c r="Z665" s="451"/>
      <c r="AA665" s="145"/>
      <c r="AB665" s="223"/>
      <c r="AC665" s="22"/>
      <c r="AH665" s="9"/>
      <c r="AJ665" s="27"/>
      <c r="AK665" s="84"/>
      <c r="AM665" s="13"/>
      <c r="AP665"/>
      <c r="AR665"/>
      <c r="AV665"/>
      <c r="AW665"/>
      <c r="AX665"/>
      <c r="AY665"/>
      <c r="AZ665"/>
      <c r="BC665"/>
      <c r="BD665"/>
      <c r="BG665"/>
      <c r="BH665"/>
      <c r="BI665"/>
      <c r="BJ665"/>
      <c r="BS665"/>
      <c r="BU665"/>
      <c r="BV665"/>
      <c r="BX665"/>
    </row>
    <row r="666" spans="23:76" ht="15.75">
      <c r="W666" s="495"/>
      <c r="X666" s="495"/>
      <c r="Y666" s="495"/>
      <c r="Z666" s="451"/>
      <c r="AA666" s="145"/>
      <c r="AB666" s="223"/>
      <c r="AC666" s="22"/>
      <c r="AH666" s="9"/>
      <c r="AJ666" s="27"/>
      <c r="AK666" s="84"/>
      <c r="AM666" s="13"/>
      <c r="AP666"/>
      <c r="AR666"/>
      <c r="AV666"/>
      <c r="AW666"/>
      <c r="AX666"/>
      <c r="AY666"/>
      <c r="AZ666"/>
      <c r="BC666"/>
      <c r="BD666"/>
      <c r="BG666"/>
      <c r="BH666"/>
      <c r="BI666"/>
      <c r="BJ666"/>
      <c r="BS666"/>
      <c r="BU666"/>
      <c r="BV666"/>
      <c r="BX666"/>
    </row>
    <row r="667" spans="23:76" ht="15.75">
      <c r="W667" s="495"/>
      <c r="X667" s="495"/>
      <c r="Y667" s="495"/>
      <c r="Z667" s="451"/>
      <c r="AA667" s="145"/>
      <c r="AB667" s="223"/>
      <c r="AC667" s="22"/>
      <c r="AH667" s="9"/>
      <c r="AJ667" s="27"/>
      <c r="AK667" s="84"/>
      <c r="AM667" s="13"/>
      <c r="AP667"/>
      <c r="AR667"/>
      <c r="AV667"/>
      <c r="AW667"/>
      <c r="AX667"/>
      <c r="AY667"/>
      <c r="AZ667"/>
      <c r="BC667"/>
      <c r="BD667"/>
      <c r="BG667"/>
      <c r="BH667"/>
      <c r="BI667"/>
      <c r="BJ667"/>
      <c r="BS667"/>
      <c r="BU667"/>
      <c r="BV667"/>
      <c r="BX667"/>
    </row>
    <row r="668" spans="23:76" ht="15.75">
      <c r="W668" s="495"/>
      <c r="X668" s="495"/>
      <c r="Y668" s="495"/>
      <c r="Z668" s="451"/>
      <c r="AA668" s="145"/>
      <c r="AB668" s="223"/>
      <c r="AC668" s="22"/>
      <c r="AH668" s="9"/>
      <c r="AJ668" s="27"/>
      <c r="AK668" s="84"/>
      <c r="AM668" s="13"/>
      <c r="AP668"/>
      <c r="AR668"/>
      <c r="AV668"/>
      <c r="AW668"/>
      <c r="AX668"/>
      <c r="AY668"/>
      <c r="AZ668"/>
      <c r="BC668"/>
      <c r="BD668"/>
      <c r="BG668"/>
      <c r="BH668"/>
      <c r="BI668"/>
      <c r="BJ668"/>
      <c r="BS668"/>
      <c r="BU668"/>
      <c r="BV668"/>
      <c r="BX668"/>
    </row>
    <row r="669" spans="23:76" ht="15.75">
      <c r="W669" s="495"/>
      <c r="X669" s="495"/>
      <c r="Y669" s="495"/>
      <c r="Z669" s="451"/>
      <c r="AA669" s="145"/>
      <c r="AB669" s="223"/>
      <c r="AC669" s="22"/>
      <c r="AH669" s="9"/>
      <c r="AJ669" s="27"/>
      <c r="AK669" s="84"/>
      <c r="AM669" s="13"/>
      <c r="AP669"/>
      <c r="AR669"/>
      <c r="AV669"/>
      <c r="AW669"/>
      <c r="AX669"/>
      <c r="AY669"/>
      <c r="AZ669"/>
      <c r="BC669"/>
      <c r="BD669"/>
      <c r="BG669"/>
      <c r="BH669"/>
      <c r="BI669"/>
      <c r="BJ669"/>
      <c r="BS669"/>
      <c r="BU669"/>
      <c r="BV669"/>
      <c r="BX669"/>
    </row>
    <row r="670" spans="23:76" ht="15.75">
      <c r="W670" s="495"/>
      <c r="X670" s="495"/>
      <c r="Y670" s="495"/>
      <c r="Z670" s="451"/>
      <c r="AA670" s="145"/>
      <c r="AB670" s="223"/>
      <c r="AC670" s="22"/>
      <c r="AH670" s="9"/>
      <c r="AJ670" s="27"/>
      <c r="AK670" s="84"/>
      <c r="AM670" s="13"/>
      <c r="AP670"/>
      <c r="AR670"/>
      <c r="AV670"/>
      <c r="AW670"/>
      <c r="AX670"/>
      <c r="AY670"/>
      <c r="AZ670"/>
      <c r="BC670"/>
      <c r="BD670"/>
      <c r="BG670"/>
      <c r="BH670"/>
      <c r="BI670"/>
      <c r="BJ670"/>
      <c r="BS670"/>
      <c r="BU670"/>
      <c r="BV670"/>
      <c r="BX670"/>
    </row>
    <row r="671" spans="23:76" ht="15.75">
      <c r="W671" s="495"/>
      <c r="X671" s="495"/>
      <c r="Y671" s="495"/>
      <c r="Z671" s="451"/>
      <c r="AA671" s="145"/>
      <c r="AB671" s="223"/>
      <c r="AC671" s="22"/>
      <c r="AH671" s="9"/>
      <c r="AJ671" s="27"/>
      <c r="AK671" s="84"/>
      <c r="AM671" s="13"/>
      <c r="AP671"/>
      <c r="AR671"/>
      <c r="AV671"/>
      <c r="AW671"/>
      <c r="AX671"/>
      <c r="AY671"/>
      <c r="AZ671"/>
      <c r="BC671"/>
      <c r="BD671"/>
      <c r="BG671"/>
      <c r="BH671"/>
      <c r="BI671"/>
      <c r="BJ671"/>
      <c r="BS671"/>
      <c r="BU671"/>
      <c r="BV671"/>
      <c r="BX671"/>
    </row>
    <row r="672" spans="23:76" ht="15.75">
      <c r="W672" s="495"/>
      <c r="X672" s="495"/>
      <c r="Y672" s="495"/>
      <c r="Z672" s="451"/>
      <c r="AA672" s="145"/>
      <c r="AB672" s="223"/>
      <c r="AC672" s="22"/>
      <c r="AH672" s="9"/>
      <c r="AJ672" s="27"/>
      <c r="AK672" s="84"/>
      <c r="AM672" s="13"/>
      <c r="AP672"/>
      <c r="AR672"/>
      <c r="AV672"/>
      <c r="AW672"/>
      <c r="AX672"/>
      <c r="AY672"/>
      <c r="AZ672"/>
      <c r="BC672"/>
      <c r="BD672"/>
      <c r="BG672"/>
      <c r="BH672"/>
      <c r="BI672"/>
      <c r="BJ672"/>
      <c r="BS672"/>
      <c r="BU672"/>
      <c r="BV672"/>
      <c r="BX672"/>
    </row>
    <row r="673" spans="23:76" ht="15.75">
      <c r="W673" s="495"/>
      <c r="X673" s="495"/>
      <c r="Y673" s="495"/>
      <c r="Z673" s="451"/>
      <c r="AA673" s="145"/>
      <c r="AB673" s="223"/>
      <c r="AC673" s="22"/>
      <c r="AH673" s="9"/>
      <c r="AJ673" s="27"/>
      <c r="AK673" s="84"/>
      <c r="AM673" s="13"/>
      <c r="AP673"/>
      <c r="AR673"/>
      <c r="AV673"/>
      <c r="AW673"/>
      <c r="AX673"/>
      <c r="AY673"/>
      <c r="AZ673"/>
      <c r="BC673"/>
      <c r="BD673"/>
      <c r="BG673"/>
      <c r="BH673"/>
      <c r="BI673"/>
      <c r="BJ673"/>
      <c r="BS673"/>
      <c r="BU673"/>
      <c r="BV673"/>
      <c r="BX673"/>
    </row>
    <row r="674" spans="23:76" ht="15.75">
      <c r="W674" s="495"/>
      <c r="X674" s="495"/>
      <c r="Y674" s="495"/>
      <c r="Z674" s="451"/>
      <c r="AA674" s="145"/>
      <c r="AB674" s="223"/>
      <c r="AC674" s="22"/>
      <c r="AH674" s="9"/>
      <c r="AJ674" s="27"/>
      <c r="AK674" s="84"/>
      <c r="AM674" s="13"/>
      <c r="AP674"/>
      <c r="AR674"/>
      <c r="AV674"/>
      <c r="AW674"/>
      <c r="AX674"/>
      <c r="AY674"/>
      <c r="AZ674"/>
      <c r="BC674"/>
      <c r="BD674"/>
      <c r="BG674"/>
      <c r="BH674"/>
      <c r="BI674"/>
      <c r="BJ674"/>
      <c r="BS674"/>
      <c r="BU674"/>
      <c r="BV674"/>
      <c r="BX674"/>
    </row>
    <row r="675" spans="23:76" ht="15.75">
      <c r="W675" s="495"/>
      <c r="X675" s="495"/>
      <c r="Y675" s="495"/>
      <c r="Z675" s="451"/>
      <c r="AA675" s="145"/>
      <c r="AB675" s="223"/>
      <c r="AC675" s="22"/>
      <c r="AH675" s="9"/>
      <c r="AJ675" s="27"/>
      <c r="AK675" s="84"/>
      <c r="AM675" s="13"/>
      <c r="AP675"/>
      <c r="AR675"/>
      <c r="AV675"/>
      <c r="AW675"/>
      <c r="AX675"/>
      <c r="AY675"/>
      <c r="AZ675"/>
      <c r="BC675"/>
      <c r="BD675"/>
      <c r="BG675"/>
      <c r="BH675"/>
      <c r="BI675"/>
      <c r="BJ675"/>
      <c r="BS675"/>
      <c r="BU675"/>
      <c r="BV675"/>
      <c r="BX675"/>
    </row>
    <row r="676" spans="23:76" ht="15.75">
      <c r="W676" s="495"/>
      <c r="X676" s="495"/>
      <c r="Y676" s="495"/>
      <c r="Z676" s="451"/>
      <c r="AA676" s="145"/>
      <c r="AB676" s="223"/>
      <c r="AC676" s="22"/>
      <c r="AH676" s="9"/>
      <c r="AJ676" s="27"/>
      <c r="AK676" s="84"/>
      <c r="AM676" s="13"/>
      <c r="AP676"/>
      <c r="AR676"/>
      <c r="AV676"/>
      <c r="AW676"/>
      <c r="AX676"/>
      <c r="AY676"/>
      <c r="AZ676"/>
      <c r="BC676"/>
      <c r="BD676"/>
      <c r="BG676"/>
      <c r="BH676"/>
      <c r="BI676"/>
      <c r="BJ676"/>
      <c r="BS676"/>
      <c r="BU676"/>
      <c r="BV676"/>
      <c r="BX676"/>
    </row>
    <row r="677" spans="23:76" ht="15.75">
      <c r="W677" s="495"/>
      <c r="X677" s="495"/>
      <c r="Y677" s="495"/>
      <c r="Z677" s="451"/>
      <c r="AA677" s="145"/>
      <c r="AB677" s="223"/>
      <c r="AC677" s="22"/>
      <c r="AH677" s="9"/>
      <c r="AJ677" s="27"/>
      <c r="AK677" s="84"/>
      <c r="AM677" s="13"/>
      <c r="AP677"/>
      <c r="AR677"/>
      <c r="AV677"/>
      <c r="AW677"/>
      <c r="AX677"/>
      <c r="AY677"/>
      <c r="AZ677"/>
      <c r="BC677"/>
      <c r="BD677"/>
      <c r="BG677"/>
      <c r="BH677"/>
      <c r="BI677"/>
      <c r="BJ677"/>
      <c r="BS677"/>
      <c r="BU677"/>
      <c r="BV677"/>
      <c r="BX677"/>
    </row>
    <row r="678" spans="23:76" ht="15.75">
      <c r="W678" s="495"/>
      <c r="X678" s="495"/>
      <c r="Y678" s="495"/>
      <c r="Z678" s="451"/>
      <c r="AA678" s="145"/>
      <c r="AB678" s="223"/>
      <c r="AC678" s="22"/>
      <c r="AH678" s="9"/>
      <c r="AJ678" s="27"/>
      <c r="AK678" s="84"/>
      <c r="AM678" s="13"/>
      <c r="AP678"/>
      <c r="AR678"/>
      <c r="AV678"/>
      <c r="AW678"/>
      <c r="AX678"/>
      <c r="AY678"/>
      <c r="AZ678"/>
      <c r="BC678"/>
      <c r="BD678"/>
      <c r="BG678"/>
      <c r="BH678"/>
      <c r="BI678"/>
      <c r="BJ678"/>
      <c r="BS678"/>
      <c r="BU678"/>
      <c r="BV678"/>
      <c r="BX678"/>
    </row>
    <row r="679" spans="23:76" ht="15.75">
      <c r="W679" s="495"/>
      <c r="X679" s="495"/>
      <c r="Y679" s="495"/>
      <c r="Z679" s="451"/>
      <c r="AA679" s="145"/>
      <c r="AB679" s="223"/>
      <c r="AC679" s="22"/>
      <c r="AH679" s="9"/>
      <c r="AJ679" s="27"/>
      <c r="AK679" s="84"/>
      <c r="AM679" s="13"/>
      <c r="AP679"/>
      <c r="AR679"/>
      <c r="AV679"/>
      <c r="AW679"/>
      <c r="AX679"/>
      <c r="AY679"/>
      <c r="AZ679"/>
      <c r="BC679"/>
      <c r="BD679"/>
      <c r="BG679"/>
      <c r="BH679"/>
      <c r="BI679"/>
      <c r="BJ679"/>
      <c r="BS679"/>
      <c r="BU679"/>
      <c r="BV679"/>
      <c r="BX679"/>
    </row>
    <row r="680" spans="23:76" ht="15.75">
      <c r="W680" s="495"/>
      <c r="X680" s="495"/>
      <c r="Y680" s="495"/>
      <c r="Z680" s="451"/>
      <c r="AA680" s="145"/>
      <c r="AB680" s="223"/>
      <c r="AC680" s="22"/>
      <c r="AH680" s="9"/>
      <c r="AJ680" s="27"/>
      <c r="AK680" s="84"/>
      <c r="AM680" s="13"/>
      <c r="AP680"/>
      <c r="AR680"/>
      <c r="AV680"/>
      <c r="AW680"/>
      <c r="AX680"/>
      <c r="AY680"/>
      <c r="AZ680"/>
      <c r="BC680"/>
      <c r="BD680"/>
      <c r="BG680"/>
      <c r="BH680"/>
      <c r="BI680"/>
      <c r="BJ680"/>
      <c r="BS680"/>
      <c r="BU680"/>
      <c r="BV680"/>
      <c r="BX680"/>
    </row>
    <row r="681" spans="23:76" ht="15.75">
      <c r="W681" s="495"/>
      <c r="X681" s="495"/>
      <c r="Y681" s="495"/>
      <c r="Z681" s="451"/>
      <c r="AA681" s="145"/>
      <c r="AB681" s="223"/>
      <c r="AC681" s="22"/>
      <c r="AH681" s="9"/>
      <c r="AJ681" s="27"/>
      <c r="AK681" s="84"/>
      <c r="AM681" s="13"/>
      <c r="AP681"/>
      <c r="AR681"/>
      <c r="AV681"/>
      <c r="AW681"/>
      <c r="AX681"/>
      <c r="AY681"/>
      <c r="AZ681"/>
      <c r="BC681"/>
      <c r="BD681"/>
      <c r="BG681"/>
      <c r="BH681"/>
      <c r="BI681"/>
      <c r="BJ681"/>
      <c r="BS681"/>
      <c r="BU681"/>
      <c r="BV681"/>
      <c r="BX681"/>
    </row>
    <row r="682" spans="23:76" ht="15.75">
      <c r="W682" s="495"/>
      <c r="X682" s="495"/>
      <c r="Y682" s="495"/>
      <c r="Z682" s="451"/>
      <c r="AA682" s="145"/>
      <c r="AB682" s="223"/>
      <c r="AC682" s="22"/>
      <c r="AH682" s="9"/>
      <c r="AJ682" s="27"/>
      <c r="AK682" s="84"/>
      <c r="AM682" s="13"/>
      <c r="AP682"/>
      <c r="AR682"/>
      <c r="AV682"/>
      <c r="AW682"/>
      <c r="AX682"/>
      <c r="AY682"/>
      <c r="AZ682"/>
      <c r="BC682"/>
      <c r="BD682"/>
      <c r="BG682"/>
      <c r="BH682"/>
      <c r="BI682"/>
      <c r="BJ682"/>
      <c r="BS682"/>
      <c r="BU682"/>
      <c r="BV682"/>
      <c r="BX682"/>
    </row>
    <row r="683" spans="23:76" ht="15.75">
      <c r="W683" s="495"/>
      <c r="X683" s="495"/>
      <c r="Y683" s="495"/>
      <c r="Z683" s="451"/>
      <c r="AA683" s="145"/>
      <c r="AB683" s="223"/>
      <c r="AC683" s="22"/>
      <c r="AH683" s="9"/>
      <c r="AJ683" s="27"/>
      <c r="AK683" s="84"/>
      <c r="AM683" s="13"/>
      <c r="AP683"/>
      <c r="AR683"/>
      <c r="AV683"/>
      <c r="AW683"/>
      <c r="AX683"/>
      <c r="AY683"/>
      <c r="AZ683"/>
      <c r="BC683"/>
      <c r="BD683"/>
      <c r="BG683"/>
      <c r="BH683"/>
      <c r="BI683"/>
      <c r="BJ683"/>
      <c r="BS683"/>
      <c r="BU683"/>
      <c r="BV683"/>
      <c r="BX683"/>
    </row>
    <row r="684" spans="23:76" ht="15.75">
      <c r="W684" s="495"/>
      <c r="X684" s="495"/>
      <c r="Y684" s="495"/>
      <c r="Z684" s="451"/>
      <c r="AA684" s="145"/>
      <c r="AB684" s="223"/>
      <c r="AC684" s="22"/>
      <c r="AH684" s="9"/>
      <c r="AJ684" s="27"/>
      <c r="AK684" s="84"/>
      <c r="AM684" s="13"/>
      <c r="AP684"/>
      <c r="AR684"/>
      <c r="AV684"/>
      <c r="AW684"/>
      <c r="AX684"/>
      <c r="AY684"/>
      <c r="AZ684"/>
      <c r="BC684"/>
      <c r="BD684"/>
      <c r="BG684"/>
      <c r="BH684"/>
      <c r="BI684"/>
      <c r="BJ684"/>
      <c r="BS684"/>
      <c r="BU684"/>
      <c r="BV684"/>
      <c r="BX684"/>
    </row>
    <row r="685" spans="23:76" ht="15.75">
      <c r="W685" s="495"/>
      <c r="X685" s="495"/>
      <c r="Y685" s="495"/>
      <c r="Z685" s="451"/>
      <c r="AA685" s="145"/>
      <c r="AB685" s="223"/>
      <c r="AC685" s="22"/>
      <c r="AH685" s="9"/>
      <c r="AJ685" s="27"/>
      <c r="AK685" s="84"/>
      <c r="AM685" s="13"/>
      <c r="AP685"/>
      <c r="AR685"/>
      <c r="AV685"/>
      <c r="AW685"/>
      <c r="AX685"/>
      <c r="AY685"/>
      <c r="AZ685"/>
      <c r="BC685"/>
      <c r="BD685"/>
      <c r="BG685"/>
      <c r="BH685"/>
      <c r="BI685"/>
      <c r="BJ685"/>
      <c r="BS685"/>
      <c r="BU685"/>
      <c r="BV685"/>
      <c r="BX685"/>
    </row>
    <row r="686" spans="23:76" ht="15.75">
      <c r="W686" s="495"/>
      <c r="X686" s="495"/>
      <c r="Y686" s="495"/>
      <c r="Z686" s="451"/>
      <c r="AA686" s="145"/>
      <c r="AB686" s="223"/>
      <c r="AC686" s="22"/>
      <c r="AH686" s="9"/>
      <c r="AJ686" s="27"/>
      <c r="AK686" s="84"/>
      <c r="AM686" s="13"/>
      <c r="AP686"/>
      <c r="AR686"/>
      <c r="AV686"/>
      <c r="AW686"/>
      <c r="AX686"/>
      <c r="AY686"/>
      <c r="AZ686"/>
      <c r="BC686"/>
      <c r="BD686"/>
      <c r="BG686"/>
      <c r="BH686"/>
      <c r="BI686"/>
      <c r="BJ686"/>
      <c r="BS686"/>
      <c r="BU686"/>
      <c r="BV686"/>
      <c r="BX686"/>
    </row>
    <row r="687" spans="23:76" ht="15.75">
      <c r="W687" s="495"/>
      <c r="X687" s="495"/>
      <c r="Y687" s="495"/>
      <c r="Z687" s="451"/>
      <c r="AA687" s="145"/>
      <c r="AB687" s="223"/>
      <c r="AC687" s="22"/>
      <c r="AH687" s="9"/>
      <c r="AJ687" s="27"/>
      <c r="AK687" s="84"/>
      <c r="AM687" s="13"/>
      <c r="AP687"/>
      <c r="AR687"/>
      <c r="AV687"/>
      <c r="AW687"/>
      <c r="AX687"/>
      <c r="AY687"/>
      <c r="AZ687"/>
      <c r="BC687"/>
      <c r="BD687"/>
      <c r="BG687"/>
      <c r="BH687"/>
      <c r="BI687"/>
      <c r="BJ687"/>
      <c r="BS687"/>
      <c r="BU687"/>
      <c r="BV687"/>
      <c r="BX687"/>
    </row>
    <row r="688" spans="23:76" ht="15.75">
      <c r="W688" s="495"/>
      <c r="X688" s="495"/>
      <c r="Y688" s="495"/>
      <c r="Z688" s="451"/>
      <c r="AA688" s="145"/>
      <c r="AB688" s="223"/>
      <c r="AC688" s="22"/>
      <c r="AH688" s="9"/>
      <c r="AJ688" s="27"/>
      <c r="AK688" s="84"/>
      <c r="AM688" s="13"/>
      <c r="AP688"/>
      <c r="AR688"/>
      <c r="AV688"/>
      <c r="AW688"/>
      <c r="AX688"/>
      <c r="AY688"/>
      <c r="AZ688"/>
      <c r="BC688"/>
      <c r="BD688"/>
      <c r="BG688"/>
      <c r="BH688"/>
      <c r="BI688"/>
      <c r="BJ688"/>
      <c r="BS688"/>
      <c r="BU688"/>
      <c r="BV688"/>
      <c r="BX688"/>
    </row>
    <row r="689" spans="23:76" ht="15.75">
      <c r="W689" s="495"/>
      <c r="X689" s="495"/>
      <c r="Y689" s="495"/>
      <c r="Z689" s="451"/>
      <c r="AA689" s="145"/>
      <c r="AB689" s="223"/>
      <c r="AC689" s="22"/>
      <c r="AH689" s="9"/>
      <c r="AJ689" s="27"/>
      <c r="AK689" s="84"/>
      <c r="AM689" s="13"/>
      <c r="AP689"/>
      <c r="AR689"/>
      <c r="AV689"/>
      <c r="AW689"/>
      <c r="AX689"/>
      <c r="AY689"/>
      <c r="AZ689"/>
      <c r="BC689"/>
      <c r="BD689"/>
      <c r="BG689"/>
      <c r="BH689"/>
      <c r="BI689"/>
      <c r="BJ689"/>
      <c r="BS689"/>
      <c r="BU689"/>
      <c r="BV689"/>
      <c r="BX689"/>
    </row>
    <row r="690" spans="23:76" ht="15.75">
      <c r="W690" s="495"/>
      <c r="X690" s="495"/>
      <c r="Y690" s="495"/>
      <c r="Z690" s="451"/>
      <c r="AA690" s="145"/>
      <c r="AB690" s="223"/>
      <c r="AC690" s="22"/>
      <c r="AH690" s="9"/>
      <c r="AJ690" s="27"/>
      <c r="AK690" s="84"/>
      <c r="AM690" s="13"/>
      <c r="AP690"/>
      <c r="AR690"/>
      <c r="AV690"/>
      <c r="AW690"/>
      <c r="AX690"/>
      <c r="AY690"/>
      <c r="AZ690"/>
      <c r="BC690"/>
      <c r="BD690"/>
      <c r="BG690"/>
      <c r="BH690"/>
      <c r="BI690"/>
      <c r="BJ690"/>
      <c r="BS690"/>
      <c r="BU690"/>
      <c r="BV690"/>
      <c r="BX690"/>
    </row>
    <row r="691" spans="23:76" ht="15.75">
      <c r="W691" s="495"/>
      <c r="X691" s="495"/>
      <c r="Y691" s="495"/>
      <c r="Z691" s="451"/>
      <c r="AA691" s="145"/>
      <c r="AB691" s="223"/>
      <c r="AC691" s="22"/>
      <c r="AH691" s="9"/>
      <c r="AJ691" s="27"/>
      <c r="AK691" s="84"/>
      <c r="AM691" s="13"/>
      <c r="AP691"/>
      <c r="AR691"/>
      <c r="AV691"/>
      <c r="AW691"/>
      <c r="AX691"/>
      <c r="AY691"/>
      <c r="AZ691"/>
      <c r="BC691"/>
      <c r="BD691"/>
      <c r="BG691"/>
      <c r="BH691"/>
      <c r="BI691"/>
      <c r="BJ691"/>
      <c r="BS691"/>
      <c r="BU691"/>
      <c r="BV691"/>
      <c r="BX691"/>
    </row>
    <row r="692" spans="23:76" ht="15.75">
      <c r="W692" s="495"/>
      <c r="X692" s="495"/>
      <c r="Y692" s="495"/>
      <c r="Z692" s="451"/>
      <c r="AA692" s="145"/>
      <c r="AB692" s="223"/>
      <c r="AC692" s="22"/>
      <c r="AH692" s="9"/>
      <c r="AJ692" s="27"/>
      <c r="AK692" s="84"/>
      <c r="AM692" s="13"/>
      <c r="AP692"/>
      <c r="AR692"/>
      <c r="AV692"/>
      <c r="AW692"/>
      <c r="AX692"/>
      <c r="AY692"/>
      <c r="AZ692"/>
      <c r="BC692"/>
      <c r="BD692"/>
      <c r="BG692"/>
      <c r="BH692"/>
      <c r="BI692"/>
      <c r="BJ692"/>
      <c r="BS692"/>
      <c r="BU692"/>
      <c r="BV692"/>
      <c r="BX692"/>
    </row>
    <row r="693" spans="23:76" ht="15.75">
      <c r="W693" s="495"/>
      <c r="X693" s="495"/>
      <c r="Y693" s="495"/>
      <c r="Z693" s="451"/>
      <c r="AA693" s="145"/>
      <c r="AB693" s="223"/>
      <c r="AC693" s="22"/>
      <c r="AH693" s="9"/>
      <c r="AJ693" s="27"/>
      <c r="AK693" s="84"/>
      <c r="AM693" s="13"/>
      <c r="AP693"/>
      <c r="AR693"/>
      <c r="AV693"/>
      <c r="AW693"/>
      <c r="AX693"/>
      <c r="AY693"/>
      <c r="AZ693"/>
      <c r="BC693"/>
      <c r="BD693"/>
      <c r="BG693"/>
      <c r="BH693"/>
      <c r="BI693"/>
      <c r="BJ693"/>
      <c r="BS693"/>
      <c r="BU693"/>
      <c r="BV693"/>
      <c r="BX693"/>
    </row>
    <row r="694" spans="23:76" ht="15.75">
      <c r="W694" s="495"/>
      <c r="X694" s="495"/>
      <c r="Y694" s="495"/>
      <c r="Z694" s="451"/>
      <c r="AA694" s="145"/>
      <c r="AB694" s="223"/>
      <c r="AC694" s="22"/>
      <c r="AH694" s="9"/>
      <c r="AJ694" s="27"/>
      <c r="AK694" s="84"/>
      <c r="AM694" s="13"/>
      <c r="AP694"/>
      <c r="AR694"/>
      <c r="AV694"/>
      <c r="AW694"/>
      <c r="AX694"/>
      <c r="AY694"/>
      <c r="AZ694"/>
      <c r="BC694"/>
      <c r="BD694"/>
      <c r="BG694"/>
      <c r="BH694"/>
      <c r="BI694"/>
      <c r="BJ694"/>
      <c r="BS694"/>
      <c r="BU694"/>
      <c r="BV694"/>
      <c r="BX694"/>
    </row>
    <row r="695" spans="23:76" ht="15.75">
      <c r="W695" s="495"/>
      <c r="X695" s="495"/>
      <c r="Y695" s="495"/>
      <c r="Z695" s="451"/>
      <c r="AA695" s="145"/>
      <c r="AB695" s="223"/>
      <c r="AC695" s="22"/>
      <c r="AH695" s="9"/>
      <c r="AJ695" s="27"/>
      <c r="AK695" s="84"/>
      <c r="AM695" s="13"/>
      <c r="AP695"/>
      <c r="AR695"/>
      <c r="AV695"/>
      <c r="AW695"/>
      <c r="AX695"/>
      <c r="AY695"/>
      <c r="AZ695"/>
      <c r="BC695"/>
      <c r="BD695"/>
      <c r="BG695"/>
      <c r="BH695"/>
      <c r="BI695"/>
      <c r="BJ695"/>
      <c r="BS695"/>
      <c r="BU695"/>
      <c r="BV695"/>
      <c r="BX695"/>
    </row>
    <row r="696" spans="23:76" ht="15.75">
      <c r="W696" s="495"/>
      <c r="X696" s="495"/>
      <c r="Y696" s="495"/>
      <c r="Z696" s="451"/>
      <c r="AA696" s="145"/>
      <c r="AB696" s="223"/>
      <c r="AC696" s="22"/>
      <c r="AH696" s="9"/>
      <c r="AJ696" s="27"/>
      <c r="AK696" s="84"/>
      <c r="AM696" s="13"/>
      <c r="AP696"/>
      <c r="AR696"/>
      <c r="AV696"/>
      <c r="AW696"/>
      <c r="AX696"/>
      <c r="AY696"/>
      <c r="AZ696"/>
      <c r="BC696"/>
      <c r="BD696"/>
      <c r="BG696"/>
      <c r="BH696"/>
      <c r="BI696"/>
      <c r="BJ696"/>
      <c r="BS696"/>
      <c r="BU696"/>
      <c r="BV696"/>
      <c r="BX696"/>
    </row>
    <row r="697" spans="23:76" ht="15.75">
      <c r="W697" s="495"/>
      <c r="X697" s="495"/>
      <c r="Y697" s="495"/>
      <c r="Z697" s="451"/>
      <c r="AA697" s="145"/>
      <c r="AB697" s="223"/>
      <c r="AC697" s="22"/>
      <c r="AH697" s="9"/>
      <c r="AJ697" s="27"/>
      <c r="AK697" s="84"/>
      <c r="AM697" s="13"/>
      <c r="AP697"/>
      <c r="AR697"/>
      <c r="AV697"/>
      <c r="AW697"/>
      <c r="AX697"/>
      <c r="AY697"/>
      <c r="AZ697"/>
      <c r="BC697"/>
      <c r="BD697"/>
      <c r="BG697"/>
      <c r="BH697"/>
      <c r="BI697"/>
      <c r="BJ697"/>
      <c r="BS697"/>
      <c r="BU697"/>
      <c r="BV697"/>
      <c r="BX697"/>
    </row>
    <row r="698" spans="23:76" ht="15.75">
      <c r="W698" s="495"/>
      <c r="X698" s="495"/>
      <c r="Y698" s="495"/>
      <c r="Z698" s="451"/>
      <c r="AA698" s="145"/>
      <c r="AB698" s="223"/>
      <c r="AC698" s="22"/>
      <c r="AH698" s="9"/>
      <c r="AJ698" s="27"/>
      <c r="AK698" s="84"/>
      <c r="AM698" s="13"/>
      <c r="AP698"/>
      <c r="AR698"/>
      <c r="AV698"/>
      <c r="AW698"/>
      <c r="AX698"/>
      <c r="AY698"/>
      <c r="AZ698"/>
      <c r="BC698"/>
      <c r="BD698"/>
      <c r="BG698"/>
      <c r="BH698"/>
      <c r="BI698"/>
      <c r="BJ698"/>
      <c r="BS698"/>
      <c r="BU698"/>
      <c r="BV698"/>
      <c r="BX698"/>
    </row>
    <row r="699" spans="23:76" ht="15.75">
      <c r="W699" s="495"/>
      <c r="X699" s="495"/>
      <c r="Y699" s="495"/>
      <c r="Z699" s="451"/>
      <c r="AA699" s="145"/>
      <c r="AB699" s="223"/>
      <c r="AC699" s="22"/>
      <c r="AH699" s="9"/>
      <c r="AJ699" s="27"/>
      <c r="AK699" s="84"/>
      <c r="AM699" s="13"/>
      <c r="AP699"/>
      <c r="AR699"/>
      <c r="AV699"/>
      <c r="AW699"/>
      <c r="AX699"/>
      <c r="AY699"/>
      <c r="AZ699"/>
      <c r="BC699"/>
      <c r="BD699"/>
      <c r="BG699"/>
      <c r="BH699"/>
      <c r="BI699"/>
      <c r="BJ699"/>
      <c r="BS699"/>
      <c r="BU699"/>
      <c r="BV699"/>
      <c r="BX699"/>
    </row>
    <row r="700" spans="23:76" ht="15.75">
      <c r="W700" s="495"/>
      <c r="X700" s="495"/>
      <c r="Y700" s="495"/>
      <c r="Z700" s="451"/>
      <c r="AA700" s="145"/>
      <c r="AB700" s="223"/>
      <c r="AC700" s="22"/>
      <c r="AH700" s="9"/>
      <c r="AJ700" s="27"/>
      <c r="AK700" s="84"/>
      <c r="AM700" s="13"/>
      <c r="AP700"/>
      <c r="AR700"/>
      <c r="AV700"/>
      <c r="AW700"/>
      <c r="AX700"/>
      <c r="AY700"/>
      <c r="AZ700"/>
      <c r="BC700"/>
      <c r="BD700"/>
      <c r="BG700"/>
      <c r="BH700"/>
      <c r="BI700"/>
      <c r="BJ700"/>
      <c r="BS700"/>
      <c r="BU700"/>
      <c r="BV700"/>
      <c r="BX700"/>
    </row>
    <row r="701" spans="23:76" ht="15.75">
      <c r="W701" s="495"/>
      <c r="X701" s="495"/>
      <c r="Y701" s="495"/>
      <c r="Z701" s="451"/>
      <c r="AA701" s="145"/>
      <c r="AB701" s="223"/>
      <c r="AC701" s="22"/>
      <c r="AH701" s="9"/>
      <c r="AJ701" s="27"/>
      <c r="AK701" s="84"/>
      <c r="AM701" s="13"/>
      <c r="AP701"/>
      <c r="AR701"/>
      <c r="AV701"/>
      <c r="AW701"/>
      <c r="AX701"/>
      <c r="AY701"/>
      <c r="AZ701"/>
      <c r="BC701"/>
      <c r="BD701"/>
      <c r="BG701"/>
      <c r="BH701"/>
      <c r="BI701"/>
      <c r="BJ701"/>
      <c r="BS701"/>
      <c r="BU701"/>
      <c r="BV701"/>
      <c r="BX701"/>
    </row>
    <row r="702" spans="23:76" ht="15.75">
      <c r="W702" s="495"/>
      <c r="X702" s="495"/>
      <c r="Y702" s="495"/>
      <c r="Z702" s="451"/>
      <c r="AA702" s="145"/>
      <c r="AB702" s="223"/>
      <c r="AC702" s="22"/>
      <c r="AH702" s="9"/>
      <c r="AJ702" s="27"/>
      <c r="AK702" s="84"/>
      <c r="AM702" s="13"/>
      <c r="AP702"/>
      <c r="AR702"/>
      <c r="AV702"/>
      <c r="AW702"/>
      <c r="AX702"/>
      <c r="AY702"/>
      <c r="AZ702"/>
      <c r="BC702"/>
      <c r="BD702"/>
      <c r="BG702"/>
      <c r="BH702"/>
      <c r="BI702"/>
      <c r="BJ702"/>
      <c r="BS702"/>
      <c r="BU702"/>
      <c r="BV702"/>
      <c r="BX702"/>
    </row>
    <row r="703" spans="23:76" ht="15.75">
      <c r="W703" s="495"/>
      <c r="X703" s="495"/>
      <c r="Y703" s="495"/>
      <c r="Z703" s="451"/>
      <c r="AA703" s="145"/>
      <c r="AB703" s="223"/>
      <c r="AC703" s="22"/>
      <c r="AH703" s="9"/>
      <c r="AJ703" s="27"/>
      <c r="AK703" s="84"/>
      <c r="AM703" s="13"/>
      <c r="AP703"/>
      <c r="AR703"/>
      <c r="AV703"/>
      <c r="AW703"/>
      <c r="AX703"/>
      <c r="AY703"/>
      <c r="AZ703"/>
      <c r="BC703"/>
      <c r="BD703"/>
      <c r="BG703"/>
      <c r="BH703"/>
      <c r="BI703"/>
      <c r="BJ703"/>
      <c r="BS703"/>
      <c r="BU703"/>
      <c r="BV703"/>
      <c r="BX703"/>
    </row>
    <row r="704" spans="23:76" ht="15.75">
      <c r="W704" s="495"/>
      <c r="X704" s="495"/>
      <c r="Y704" s="495"/>
      <c r="Z704" s="451"/>
      <c r="AA704" s="145"/>
      <c r="AB704" s="223"/>
      <c r="AC704" s="22"/>
      <c r="AH704" s="9"/>
      <c r="AJ704" s="27"/>
      <c r="AK704" s="84"/>
      <c r="AM704" s="13"/>
      <c r="AP704"/>
      <c r="AR704"/>
      <c r="AV704"/>
      <c r="AW704"/>
      <c r="AX704"/>
      <c r="AY704"/>
      <c r="AZ704"/>
      <c r="BC704"/>
      <c r="BD704"/>
      <c r="BG704"/>
      <c r="BH704"/>
      <c r="BI704"/>
      <c r="BJ704"/>
      <c r="BS704"/>
      <c r="BU704"/>
      <c r="BV704"/>
      <c r="BX704"/>
    </row>
    <row r="705" spans="23:76" ht="15.75">
      <c r="W705" s="495"/>
      <c r="X705" s="495"/>
      <c r="Y705" s="495"/>
      <c r="Z705" s="451"/>
      <c r="AA705" s="145"/>
      <c r="AB705" s="223"/>
      <c r="AC705" s="22"/>
      <c r="AH705" s="9"/>
      <c r="AJ705" s="27"/>
      <c r="AK705" s="84"/>
      <c r="AM705" s="13"/>
      <c r="AP705"/>
      <c r="AR705"/>
      <c r="AV705"/>
      <c r="AW705"/>
      <c r="AX705"/>
      <c r="AY705"/>
      <c r="AZ705"/>
      <c r="BC705"/>
      <c r="BD705"/>
      <c r="BG705"/>
      <c r="BH705"/>
      <c r="BI705"/>
      <c r="BJ705"/>
      <c r="BS705"/>
      <c r="BU705"/>
      <c r="BV705"/>
      <c r="BX705"/>
    </row>
    <row r="706" spans="23:76" ht="15.75">
      <c r="W706" s="495"/>
      <c r="X706" s="495"/>
      <c r="Y706" s="495"/>
      <c r="Z706" s="451"/>
      <c r="AA706" s="145"/>
      <c r="AB706" s="223"/>
      <c r="AC706" s="22"/>
      <c r="AH706" s="9"/>
      <c r="AJ706" s="27"/>
      <c r="AK706" s="84"/>
      <c r="AM706" s="13"/>
      <c r="AP706"/>
      <c r="AR706"/>
      <c r="AV706"/>
      <c r="AW706"/>
      <c r="AX706"/>
      <c r="AY706"/>
      <c r="AZ706"/>
      <c r="BC706"/>
      <c r="BD706"/>
      <c r="BG706"/>
      <c r="BH706"/>
      <c r="BI706"/>
      <c r="BJ706"/>
      <c r="BS706"/>
      <c r="BU706"/>
      <c r="BV706"/>
      <c r="BX706"/>
    </row>
    <row r="707" spans="23:76" ht="15.75">
      <c r="W707" s="495"/>
      <c r="X707" s="495"/>
      <c r="Y707" s="495"/>
      <c r="Z707" s="451"/>
      <c r="AA707" s="145"/>
      <c r="AB707" s="223"/>
      <c r="AC707" s="22"/>
      <c r="AH707" s="9"/>
      <c r="AJ707" s="27"/>
      <c r="AK707" s="84"/>
      <c r="AM707" s="13"/>
      <c r="AP707"/>
      <c r="AR707"/>
      <c r="AV707"/>
      <c r="AW707"/>
      <c r="AX707"/>
      <c r="AY707"/>
      <c r="AZ707"/>
      <c r="BC707"/>
      <c r="BD707"/>
      <c r="BG707"/>
      <c r="BH707"/>
      <c r="BI707"/>
      <c r="BJ707"/>
      <c r="BS707"/>
      <c r="BU707"/>
      <c r="BV707"/>
      <c r="BX707"/>
    </row>
    <row r="708" spans="23:76" ht="15.75">
      <c r="W708" s="495"/>
      <c r="X708" s="495"/>
      <c r="Y708" s="495"/>
      <c r="Z708" s="451"/>
      <c r="AA708" s="145"/>
      <c r="AB708" s="223"/>
      <c r="AC708" s="22"/>
      <c r="AH708" s="9"/>
      <c r="AJ708" s="27"/>
      <c r="AK708" s="84"/>
      <c r="AM708" s="13"/>
      <c r="AP708"/>
      <c r="AR708"/>
      <c r="AV708"/>
      <c r="AW708"/>
      <c r="AX708"/>
      <c r="AY708"/>
      <c r="AZ708"/>
      <c r="BC708"/>
      <c r="BD708"/>
      <c r="BG708"/>
      <c r="BH708"/>
      <c r="BI708"/>
      <c r="BJ708"/>
      <c r="BS708"/>
      <c r="BU708"/>
      <c r="BV708"/>
      <c r="BX708"/>
    </row>
    <row r="709" spans="23:76" ht="15.75">
      <c r="W709" s="495"/>
      <c r="X709" s="495"/>
      <c r="Y709" s="495"/>
      <c r="Z709" s="451"/>
      <c r="AA709" s="145"/>
      <c r="AB709" s="223"/>
      <c r="AC709" s="22"/>
      <c r="AH709" s="9"/>
      <c r="AJ709" s="27"/>
      <c r="AK709" s="84"/>
      <c r="AM709" s="13"/>
      <c r="AP709"/>
      <c r="AR709"/>
      <c r="AV709"/>
      <c r="AW709"/>
      <c r="AX709"/>
      <c r="AY709"/>
      <c r="AZ709"/>
      <c r="BC709"/>
      <c r="BD709"/>
      <c r="BG709"/>
      <c r="BH709"/>
      <c r="BI709"/>
      <c r="BJ709"/>
      <c r="BS709"/>
      <c r="BU709"/>
      <c r="BV709"/>
      <c r="BX709"/>
    </row>
    <row r="710" spans="23:76" ht="15.75">
      <c r="W710" s="495"/>
      <c r="X710" s="495"/>
      <c r="Y710" s="495"/>
      <c r="Z710" s="451"/>
      <c r="AA710" s="145"/>
      <c r="AB710" s="223"/>
      <c r="AC710" s="22"/>
      <c r="AH710" s="9"/>
      <c r="AJ710" s="27"/>
      <c r="AK710" s="84"/>
      <c r="AM710" s="13"/>
      <c r="AP710"/>
      <c r="AR710"/>
      <c r="AV710"/>
      <c r="AW710"/>
      <c r="AX710"/>
      <c r="AY710"/>
      <c r="AZ710"/>
      <c r="BC710"/>
      <c r="BD710"/>
      <c r="BG710"/>
      <c r="BH710"/>
      <c r="BI710"/>
      <c r="BJ710"/>
      <c r="BS710"/>
      <c r="BU710"/>
      <c r="BV710"/>
      <c r="BX710"/>
    </row>
    <row r="711" spans="23:76" ht="15.75">
      <c r="W711" s="495"/>
      <c r="X711" s="495"/>
      <c r="Y711" s="495"/>
      <c r="Z711" s="451"/>
      <c r="AA711" s="145"/>
      <c r="AB711" s="223"/>
      <c r="AC711" s="22"/>
      <c r="AH711" s="9"/>
      <c r="AJ711" s="27"/>
      <c r="AK711" s="84"/>
      <c r="AM711" s="13"/>
      <c r="AP711"/>
      <c r="AR711"/>
      <c r="AV711"/>
      <c r="AW711"/>
      <c r="AX711"/>
      <c r="AY711"/>
      <c r="AZ711"/>
      <c r="BC711"/>
      <c r="BD711"/>
      <c r="BG711"/>
      <c r="BH711"/>
      <c r="BI711"/>
      <c r="BJ711"/>
      <c r="BS711"/>
      <c r="BU711"/>
      <c r="BV711"/>
      <c r="BX711"/>
    </row>
    <row r="712" spans="23:76" ht="15.75">
      <c r="W712" s="495"/>
      <c r="X712" s="495"/>
      <c r="Y712" s="495"/>
      <c r="Z712" s="451"/>
      <c r="AA712" s="145"/>
      <c r="AB712" s="223"/>
      <c r="AC712" s="22"/>
      <c r="AH712" s="9"/>
      <c r="AJ712" s="27"/>
      <c r="AK712" s="84"/>
      <c r="AM712" s="13"/>
      <c r="AP712"/>
      <c r="AR712"/>
      <c r="AV712"/>
      <c r="AW712"/>
      <c r="AX712"/>
      <c r="AY712"/>
      <c r="AZ712"/>
      <c r="BC712"/>
      <c r="BD712"/>
      <c r="BG712"/>
      <c r="BH712"/>
      <c r="BI712"/>
      <c r="BJ712"/>
      <c r="BS712"/>
      <c r="BU712"/>
      <c r="BV712"/>
      <c r="BX712"/>
    </row>
    <row r="713" spans="23:76" ht="15.75">
      <c r="W713" s="495"/>
      <c r="X713" s="495"/>
      <c r="Y713" s="495"/>
      <c r="Z713" s="451"/>
      <c r="AA713" s="145"/>
      <c r="AB713" s="223"/>
      <c r="AC713" s="22"/>
      <c r="AH713" s="9"/>
      <c r="AJ713" s="27"/>
      <c r="AK713" s="84"/>
      <c r="AM713" s="13"/>
      <c r="AP713"/>
      <c r="AR713"/>
      <c r="AV713"/>
      <c r="AW713"/>
      <c r="AX713"/>
      <c r="AY713"/>
      <c r="AZ713"/>
      <c r="BC713"/>
      <c r="BD713"/>
      <c r="BG713"/>
      <c r="BH713"/>
      <c r="BI713"/>
      <c r="BJ713"/>
      <c r="BS713"/>
      <c r="BU713"/>
      <c r="BV713"/>
      <c r="BX713"/>
    </row>
    <row r="714" spans="23:76" ht="15.75">
      <c r="W714" s="495"/>
      <c r="X714" s="495"/>
      <c r="Y714" s="495"/>
      <c r="Z714" s="451"/>
      <c r="AA714" s="145"/>
      <c r="AB714" s="223"/>
      <c r="AC714" s="22"/>
      <c r="AH714" s="9"/>
      <c r="AJ714" s="27"/>
      <c r="AK714" s="84"/>
      <c r="AM714" s="13"/>
      <c r="AP714"/>
      <c r="AR714"/>
      <c r="AV714"/>
      <c r="AW714"/>
      <c r="AX714"/>
      <c r="AY714"/>
      <c r="AZ714"/>
      <c r="BC714"/>
      <c r="BD714"/>
      <c r="BG714"/>
      <c r="BH714"/>
      <c r="BI714"/>
      <c r="BJ714"/>
      <c r="BS714"/>
      <c r="BU714"/>
      <c r="BV714"/>
      <c r="BX714"/>
    </row>
    <row r="715" spans="23:76" ht="15.75">
      <c r="W715" s="495"/>
      <c r="X715" s="495"/>
      <c r="Y715" s="495"/>
      <c r="Z715" s="451"/>
      <c r="AA715" s="145"/>
      <c r="AB715" s="223"/>
      <c r="AC715" s="22"/>
      <c r="AH715" s="9"/>
      <c r="AJ715" s="27"/>
      <c r="AK715" s="84"/>
      <c r="AM715" s="13"/>
      <c r="AP715"/>
      <c r="AR715"/>
      <c r="AV715"/>
      <c r="AW715"/>
      <c r="AX715"/>
      <c r="AY715"/>
      <c r="AZ715"/>
      <c r="BC715"/>
      <c r="BD715"/>
      <c r="BG715"/>
      <c r="BH715"/>
      <c r="BI715"/>
      <c r="BJ715"/>
      <c r="BS715"/>
      <c r="BU715"/>
      <c r="BV715"/>
      <c r="BX715"/>
    </row>
    <row r="716" spans="23:76" ht="15.75">
      <c r="W716" s="495"/>
      <c r="X716" s="495"/>
      <c r="Y716" s="495"/>
      <c r="Z716" s="451"/>
      <c r="AA716" s="145"/>
      <c r="AB716" s="223"/>
      <c r="AC716" s="22"/>
      <c r="AH716" s="9"/>
      <c r="AJ716" s="27"/>
      <c r="AK716" s="84"/>
      <c r="AM716" s="13"/>
      <c r="AP716"/>
      <c r="AR716"/>
      <c r="AV716"/>
      <c r="AW716"/>
      <c r="AX716"/>
      <c r="AY716"/>
      <c r="AZ716"/>
      <c r="BC716"/>
      <c r="BD716"/>
      <c r="BG716"/>
      <c r="BH716"/>
      <c r="BI716"/>
      <c r="BJ716"/>
      <c r="BS716"/>
      <c r="BU716"/>
      <c r="BV716"/>
      <c r="BX716"/>
    </row>
    <row r="717" spans="23:76" ht="15.75">
      <c r="W717" s="495"/>
      <c r="X717" s="495"/>
      <c r="Y717" s="495"/>
      <c r="Z717" s="451"/>
      <c r="AA717" s="145"/>
      <c r="AB717" s="223"/>
      <c r="AC717" s="22"/>
      <c r="AH717" s="9"/>
      <c r="AJ717" s="27"/>
      <c r="AK717" s="84"/>
      <c r="AM717" s="13"/>
      <c r="AP717"/>
      <c r="AR717"/>
      <c r="AV717"/>
      <c r="AW717"/>
      <c r="AX717"/>
      <c r="AY717"/>
      <c r="AZ717"/>
      <c r="BC717"/>
      <c r="BD717"/>
      <c r="BG717"/>
      <c r="BH717"/>
      <c r="BI717"/>
      <c r="BJ717"/>
      <c r="BS717"/>
      <c r="BU717"/>
      <c r="BV717"/>
      <c r="BX717"/>
    </row>
    <row r="718" spans="23:76" ht="15.75">
      <c r="W718" s="495"/>
      <c r="X718" s="495"/>
      <c r="Y718" s="495"/>
      <c r="Z718" s="451"/>
      <c r="AA718" s="145"/>
      <c r="AB718" s="223"/>
      <c r="AC718" s="22"/>
      <c r="AH718" s="9"/>
      <c r="AJ718" s="27"/>
      <c r="AK718" s="84"/>
      <c r="AM718" s="13"/>
      <c r="AP718"/>
      <c r="AR718"/>
      <c r="AV718"/>
      <c r="AW718"/>
      <c r="AX718"/>
      <c r="AY718"/>
      <c r="AZ718"/>
      <c r="BC718"/>
      <c r="BD718"/>
      <c r="BG718"/>
      <c r="BH718"/>
      <c r="BI718"/>
      <c r="BJ718"/>
      <c r="BS718"/>
      <c r="BU718"/>
      <c r="BV718"/>
      <c r="BX718"/>
    </row>
    <row r="719" spans="23:76" ht="15.75">
      <c r="W719" s="495"/>
      <c r="X719" s="495"/>
      <c r="Y719" s="495"/>
      <c r="Z719" s="451"/>
      <c r="AA719" s="145"/>
      <c r="AB719" s="223"/>
      <c r="AC719" s="22"/>
      <c r="AH719" s="9"/>
      <c r="AJ719" s="27"/>
      <c r="AK719" s="84"/>
      <c r="AM719" s="13"/>
      <c r="AP719"/>
      <c r="AR719"/>
      <c r="AV719"/>
      <c r="AW719"/>
      <c r="AX719"/>
      <c r="AY719"/>
      <c r="AZ719"/>
      <c r="BC719"/>
      <c r="BD719"/>
      <c r="BG719"/>
      <c r="BH719"/>
      <c r="BI719"/>
      <c r="BJ719"/>
      <c r="BS719"/>
      <c r="BU719"/>
      <c r="BV719"/>
      <c r="BX719"/>
    </row>
    <row r="720" spans="23:76" ht="15.75">
      <c r="W720" s="495"/>
      <c r="X720" s="495"/>
      <c r="Y720" s="495"/>
      <c r="Z720" s="451"/>
      <c r="AA720" s="145"/>
      <c r="AB720" s="223"/>
      <c r="AC720" s="22"/>
      <c r="AH720" s="9"/>
      <c r="AJ720" s="27"/>
      <c r="AK720" s="84"/>
      <c r="AM720" s="13"/>
      <c r="AP720"/>
      <c r="AR720"/>
      <c r="AV720"/>
      <c r="AW720"/>
      <c r="AX720"/>
      <c r="AY720"/>
      <c r="AZ720"/>
      <c r="BC720"/>
      <c r="BD720"/>
      <c r="BG720"/>
      <c r="BH720"/>
      <c r="BI720"/>
      <c r="BJ720"/>
      <c r="BS720"/>
      <c r="BU720"/>
      <c r="BV720"/>
      <c r="BX720"/>
    </row>
    <row r="721" spans="23:76" ht="15.75">
      <c r="W721" s="495"/>
      <c r="X721" s="495"/>
      <c r="Y721" s="495"/>
      <c r="Z721" s="451"/>
      <c r="AA721" s="145"/>
      <c r="AB721" s="223"/>
      <c r="AC721" s="22"/>
      <c r="AH721" s="9"/>
      <c r="AJ721" s="27"/>
      <c r="AK721" s="84"/>
      <c r="AM721" s="13"/>
      <c r="AP721"/>
      <c r="AR721"/>
      <c r="AV721"/>
      <c r="AW721"/>
      <c r="AX721"/>
      <c r="AY721"/>
      <c r="AZ721"/>
      <c r="BC721"/>
      <c r="BD721"/>
      <c r="BG721"/>
      <c r="BH721"/>
      <c r="BI721"/>
      <c r="BJ721"/>
      <c r="BS721"/>
      <c r="BU721"/>
      <c r="BV721"/>
      <c r="BX721"/>
    </row>
    <row r="722" spans="23:76" ht="15.75">
      <c r="W722" s="495"/>
      <c r="X722" s="495"/>
      <c r="Y722" s="495"/>
      <c r="Z722" s="451"/>
      <c r="AA722" s="145"/>
      <c r="AB722" s="223"/>
      <c r="AC722" s="22"/>
      <c r="AH722" s="9"/>
      <c r="AJ722" s="27"/>
      <c r="AK722" s="84"/>
      <c r="AM722" s="13"/>
      <c r="AP722"/>
      <c r="AR722"/>
      <c r="AV722"/>
      <c r="AW722"/>
      <c r="AX722"/>
      <c r="AY722"/>
      <c r="AZ722"/>
      <c r="BC722"/>
      <c r="BD722"/>
      <c r="BG722"/>
      <c r="BH722"/>
      <c r="BI722"/>
      <c r="BJ722"/>
      <c r="BS722"/>
      <c r="BU722"/>
      <c r="BV722"/>
      <c r="BX722"/>
    </row>
    <row r="723" spans="23:76" ht="15.75">
      <c r="W723" s="495"/>
      <c r="X723" s="495"/>
      <c r="Y723" s="495"/>
      <c r="Z723" s="451"/>
      <c r="AA723" s="145"/>
      <c r="AB723" s="223"/>
      <c r="AC723" s="22"/>
      <c r="AH723" s="9"/>
      <c r="AJ723" s="27"/>
      <c r="AK723" s="84"/>
      <c r="AM723" s="13"/>
      <c r="AP723"/>
      <c r="AR723"/>
      <c r="AV723"/>
      <c r="AW723"/>
      <c r="AX723"/>
      <c r="AY723"/>
      <c r="AZ723"/>
      <c r="BC723"/>
      <c r="BD723"/>
      <c r="BG723"/>
      <c r="BH723"/>
      <c r="BI723"/>
      <c r="BJ723"/>
      <c r="BS723"/>
      <c r="BU723"/>
      <c r="BV723"/>
      <c r="BX723"/>
    </row>
    <row r="724" spans="23:76" ht="15.75">
      <c r="W724" s="495"/>
      <c r="X724" s="495"/>
      <c r="Y724" s="495"/>
      <c r="Z724" s="451"/>
      <c r="AA724" s="145"/>
      <c r="AB724" s="223"/>
      <c r="AC724" s="22"/>
      <c r="AH724" s="9"/>
      <c r="AJ724" s="27"/>
      <c r="AK724" s="84"/>
      <c r="AM724" s="13"/>
      <c r="AP724"/>
      <c r="AR724"/>
      <c r="AV724"/>
      <c r="AW724"/>
      <c r="AX724"/>
      <c r="AY724"/>
      <c r="AZ724"/>
      <c r="BC724"/>
      <c r="BD724"/>
      <c r="BG724"/>
      <c r="BH724"/>
      <c r="BI724"/>
      <c r="BJ724"/>
      <c r="BS724"/>
      <c r="BU724"/>
      <c r="BV724"/>
      <c r="BX724"/>
    </row>
    <row r="725" spans="23:76" ht="15.75">
      <c r="W725" s="495"/>
      <c r="X725" s="495"/>
      <c r="Y725" s="495"/>
      <c r="Z725" s="451"/>
      <c r="AA725" s="145"/>
      <c r="AB725" s="223"/>
      <c r="AC725" s="22"/>
      <c r="AH725" s="9"/>
      <c r="AJ725" s="27"/>
      <c r="AK725" s="84"/>
      <c r="AM725" s="13"/>
      <c r="AP725"/>
      <c r="AR725"/>
      <c r="AV725"/>
      <c r="AW725"/>
      <c r="AX725"/>
      <c r="AY725"/>
      <c r="AZ725"/>
      <c r="BC725"/>
      <c r="BD725"/>
      <c r="BG725"/>
      <c r="BH725"/>
      <c r="BI725"/>
      <c r="BJ725"/>
      <c r="BS725"/>
      <c r="BU725"/>
      <c r="BV725"/>
      <c r="BX725"/>
    </row>
    <row r="726" spans="23:76" ht="15.75">
      <c r="W726" s="495"/>
      <c r="X726" s="495"/>
      <c r="Y726" s="495"/>
      <c r="Z726" s="451"/>
      <c r="AA726" s="145"/>
      <c r="AB726" s="223"/>
      <c r="AC726" s="22"/>
      <c r="AH726" s="9"/>
      <c r="AJ726" s="27"/>
      <c r="AK726" s="84"/>
      <c r="AM726" s="13"/>
      <c r="AP726"/>
      <c r="AR726"/>
      <c r="AV726"/>
      <c r="AW726"/>
      <c r="AX726"/>
      <c r="AY726"/>
      <c r="AZ726"/>
      <c r="BC726"/>
      <c r="BD726"/>
      <c r="BG726"/>
      <c r="BH726"/>
      <c r="BI726"/>
      <c r="BJ726"/>
      <c r="BS726"/>
      <c r="BU726"/>
      <c r="BV726"/>
      <c r="BX726"/>
    </row>
    <row r="727" spans="23:76" ht="15.75">
      <c r="W727" s="495"/>
      <c r="X727" s="495"/>
      <c r="Y727" s="495"/>
      <c r="Z727" s="451"/>
      <c r="AA727" s="145"/>
      <c r="AB727" s="223"/>
      <c r="AC727" s="22"/>
      <c r="AH727" s="9"/>
      <c r="AJ727" s="27"/>
      <c r="AK727" s="84"/>
      <c r="AM727" s="13"/>
      <c r="AP727"/>
      <c r="AR727"/>
      <c r="AV727"/>
      <c r="AW727"/>
      <c r="AX727"/>
      <c r="AY727"/>
      <c r="AZ727"/>
      <c r="BC727"/>
      <c r="BD727"/>
      <c r="BG727"/>
      <c r="BH727"/>
      <c r="BI727"/>
      <c r="BJ727"/>
      <c r="BS727"/>
      <c r="BU727"/>
      <c r="BV727"/>
      <c r="BX727"/>
    </row>
    <row r="728" spans="23:76" ht="15.75">
      <c r="W728" s="495"/>
      <c r="X728" s="495"/>
      <c r="Y728" s="495"/>
      <c r="Z728" s="451"/>
      <c r="AA728" s="145"/>
      <c r="AB728" s="223"/>
      <c r="AC728" s="22"/>
      <c r="AH728" s="9"/>
      <c r="AJ728" s="27"/>
      <c r="AK728" s="84"/>
      <c r="AM728" s="13"/>
      <c r="AP728"/>
      <c r="AR728"/>
      <c r="AV728"/>
      <c r="AW728"/>
      <c r="AX728"/>
      <c r="AY728"/>
      <c r="AZ728"/>
      <c r="BC728"/>
      <c r="BD728"/>
      <c r="BG728"/>
      <c r="BH728"/>
      <c r="BI728"/>
      <c r="BJ728"/>
      <c r="BS728"/>
      <c r="BU728"/>
      <c r="BV728"/>
      <c r="BX728"/>
    </row>
    <row r="729" spans="23:76" ht="15.75">
      <c r="W729" s="495"/>
      <c r="X729" s="495"/>
      <c r="Y729" s="495"/>
      <c r="Z729" s="451"/>
      <c r="AA729" s="145"/>
      <c r="AB729" s="223"/>
      <c r="AC729" s="22"/>
      <c r="AH729" s="9"/>
      <c r="AJ729" s="27"/>
      <c r="AK729" s="84"/>
      <c r="AM729" s="13"/>
      <c r="AP729"/>
      <c r="AR729"/>
      <c r="AV729"/>
      <c r="AW729"/>
      <c r="AX729"/>
      <c r="AY729"/>
      <c r="AZ729"/>
      <c r="BC729"/>
      <c r="BD729"/>
      <c r="BG729"/>
      <c r="BH729"/>
      <c r="BI729"/>
      <c r="BJ729"/>
      <c r="BS729"/>
      <c r="BU729"/>
      <c r="BV729"/>
      <c r="BX729"/>
    </row>
    <row r="730" spans="23:76" ht="15.75">
      <c r="W730" s="495"/>
      <c r="X730" s="495"/>
      <c r="Y730" s="495"/>
      <c r="Z730" s="451"/>
      <c r="AA730" s="145"/>
      <c r="AB730" s="223"/>
      <c r="AC730" s="22"/>
      <c r="AH730" s="9"/>
      <c r="AJ730" s="27"/>
      <c r="AK730" s="84"/>
      <c r="AM730" s="13"/>
      <c r="AP730"/>
      <c r="AR730"/>
      <c r="AV730"/>
      <c r="AW730"/>
      <c r="AX730"/>
      <c r="AY730"/>
      <c r="AZ730"/>
      <c r="BC730"/>
      <c r="BD730"/>
      <c r="BG730"/>
      <c r="BH730"/>
      <c r="BI730"/>
      <c r="BJ730"/>
      <c r="BS730"/>
      <c r="BU730"/>
      <c r="BV730"/>
      <c r="BX730"/>
    </row>
    <row r="731" spans="23:76" ht="15.75">
      <c r="W731" s="495"/>
      <c r="X731" s="495"/>
      <c r="Y731" s="495"/>
      <c r="Z731" s="451"/>
      <c r="AA731" s="145"/>
      <c r="AB731" s="223"/>
      <c r="AC731" s="22"/>
      <c r="AH731" s="9"/>
      <c r="AJ731" s="27"/>
      <c r="AK731" s="84"/>
      <c r="AM731" s="13"/>
      <c r="AP731"/>
      <c r="AR731"/>
      <c r="AV731"/>
      <c r="AW731"/>
      <c r="AX731"/>
      <c r="AY731"/>
      <c r="AZ731"/>
      <c r="BC731"/>
      <c r="BD731"/>
      <c r="BG731"/>
      <c r="BH731"/>
      <c r="BI731"/>
      <c r="BJ731"/>
      <c r="BS731"/>
      <c r="BU731"/>
      <c r="BV731"/>
      <c r="BX731"/>
    </row>
    <row r="732" spans="23:76" ht="15.75">
      <c r="W732" s="495"/>
      <c r="X732" s="495"/>
      <c r="Y732" s="495"/>
      <c r="Z732" s="451"/>
      <c r="AA732" s="145"/>
      <c r="AB732" s="223"/>
      <c r="AC732" s="22"/>
      <c r="AH732" s="9"/>
      <c r="AJ732" s="27"/>
      <c r="AK732" s="84"/>
      <c r="AM732" s="13"/>
      <c r="AP732"/>
      <c r="AR732"/>
      <c r="AV732"/>
      <c r="AW732"/>
      <c r="AX732"/>
      <c r="AY732"/>
      <c r="AZ732"/>
      <c r="BC732"/>
      <c r="BD732"/>
      <c r="BG732"/>
      <c r="BH732"/>
      <c r="BI732"/>
      <c r="BJ732"/>
      <c r="BS732"/>
      <c r="BU732"/>
      <c r="BV732"/>
      <c r="BX732"/>
    </row>
    <row r="733" spans="23:76" ht="15.75">
      <c r="W733" s="495"/>
      <c r="X733" s="495"/>
      <c r="Y733" s="495"/>
      <c r="Z733" s="451"/>
      <c r="AA733" s="145"/>
      <c r="AB733" s="223"/>
      <c r="AC733" s="22"/>
      <c r="AH733" s="9"/>
      <c r="AJ733" s="27"/>
      <c r="AK733" s="84"/>
      <c r="AM733" s="13"/>
      <c r="AP733"/>
      <c r="AR733"/>
      <c r="AV733"/>
      <c r="AW733"/>
      <c r="AX733"/>
      <c r="AY733"/>
      <c r="AZ733"/>
      <c r="BC733"/>
      <c r="BD733"/>
      <c r="BG733"/>
      <c r="BH733"/>
      <c r="BI733"/>
      <c r="BJ733"/>
      <c r="BS733"/>
      <c r="BU733"/>
      <c r="BV733"/>
      <c r="BX733"/>
    </row>
    <row r="734" spans="23:76" ht="15.75">
      <c r="W734" s="495"/>
      <c r="X734" s="495"/>
      <c r="Y734" s="495"/>
      <c r="Z734" s="451"/>
      <c r="AA734" s="145"/>
      <c r="AB734" s="223"/>
      <c r="AC734" s="22"/>
      <c r="AH734" s="9"/>
      <c r="AJ734" s="27"/>
      <c r="AK734" s="84"/>
      <c r="AM734" s="13"/>
      <c r="AP734"/>
      <c r="AR734"/>
      <c r="AV734"/>
      <c r="AW734"/>
      <c r="AX734"/>
      <c r="AY734"/>
      <c r="AZ734"/>
      <c r="BC734"/>
      <c r="BD734"/>
      <c r="BG734"/>
      <c r="BH734"/>
      <c r="BI734"/>
      <c r="BJ734"/>
      <c r="BS734"/>
      <c r="BU734"/>
      <c r="BV734"/>
      <c r="BX734"/>
    </row>
    <row r="735" spans="23:76" ht="15.75">
      <c r="W735" s="495"/>
      <c r="X735" s="495"/>
      <c r="Y735" s="495"/>
      <c r="Z735" s="451"/>
      <c r="AA735" s="145"/>
      <c r="AB735" s="223"/>
      <c r="AC735" s="22"/>
      <c r="AH735" s="9"/>
      <c r="AJ735" s="27"/>
      <c r="AK735" s="84"/>
      <c r="AM735" s="13"/>
      <c r="AP735"/>
      <c r="AR735"/>
      <c r="AV735"/>
      <c r="AW735"/>
      <c r="AX735"/>
      <c r="AY735"/>
      <c r="AZ735"/>
      <c r="BC735"/>
      <c r="BD735"/>
      <c r="BG735"/>
      <c r="BH735"/>
      <c r="BI735"/>
      <c r="BJ735"/>
      <c r="BS735"/>
      <c r="BU735"/>
      <c r="BV735"/>
      <c r="BX735"/>
    </row>
    <row r="736" spans="23:76" ht="15.75">
      <c r="W736" s="495"/>
      <c r="X736" s="495"/>
      <c r="Y736" s="495"/>
      <c r="Z736" s="451"/>
      <c r="AA736" s="145"/>
      <c r="AB736" s="223"/>
      <c r="AC736" s="22"/>
      <c r="AH736" s="9"/>
      <c r="AJ736" s="27"/>
      <c r="AK736" s="84"/>
      <c r="AM736" s="13"/>
      <c r="AP736"/>
      <c r="AR736"/>
      <c r="AV736"/>
      <c r="AW736"/>
      <c r="AX736"/>
      <c r="AY736"/>
      <c r="AZ736"/>
      <c r="BC736"/>
      <c r="BD736"/>
      <c r="BG736"/>
      <c r="BH736"/>
      <c r="BI736"/>
      <c r="BJ736"/>
      <c r="BS736"/>
      <c r="BU736"/>
      <c r="BV736"/>
      <c r="BX736"/>
    </row>
    <row r="737" spans="23:76" ht="15.75">
      <c r="W737" s="495"/>
      <c r="X737" s="495"/>
      <c r="Y737" s="495"/>
      <c r="Z737" s="451"/>
      <c r="AA737" s="145"/>
      <c r="AB737" s="223"/>
      <c r="AC737" s="22"/>
      <c r="AH737" s="9"/>
      <c r="AJ737" s="27"/>
      <c r="AK737" s="84"/>
      <c r="AM737" s="13"/>
      <c r="AP737"/>
      <c r="AR737"/>
      <c r="AV737"/>
      <c r="AW737"/>
      <c r="AX737"/>
      <c r="AY737"/>
      <c r="AZ737"/>
      <c r="BC737"/>
      <c r="BD737"/>
      <c r="BG737"/>
      <c r="BH737"/>
      <c r="BI737"/>
      <c r="BJ737"/>
      <c r="BS737"/>
      <c r="BU737"/>
      <c r="BV737"/>
      <c r="BX737"/>
    </row>
    <row r="738" spans="23:76" ht="15.75">
      <c r="W738" s="495"/>
      <c r="X738" s="495"/>
      <c r="Y738" s="495"/>
      <c r="Z738" s="451"/>
      <c r="AA738" s="145"/>
      <c r="AB738" s="223"/>
      <c r="AC738" s="22"/>
      <c r="AH738" s="9"/>
      <c r="AJ738" s="27"/>
      <c r="AK738" s="84"/>
      <c r="AM738" s="13"/>
      <c r="AP738"/>
      <c r="AR738"/>
      <c r="AV738"/>
      <c r="AW738"/>
      <c r="AX738"/>
      <c r="AY738"/>
      <c r="AZ738"/>
      <c r="BC738"/>
      <c r="BD738"/>
      <c r="BG738"/>
      <c r="BH738"/>
      <c r="BI738"/>
      <c r="BJ738"/>
      <c r="BS738"/>
      <c r="BU738"/>
      <c r="BV738"/>
      <c r="BX738"/>
    </row>
    <row r="739" spans="23:76" ht="15.75">
      <c r="W739" s="495"/>
      <c r="X739" s="495"/>
      <c r="Y739" s="495"/>
      <c r="Z739" s="451"/>
      <c r="AA739" s="145"/>
      <c r="AB739" s="223"/>
      <c r="AC739" s="22"/>
      <c r="AH739" s="9"/>
      <c r="AJ739" s="27"/>
      <c r="AK739" s="84"/>
      <c r="AM739" s="13"/>
      <c r="AP739"/>
      <c r="AR739"/>
      <c r="AV739"/>
      <c r="AW739"/>
      <c r="AX739"/>
      <c r="AY739"/>
      <c r="AZ739"/>
      <c r="BC739"/>
      <c r="BD739"/>
      <c r="BG739"/>
      <c r="BH739"/>
      <c r="BI739"/>
      <c r="BJ739"/>
      <c r="BS739"/>
      <c r="BU739"/>
      <c r="BV739"/>
      <c r="BX739"/>
    </row>
    <row r="740" spans="23:76" ht="15.75">
      <c r="W740" s="495"/>
      <c r="X740" s="495"/>
      <c r="Y740" s="495"/>
      <c r="Z740" s="451"/>
      <c r="AA740" s="145"/>
      <c r="AB740" s="223"/>
      <c r="AC740" s="22"/>
      <c r="AH740" s="9"/>
      <c r="AJ740" s="27"/>
      <c r="AK740" s="84"/>
      <c r="AM740" s="13"/>
      <c r="AP740"/>
      <c r="AR740"/>
      <c r="AV740"/>
      <c r="AW740"/>
      <c r="AX740"/>
      <c r="AY740"/>
      <c r="AZ740"/>
      <c r="BC740"/>
      <c r="BD740"/>
      <c r="BG740"/>
      <c r="BH740"/>
      <c r="BI740"/>
      <c r="BJ740"/>
      <c r="BS740"/>
      <c r="BU740"/>
      <c r="BV740"/>
      <c r="BX740"/>
    </row>
    <row r="741" spans="23:76" ht="15.75">
      <c r="W741" s="495"/>
      <c r="X741" s="495"/>
      <c r="Y741" s="495"/>
      <c r="Z741" s="451"/>
      <c r="AA741" s="145"/>
      <c r="AB741" s="223"/>
      <c r="AC741" s="22"/>
      <c r="AH741" s="9"/>
      <c r="AJ741" s="27"/>
      <c r="AK741" s="84"/>
      <c r="AM741" s="13"/>
      <c r="AP741"/>
      <c r="AR741"/>
      <c r="AV741"/>
      <c r="AW741"/>
      <c r="AX741"/>
      <c r="AY741"/>
      <c r="AZ741"/>
      <c r="BC741"/>
      <c r="BD741"/>
      <c r="BG741"/>
      <c r="BH741"/>
      <c r="BI741"/>
      <c r="BJ741"/>
      <c r="BS741"/>
      <c r="BU741"/>
      <c r="BV741"/>
      <c r="BX741"/>
    </row>
    <row r="742" spans="23:76" ht="15.75">
      <c r="W742" s="495"/>
      <c r="X742" s="495"/>
      <c r="Y742" s="495"/>
      <c r="Z742" s="451"/>
      <c r="AA742" s="145"/>
      <c r="AB742" s="223"/>
      <c r="AC742" s="22"/>
      <c r="AH742" s="9"/>
      <c r="AJ742" s="27"/>
      <c r="AK742" s="84"/>
      <c r="AM742" s="13"/>
      <c r="AP742"/>
      <c r="AR742"/>
      <c r="AV742"/>
      <c r="AW742"/>
      <c r="AX742"/>
      <c r="AY742"/>
      <c r="AZ742"/>
      <c r="BC742"/>
      <c r="BD742"/>
      <c r="BG742"/>
      <c r="BH742"/>
      <c r="BI742"/>
      <c r="BJ742"/>
      <c r="BS742"/>
      <c r="BU742"/>
      <c r="BV742"/>
      <c r="BX742"/>
    </row>
    <row r="743" spans="23:76" ht="15.75">
      <c r="W743" s="495"/>
      <c r="X743" s="495"/>
      <c r="Y743" s="495"/>
      <c r="Z743" s="451"/>
      <c r="AA743" s="145"/>
      <c r="AB743" s="223"/>
      <c r="AC743" s="22"/>
      <c r="AH743" s="9"/>
      <c r="AJ743" s="27"/>
      <c r="AK743" s="84"/>
      <c r="AM743" s="13"/>
      <c r="AP743"/>
      <c r="AR743"/>
      <c r="AV743"/>
      <c r="AW743"/>
      <c r="AX743"/>
      <c r="AY743"/>
      <c r="AZ743"/>
      <c r="BC743"/>
      <c r="BD743"/>
      <c r="BG743"/>
      <c r="BH743"/>
      <c r="BI743"/>
      <c r="BJ743"/>
      <c r="BS743"/>
      <c r="BU743"/>
      <c r="BV743"/>
      <c r="BX743"/>
    </row>
    <row r="744" spans="23:76" ht="15.75">
      <c r="W744" s="495"/>
      <c r="X744" s="495"/>
      <c r="Y744" s="495"/>
      <c r="Z744" s="451"/>
      <c r="AA744" s="145"/>
      <c r="AB744" s="223"/>
      <c r="AC744" s="22"/>
      <c r="AH744" s="9"/>
      <c r="AJ744" s="27"/>
      <c r="AK744" s="84"/>
      <c r="AM744" s="13"/>
      <c r="AP744"/>
      <c r="AR744"/>
      <c r="AV744"/>
      <c r="AW744"/>
      <c r="AX744"/>
      <c r="AY744"/>
      <c r="AZ744"/>
      <c r="BC744"/>
      <c r="BD744"/>
      <c r="BG744"/>
      <c r="BH744"/>
      <c r="BI744"/>
      <c r="BJ744"/>
      <c r="BS744"/>
      <c r="BU744"/>
      <c r="BV744"/>
      <c r="BX744"/>
    </row>
    <row r="745" spans="23:76" ht="15.75">
      <c r="W745" s="495"/>
      <c r="X745" s="495"/>
      <c r="Y745" s="495"/>
      <c r="Z745" s="451"/>
      <c r="AA745" s="145"/>
      <c r="AB745" s="223"/>
      <c r="AC745" s="22"/>
      <c r="AH745" s="9"/>
      <c r="AJ745" s="27"/>
      <c r="AK745" s="84"/>
      <c r="AM745" s="13"/>
      <c r="AP745"/>
      <c r="AR745"/>
      <c r="AV745"/>
      <c r="AW745"/>
      <c r="AX745"/>
      <c r="AY745"/>
      <c r="AZ745"/>
      <c r="BC745"/>
      <c r="BD745"/>
      <c r="BG745"/>
      <c r="BH745"/>
      <c r="BI745"/>
      <c r="BJ745"/>
      <c r="BS745"/>
      <c r="BU745"/>
      <c r="BV745"/>
      <c r="BX745"/>
    </row>
    <row r="746" spans="23:76" ht="15.75">
      <c r="W746" s="495"/>
      <c r="X746" s="495"/>
      <c r="Y746" s="495"/>
      <c r="Z746" s="451"/>
      <c r="AA746" s="145"/>
      <c r="AB746" s="223"/>
      <c r="AC746" s="22"/>
      <c r="AH746" s="9"/>
      <c r="AJ746" s="27"/>
      <c r="AK746" s="84"/>
      <c r="AM746" s="13"/>
      <c r="AP746"/>
      <c r="AR746"/>
      <c r="AV746"/>
      <c r="AW746"/>
      <c r="AX746"/>
      <c r="AY746"/>
      <c r="AZ746"/>
      <c r="BC746"/>
      <c r="BD746"/>
      <c r="BG746"/>
      <c r="BH746"/>
      <c r="BI746"/>
      <c r="BJ746"/>
      <c r="BS746"/>
      <c r="BU746"/>
      <c r="BV746"/>
      <c r="BX746"/>
    </row>
    <row r="747" spans="23:76" ht="15.75">
      <c r="W747" s="495"/>
      <c r="X747" s="495"/>
      <c r="Y747" s="495"/>
      <c r="Z747" s="451"/>
      <c r="AA747" s="145"/>
      <c r="AB747" s="223"/>
      <c r="AC747" s="22"/>
      <c r="AH747" s="9"/>
      <c r="AJ747" s="27"/>
      <c r="AK747" s="84"/>
      <c r="AM747" s="13"/>
      <c r="AP747"/>
      <c r="AR747"/>
      <c r="AV747"/>
      <c r="AW747"/>
      <c r="AX747"/>
      <c r="AY747"/>
      <c r="AZ747"/>
      <c r="BC747"/>
      <c r="BD747"/>
      <c r="BG747"/>
      <c r="BH747"/>
      <c r="BI747"/>
      <c r="BJ747"/>
      <c r="BS747"/>
      <c r="BU747"/>
      <c r="BV747"/>
      <c r="BX747"/>
    </row>
    <row r="748" spans="23:76" ht="15.75">
      <c r="W748" s="495"/>
      <c r="X748" s="495"/>
      <c r="Y748" s="495"/>
      <c r="Z748" s="451"/>
      <c r="AA748" s="145"/>
      <c r="AB748" s="223"/>
      <c r="AC748" s="22"/>
      <c r="AH748" s="9"/>
      <c r="AJ748" s="27"/>
      <c r="AK748" s="84"/>
      <c r="AM748" s="13"/>
      <c r="AP748"/>
      <c r="AR748"/>
      <c r="AV748"/>
      <c r="AW748"/>
      <c r="AX748"/>
      <c r="AY748"/>
      <c r="AZ748"/>
      <c r="BC748"/>
      <c r="BD748"/>
      <c r="BG748"/>
      <c r="BH748"/>
      <c r="BI748"/>
      <c r="BJ748"/>
      <c r="BS748"/>
      <c r="BU748"/>
      <c r="BV748"/>
      <c r="BX748"/>
    </row>
    <row r="749" spans="23:76" ht="15.75">
      <c r="W749" s="495"/>
      <c r="X749" s="495"/>
      <c r="Y749" s="495"/>
      <c r="Z749" s="451"/>
      <c r="AA749" s="145"/>
      <c r="AB749" s="223"/>
      <c r="AC749" s="22"/>
      <c r="AH749" s="9"/>
      <c r="AJ749" s="27"/>
      <c r="AK749" s="84"/>
      <c r="AM749" s="13"/>
      <c r="AP749"/>
      <c r="AR749"/>
      <c r="AV749"/>
      <c r="AW749"/>
      <c r="AX749"/>
      <c r="AY749"/>
      <c r="AZ749"/>
      <c r="BC749"/>
      <c r="BD749"/>
      <c r="BG749"/>
      <c r="BH749"/>
      <c r="BI749"/>
      <c r="BJ749"/>
      <c r="BS749"/>
      <c r="BU749"/>
      <c r="BV749"/>
      <c r="BX749"/>
    </row>
    <row r="750" spans="23:76" ht="15.75">
      <c r="W750" s="495"/>
      <c r="X750" s="495"/>
      <c r="Y750" s="495"/>
      <c r="Z750" s="451"/>
      <c r="AA750" s="145"/>
      <c r="AB750" s="223"/>
      <c r="AC750" s="22"/>
      <c r="AH750" s="9"/>
      <c r="AJ750" s="27"/>
      <c r="AK750" s="84"/>
      <c r="AM750" s="13"/>
      <c r="AP750"/>
      <c r="AR750"/>
      <c r="AV750"/>
      <c r="AW750"/>
      <c r="AX750"/>
      <c r="AY750"/>
      <c r="AZ750"/>
      <c r="BC750"/>
      <c r="BD750"/>
      <c r="BG750"/>
      <c r="BH750"/>
      <c r="BI750"/>
      <c r="BJ750"/>
      <c r="BS750"/>
      <c r="BU750"/>
      <c r="BV750"/>
      <c r="BX750"/>
    </row>
    <row r="751" spans="23:76" ht="15.75">
      <c r="W751" s="495"/>
      <c r="X751" s="495"/>
      <c r="Y751" s="495"/>
      <c r="Z751" s="451"/>
      <c r="AA751" s="145"/>
      <c r="AB751" s="223"/>
      <c r="AC751" s="22"/>
      <c r="AH751" s="9"/>
      <c r="AJ751" s="27"/>
      <c r="AK751" s="84"/>
      <c r="AM751" s="13"/>
      <c r="AP751"/>
      <c r="AR751"/>
      <c r="AV751"/>
      <c r="AW751"/>
      <c r="AX751"/>
      <c r="AY751"/>
      <c r="AZ751"/>
      <c r="BC751"/>
      <c r="BD751"/>
      <c r="BG751"/>
      <c r="BH751"/>
      <c r="BI751"/>
      <c r="BJ751"/>
      <c r="BS751"/>
      <c r="BU751"/>
      <c r="BV751"/>
      <c r="BX751"/>
    </row>
    <row r="752" spans="23:76" ht="15.75">
      <c r="W752" s="495"/>
      <c r="X752" s="495"/>
      <c r="Y752" s="495"/>
      <c r="Z752" s="451"/>
      <c r="AA752" s="145"/>
      <c r="AB752" s="223"/>
      <c r="AC752" s="22"/>
      <c r="AH752" s="9"/>
      <c r="AJ752" s="27"/>
      <c r="AK752" s="84"/>
      <c r="AM752" s="13"/>
      <c r="AP752"/>
      <c r="AR752"/>
      <c r="AV752"/>
      <c r="AW752"/>
      <c r="AX752"/>
      <c r="AY752"/>
      <c r="AZ752"/>
      <c r="BC752"/>
      <c r="BD752"/>
      <c r="BG752"/>
      <c r="BH752"/>
      <c r="BI752"/>
      <c r="BJ752"/>
      <c r="BS752"/>
      <c r="BU752"/>
      <c r="BV752"/>
      <c r="BX752"/>
    </row>
    <row r="753" spans="23:76" ht="15.75">
      <c r="W753" s="495"/>
      <c r="X753" s="495"/>
      <c r="Y753" s="495"/>
      <c r="Z753" s="451"/>
      <c r="AA753" s="145"/>
      <c r="AB753" s="223"/>
      <c r="AC753" s="22"/>
      <c r="AH753" s="9"/>
      <c r="AJ753" s="27"/>
      <c r="AK753" s="84"/>
      <c r="AM753" s="13"/>
      <c r="AP753"/>
      <c r="AR753"/>
      <c r="AV753"/>
      <c r="AW753"/>
      <c r="AX753"/>
      <c r="AY753"/>
      <c r="AZ753"/>
      <c r="BC753"/>
      <c r="BD753"/>
      <c r="BG753"/>
      <c r="BH753"/>
      <c r="BI753"/>
      <c r="BJ753"/>
      <c r="BS753"/>
      <c r="BU753"/>
      <c r="BV753"/>
      <c r="BX753"/>
    </row>
    <row r="754" spans="23:76" ht="15.75">
      <c r="W754" s="495"/>
      <c r="X754" s="495"/>
      <c r="Y754" s="495"/>
      <c r="Z754" s="451"/>
      <c r="AA754" s="145"/>
      <c r="AB754" s="223"/>
      <c r="AC754" s="22"/>
      <c r="AH754" s="9"/>
      <c r="AJ754" s="27"/>
      <c r="AK754" s="84"/>
      <c r="AM754" s="13"/>
      <c r="AP754"/>
      <c r="AR754"/>
      <c r="AV754"/>
      <c r="AW754"/>
      <c r="AX754"/>
      <c r="AY754"/>
      <c r="AZ754"/>
      <c r="BC754"/>
      <c r="BD754"/>
      <c r="BG754"/>
      <c r="BH754"/>
      <c r="BI754"/>
      <c r="BJ754"/>
      <c r="BS754"/>
      <c r="BU754"/>
      <c r="BV754"/>
      <c r="BX754"/>
    </row>
    <row r="755" spans="23:76" ht="15.75">
      <c r="W755" s="495"/>
      <c r="X755" s="495"/>
      <c r="Y755" s="495"/>
      <c r="Z755" s="451"/>
      <c r="AA755" s="145"/>
      <c r="AB755" s="223"/>
      <c r="AC755" s="22"/>
      <c r="AH755" s="9"/>
      <c r="AJ755" s="27"/>
      <c r="AK755" s="84"/>
      <c r="AM755" s="13"/>
      <c r="AP755"/>
      <c r="AR755"/>
      <c r="AV755"/>
      <c r="AW755"/>
      <c r="AX755"/>
      <c r="AY755"/>
      <c r="AZ755"/>
      <c r="BC755"/>
      <c r="BD755"/>
      <c r="BG755"/>
      <c r="BH755"/>
      <c r="BI755"/>
      <c r="BJ755"/>
      <c r="BS755"/>
      <c r="BU755"/>
      <c r="BV755"/>
      <c r="BX755"/>
    </row>
    <row r="756" spans="23:76" ht="15.75">
      <c r="W756" s="495"/>
      <c r="X756" s="495"/>
      <c r="Y756" s="495"/>
      <c r="Z756" s="451"/>
      <c r="AA756" s="145"/>
      <c r="AB756" s="223"/>
      <c r="AC756" s="22"/>
      <c r="AH756" s="9"/>
      <c r="AJ756" s="27"/>
      <c r="AK756" s="84"/>
      <c r="AM756" s="13"/>
      <c r="AP756"/>
      <c r="AR756"/>
      <c r="AV756"/>
      <c r="AW756"/>
      <c r="AX756"/>
      <c r="AY756"/>
      <c r="AZ756"/>
      <c r="BC756"/>
      <c r="BD756"/>
      <c r="BG756"/>
      <c r="BH756"/>
      <c r="BI756"/>
      <c r="BJ756"/>
      <c r="BS756"/>
      <c r="BU756"/>
      <c r="BV756"/>
      <c r="BX756"/>
    </row>
    <row r="757" spans="23:76" ht="15.75">
      <c r="W757" s="495"/>
      <c r="X757" s="495"/>
      <c r="Y757" s="495"/>
      <c r="Z757" s="451"/>
      <c r="AA757" s="145"/>
      <c r="AB757" s="223"/>
      <c r="AC757" s="22"/>
      <c r="AH757" s="9"/>
      <c r="AJ757" s="27"/>
      <c r="AK757" s="84"/>
      <c r="AM757" s="13"/>
      <c r="AP757"/>
      <c r="AR757"/>
      <c r="AV757"/>
      <c r="AW757"/>
      <c r="AX757"/>
      <c r="AY757"/>
      <c r="AZ757"/>
      <c r="BC757"/>
      <c r="BD757"/>
      <c r="BG757"/>
      <c r="BH757"/>
      <c r="BI757"/>
      <c r="BJ757"/>
      <c r="BS757"/>
      <c r="BU757"/>
      <c r="BV757"/>
      <c r="BX757"/>
    </row>
    <row r="758" spans="23:76" ht="15.75">
      <c r="W758" s="495"/>
      <c r="X758" s="495"/>
      <c r="Y758" s="495"/>
      <c r="Z758" s="451"/>
      <c r="AA758" s="145"/>
      <c r="AB758" s="223"/>
      <c r="AC758" s="22"/>
      <c r="AH758" s="9"/>
      <c r="AJ758" s="27"/>
      <c r="AK758" s="84"/>
      <c r="AM758" s="13"/>
      <c r="AP758"/>
      <c r="AR758"/>
      <c r="AV758"/>
      <c r="AW758"/>
      <c r="AX758"/>
      <c r="AY758"/>
      <c r="AZ758"/>
      <c r="BC758"/>
      <c r="BD758"/>
      <c r="BG758"/>
      <c r="BH758"/>
      <c r="BI758"/>
      <c r="BJ758"/>
      <c r="BS758"/>
      <c r="BU758"/>
      <c r="BV758"/>
      <c r="BX758"/>
    </row>
    <row r="759" spans="23:76" ht="15.75">
      <c r="W759" s="495"/>
      <c r="X759" s="495"/>
      <c r="Y759" s="495"/>
      <c r="Z759" s="451"/>
      <c r="AA759" s="145"/>
      <c r="AB759" s="223"/>
      <c r="AC759" s="22"/>
      <c r="AH759" s="9"/>
      <c r="AJ759" s="27"/>
      <c r="AK759" s="84"/>
      <c r="AM759" s="13"/>
      <c r="AP759"/>
      <c r="AR759"/>
      <c r="AV759"/>
      <c r="AW759"/>
      <c r="AX759"/>
      <c r="AY759"/>
      <c r="AZ759"/>
      <c r="BC759"/>
      <c r="BD759"/>
      <c r="BG759"/>
      <c r="BH759"/>
      <c r="BI759"/>
      <c r="BJ759"/>
      <c r="BS759"/>
      <c r="BU759"/>
      <c r="BV759"/>
      <c r="BX759"/>
    </row>
    <row r="760" spans="23:76" ht="15.75">
      <c r="W760" s="495"/>
      <c r="X760" s="495"/>
      <c r="Y760" s="495"/>
      <c r="Z760" s="451"/>
      <c r="AA760" s="145"/>
      <c r="AB760" s="223"/>
      <c r="AC760" s="22"/>
      <c r="AH760" s="9"/>
      <c r="AJ760" s="27"/>
      <c r="AK760" s="84"/>
      <c r="AM760" s="13"/>
      <c r="AP760"/>
      <c r="AR760"/>
      <c r="AV760"/>
      <c r="AW760"/>
      <c r="AX760"/>
      <c r="AY760"/>
      <c r="AZ760"/>
      <c r="BC760"/>
      <c r="BD760"/>
      <c r="BG760"/>
      <c r="BH760"/>
      <c r="BI760"/>
      <c r="BJ760"/>
      <c r="BS760"/>
      <c r="BU760"/>
      <c r="BV760"/>
      <c r="BX760"/>
    </row>
    <row r="761" spans="23:76" ht="15.75">
      <c r="W761" s="495"/>
      <c r="X761" s="495"/>
      <c r="Y761" s="495"/>
      <c r="Z761" s="451"/>
      <c r="AA761" s="145"/>
      <c r="AB761" s="223"/>
      <c r="AC761" s="22"/>
      <c r="AH761" s="9"/>
      <c r="AJ761" s="27"/>
      <c r="AK761" s="84"/>
      <c r="AM761" s="13"/>
      <c r="AP761"/>
      <c r="AR761"/>
      <c r="AV761"/>
      <c r="AW761"/>
      <c r="AX761"/>
      <c r="AY761"/>
      <c r="AZ761"/>
      <c r="BC761"/>
      <c r="BD761"/>
      <c r="BG761"/>
      <c r="BH761"/>
      <c r="BI761"/>
      <c r="BJ761"/>
      <c r="BS761"/>
      <c r="BU761"/>
      <c r="BV761"/>
      <c r="BX761"/>
    </row>
    <row r="762" spans="23:76" ht="15.75">
      <c r="W762" s="495"/>
      <c r="X762" s="495"/>
      <c r="Y762" s="495"/>
      <c r="Z762" s="451"/>
      <c r="AA762" s="145"/>
      <c r="AB762" s="223"/>
      <c r="AC762" s="22"/>
      <c r="AH762" s="9"/>
      <c r="AJ762" s="27"/>
      <c r="AK762" s="84"/>
      <c r="AM762" s="13"/>
      <c r="AP762"/>
      <c r="AR762"/>
      <c r="AV762"/>
      <c r="AW762"/>
      <c r="AX762"/>
      <c r="AY762"/>
      <c r="AZ762"/>
      <c r="BC762"/>
      <c r="BD762"/>
      <c r="BG762"/>
      <c r="BH762"/>
      <c r="BI762"/>
      <c r="BJ762"/>
      <c r="BS762"/>
      <c r="BU762"/>
      <c r="BV762"/>
      <c r="BX762"/>
    </row>
    <row r="763" spans="23:76" ht="15.75">
      <c r="W763" s="495"/>
      <c r="X763" s="495"/>
      <c r="Y763" s="495"/>
      <c r="Z763" s="451"/>
      <c r="AA763" s="145"/>
      <c r="AB763" s="223"/>
      <c r="AC763" s="22"/>
      <c r="AH763" s="9"/>
      <c r="AJ763" s="27"/>
      <c r="AK763" s="84"/>
      <c r="AM763" s="13"/>
      <c r="AP763"/>
      <c r="AR763"/>
      <c r="AV763"/>
      <c r="AW763"/>
      <c r="AX763"/>
      <c r="AY763"/>
      <c r="AZ763"/>
      <c r="BC763"/>
      <c r="BD763"/>
      <c r="BG763"/>
      <c r="BH763"/>
      <c r="BI763"/>
      <c r="BJ763"/>
      <c r="BS763"/>
      <c r="BU763"/>
      <c r="BV763"/>
      <c r="BX763"/>
    </row>
    <row r="764" spans="23:76" ht="15.75">
      <c r="W764" s="495"/>
      <c r="X764" s="495"/>
      <c r="Y764" s="495"/>
      <c r="Z764" s="451"/>
      <c r="AA764" s="145"/>
      <c r="AB764" s="223"/>
      <c r="AC764" s="22"/>
      <c r="AH764" s="9"/>
      <c r="AJ764" s="27"/>
      <c r="AK764" s="84"/>
      <c r="AM764" s="13"/>
      <c r="AP764"/>
      <c r="AR764"/>
      <c r="AV764"/>
      <c r="AW764"/>
      <c r="AX764"/>
      <c r="AY764"/>
      <c r="AZ764"/>
      <c r="BC764"/>
      <c r="BD764"/>
      <c r="BG764"/>
      <c r="BH764"/>
      <c r="BI764"/>
      <c r="BJ764"/>
      <c r="BS764"/>
      <c r="BU764"/>
      <c r="BV764"/>
      <c r="BX764"/>
    </row>
    <row r="765" spans="23:76" ht="15.75">
      <c r="W765" s="495"/>
      <c r="X765" s="495"/>
      <c r="Y765" s="495"/>
      <c r="Z765" s="451"/>
      <c r="AA765" s="145"/>
      <c r="AB765" s="223"/>
      <c r="AC765" s="22"/>
      <c r="AH765" s="9"/>
      <c r="AJ765" s="27"/>
      <c r="AK765" s="84"/>
      <c r="AM765" s="13"/>
      <c r="AP765"/>
      <c r="AR765"/>
      <c r="AV765"/>
      <c r="AW765"/>
      <c r="AX765"/>
      <c r="AY765"/>
      <c r="AZ765"/>
      <c r="BC765"/>
      <c r="BD765"/>
      <c r="BG765"/>
      <c r="BH765"/>
      <c r="BI765"/>
      <c r="BJ765"/>
      <c r="BS765"/>
      <c r="BU765"/>
      <c r="BV765"/>
      <c r="BX765"/>
    </row>
    <row r="766" spans="23:76" ht="15.75">
      <c r="W766" s="495"/>
      <c r="X766" s="495"/>
      <c r="Y766" s="495"/>
      <c r="Z766" s="451"/>
      <c r="AA766" s="145"/>
      <c r="AB766" s="223"/>
      <c r="AC766" s="22"/>
      <c r="AH766" s="9"/>
      <c r="AJ766" s="27"/>
      <c r="AK766" s="84"/>
      <c r="AM766" s="13"/>
      <c r="AP766"/>
      <c r="AR766"/>
      <c r="AV766"/>
      <c r="AW766"/>
      <c r="AX766"/>
      <c r="AY766"/>
      <c r="AZ766"/>
      <c r="BC766"/>
      <c r="BD766"/>
      <c r="BG766"/>
      <c r="BH766"/>
      <c r="BI766"/>
      <c r="BJ766"/>
      <c r="BS766"/>
      <c r="BU766"/>
      <c r="BV766"/>
      <c r="BX766"/>
    </row>
    <row r="767" spans="23:76" ht="15.75">
      <c r="W767" s="495"/>
      <c r="X767" s="495"/>
      <c r="Y767" s="495"/>
      <c r="Z767" s="451"/>
      <c r="AA767" s="145"/>
      <c r="AB767" s="223"/>
      <c r="AC767" s="22"/>
      <c r="AH767" s="9"/>
      <c r="AJ767" s="27"/>
      <c r="AK767" s="84"/>
      <c r="AM767" s="13"/>
      <c r="AP767"/>
      <c r="AR767"/>
      <c r="AV767"/>
      <c r="AW767"/>
      <c r="AX767"/>
      <c r="AY767"/>
      <c r="AZ767"/>
      <c r="BC767"/>
      <c r="BD767"/>
      <c r="BG767"/>
      <c r="BH767"/>
      <c r="BI767"/>
      <c r="BJ767"/>
      <c r="BS767"/>
      <c r="BU767"/>
      <c r="BV767"/>
      <c r="BX767"/>
    </row>
    <row r="768" spans="23:76" ht="15.75">
      <c r="W768" s="495"/>
      <c r="X768" s="495"/>
      <c r="Y768" s="495"/>
      <c r="Z768" s="451"/>
      <c r="AA768" s="145"/>
      <c r="AB768" s="223"/>
      <c r="AC768" s="22"/>
      <c r="AH768" s="9"/>
      <c r="AJ768" s="27"/>
      <c r="AK768" s="84"/>
      <c r="AM768" s="13"/>
      <c r="AP768"/>
      <c r="AR768"/>
      <c r="AV768"/>
      <c r="AW768"/>
      <c r="AX768"/>
      <c r="AY768"/>
      <c r="AZ768"/>
      <c r="BC768"/>
      <c r="BD768"/>
      <c r="BG768"/>
      <c r="BH768"/>
      <c r="BI768"/>
      <c r="BJ768"/>
      <c r="BS768"/>
      <c r="BU768"/>
      <c r="BV768"/>
      <c r="BX768"/>
    </row>
    <row r="769" spans="23:76" ht="15.75">
      <c r="W769" s="495"/>
      <c r="X769" s="495"/>
      <c r="Y769" s="495"/>
      <c r="Z769" s="451"/>
      <c r="AA769" s="145"/>
      <c r="AB769" s="223"/>
      <c r="AC769" s="22"/>
      <c r="AH769" s="9"/>
      <c r="AJ769" s="27"/>
      <c r="AK769" s="84"/>
      <c r="AM769" s="13"/>
      <c r="AP769"/>
      <c r="AR769"/>
      <c r="AV769"/>
      <c r="AW769"/>
      <c r="AX769"/>
      <c r="AY769"/>
      <c r="AZ769"/>
      <c r="BC769"/>
      <c r="BD769"/>
      <c r="BG769"/>
      <c r="BH769"/>
      <c r="BI769"/>
      <c r="BJ769"/>
      <c r="BS769"/>
      <c r="BU769"/>
      <c r="BV769"/>
      <c r="BX769"/>
    </row>
    <row r="770" spans="23:76" ht="15.75">
      <c r="W770" s="495"/>
      <c r="X770" s="495"/>
      <c r="Y770" s="495"/>
      <c r="Z770" s="451"/>
      <c r="AA770" s="145"/>
      <c r="AB770" s="223"/>
      <c r="AC770" s="22"/>
      <c r="AH770" s="9"/>
      <c r="AJ770" s="27"/>
      <c r="AK770" s="84"/>
      <c r="AM770" s="13"/>
      <c r="AP770"/>
      <c r="AR770"/>
      <c r="AV770"/>
      <c r="AW770"/>
      <c r="AX770"/>
      <c r="AY770"/>
      <c r="AZ770"/>
      <c r="BC770"/>
      <c r="BD770"/>
      <c r="BG770"/>
      <c r="BH770"/>
      <c r="BI770"/>
      <c r="BJ770"/>
      <c r="BS770"/>
      <c r="BU770"/>
      <c r="BV770"/>
      <c r="BX770"/>
    </row>
    <row r="771" spans="23:76" ht="15.75">
      <c r="W771" s="495"/>
      <c r="X771" s="495"/>
      <c r="Y771" s="495"/>
      <c r="Z771" s="451"/>
      <c r="AA771" s="145"/>
      <c r="AB771" s="223"/>
      <c r="AC771" s="22"/>
      <c r="AH771" s="9"/>
      <c r="AJ771" s="27"/>
      <c r="AK771" s="84"/>
      <c r="AM771" s="13"/>
      <c r="AP771"/>
      <c r="AR771"/>
      <c r="AV771"/>
      <c r="AW771"/>
      <c r="AX771"/>
      <c r="AY771"/>
      <c r="AZ771"/>
      <c r="BC771"/>
      <c r="BD771"/>
      <c r="BG771"/>
      <c r="BH771"/>
      <c r="BI771"/>
      <c r="BJ771"/>
      <c r="BS771"/>
      <c r="BU771"/>
      <c r="BV771"/>
      <c r="BX771"/>
    </row>
    <row r="772" spans="23:76" ht="15.75">
      <c r="W772" s="495"/>
      <c r="X772" s="495"/>
      <c r="Y772" s="495"/>
      <c r="Z772" s="451"/>
      <c r="AA772" s="145"/>
      <c r="AB772" s="223"/>
      <c r="AC772" s="22"/>
      <c r="AH772" s="9"/>
      <c r="AJ772" s="27"/>
      <c r="AK772" s="84"/>
      <c r="AM772" s="13"/>
      <c r="AP772"/>
      <c r="AR772"/>
      <c r="AV772"/>
      <c r="AW772"/>
      <c r="AX772"/>
      <c r="AY772"/>
      <c r="AZ772"/>
      <c r="BC772"/>
      <c r="BD772"/>
      <c r="BG772"/>
      <c r="BH772"/>
      <c r="BI772"/>
      <c r="BJ772"/>
      <c r="BS772"/>
      <c r="BU772"/>
      <c r="BV772"/>
      <c r="BX772"/>
    </row>
    <row r="773" spans="23:76" ht="15.75">
      <c r="W773" s="495"/>
      <c r="X773" s="495"/>
      <c r="Y773" s="495"/>
      <c r="Z773" s="451"/>
      <c r="AA773" s="145"/>
      <c r="AB773" s="223"/>
      <c r="AC773" s="22"/>
      <c r="AH773" s="9"/>
      <c r="AJ773" s="27"/>
      <c r="AK773" s="84"/>
      <c r="AM773" s="13"/>
      <c r="AP773"/>
      <c r="AR773"/>
      <c r="AV773"/>
      <c r="AW773"/>
      <c r="AX773"/>
      <c r="AY773"/>
      <c r="AZ773"/>
      <c r="BC773"/>
      <c r="BD773"/>
      <c r="BG773"/>
      <c r="BH773"/>
      <c r="BI773"/>
      <c r="BJ773"/>
      <c r="BS773"/>
      <c r="BU773"/>
      <c r="BV773"/>
      <c r="BX773"/>
    </row>
    <row r="774" spans="23:76" ht="15.75">
      <c r="W774" s="495"/>
      <c r="X774" s="495"/>
      <c r="Y774" s="495"/>
      <c r="Z774" s="451"/>
      <c r="AA774" s="145"/>
      <c r="AB774" s="223"/>
      <c r="AC774" s="22"/>
      <c r="AH774" s="9"/>
      <c r="AJ774" s="27"/>
      <c r="AK774" s="84"/>
      <c r="AM774" s="13"/>
      <c r="AP774"/>
      <c r="AR774"/>
      <c r="AV774"/>
      <c r="AW774"/>
      <c r="AX774"/>
      <c r="AY774"/>
      <c r="AZ774"/>
      <c r="BC774"/>
      <c r="BD774"/>
      <c r="BG774"/>
      <c r="BH774"/>
      <c r="BI774"/>
      <c r="BJ774"/>
      <c r="BS774"/>
      <c r="BU774"/>
      <c r="BV774"/>
      <c r="BX774"/>
    </row>
    <row r="775" spans="23:76" ht="15.75">
      <c r="W775" s="495"/>
      <c r="X775" s="495"/>
      <c r="Y775" s="495"/>
      <c r="Z775" s="451"/>
      <c r="AA775" s="145"/>
      <c r="AB775" s="223"/>
      <c r="AC775" s="22"/>
      <c r="AH775" s="9"/>
      <c r="AJ775" s="27"/>
      <c r="AK775" s="84"/>
      <c r="AM775" s="13"/>
      <c r="AP775"/>
      <c r="AR775"/>
      <c r="AV775"/>
      <c r="AW775"/>
      <c r="AX775"/>
      <c r="AY775"/>
      <c r="AZ775"/>
      <c r="BC775"/>
      <c r="BD775"/>
      <c r="BG775"/>
      <c r="BH775"/>
      <c r="BI775"/>
      <c r="BJ775"/>
      <c r="BS775"/>
      <c r="BU775"/>
      <c r="BV775"/>
      <c r="BX775"/>
    </row>
    <row r="776" spans="23:76" ht="15.75">
      <c r="W776" s="495"/>
      <c r="X776" s="495"/>
      <c r="Y776" s="495"/>
      <c r="Z776" s="451"/>
      <c r="AA776" s="145"/>
      <c r="AB776" s="223"/>
      <c r="AC776" s="22"/>
      <c r="AH776" s="9"/>
      <c r="AJ776" s="27"/>
      <c r="AK776" s="84"/>
      <c r="AM776" s="13"/>
      <c r="AP776"/>
      <c r="AR776"/>
      <c r="AV776"/>
      <c r="AW776"/>
      <c r="AX776"/>
      <c r="AY776"/>
      <c r="AZ776"/>
      <c r="BC776"/>
      <c r="BD776"/>
      <c r="BG776"/>
      <c r="BH776"/>
      <c r="BI776"/>
      <c r="BJ776"/>
      <c r="BS776"/>
      <c r="BU776"/>
      <c r="BV776"/>
      <c r="BX776"/>
    </row>
    <row r="777" spans="23:76" ht="15.75">
      <c r="W777" s="495"/>
      <c r="X777" s="495"/>
      <c r="Y777" s="495"/>
      <c r="Z777" s="451"/>
      <c r="AA777" s="145"/>
      <c r="AB777" s="223"/>
      <c r="AC777" s="22"/>
      <c r="AH777" s="9"/>
      <c r="AJ777" s="27"/>
      <c r="AK777" s="84"/>
      <c r="AM777" s="13"/>
      <c r="AP777"/>
      <c r="AR777"/>
      <c r="AV777"/>
      <c r="AW777"/>
      <c r="AX777"/>
      <c r="AY777"/>
      <c r="AZ777"/>
      <c r="BC777"/>
      <c r="BD777"/>
      <c r="BG777"/>
      <c r="BH777"/>
      <c r="BI777"/>
      <c r="BJ777"/>
      <c r="BS777"/>
      <c r="BU777"/>
      <c r="BV777"/>
      <c r="BX777"/>
    </row>
    <row r="778" spans="23:76" ht="15.75">
      <c r="W778" s="495"/>
      <c r="X778" s="495"/>
      <c r="Y778" s="495"/>
      <c r="Z778" s="451"/>
      <c r="AA778" s="145"/>
      <c r="AB778" s="223"/>
      <c r="AC778" s="22"/>
      <c r="AH778" s="9"/>
      <c r="AJ778" s="27"/>
      <c r="AK778" s="84"/>
      <c r="AM778" s="13"/>
      <c r="AP778"/>
      <c r="AR778"/>
      <c r="AV778"/>
      <c r="AW778"/>
      <c r="AX778"/>
      <c r="AY778"/>
      <c r="AZ778"/>
      <c r="BC778"/>
      <c r="BD778"/>
      <c r="BG778"/>
      <c r="BH778"/>
      <c r="BI778"/>
      <c r="BJ778"/>
      <c r="BS778"/>
      <c r="BU778"/>
      <c r="BV778"/>
      <c r="BX778"/>
    </row>
    <row r="779" spans="23:76" ht="15.75">
      <c r="W779" s="495"/>
      <c r="X779" s="495"/>
      <c r="Y779" s="495"/>
      <c r="Z779" s="451"/>
      <c r="AA779" s="145"/>
      <c r="AB779" s="223"/>
      <c r="AC779" s="22"/>
      <c r="AH779" s="9"/>
      <c r="AJ779" s="27"/>
      <c r="AK779" s="84"/>
      <c r="AM779" s="13"/>
      <c r="AP779"/>
      <c r="AR779"/>
      <c r="AV779"/>
      <c r="AW779"/>
      <c r="AX779"/>
      <c r="AY779"/>
      <c r="AZ779"/>
      <c r="BC779"/>
      <c r="BD779"/>
      <c r="BG779"/>
      <c r="BH779"/>
      <c r="BI779"/>
      <c r="BJ779"/>
      <c r="BS779"/>
      <c r="BU779"/>
      <c r="BV779"/>
      <c r="BX779"/>
    </row>
    <row r="780" spans="23:76" ht="15.75">
      <c r="W780" s="495"/>
      <c r="X780" s="495"/>
      <c r="Y780" s="495"/>
      <c r="Z780" s="451"/>
      <c r="AA780" s="145"/>
      <c r="AB780" s="223"/>
      <c r="AC780" s="22"/>
      <c r="AH780" s="9"/>
      <c r="AJ780" s="27"/>
      <c r="AK780" s="84"/>
      <c r="AM780" s="13"/>
      <c r="AP780"/>
      <c r="AR780"/>
      <c r="AV780"/>
      <c r="AW780"/>
      <c r="AX780"/>
      <c r="AY780"/>
      <c r="AZ780"/>
      <c r="BC780"/>
      <c r="BD780"/>
      <c r="BG780"/>
      <c r="BH780"/>
      <c r="BI780"/>
      <c r="BJ780"/>
      <c r="BS780"/>
      <c r="BU780"/>
      <c r="BV780"/>
      <c r="BX780"/>
    </row>
    <row r="781" spans="23:76" ht="15.75">
      <c r="W781" s="495"/>
      <c r="X781" s="495"/>
      <c r="Y781" s="495"/>
      <c r="Z781" s="451"/>
      <c r="AA781" s="145"/>
      <c r="AB781" s="223"/>
      <c r="AC781" s="22"/>
      <c r="AH781" s="9"/>
      <c r="AJ781" s="27"/>
      <c r="AK781" s="84"/>
      <c r="AM781" s="13"/>
      <c r="AP781"/>
      <c r="AR781"/>
      <c r="AV781"/>
      <c r="AW781"/>
      <c r="AX781"/>
      <c r="AY781"/>
      <c r="AZ781"/>
      <c r="BC781"/>
      <c r="BD781"/>
      <c r="BG781"/>
      <c r="BH781"/>
      <c r="BI781"/>
      <c r="BJ781"/>
      <c r="BS781"/>
      <c r="BU781"/>
      <c r="BV781"/>
      <c r="BX781"/>
    </row>
    <row r="782" spans="23:76" ht="15.75">
      <c r="W782" s="495"/>
      <c r="X782" s="495"/>
      <c r="Y782" s="495"/>
      <c r="Z782" s="451"/>
      <c r="AA782" s="145"/>
      <c r="AB782" s="223"/>
      <c r="AC782" s="22"/>
      <c r="AH782" s="9"/>
      <c r="AJ782" s="27"/>
      <c r="AK782" s="84"/>
      <c r="AM782" s="13"/>
      <c r="AP782"/>
      <c r="AR782"/>
      <c r="AV782"/>
      <c r="AW782"/>
      <c r="AX782"/>
      <c r="AY782"/>
      <c r="AZ782"/>
      <c r="BC782"/>
      <c r="BD782"/>
      <c r="BG782"/>
      <c r="BH782"/>
      <c r="BI782"/>
      <c r="BJ782"/>
      <c r="BS782"/>
      <c r="BU782"/>
      <c r="BV782"/>
      <c r="BX782"/>
    </row>
    <row r="783" spans="23:76" ht="15.75">
      <c r="W783" s="495"/>
      <c r="X783" s="495"/>
      <c r="Y783" s="495"/>
      <c r="Z783" s="451"/>
      <c r="AA783" s="145"/>
      <c r="AB783" s="223"/>
      <c r="AC783" s="22"/>
      <c r="AH783" s="9"/>
      <c r="AJ783" s="27"/>
      <c r="AK783" s="84"/>
      <c r="AM783" s="13"/>
      <c r="AP783"/>
      <c r="AR783"/>
      <c r="AV783"/>
      <c r="AW783"/>
      <c r="AX783"/>
      <c r="AY783"/>
      <c r="AZ783"/>
      <c r="BC783"/>
      <c r="BD783"/>
      <c r="BG783"/>
      <c r="BH783"/>
      <c r="BI783"/>
      <c r="BJ783"/>
      <c r="BS783"/>
      <c r="BU783"/>
      <c r="BV783"/>
      <c r="BX783"/>
    </row>
    <row r="784" spans="23:76" ht="15.75">
      <c r="W784" s="495"/>
      <c r="X784" s="495"/>
      <c r="Y784" s="495"/>
      <c r="Z784" s="451"/>
      <c r="AA784" s="145"/>
      <c r="AB784" s="223"/>
      <c r="AC784" s="22"/>
      <c r="AH784" s="9"/>
      <c r="AJ784" s="27"/>
      <c r="AK784" s="84"/>
      <c r="AM784" s="13"/>
      <c r="AP784"/>
      <c r="AR784"/>
      <c r="AV784"/>
      <c r="AW784"/>
      <c r="AX784"/>
      <c r="AY784"/>
      <c r="AZ784"/>
      <c r="BC784"/>
      <c r="BD784"/>
      <c r="BG784"/>
      <c r="BH784"/>
      <c r="BI784"/>
      <c r="BJ784"/>
      <c r="BS784"/>
      <c r="BU784"/>
      <c r="BV784"/>
      <c r="BX784"/>
    </row>
    <row r="785" spans="23:76" ht="15.75">
      <c r="W785" s="495"/>
      <c r="X785" s="495"/>
      <c r="Y785" s="495"/>
      <c r="Z785" s="451"/>
      <c r="AA785" s="145"/>
      <c r="AB785" s="223"/>
      <c r="AC785" s="22"/>
      <c r="AH785" s="9"/>
      <c r="AJ785" s="27"/>
      <c r="AK785" s="84"/>
      <c r="AM785" s="13"/>
      <c r="AP785"/>
      <c r="AR785"/>
      <c r="AV785"/>
      <c r="AW785"/>
      <c r="AX785"/>
      <c r="AY785"/>
      <c r="AZ785"/>
      <c r="BC785"/>
      <c r="BD785"/>
      <c r="BG785"/>
      <c r="BH785"/>
      <c r="BI785"/>
      <c r="BJ785"/>
      <c r="BS785"/>
      <c r="BU785"/>
      <c r="BV785"/>
      <c r="BX785"/>
    </row>
    <row r="786" spans="23:76" ht="15.75">
      <c r="W786" s="495"/>
      <c r="X786" s="495"/>
      <c r="Y786" s="495"/>
      <c r="Z786" s="451"/>
      <c r="AA786" s="145"/>
      <c r="AB786" s="223"/>
      <c r="AC786" s="22"/>
      <c r="AH786" s="9"/>
      <c r="AJ786" s="27"/>
      <c r="AK786" s="84"/>
      <c r="AM786" s="13"/>
      <c r="AP786"/>
      <c r="AR786"/>
      <c r="AV786"/>
      <c r="AW786"/>
      <c r="AX786"/>
      <c r="AY786"/>
      <c r="AZ786"/>
      <c r="BC786"/>
      <c r="BD786"/>
      <c r="BG786"/>
      <c r="BH786"/>
      <c r="BI786"/>
      <c r="BJ786"/>
      <c r="BS786"/>
      <c r="BU786"/>
      <c r="BV786"/>
      <c r="BX786"/>
    </row>
    <row r="787" spans="23:76" ht="15.75">
      <c r="W787" s="495"/>
      <c r="X787" s="495"/>
      <c r="Y787" s="495"/>
      <c r="Z787" s="451"/>
      <c r="AA787" s="145"/>
      <c r="AB787" s="223"/>
      <c r="AC787" s="22"/>
      <c r="AH787" s="9"/>
      <c r="AJ787" s="27"/>
      <c r="AK787" s="84"/>
      <c r="AM787" s="13"/>
      <c r="AP787"/>
      <c r="AR787"/>
      <c r="AV787"/>
      <c r="AW787"/>
      <c r="AX787"/>
      <c r="AY787"/>
      <c r="AZ787"/>
      <c r="BC787"/>
      <c r="BD787"/>
      <c r="BG787"/>
      <c r="BH787"/>
      <c r="BI787"/>
      <c r="BJ787"/>
      <c r="BS787"/>
      <c r="BU787"/>
      <c r="BV787"/>
      <c r="BX787"/>
    </row>
    <row r="788" spans="23:76" ht="15.75">
      <c r="W788" s="495"/>
      <c r="X788" s="495"/>
      <c r="Y788" s="495"/>
      <c r="Z788" s="451"/>
      <c r="AA788" s="145"/>
      <c r="AB788" s="223"/>
      <c r="AC788" s="22"/>
      <c r="AH788" s="9"/>
      <c r="AJ788" s="27"/>
      <c r="AK788" s="84"/>
      <c r="AM788" s="13"/>
      <c r="AP788"/>
      <c r="AR788"/>
      <c r="AV788"/>
      <c r="AW788"/>
      <c r="AX788"/>
      <c r="AY788"/>
      <c r="AZ788"/>
      <c r="BC788"/>
      <c r="BD788"/>
      <c r="BG788"/>
      <c r="BH788"/>
      <c r="BI788"/>
      <c r="BJ788"/>
      <c r="BS788"/>
      <c r="BU788"/>
      <c r="BV788"/>
      <c r="BX788"/>
    </row>
    <row r="789" spans="23:76" ht="15.75">
      <c r="W789" s="495"/>
      <c r="X789" s="495"/>
      <c r="Y789" s="495"/>
      <c r="Z789" s="451"/>
      <c r="AA789" s="145"/>
      <c r="AB789" s="223"/>
      <c r="AC789" s="22"/>
      <c r="AH789" s="9"/>
      <c r="AJ789" s="27"/>
      <c r="AK789" s="84"/>
      <c r="AM789" s="13"/>
      <c r="AP789"/>
      <c r="AR789"/>
      <c r="AV789"/>
      <c r="AW789"/>
      <c r="AX789"/>
      <c r="AY789"/>
      <c r="AZ789"/>
      <c r="BC789"/>
      <c r="BD789"/>
      <c r="BG789"/>
      <c r="BH789"/>
      <c r="BI789"/>
      <c r="BJ789"/>
      <c r="BS789"/>
      <c r="BU789"/>
      <c r="BV789"/>
      <c r="BX789"/>
    </row>
    <row r="790" spans="23:76" ht="15.75">
      <c r="W790" s="495"/>
      <c r="X790" s="495"/>
      <c r="Y790" s="495"/>
      <c r="Z790" s="451"/>
      <c r="AA790" s="145"/>
      <c r="AB790" s="223"/>
      <c r="AC790" s="22"/>
      <c r="AH790" s="9"/>
      <c r="AJ790" s="27"/>
      <c r="AK790" s="84"/>
      <c r="AM790" s="13"/>
      <c r="AP790"/>
      <c r="AR790"/>
      <c r="AV790"/>
      <c r="AW790"/>
      <c r="AX790"/>
      <c r="AY790"/>
      <c r="AZ790"/>
      <c r="BC790"/>
      <c r="BD790"/>
      <c r="BG790"/>
      <c r="BH790"/>
      <c r="BI790"/>
      <c r="BJ790"/>
      <c r="BS790"/>
      <c r="BU790"/>
      <c r="BV790"/>
      <c r="BX790"/>
    </row>
    <row r="791" spans="23:76" ht="15.75">
      <c r="W791" s="495"/>
      <c r="X791" s="495"/>
      <c r="Y791" s="495"/>
      <c r="Z791" s="451"/>
      <c r="AA791" s="145"/>
      <c r="AB791" s="223"/>
      <c r="AC791" s="22"/>
      <c r="AH791" s="9"/>
      <c r="AJ791" s="27"/>
      <c r="AK791" s="84"/>
      <c r="AM791" s="13"/>
      <c r="AP791"/>
      <c r="AR791"/>
      <c r="AV791"/>
      <c r="AW791"/>
      <c r="AX791"/>
      <c r="AY791"/>
      <c r="AZ791"/>
      <c r="BC791"/>
      <c r="BD791"/>
      <c r="BG791"/>
      <c r="BH791"/>
      <c r="BI791"/>
      <c r="BJ791"/>
      <c r="BS791"/>
      <c r="BU791"/>
      <c r="BV791"/>
      <c r="BX791"/>
    </row>
    <row r="792" spans="23:76" ht="15.75">
      <c r="W792" s="495"/>
      <c r="X792" s="495"/>
      <c r="Y792" s="495"/>
      <c r="Z792" s="451"/>
      <c r="AA792" s="145"/>
      <c r="AB792" s="223"/>
      <c r="AC792" s="22"/>
      <c r="AH792" s="9"/>
      <c r="AJ792" s="27"/>
      <c r="AK792" s="84"/>
      <c r="AM792" s="13"/>
      <c r="AP792"/>
      <c r="AR792"/>
      <c r="AV792"/>
      <c r="AW792"/>
      <c r="AX792"/>
      <c r="AY792"/>
      <c r="AZ792"/>
      <c r="BC792"/>
      <c r="BD792"/>
      <c r="BG792"/>
      <c r="BH792"/>
      <c r="BI792"/>
      <c r="BJ792"/>
      <c r="BS792"/>
      <c r="BU792"/>
      <c r="BV792"/>
      <c r="BX792"/>
    </row>
    <row r="793" spans="23:76" ht="15.75">
      <c r="W793" s="495"/>
      <c r="X793" s="495"/>
      <c r="Y793" s="495"/>
      <c r="Z793" s="451"/>
      <c r="AA793" s="145"/>
      <c r="AB793" s="223"/>
      <c r="AC793" s="22"/>
      <c r="AH793" s="9"/>
      <c r="AJ793" s="27"/>
      <c r="AK793" s="84"/>
      <c r="AM793" s="13"/>
      <c r="AP793"/>
      <c r="AR793"/>
      <c r="AV793"/>
      <c r="AW793"/>
      <c r="AX793"/>
      <c r="AY793"/>
      <c r="AZ793"/>
      <c r="BC793"/>
      <c r="BD793"/>
      <c r="BG793"/>
      <c r="BH793"/>
      <c r="BI793"/>
      <c r="BJ793"/>
      <c r="BS793"/>
      <c r="BU793"/>
      <c r="BV793"/>
      <c r="BX793"/>
    </row>
    <row r="794" spans="23:76" ht="15.75">
      <c r="W794" s="495"/>
      <c r="X794" s="495"/>
      <c r="Y794" s="495"/>
      <c r="Z794" s="451"/>
      <c r="AA794" s="145"/>
      <c r="AB794" s="223"/>
      <c r="AC794" s="22"/>
      <c r="AH794" s="9"/>
      <c r="AJ794" s="27"/>
      <c r="AK794" s="84"/>
      <c r="AM794" s="13"/>
      <c r="AP794"/>
      <c r="AR794"/>
      <c r="AV794"/>
      <c r="AW794"/>
      <c r="AX794"/>
      <c r="AY794"/>
      <c r="AZ794"/>
      <c r="BC794"/>
      <c r="BD794"/>
      <c r="BG794"/>
      <c r="BH794"/>
      <c r="BI794"/>
      <c r="BJ794"/>
      <c r="BS794"/>
      <c r="BU794"/>
      <c r="BV794"/>
      <c r="BX794"/>
    </row>
    <row r="795" spans="23:76" ht="15.75">
      <c r="W795" s="495"/>
      <c r="X795" s="495"/>
      <c r="Y795" s="495"/>
      <c r="Z795" s="451"/>
      <c r="AA795" s="145"/>
      <c r="AB795" s="223"/>
      <c r="AC795" s="22"/>
      <c r="AH795" s="9"/>
      <c r="AJ795" s="27"/>
      <c r="AK795" s="84"/>
      <c r="AM795" s="13"/>
      <c r="AP795"/>
      <c r="AR795"/>
      <c r="AV795"/>
      <c r="AW795"/>
      <c r="AX795"/>
      <c r="AY795"/>
      <c r="AZ795"/>
      <c r="BC795"/>
      <c r="BD795"/>
      <c r="BG795"/>
      <c r="BH795"/>
      <c r="BI795"/>
      <c r="BJ795"/>
      <c r="BS795"/>
      <c r="BU795"/>
      <c r="BV795"/>
      <c r="BX795"/>
    </row>
    <row r="796" spans="23:76" ht="15.75">
      <c r="W796" s="495"/>
      <c r="X796" s="495"/>
      <c r="Y796" s="495"/>
      <c r="Z796" s="451"/>
      <c r="AA796" s="145"/>
      <c r="AB796" s="223"/>
      <c r="AC796" s="22"/>
      <c r="AH796" s="9"/>
      <c r="AJ796" s="27"/>
      <c r="AK796" s="84"/>
      <c r="AM796" s="13"/>
      <c r="AP796"/>
      <c r="AR796"/>
      <c r="AV796"/>
      <c r="AW796"/>
      <c r="AX796"/>
      <c r="AY796"/>
      <c r="AZ796"/>
      <c r="BC796"/>
      <c r="BD796"/>
      <c r="BG796"/>
      <c r="BH796"/>
      <c r="BI796"/>
      <c r="BJ796"/>
      <c r="BS796"/>
      <c r="BU796"/>
      <c r="BV796"/>
      <c r="BX796"/>
    </row>
    <row r="797" spans="23:76" ht="15.75">
      <c r="W797" s="495"/>
      <c r="X797" s="495"/>
      <c r="Y797" s="495"/>
      <c r="Z797" s="451"/>
      <c r="AA797" s="145"/>
      <c r="AB797" s="223"/>
      <c r="AC797" s="22"/>
      <c r="AH797" s="9"/>
      <c r="AJ797" s="27"/>
      <c r="AK797" s="84"/>
      <c r="AM797" s="13"/>
      <c r="AP797"/>
      <c r="AR797"/>
      <c r="AV797"/>
      <c r="AW797"/>
      <c r="AX797"/>
      <c r="AY797"/>
      <c r="AZ797"/>
      <c r="BC797"/>
      <c r="BD797"/>
      <c r="BG797"/>
      <c r="BH797"/>
      <c r="BI797"/>
      <c r="BJ797"/>
      <c r="BS797"/>
      <c r="BU797"/>
      <c r="BV797"/>
      <c r="BX797"/>
    </row>
    <row r="798" spans="23:76" ht="15.75">
      <c r="W798" s="495"/>
      <c r="X798" s="495"/>
      <c r="Y798" s="495"/>
      <c r="Z798" s="451"/>
      <c r="AA798" s="145"/>
      <c r="AB798" s="223"/>
      <c r="AC798" s="22"/>
      <c r="AH798" s="9"/>
      <c r="AJ798" s="27"/>
      <c r="AK798" s="84"/>
      <c r="AM798" s="13"/>
      <c r="AP798"/>
      <c r="AR798"/>
      <c r="AV798"/>
      <c r="AW798"/>
      <c r="AX798"/>
      <c r="AY798"/>
      <c r="AZ798"/>
      <c r="BC798"/>
      <c r="BD798"/>
      <c r="BG798"/>
      <c r="BH798"/>
      <c r="BI798"/>
      <c r="BJ798"/>
      <c r="BS798"/>
      <c r="BU798"/>
      <c r="BV798"/>
      <c r="BX798"/>
    </row>
    <row r="799" spans="23:76" ht="15.75">
      <c r="W799" s="495"/>
      <c r="X799" s="495"/>
      <c r="Y799" s="495"/>
      <c r="Z799" s="451"/>
      <c r="AA799" s="145"/>
      <c r="AB799" s="223"/>
      <c r="AC799" s="22"/>
      <c r="AH799" s="9"/>
      <c r="AJ799" s="27"/>
      <c r="AK799" s="84"/>
      <c r="AM799" s="13"/>
      <c r="AP799"/>
      <c r="AR799"/>
      <c r="AV799"/>
      <c r="AW799"/>
      <c r="AX799"/>
      <c r="AY799"/>
      <c r="AZ799"/>
      <c r="BC799"/>
      <c r="BD799"/>
      <c r="BG799"/>
      <c r="BH799"/>
      <c r="BI799"/>
      <c r="BJ799"/>
      <c r="BS799"/>
      <c r="BU799"/>
      <c r="BV799"/>
      <c r="BX799"/>
    </row>
    <row r="800" spans="23:76" ht="15.75">
      <c r="W800" s="495"/>
      <c r="X800" s="495"/>
      <c r="Y800" s="495"/>
      <c r="Z800" s="451"/>
      <c r="AA800" s="145"/>
      <c r="AB800" s="223"/>
      <c r="AC800" s="22"/>
      <c r="AH800" s="9"/>
      <c r="AJ800" s="27"/>
      <c r="AK800" s="84"/>
      <c r="AM800" s="13"/>
      <c r="AP800"/>
      <c r="AR800"/>
      <c r="AV800"/>
      <c r="AW800"/>
      <c r="AX800"/>
      <c r="AY800"/>
      <c r="AZ800"/>
      <c r="BC800"/>
      <c r="BD800"/>
      <c r="BG800"/>
      <c r="BH800"/>
      <c r="BI800"/>
      <c r="BJ800"/>
      <c r="BS800"/>
      <c r="BU800"/>
      <c r="BV800"/>
      <c r="BX800"/>
    </row>
    <row r="801" spans="23:76" ht="15.75">
      <c r="W801" s="495"/>
      <c r="X801" s="495"/>
      <c r="Y801" s="495"/>
      <c r="Z801" s="451"/>
      <c r="AA801" s="145"/>
      <c r="AB801" s="223"/>
      <c r="AC801" s="22"/>
      <c r="AH801" s="9"/>
      <c r="AJ801" s="27"/>
      <c r="AK801" s="84"/>
      <c r="AM801" s="13"/>
      <c r="AP801"/>
      <c r="AR801"/>
      <c r="AV801"/>
      <c r="AW801"/>
      <c r="AX801"/>
      <c r="AY801"/>
      <c r="AZ801"/>
      <c r="BC801"/>
      <c r="BD801"/>
      <c r="BG801"/>
      <c r="BH801"/>
      <c r="BI801"/>
      <c r="BJ801"/>
      <c r="BS801"/>
      <c r="BU801"/>
      <c r="BV801"/>
      <c r="BX801"/>
    </row>
    <row r="802" spans="23:76" ht="15.75">
      <c r="W802" s="495"/>
      <c r="X802" s="495"/>
      <c r="Y802" s="495"/>
      <c r="Z802" s="451"/>
      <c r="AA802" s="145"/>
      <c r="AB802" s="223"/>
      <c r="AC802" s="22"/>
      <c r="AH802" s="9"/>
      <c r="AJ802" s="27"/>
      <c r="AK802" s="84"/>
      <c r="AM802" s="13"/>
      <c r="AP802"/>
      <c r="AR802"/>
      <c r="AV802"/>
      <c r="AW802"/>
      <c r="AX802"/>
      <c r="AY802"/>
      <c r="AZ802"/>
      <c r="BC802"/>
      <c r="BD802"/>
      <c r="BG802"/>
      <c r="BH802"/>
      <c r="BI802"/>
      <c r="BJ802"/>
      <c r="BS802"/>
      <c r="BU802"/>
      <c r="BV802"/>
      <c r="BX802"/>
    </row>
    <row r="803" spans="23:76" ht="15.75">
      <c r="W803" s="495"/>
      <c r="X803" s="495"/>
      <c r="Y803" s="495"/>
      <c r="Z803" s="451"/>
      <c r="AA803" s="145"/>
      <c r="AB803" s="223"/>
      <c r="AC803" s="22"/>
      <c r="AH803" s="9"/>
      <c r="AJ803" s="27"/>
      <c r="AK803" s="84"/>
      <c r="AM803" s="13"/>
      <c r="AP803"/>
      <c r="AR803"/>
      <c r="AV803"/>
      <c r="AW803"/>
      <c r="AX803"/>
      <c r="AY803"/>
      <c r="AZ803"/>
      <c r="BC803"/>
      <c r="BD803"/>
      <c r="BG803"/>
      <c r="BH803"/>
      <c r="BI803"/>
      <c r="BJ803"/>
      <c r="BS803"/>
      <c r="BU803"/>
      <c r="BV803"/>
      <c r="BX803"/>
    </row>
    <row r="804" spans="23:76" ht="15.75">
      <c r="W804" s="495"/>
      <c r="X804" s="495"/>
      <c r="Y804" s="495"/>
      <c r="Z804" s="451"/>
      <c r="AA804" s="145"/>
      <c r="AB804" s="223"/>
      <c r="AC804" s="22"/>
      <c r="AH804" s="9"/>
      <c r="AJ804" s="27"/>
      <c r="AK804" s="84"/>
      <c r="AM804" s="13"/>
      <c r="AP804"/>
      <c r="AR804"/>
      <c r="AV804"/>
      <c r="AW804"/>
      <c r="AX804"/>
      <c r="AY804"/>
      <c r="AZ804"/>
      <c r="BC804"/>
      <c r="BD804"/>
      <c r="BG804"/>
      <c r="BH804"/>
      <c r="BI804"/>
      <c r="BJ804"/>
      <c r="BS804"/>
      <c r="BU804"/>
      <c r="BV804"/>
      <c r="BX804"/>
    </row>
    <row r="805" spans="23:76" ht="15.75">
      <c r="W805" s="495"/>
      <c r="X805" s="495"/>
      <c r="Y805" s="495"/>
      <c r="Z805" s="451"/>
      <c r="AA805" s="145"/>
      <c r="AB805" s="223"/>
      <c r="AC805" s="22"/>
      <c r="AH805" s="9"/>
      <c r="AJ805" s="27"/>
      <c r="AK805" s="84"/>
      <c r="AM805" s="13"/>
      <c r="AP805"/>
      <c r="AR805"/>
      <c r="AV805"/>
      <c r="AW805"/>
      <c r="AX805"/>
      <c r="AY805"/>
      <c r="AZ805"/>
      <c r="BC805"/>
      <c r="BD805"/>
      <c r="BG805"/>
      <c r="BH805"/>
      <c r="BI805"/>
      <c r="BJ805"/>
      <c r="BS805"/>
      <c r="BU805"/>
      <c r="BV805"/>
      <c r="BX805"/>
    </row>
    <row r="806" spans="23:76" ht="15.75">
      <c r="W806" s="495"/>
      <c r="X806" s="495"/>
      <c r="Y806" s="495"/>
      <c r="Z806" s="451"/>
      <c r="AA806" s="145"/>
      <c r="AB806" s="223"/>
      <c r="AC806" s="22"/>
      <c r="AH806" s="9"/>
      <c r="AJ806" s="27"/>
      <c r="AK806" s="84"/>
      <c r="AM806" s="13"/>
      <c r="AP806"/>
      <c r="AR806"/>
      <c r="AV806"/>
      <c r="AW806"/>
      <c r="AX806"/>
      <c r="AY806"/>
      <c r="AZ806"/>
      <c r="BC806"/>
      <c r="BD806"/>
      <c r="BG806"/>
      <c r="BH806"/>
      <c r="BI806"/>
      <c r="BJ806"/>
      <c r="BS806"/>
      <c r="BU806"/>
      <c r="BV806"/>
      <c r="BX806"/>
    </row>
    <row r="807" spans="23:76" ht="15.75">
      <c r="W807" s="495"/>
      <c r="X807" s="495"/>
      <c r="Y807" s="495"/>
      <c r="Z807" s="451"/>
      <c r="AA807" s="145"/>
      <c r="AB807" s="223"/>
      <c r="AC807" s="22"/>
      <c r="AH807" s="9"/>
      <c r="AJ807" s="27"/>
      <c r="AK807" s="84"/>
      <c r="AM807" s="13"/>
      <c r="AP807"/>
      <c r="AR807"/>
      <c r="AV807"/>
      <c r="AW807"/>
      <c r="AX807"/>
      <c r="AY807"/>
      <c r="AZ807"/>
      <c r="BC807"/>
      <c r="BD807"/>
      <c r="BG807"/>
      <c r="BH807"/>
      <c r="BI807"/>
      <c r="BJ807"/>
      <c r="BS807"/>
      <c r="BU807"/>
      <c r="BV807"/>
      <c r="BX807"/>
    </row>
    <row r="808" spans="23:76" ht="15.75">
      <c r="W808" s="495"/>
      <c r="X808" s="495"/>
      <c r="Y808" s="495"/>
      <c r="Z808" s="451"/>
      <c r="AA808" s="145"/>
      <c r="AB808" s="223"/>
      <c r="AC808" s="22"/>
      <c r="AH808" s="9"/>
      <c r="AJ808" s="27"/>
      <c r="AK808" s="84"/>
      <c r="AM808" s="13"/>
      <c r="AP808"/>
      <c r="AR808"/>
      <c r="AV808"/>
      <c r="AW808"/>
      <c r="AX808"/>
      <c r="AY808"/>
      <c r="AZ808"/>
      <c r="BC808"/>
      <c r="BD808"/>
      <c r="BG808"/>
      <c r="BH808"/>
      <c r="BI808"/>
      <c r="BJ808"/>
      <c r="BS808"/>
      <c r="BU808"/>
      <c r="BV808"/>
      <c r="BX808"/>
    </row>
    <row r="809" spans="23:76" ht="15.75">
      <c r="W809" s="495"/>
      <c r="X809" s="495"/>
      <c r="Y809" s="495"/>
      <c r="Z809" s="451"/>
      <c r="AA809" s="145"/>
      <c r="AB809" s="223"/>
      <c r="AC809" s="22"/>
      <c r="AH809" s="9"/>
      <c r="AJ809" s="27"/>
      <c r="AK809" s="84"/>
      <c r="AM809" s="13"/>
      <c r="AP809"/>
      <c r="AR809"/>
      <c r="AV809"/>
      <c r="AW809"/>
      <c r="AX809"/>
      <c r="AY809"/>
      <c r="AZ809"/>
      <c r="BC809"/>
      <c r="BD809"/>
      <c r="BG809"/>
      <c r="BH809"/>
      <c r="BI809"/>
      <c r="BJ809"/>
      <c r="BS809"/>
      <c r="BU809"/>
      <c r="BV809"/>
      <c r="BX809"/>
    </row>
    <row r="810" spans="23:76" ht="15.75">
      <c r="W810" s="495"/>
      <c r="X810" s="495"/>
      <c r="Y810" s="495"/>
      <c r="Z810" s="451"/>
      <c r="AA810" s="145"/>
      <c r="AB810" s="223"/>
      <c r="AC810" s="22"/>
      <c r="AH810" s="9"/>
      <c r="AJ810" s="27"/>
      <c r="AK810" s="84"/>
      <c r="AM810" s="13"/>
      <c r="AP810"/>
      <c r="AR810"/>
      <c r="AV810"/>
      <c r="AW810"/>
      <c r="AX810"/>
      <c r="AY810"/>
      <c r="AZ810"/>
      <c r="BC810"/>
      <c r="BD810"/>
      <c r="BG810"/>
      <c r="BH810"/>
      <c r="BI810"/>
      <c r="BJ810"/>
      <c r="BS810"/>
      <c r="BU810"/>
      <c r="BV810"/>
      <c r="BX810"/>
    </row>
    <row r="811" spans="23:76" ht="15.75">
      <c r="W811" s="495"/>
      <c r="X811" s="495"/>
      <c r="Y811" s="495"/>
      <c r="Z811" s="451"/>
      <c r="AA811" s="145"/>
      <c r="AB811" s="223"/>
      <c r="AC811" s="22"/>
      <c r="AH811" s="9"/>
      <c r="AJ811" s="27"/>
      <c r="AK811" s="84"/>
      <c r="AM811" s="13"/>
      <c r="AP811"/>
      <c r="AR811"/>
      <c r="AV811"/>
      <c r="AW811"/>
      <c r="AX811"/>
      <c r="AY811"/>
      <c r="AZ811"/>
      <c r="BC811"/>
      <c r="BD811"/>
      <c r="BG811"/>
      <c r="BH811"/>
      <c r="BI811"/>
      <c r="BJ811"/>
      <c r="BS811"/>
      <c r="BU811"/>
      <c r="BV811"/>
      <c r="BX811"/>
    </row>
    <row r="812" spans="23:76" ht="15.75">
      <c r="W812" s="495"/>
      <c r="X812" s="495"/>
      <c r="Y812" s="495"/>
      <c r="Z812" s="451"/>
      <c r="AA812" s="145"/>
      <c r="AB812" s="223"/>
      <c r="AC812" s="22"/>
      <c r="AH812" s="9"/>
      <c r="AJ812" s="27"/>
      <c r="AK812" s="84"/>
      <c r="AM812" s="13"/>
      <c r="AP812"/>
      <c r="AR812"/>
      <c r="AV812"/>
      <c r="AW812"/>
      <c r="AX812"/>
      <c r="AY812"/>
      <c r="AZ812"/>
      <c r="BC812"/>
      <c r="BD812"/>
      <c r="BG812"/>
      <c r="BH812"/>
      <c r="BI812"/>
      <c r="BJ812"/>
      <c r="BS812"/>
      <c r="BU812"/>
      <c r="BV812"/>
      <c r="BX812"/>
    </row>
    <row r="813" spans="23:76" ht="15.75">
      <c r="W813" s="495"/>
      <c r="X813" s="495"/>
      <c r="Y813" s="495"/>
      <c r="Z813" s="451"/>
      <c r="AA813" s="145"/>
      <c r="AB813" s="223"/>
      <c r="AC813" s="22"/>
      <c r="AH813" s="9"/>
      <c r="AJ813" s="27"/>
      <c r="AK813" s="84"/>
      <c r="AM813" s="13"/>
      <c r="AP813"/>
      <c r="AR813"/>
      <c r="AV813"/>
      <c r="AW813"/>
      <c r="AX813"/>
      <c r="AY813"/>
      <c r="AZ813"/>
      <c r="BC813"/>
      <c r="BD813"/>
      <c r="BG813"/>
      <c r="BH813"/>
      <c r="BI813"/>
      <c r="BJ813"/>
      <c r="BS813"/>
      <c r="BU813"/>
      <c r="BV813"/>
      <c r="BX813"/>
    </row>
    <row r="814" spans="23:76" ht="15.75">
      <c r="W814" s="495"/>
      <c r="X814" s="495"/>
      <c r="Y814" s="495"/>
      <c r="Z814" s="451"/>
      <c r="AA814" s="145"/>
      <c r="AB814" s="223"/>
      <c r="AC814" s="22"/>
      <c r="AH814" s="9"/>
      <c r="AJ814" s="27"/>
      <c r="AK814" s="84"/>
      <c r="AM814" s="13"/>
      <c r="AP814"/>
      <c r="AR814"/>
      <c r="AV814"/>
      <c r="AW814"/>
      <c r="AX814"/>
      <c r="AY814"/>
      <c r="AZ814"/>
      <c r="BC814"/>
      <c r="BD814"/>
      <c r="BG814"/>
      <c r="BH814"/>
      <c r="BI814"/>
      <c r="BJ814"/>
      <c r="BS814"/>
      <c r="BU814"/>
      <c r="BV814"/>
      <c r="BX814"/>
    </row>
    <row r="815" spans="23:76" ht="15.75">
      <c r="W815" s="495"/>
      <c r="X815" s="495"/>
      <c r="Y815" s="495"/>
      <c r="Z815" s="451"/>
      <c r="AA815" s="145"/>
      <c r="AB815" s="223"/>
      <c r="AC815" s="22"/>
      <c r="AH815" s="9"/>
      <c r="AJ815" s="27"/>
      <c r="AK815" s="84"/>
      <c r="AM815" s="13"/>
      <c r="AP815"/>
      <c r="AR815"/>
      <c r="AV815"/>
      <c r="AW815"/>
      <c r="AX815"/>
      <c r="AY815"/>
      <c r="AZ815"/>
      <c r="BC815"/>
      <c r="BD815"/>
      <c r="BG815"/>
      <c r="BH815"/>
      <c r="BI815"/>
      <c r="BJ815"/>
      <c r="BS815"/>
      <c r="BU815"/>
      <c r="BV815"/>
      <c r="BX815"/>
    </row>
    <row r="816" spans="23:76" ht="15.75">
      <c r="W816" s="495"/>
      <c r="X816" s="495"/>
      <c r="Y816" s="495"/>
      <c r="Z816" s="451"/>
      <c r="AA816" s="145"/>
      <c r="AB816" s="223"/>
      <c r="AC816" s="22"/>
      <c r="AH816" s="9"/>
      <c r="AJ816" s="27"/>
      <c r="AK816" s="84"/>
      <c r="AM816" s="13"/>
      <c r="AP816"/>
      <c r="AR816"/>
      <c r="AV816"/>
      <c r="AW816"/>
      <c r="AX816"/>
      <c r="AY816"/>
      <c r="AZ816"/>
      <c r="BC816"/>
      <c r="BD816"/>
      <c r="BG816"/>
      <c r="BH816"/>
      <c r="BI816"/>
      <c r="BJ816"/>
      <c r="BS816"/>
      <c r="BU816"/>
      <c r="BV816"/>
      <c r="BX816"/>
    </row>
    <row r="817" spans="23:76" ht="15.75">
      <c r="W817" s="495"/>
      <c r="X817" s="495"/>
      <c r="Y817" s="495"/>
      <c r="Z817" s="451"/>
      <c r="AA817" s="145"/>
      <c r="AB817" s="223"/>
      <c r="AC817" s="22"/>
      <c r="AH817" s="9"/>
      <c r="AJ817" s="27"/>
      <c r="AK817" s="84"/>
      <c r="AM817" s="13"/>
      <c r="AP817"/>
      <c r="AR817"/>
      <c r="AV817"/>
      <c r="AW817"/>
      <c r="AX817"/>
      <c r="AY817"/>
      <c r="AZ817"/>
      <c r="BC817"/>
      <c r="BD817"/>
      <c r="BG817"/>
      <c r="BH817"/>
      <c r="BI817"/>
      <c r="BJ817"/>
      <c r="BS817"/>
      <c r="BU817"/>
      <c r="BV817"/>
      <c r="BX817"/>
    </row>
    <row r="818" spans="23:76" ht="15.75">
      <c r="W818" s="495"/>
      <c r="X818" s="495"/>
      <c r="Y818" s="495"/>
      <c r="Z818" s="451"/>
      <c r="AA818" s="145"/>
      <c r="AB818" s="223"/>
      <c r="AC818" s="22"/>
      <c r="AH818" s="9"/>
      <c r="AJ818" s="27"/>
      <c r="AK818" s="84"/>
      <c r="AM818" s="13"/>
      <c r="AP818"/>
      <c r="AR818"/>
      <c r="AV818"/>
      <c r="AW818"/>
      <c r="AX818"/>
      <c r="AY818"/>
      <c r="AZ818"/>
      <c r="BC818"/>
      <c r="BD818"/>
      <c r="BG818"/>
      <c r="BH818"/>
      <c r="BI818"/>
      <c r="BJ818"/>
      <c r="BS818"/>
      <c r="BU818"/>
      <c r="BV818"/>
      <c r="BX818"/>
    </row>
    <row r="819" spans="23:76" ht="15.75">
      <c r="W819" s="495"/>
      <c r="X819" s="495"/>
      <c r="Y819" s="495"/>
      <c r="Z819" s="451"/>
      <c r="AA819" s="145"/>
      <c r="AB819" s="223"/>
      <c r="AC819" s="22"/>
      <c r="AH819" s="9"/>
      <c r="AJ819" s="27"/>
      <c r="AK819" s="84"/>
      <c r="AM819" s="13"/>
      <c r="AP819"/>
      <c r="AR819"/>
      <c r="AV819"/>
      <c r="AW819"/>
      <c r="AX819"/>
      <c r="AY819"/>
      <c r="AZ819"/>
      <c r="BC819"/>
      <c r="BD819"/>
      <c r="BG819"/>
      <c r="BH819"/>
      <c r="BI819"/>
      <c r="BJ819"/>
      <c r="BS819"/>
      <c r="BU819"/>
      <c r="BV819"/>
      <c r="BX819"/>
    </row>
    <row r="820" spans="23:76" ht="15.75">
      <c r="W820" s="495"/>
      <c r="X820" s="495"/>
      <c r="Y820" s="495"/>
      <c r="Z820" s="451"/>
      <c r="AA820" s="145"/>
      <c r="AB820" s="223"/>
      <c r="AC820" s="22"/>
      <c r="AH820" s="9"/>
      <c r="AJ820" s="27"/>
      <c r="AK820" s="84"/>
      <c r="AM820" s="13"/>
      <c r="AP820"/>
      <c r="AR820"/>
      <c r="AV820"/>
      <c r="AW820"/>
      <c r="AX820"/>
      <c r="AY820"/>
      <c r="AZ820"/>
      <c r="BC820"/>
      <c r="BD820"/>
      <c r="BG820"/>
      <c r="BH820"/>
      <c r="BI820"/>
      <c r="BJ820"/>
      <c r="BS820"/>
      <c r="BU820"/>
      <c r="BV820"/>
      <c r="BX820"/>
    </row>
    <row r="821" spans="23:76" ht="15.75">
      <c r="W821" s="495"/>
      <c r="X821" s="495"/>
      <c r="Y821" s="495"/>
      <c r="Z821" s="451"/>
      <c r="AA821" s="145"/>
      <c r="AB821" s="223"/>
      <c r="AC821" s="22"/>
      <c r="AH821" s="9"/>
      <c r="AJ821" s="27"/>
      <c r="AK821" s="84"/>
      <c r="AM821" s="13"/>
      <c r="AP821"/>
      <c r="AR821"/>
      <c r="AV821"/>
      <c r="AW821"/>
      <c r="AX821"/>
      <c r="AY821"/>
      <c r="AZ821"/>
      <c r="BC821"/>
      <c r="BD821"/>
      <c r="BG821"/>
      <c r="BH821"/>
      <c r="BI821"/>
      <c r="BJ821"/>
      <c r="BS821"/>
      <c r="BU821"/>
      <c r="BV821"/>
      <c r="BX821"/>
    </row>
    <row r="822" spans="23:76" ht="15.75">
      <c r="W822" s="495"/>
      <c r="X822" s="495"/>
      <c r="Y822" s="495"/>
      <c r="Z822" s="451"/>
      <c r="AA822" s="145"/>
      <c r="AB822" s="223"/>
      <c r="AC822" s="22"/>
      <c r="AH822" s="9"/>
      <c r="AJ822" s="27"/>
      <c r="AK822" s="84"/>
      <c r="AM822" s="13"/>
      <c r="AP822"/>
      <c r="AR822"/>
      <c r="AV822"/>
      <c r="AW822"/>
      <c r="AX822"/>
      <c r="AY822"/>
      <c r="AZ822"/>
      <c r="BC822"/>
      <c r="BD822"/>
      <c r="BG822"/>
      <c r="BH822"/>
      <c r="BI822"/>
      <c r="BJ822"/>
      <c r="BS822"/>
      <c r="BU822"/>
      <c r="BV822"/>
      <c r="BX822"/>
    </row>
    <row r="823" spans="23:76" ht="15.75">
      <c r="W823" s="495"/>
      <c r="X823" s="495"/>
      <c r="Y823" s="495"/>
      <c r="Z823" s="451"/>
      <c r="AA823" s="145"/>
      <c r="AB823" s="223"/>
      <c r="AC823" s="22"/>
      <c r="AH823" s="9"/>
      <c r="AJ823" s="27"/>
      <c r="AK823" s="84"/>
      <c r="AM823" s="13"/>
      <c r="AP823"/>
      <c r="AR823"/>
      <c r="AV823"/>
      <c r="AW823"/>
      <c r="AX823"/>
      <c r="AY823"/>
      <c r="AZ823"/>
      <c r="BC823"/>
      <c r="BD823"/>
      <c r="BG823"/>
      <c r="BH823"/>
      <c r="BI823"/>
      <c r="BJ823"/>
      <c r="BS823"/>
      <c r="BU823"/>
      <c r="BV823"/>
      <c r="BX823"/>
    </row>
    <row r="824" spans="23:76" ht="15.75">
      <c r="W824" s="495"/>
      <c r="X824" s="495"/>
      <c r="Y824" s="495"/>
      <c r="Z824" s="451"/>
      <c r="AA824" s="145"/>
      <c r="AB824" s="223"/>
      <c r="AC824" s="22"/>
      <c r="AH824" s="9"/>
      <c r="AJ824" s="27"/>
      <c r="AK824" s="84"/>
      <c r="AM824" s="13"/>
      <c r="AP824"/>
      <c r="AR824"/>
      <c r="AV824"/>
      <c r="AW824"/>
      <c r="AX824"/>
      <c r="AY824"/>
      <c r="AZ824"/>
      <c r="BC824"/>
      <c r="BD824"/>
      <c r="BG824"/>
      <c r="BH824"/>
      <c r="BI824"/>
      <c r="BJ824"/>
      <c r="BS824"/>
      <c r="BU824"/>
      <c r="BV824"/>
      <c r="BX824"/>
    </row>
    <row r="825" spans="23:76" ht="15.75">
      <c r="W825" s="495"/>
      <c r="X825" s="495"/>
      <c r="Y825" s="495"/>
      <c r="Z825" s="451"/>
      <c r="AA825" s="145"/>
      <c r="AB825" s="223"/>
      <c r="AC825" s="22"/>
      <c r="AH825" s="9"/>
      <c r="AJ825" s="27"/>
      <c r="AK825" s="84"/>
      <c r="AM825" s="13"/>
      <c r="AP825"/>
      <c r="AR825"/>
      <c r="AV825"/>
      <c r="AW825"/>
      <c r="AX825"/>
      <c r="AY825"/>
      <c r="AZ825"/>
      <c r="BC825"/>
      <c r="BD825"/>
      <c r="BG825"/>
      <c r="BH825"/>
      <c r="BI825"/>
      <c r="BJ825"/>
      <c r="BS825"/>
      <c r="BU825"/>
      <c r="BV825"/>
      <c r="BX825"/>
    </row>
    <row r="826" spans="23:76" ht="15.75">
      <c r="W826" s="495"/>
      <c r="X826" s="495"/>
      <c r="Y826" s="495"/>
      <c r="Z826" s="451"/>
      <c r="AA826" s="145"/>
      <c r="AB826" s="223"/>
      <c r="AC826" s="22"/>
      <c r="AH826" s="9"/>
      <c r="AJ826" s="27"/>
      <c r="AK826" s="84"/>
      <c r="AM826" s="13"/>
      <c r="AP826"/>
      <c r="AR826"/>
      <c r="AV826"/>
      <c r="AW826"/>
      <c r="AX826"/>
      <c r="AY826"/>
      <c r="AZ826"/>
      <c r="BC826"/>
      <c r="BD826"/>
      <c r="BG826"/>
      <c r="BH826"/>
      <c r="BI826"/>
      <c r="BJ826"/>
      <c r="BS826"/>
      <c r="BU826"/>
      <c r="BV826"/>
      <c r="BX826"/>
    </row>
    <row r="827" spans="23:76" ht="15.75">
      <c r="W827" s="495"/>
      <c r="X827" s="495"/>
      <c r="Y827" s="495"/>
      <c r="Z827" s="451"/>
      <c r="AA827" s="145"/>
      <c r="AB827" s="223"/>
      <c r="AC827" s="22"/>
      <c r="AH827" s="9"/>
      <c r="AJ827" s="27"/>
      <c r="AK827" s="84"/>
      <c r="AM827" s="13"/>
      <c r="AP827"/>
      <c r="AR827"/>
      <c r="AV827"/>
      <c r="AW827"/>
      <c r="AX827"/>
      <c r="AY827"/>
      <c r="AZ827"/>
      <c r="BC827"/>
      <c r="BD827"/>
      <c r="BG827"/>
      <c r="BH827"/>
      <c r="BI827"/>
      <c r="BJ827"/>
      <c r="BS827"/>
      <c r="BU827"/>
      <c r="BV827"/>
      <c r="BX827"/>
    </row>
    <row r="828" spans="23:76" ht="15.75">
      <c r="W828" s="495"/>
      <c r="X828" s="495"/>
      <c r="Y828" s="495"/>
      <c r="Z828" s="451"/>
      <c r="AA828" s="145"/>
      <c r="AB828" s="223"/>
      <c r="AC828" s="22"/>
      <c r="AH828" s="9"/>
      <c r="AJ828" s="27"/>
      <c r="AK828" s="84"/>
      <c r="AM828" s="13"/>
      <c r="AP828"/>
      <c r="AR828"/>
      <c r="AV828"/>
      <c r="AW828"/>
      <c r="AX828"/>
      <c r="AY828"/>
      <c r="AZ828"/>
      <c r="BC828"/>
      <c r="BD828"/>
      <c r="BG828"/>
      <c r="BH828"/>
      <c r="BI828"/>
      <c r="BJ828"/>
      <c r="BS828"/>
      <c r="BU828"/>
      <c r="BV828"/>
      <c r="BX828"/>
    </row>
    <row r="829" spans="23:76" ht="15.75">
      <c r="W829" s="495"/>
      <c r="X829" s="495"/>
      <c r="Y829" s="495"/>
      <c r="Z829" s="451"/>
      <c r="AA829" s="145"/>
      <c r="AB829" s="223"/>
      <c r="AC829" s="22"/>
      <c r="AH829" s="9"/>
      <c r="AJ829" s="27"/>
      <c r="AK829" s="84"/>
      <c r="AM829" s="13"/>
      <c r="AP829"/>
      <c r="AR829"/>
      <c r="AV829"/>
      <c r="AW829"/>
      <c r="AX829"/>
      <c r="AY829"/>
      <c r="AZ829"/>
      <c r="BC829"/>
      <c r="BD829"/>
      <c r="BG829"/>
      <c r="BH829"/>
      <c r="BI829"/>
      <c r="BJ829"/>
      <c r="BS829"/>
      <c r="BU829"/>
      <c r="BV829"/>
      <c r="BX829"/>
    </row>
    <row r="830" spans="23:76" ht="15.75">
      <c r="W830" s="495"/>
      <c r="X830" s="495"/>
      <c r="Y830" s="495"/>
      <c r="Z830" s="451"/>
      <c r="AA830" s="145"/>
      <c r="AB830" s="223"/>
      <c r="AC830" s="22"/>
      <c r="AH830" s="9"/>
      <c r="AJ830" s="27"/>
      <c r="AK830" s="84"/>
      <c r="AM830" s="13"/>
      <c r="AP830"/>
      <c r="AR830"/>
      <c r="AV830"/>
      <c r="AW830"/>
      <c r="AX830"/>
      <c r="AY830"/>
      <c r="AZ830"/>
      <c r="BC830"/>
      <c r="BD830"/>
      <c r="BG830"/>
      <c r="BH830"/>
      <c r="BI830"/>
      <c r="BJ830"/>
      <c r="BS830"/>
      <c r="BU830"/>
      <c r="BV830"/>
      <c r="BX830"/>
    </row>
    <row r="831" spans="23:76" ht="15.75">
      <c r="W831" s="495"/>
      <c r="X831" s="495"/>
      <c r="Y831" s="495"/>
      <c r="Z831" s="451"/>
      <c r="AA831" s="145"/>
      <c r="AB831" s="223"/>
      <c r="AC831" s="22"/>
      <c r="AH831" s="9"/>
      <c r="AJ831" s="27"/>
      <c r="AK831" s="84"/>
      <c r="AM831" s="13"/>
      <c r="AP831"/>
      <c r="AR831"/>
      <c r="AV831"/>
      <c r="AW831"/>
      <c r="AX831"/>
      <c r="AY831"/>
      <c r="AZ831"/>
      <c r="BC831"/>
      <c r="BD831"/>
      <c r="BG831"/>
      <c r="BH831"/>
      <c r="BI831"/>
      <c r="BJ831"/>
      <c r="BS831"/>
      <c r="BU831"/>
      <c r="BV831"/>
      <c r="BX831"/>
    </row>
    <row r="832" spans="23:76" ht="15.75">
      <c r="W832" s="495"/>
      <c r="X832" s="495"/>
      <c r="Y832" s="495"/>
      <c r="Z832" s="451"/>
      <c r="AA832" s="145"/>
      <c r="AB832" s="223"/>
      <c r="AC832" s="22"/>
      <c r="AH832" s="9"/>
      <c r="AJ832" s="27"/>
      <c r="AK832" s="84"/>
      <c r="AM832" s="13"/>
      <c r="AP832"/>
      <c r="AR832"/>
      <c r="AV832"/>
      <c r="AW832"/>
      <c r="AX832"/>
      <c r="AY832"/>
      <c r="AZ832"/>
      <c r="BC832"/>
      <c r="BD832"/>
      <c r="BG832"/>
      <c r="BH832"/>
      <c r="BI832"/>
      <c r="BJ832"/>
      <c r="BS832"/>
      <c r="BU832"/>
      <c r="BV832"/>
      <c r="BX832"/>
    </row>
    <row r="833" spans="23:76" ht="15.75">
      <c r="W833" s="495"/>
      <c r="X833" s="495"/>
      <c r="Y833" s="495"/>
      <c r="Z833" s="451"/>
      <c r="AA833" s="145"/>
      <c r="AB833" s="223"/>
      <c r="AC833" s="22"/>
      <c r="AH833" s="9"/>
      <c r="AJ833" s="27"/>
      <c r="AK833" s="84"/>
      <c r="AM833" s="13"/>
      <c r="AP833"/>
      <c r="AR833"/>
      <c r="AV833"/>
      <c r="AW833"/>
      <c r="AX833"/>
      <c r="AY833"/>
      <c r="AZ833"/>
      <c r="BC833"/>
      <c r="BD833"/>
      <c r="BG833"/>
      <c r="BH833"/>
      <c r="BI833"/>
      <c r="BJ833"/>
      <c r="BS833"/>
      <c r="BU833"/>
      <c r="BV833"/>
      <c r="BX833"/>
    </row>
    <row r="834" spans="23:76" ht="15.75">
      <c r="W834" s="495"/>
      <c r="X834" s="495"/>
      <c r="Y834" s="495"/>
      <c r="Z834" s="451"/>
      <c r="AA834" s="145"/>
      <c r="AB834" s="223"/>
      <c r="AC834" s="22"/>
      <c r="AH834" s="9"/>
      <c r="AJ834" s="27"/>
      <c r="AK834" s="84"/>
      <c r="AM834" s="13"/>
      <c r="AP834"/>
      <c r="AR834"/>
      <c r="AV834"/>
      <c r="AW834"/>
      <c r="AX834"/>
      <c r="AY834"/>
      <c r="AZ834"/>
      <c r="BC834"/>
      <c r="BD834"/>
      <c r="BG834"/>
      <c r="BH834"/>
      <c r="BI834"/>
      <c r="BJ834"/>
      <c r="BS834"/>
      <c r="BU834"/>
      <c r="BV834"/>
      <c r="BX834"/>
    </row>
    <row r="835" spans="23:76" ht="15.75">
      <c r="W835" s="495"/>
      <c r="X835" s="495"/>
      <c r="Y835" s="495"/>
      <c r="Z835" s="451"/>
      <c r="AA835" s="145"/>
      <c r="AB835" s="223"/>
      <c r="AC835" s="22"/>
      <c r="AH835" s="9"/>
      <c r="AJ835" s="27"/>
      <c r="AK835" s="84"/>
      <c r="AM835" s="13"/>
      <c r="AP835"/>
      <c r="AR835"/>
      <c r="AV835"/>
      <c r="AW835"/>
      <c r="AX835"/>
      <c r="AY835"/>
      <c r="AZ835"/>
      <c r="BC835"/>
      <c r="BD835"/>
      <c r="BG835"/>
      <c r="BH835"/>
      <c r="BI835"/>
      <c r="BJ835"/>
      <c r="BS835"/>
      <c r="BU835"/>
      <c r="BV835"/>
      <c r="BX835"/>
    </row>
    <row r="836" spans="23:76" ht="15.75">
      <c r="W836" s="495"/>
      <c r="X836" s="495"/>
      <c r="Y836" s="495"/>
      <c r="Z836" s="451"/>
      <c r="AA836" s="145"/>
      <c r="AB836" s="223"/>
      <c r="AC836" s="22"/>
      <c r="AH836" s="9"/>
      <c r="AJ836" s="27"/>
      <c r="AK836" s="84"/>
      <c r="AM836" s="13"/>
      <c r="AP836"/>
      <c r="AR836"/>
      <c r="AV836"/>
      <c r="AW836"/>
      <c r="AX836"/>
      <c r="AY836"/>
      <c r="AZ836"/>
      <c r="BC836"/>
      <c r="BD836"/>
      <c r="BG836"/>
      <c r="BH836"/>
      <c r="BI836"/>
      <c r="BJ836"/>
      <c r="BS836"/>
      <c r="BU836"/>
      <c r="BV836"/>
      <c r="BX836"/>
    </row>
    <row r="837" spans="23:76" ht="15.75">
      <c r="W837" s="495"/>
      <c r="X837" s="495"/>
      <c r="Y837" s="495"/>
      <c r="Z837" s="451"/>
      <c r="AA837" s="145"/>
      <c r="AB837" s="223"/>
      <c r="AC837" s="22"/>
      <c r="AH837" s="9"/>
      <c r="AJ837" s="27"/>
      <c r="AK837" s="84"/>
      <c r="AM837" s="13"/>
      <c r="AP837"/>
      <c r="AR837"/>
      <c r="AV837"/>
      <c r="AW837"/>
      <c r="AX837"/>
      <c r="AY837"/>
      <c r="AZ837"/>
      <c r="BC837"/>
      <c r="BD837"/>
      <c r="BG837"/>
      <c r="BH837"/>
      <c r="BI837"/>
      <c r="BJ837"/>
      <c r="BS837"/>
      <c r="BU837"/>
      <c r="BV837"/>
      <c r="BX837"/>
    </row>
    <row r="838" spans="23:76" ht="15.75">
      <c r="W838" s="495"/>
      <c r="X838" s="495"/>
      <c r="Y838" s="495"/>
      <c r="Z838" s="451"/>
      <c r="AA838" s="145"/>
      <c r="AB838" s="223"/>
      <c r="AC838" s="22"/>
      <c r="AH838" s="9"/>
      <c r="AJ838" s="27"/>
      <c r="AK838" s="84"/>
      <c r="AM838" s="13"/>
      <c r="AP838"/>
      <c r="AR838"/>
      <c r="AV838"/>
      <c r="AW838"/>
      <c r="AX838"/>
      <c r="AY838"/>
      <c r="AZ838"/>
      <c r="BC838"/>
      <c r="BD838"/>
      <c r="BG838"/>
      <c r="BH838"/>
      <c r="BI838"/>
      <c r="BJ838"/>
      <c r="BS838"/>
      <c r="BU838"/>
      <c r="BV838"/>
      <c r="BX838"/>
    </row>
    <row r="839" spans="23:76" ht="15.75">
      <c r="W839" s="495"/>
      <c r="X839" s="495"/>
      <c r="Y839" s="495"/>
      <c r="Z839" s="451"/>
      <c r="AA839" s="145"/>
      <c r="AB839" s="223"/>
      <c r="AC839" s="22"/>
      <c r="AH839" s="9"/>
      <c r="AJ839" s="27"/>
      <c r="AK839" s="84"/>
      <c r="AM839" s="13"/>
      <c r="AP839"/>
      <c r="AR839"/>
      <c r="AV839"/>
      <c r="AW839"/>
      <c r="AX839"/>
      <c r="AY839"/>
      <c r="AZ839"/>
      <c r="BC839"/>
      <c r="BD839"/>
      <c r="BG839"/>
      <c r="BH839"/>
      <c r="BI839"/>
      <c r="BJ839"/>
      <c r="BS839"/>
      <c r="BU839"/>
      <c r="BV839"/>
      <c r="BX839"/>
    </row>
    <row r="840" spans="23:76" ht="15.75">
      <c r="W840" s="495"/>
      <c r="X840" s="495"/>
      <c r="Y840" s="495"/>
      <c r="Z840" s="451"/>
      <c r="AA840" s="145"/>
      <c r="AB840" s="223"/>
      <c r="AC840" s="22"/>
      <c r="AH840" s="9"/>
      <c r="AJ840" s="27"/>
      <c r="AK840" s="84"/>
      <c r="AM840" s="13"/>
      <c r="AP840"/>
      <c r="AR840"/>
      <c r="AV840"/>
      <c r="AW840"/>
      <c r="AX840"/>
      <c r="AY840"/>
      <c r="AZ840"/>
      <c r="BC840"/>
      <c r="BD840"/>
      <c r="BG840"/>
      <c r="BH840"/>
      <c r="BI840"/>
      <c r="BJ840"/>
      <c r="BS840"/>
      <c r="BU840"/>
      <c r="BV840"/>
      <c r="BX840"/>
    </row>
    <row r="841" spans="23:76" ht="15.75">
      <c r="W841" s="495"/>
      <c r="X841" s="495"/>
      <c r="Y841" s="495"/>
      <c r="Z841" s="451"/>
      <c r="AA841" s="145"/>
      <c r="AB841" s="223"/>
      <c r="AC841" s="22"/>
      <c r="AH841" s="9"/>
      <c r="AJ841" s="27"/>
      <c r="AK841" s="84"/>
      <c r="AM841" s="13"/>
      <c r="AP841"/>
      <c r="AR841"/>
      <c r="AV841"/>
      <c r="AW841"/>
      <c r="AX841"/>
      <c r="AY841"/>
      <c r="AZ841"/>
      <c r="BC841"/>
      <c r="BD841"/>
      <c r="BG841"/>
      <c r="BH841"/>
      <c r="BI841"/>
      <c r="BJ841"/>
      <c r="BS841"/>
      <c r="BU841"/>
      <c r="BV841"/>
      <c r="BX841"/>
    </row>
    <row r="842" spans="23:76" ht="15.75">
      <c r="W842" s="495"/>
      <c r="X842" s="495"/>
      <c r="Y842" s="495"/>
      <c r="Z842" s="451"/>
      <c r="AA842" s="145"/>
      <c r="AB842" s="223"/>
      <c r="AC842" s="22"/>
      <c r="AH842" s="9"/>
      <c r="AJ842" s="27"/>
      <c r="AK842" s="84"/>
      <c r="AM842" s="13"/>
      <c r="AP842"/>
      <c r="AR842"/>
      <c r="AV842"/>
      <c r="AW842"/>
      <c r="AX842"/>
      <c r="AY842"/>
      <c r="AZ842"/>
      <c r="BC842"/>
      <c r="BD842"/>
      <c r="BG842"/>
      <c r="BH842"/>
      <c r="BI842"/>
      <c r="BJ842"/>
      <c r="BS842"/>
      <c r="BU842"/>
      <c r="BV842"/>
      <c r="BX842"/>
    </row>
    <row r="843" spans="23:76" ht="15.75">
      <c r="W843" s="495"/>
      <c r="X843" s="495"/>
      <c r="Y843" s="495"/>
      <c r="Z843" s="451"/>
      <c r="AA843" s="145"/>
      <c r="AB843" s="223"/>
      <c r="AC843" s="22"/>
      <c r="AH843" s="9"/>
      <c r="AJ843" s="27"/>
      <c r="AK843" s="84"/>
      <c r="AM843" s="13"/>
      <c r="AP843"/>
      <c r="AR843"/>
      <c r="AV843"/>
      <c r="AW843"/>
      <c r="AX843"/>
      <c r="AY843"/>
      <c r="AZ843"/>
      <c r="BC843"/>
      <c r="BD843"/>
      <c r="BG843"/>
      <c r="BH843"/>
      <c r="BI843"/>
      <c r="BJ843"/>
      <c r="BS843"/>
      <c r="BU843"/>
      <c r="BV843"/>
      <c r="BX843"/>
    </row>
    <row r="844" spans="23:76" ht="15.75">
      <c r="W844" s="495"/>
      <c r="X844" s="495"/>
      <c r="Y844" s="495"/>
      <c r="Z844" s="451"/>
      <c r="AA844" s="145"/>
      <c r="AB844" s="223"/>
      <c r="AC844" s="22"/>
      <c r="AH844" s="9"/>
      <c r="AJ844" s="27"/>
      <c r="AK844" s="84"/>
      <c r="AM844" s="13"/>
      <c r="AP844"/>
      <c r="AR844"/>
      <c r="AV844"/>
      <c r="AW844"/>
      <c r="AX844"/>
      <c r="AY844"/>
      <c r="AZ844"/>
      <c r="BC844"/>
      <c r="BD844"/>
      <c r="BG844"/>
      <c r="BH844"/>
      <c r="BI844"/>
      <c r="BJ844"/>
      <c r="BS844"/>
      <c r="BU844"/>
      <c r="BV844"/>
      <c r="BX844"/>
    </row>
    <row r="845" spans="23:76" ht="15.75">
      <c r="W845" s="495"/>
      <c r="X845" s="495"/>
      <c r="Y845" s="495"/>
      <c r="Z845" s="451"/>
      <c r="AA845" s="145"/>
      <c r="AB845" s="223"/>
      <c r="AC845" s="22"/>
      <c r="AH845" s="9"/>
      <c r="AJ845" s="27"/>
      <c r="AK845" s="84"/>
      <c r="AM845" s="13"/>
      <c r="AP845"/>
      <c r="AR845"/>
      <c r="AV845"/>
      <c r="AW845"/>
      <c r="AX845"/>
      <c r="AY845"/>
      <c r="AZ845"/>
      <c r="BC845"/>
      <c r="BD845"/>
      <c r="BG845"/>
      <c r="BH845"/>
      <c r="BI845"/>
      <c r="BJ845"/>
      <c r="BS845"/>
      <c r="BU845"/>
      <c r="BV845"/>
      <c r="BX845"/>
    </row>
    <row r="846" spans="23:76" ht="15.75">
      <c r="W846" s="495"/>
      <c r="X846" s="495"/>
      <c r="Y846" s="495"/>
      <c r="Z846" s="451"/>
      <c r="AA846" s="145"/>
      <c r="AB846" s="223"/>
      <c r="AC846" s="22"/>
      <c r="AH846" s="9"/>
      <c r="AJ846" s="27"/>
      <c r="AK846" s="84"/>
      <c r="AM846" s="13"/>
      <c r="AP846"/>
      <c r="AR846"/>
      <c r="AV846"/>
      <c r="AW846"/>
      <c r="AX846"/>
      <c r="AY846"/>
      <c r="AZ846"/>
      <c r="BC846"/>
      <c r="BD846"/>
      <c r="BG846"/>
      <c r="BH846"/>
      <c r="BI846"/>
      <c r="BJ846"/>
      <c r="BS846"/>
      <c r="BU846"/>
      <c r="BV846"/>
      <c r="BX846"/>
    </row>
    <row r="847" spans="23:76" ht="15.75">
      <c r="W847" s="495"/>
      <c r="X847" s="495"/>
      <c r="Y847" s="495"/>
      <c r="Z847" s="451"/>
      <c r="AA847" s="145"/>
      <c r="AB847" s="223"/>
      <c r="AC847" s="22"/>
      <c r="AH847" s="9"/>
      <c r="AJ847" s="27"/>
      <c r="AK847" s="84"/>
      <c r="AM847" s="13"/>
      <c r="AP847"/>
      <c r="AR847"/>
      <c r="AV847"/>
      <c r="AW847"/>
      <c r="AX847"/>
      <c r="AY847"/>
      <c r="AZ847"/>
      <c r="BC847"/>
      <c r="BD847"/>
      <c r="BG847"/>
      <c r="BH847"/>
      <c r="BI847"/>
      <c r="BJ847"/>
      <c r="BS847"/>
      <c r="BU847"/>
      <c r="BV847"/>
      <c r="BX847"/>
    </row>
    <row r="848" spans="23:76" ht="15.75">
      <c r="W848" s="495"/>
      <c r="X848" s="495"/>
      <c r="Y848" s="495"/>
      <c r="Z848" s="451"/>
      <c r="AA848" s="145"/>
      <c r="AB848" s="223"/>
      <c r="AC848" s="22"/>
      <c r="AH848" s="9"/>
      <c r="AJ848" s="27"/>
      <c r="AK848" s="84"/>
      <c r="AM848" s="13"/>
      <c r="AP848"/>
      <c r="AR848"/>
      <c r="AV848"/>
      <c r="AW848"/>
      <c r="AX848"/>
      <c r="AY848"/>
      <c r="AZ848"/>
      <c r="BC848"/>
      <c r="BD848"/>
      <c r="BG848"/>
      <c r="BH848"/>
      <c r="BI848"/>
      <c r="BJ848"/>
      <c r="BS848"/>
      <c r="BU848"/>
      <c r="BV848"/>
      <c r="BX848"/>
    </row>
    <row r="849" spans="23:76" ht="15.75">
      <c r="W849" s="495"/>
      <c r="X849" s="495"/>
      <c r="Y849" s="495"/>
      <c r="Z849" s="451"/>
      <c r="AA849" s="145"/>
      <c r="AB849" s="223"/>
      <c r="AC849" s="22"/>
      <c r="AH849" s="9"/>
      <c r="AJ849" s="27"/>
      <c r="AK849" s="84"/>
      <c r="AM849" s="13"/>
      <c r="AP849"/>
      <c r="AR849"/>
      <c r="AV849"/>
      <c r="AW849"/>
      <c r="AX849"/>
      <c r="AY849"/>
      <c r="AZ849"/>
      <c r="BC849"/>
      <c r="BD849"/>
      <c r="BG849"/>
      <c r="BH849"/>
      <c r="BI849"/>
      <c r="BJ849"/>
      <c r="BS849"/>
      <c r="BU849"/>
      <c r="BV849"/>
      <c r="BX849"/>
    </row>
    <row r="850" spans="23:76" ht="15.75">
      <c r="W850" s="495"/>
      <c r="X850" s="495"/>
      <c r="Y850" s="495"/>
      <c r="Z850" s="451"/>
      <c r="AA850" s="145"/>
      <c r="AB850" s="223"/>
      <c r="AC850" s="22"/>
      <c r="AH850" s="9"/>
      <c r="AJ850" s="27"/>
      <c r="AK850" s="84"/>
      <c r="AM850" s="13"/>
      <c r="AP850"/>
      <c r="AR850"/>
      <c r="AV850"/>
      <c r="AW850"/>
      <c r="AX850"/>
      <c r="AY850"/>
      <c r="AZ850"/>
      <c r="BC850"/>
      <c r="BD850"/>
      <c r="BG850"/>
      <c r="BH850"/>
      <c r="BI850"/>
      <c r="BJ850"/>
      <c r="BS850"/>
      <c r="BU850"/>
      <c r="BV850"/>
      <c r="BX850"/>
    </row>
    <row r="851" spans="23:76" ht="15.75">
      <c r="W851" s="495"/>
      <c r="X851" s="495"/>
      <c r="Y851" s="495"/>
      <c r="Z851" s="451"/>
      <c r="AA851" s="145"/>
      <c r="AB851" s="223"/>
      <c r="AC851" s="22"/>
      <c r="AH851" s="9"/>
      <c r="AJ851" s="27"/>
      <c r="AK851" s="84"/>
      <c r="AM851" s="13"/>
      <c r="AP851"/>
      <c r="AR851"/>
      <c r="AV851"/>
      <c r="AW851"/>
      <c r="AX851"/>
      <c r="AY851"/>
      <c r="AZ851"/>
      <c r="BC851"/>
      <c r="BD851"/>
      <c r="BG851"/>
      <c r="BH851"/>
      <c r="BI851"/>
      <c r="BJ851"/>
      <c r="BS851"/>
      <c r="BU851"/>
      <c r="BV851"/>
      <c r="BX851"/>
    </row>
    <row r="852" spans="23:76" ht="15.75">
      <c r="W852" s="495"/>
      <c r="X852" s="495"/>
      <c r="Y852" s="495"/>
      <c r="Z852" s="451"/>
      <c r="AA852" s="145"/>
      <c r="AB852" s="223"/>
      <c r="AC852" s="22"/>
      <c r="AH852" s="9"/>
      <c r="AJ852" s="27"/>
      <c r="AK852" s="84"/>
      <c r="AM852" s="13"/>
      <c r="AP852"/>
      <c r="AR852"/>
      <c r="AV852"/>
      <c r="AW852"/>
      <c r="AX852"/>
      <c r="AY852"/>
      <c r="AZ852"/>
      <c r="BC852"/>
      <c r="BD852"/>
      <c r="BG852"/>
      <c r="BH852"/>
      <c r="BI852"/>
      <c r="BJ852"/>
      <c r="BS852"/>
      <c r="BU852"/>
      <c r="BV852"/>
      <c r="BX852"/>
    </row>
    <row r="853" spans="23:76" ht="15.75">
      <c r="W853" s="495"/>
      <c r="X853" s="495"/>
      <c r="Y853" s="495"/>
      <c r="Z853" s="451"/>
      <c r="AA853" s="145"/>
      <c r="AB853" s="223"/>
      <c r="AC853" s="22"/>
      <c r="AH853" s="9"/>
      <c r="AJ853" s="27"/>
      <c r="AK853" s="84"/>
      <c r="AM853" s="13"/>
      <c r="AP853"/>
      <c r="AR853"/>
      <c r="AV853"/>
      <c r="AW853"/>
      <c r="AX853"/>
      <c r="AY853"/>
      <c r="AZ853"/>
      <c r="BC853"/>
      <c r="BD853"/>
      <c r="BG853"/>
      <c r="BH853"/>
      <c r="BI853"/>
      <c r="BJ853"/>
      <c r="BS853"/>
      <c r="BU853"/>
      <c r="BV853"/>
      <c r="BX853"/>
    </row>
    <row r="854" spans="23:76" ht="15.75">
      <c r="W854" s="495"/>
      <c r="X854" s="495"/>
      <c r="Y854" s="495"/>
      <c r="Z854" s="451"/>
      <c r="AA854" s="145"/>
      <c r="AB854" s="223"/>
      <c r="AC854" s="22"/>
      <c r="AH854" s="9"/>
      <c r="AJ854" s="27"/>
      <c r="AK854" s="84"/>
      <c r="AM854" s="13"/>
      <c r="AP854"/>
      <c r="AR854"/>
      <c r="AV854"/>
      <c r="AW854"/>
      <c r="AX854"/>
      <c r="AY854"/>
      <c r="AZ854"/>
      <c r="BC854"/>
      <c r="BD854"/>
      <c r="BG854"/>
      <c r="BH854"/>
      <c r="BI854"/>
      <c r="BJ854"/>
      <c r="BS854"/>
      <c r="BU854"/>
      <c r="BV854"/>
      <c r="BX854"/>
    </row>
    <row r="855" spans="23:76" ht="15.75">
      <c r="W855" s="495"/>
      <c r="X855" s="495"/>
      <c r="Y855" s="495"/>
      <c r="Z855" s="451"/>
      <c r="AA855" s="145"/>
      <c r="AB855" s="223"/>
      <c r="AC855" s="22"/>
      <c r="AH855" s="9"/>
      <c r="AJ855" s="27"/>
      <c r="AK855" s="84"/>
      <c r="AM855" s="13"/>
      <c r="AP855"/>
      <c r="AR855"/>
      <c r="AV855"/>
      <c r="AW855"/>
      <c r="AX855"/>
      <c r="AY855"/>
      <c r="AZ855"/>
      <c r="BC855"/>
      <c r="BD855"/>
      <c r="BG855"/>
      <c r="BH855"/>
      <c r="BI855"/>
      <c r="BJ855"/>
      <c r="BS855"/>
      <c r="BU855"/>
      <c r="BV855"/>
      <c r="BX855"/>
    </row>
    <row r="856" spans="23:76" ht="15.75">
      <c r="W856" s="495"/>
      <c r="X856" s="495"/>
      <c r="Y856" s="495"/>
      <c r="Z856" s="451"/>
      <c r="AA856" s="145"/>
      <c r="AB856" s="223"/>
      <c r="AC856" s="22"/>
      <c r="AH856" s="9"/>
      <c r="AJ856" s="27"/>
      <c r="AK856" s="84"/>
      <c r="AM856" s="13"/>
      <c r="AP856"/>
      <c r="AR856"/>
      <c r="AV856"/>
      <c r="AW856"/>
      <c r="AX856"/>
      <c r="AY856"/>
      <c r="AZ856"/>
      <c r="BC856"/>
      <c r="BD856"/>
      <c r="BG856"/>
      <c r="BH856"/>
      <c r="BI856"/>
      <c r="BJ856"/>
      <c r="BS856"/>
      <c r="BU856"/>
      <c r="BV856"/>
      <c r="BX856"/>
    </row>
    <row r="857" spans="23:76" ht="15.75">
      <c r="W857" s="495"/>
      <c r="X857" s="495"/>
      <c r="Y857" s="495"/>
      <c r="Z857" s="451"/>
      <c r="AA857" s="145"/>
      <c r="AB857" s="223"/>
      <c r="AC857" s="22"/>
      <c r="AH857" s="9"/>
      <c r="AJ857" s="27"/>
      <c r="AK857" s="84"/>
      <c r="AM857" s="13"/>
      <c r="AP857"/>
      <c r="AR857"/>
      <c r="AV857"/>
      <c r="AW857"/>
      <c r="AX857"/>
      <c r="AY857"/>
      <c r="AZ857"/>
      <c r="BC857"/>
      <c r="BD857"/>
      <c r="BG857"/>
      <c r="BH857"/>
      <c r="BI857"/>
      <c r="BJ857"/>
      <c r="BS857"/>
      <c r="BU857"/>
      <c r="BV857"/>
      <c r="BX857"/>
    </row>
    <row r="858" spans="23:76" ht="15.75">
      <c r="W858" s="495"/>
      <c r="X858" s="495"/>
      <c r="Y858" s="495"/>
      <c r="Z858" s="451"/>
      <c r="AA858" s="145"/>
      <c r="AB858" s="223"/>
      <c r="AC858" s="22"/>
      <c r="AH858" s="9"/>
      <c r="AJ858" s="27"/>
      <c r="AK858" s="84"/>
      <c r="AM858" s="13"/>
      <c r="AP858"/>
      <c r="AR858"/>
      <c r="AV858"/>
      <c r="AW858"/>
      <c r="AX858"/>
      <c r="AY858"/>
      <c r="AZ858"/>
      <c r="BC858"/>
      <c r="BD858"/>
      <c r="BG858"/>
      <c r="BH858"/>
      <c r="BI858"/>
      <c r="BJ858"/>
      <c r="BS858"/>
      <c r="BU858"/>
      <c r="BV858"/>
      <c r="BX858"/>
    </row>
    <row r="859" spans="23:76" ht="15.75">
      <c r="W859" s="495"/>
      <c r="X859" s="495"/>
      <c r="Y859" s="495"/>
      <c r="Z859" s="451"/>
      <c r="AA859" s="145"/>
      <c r="AB859" s="223"/>
      <c r="AC859" s="22"/>
      <c r="AH859" s="9"/>
      <c r="AJ859" s="27"/>
      <c r="AK859" s="84"/>
      <c r="AM859" s="13"/>
      <c r="AP859"/>
      <c r="AR859"/>
      <c r="AV859"/>
      <c r="AW859"/>
      <c r="AX859"/>
      <c r="AY859"/>
      <c r="AZ859"/>
      <c r="BC859"/>
      <c r="BD859"/>
      <c r="BG859"/>
      <c r="BH859"/>
      <c r="BI859"/>
      <c r="BJ859"/>
      <c r="BS859"/>
      <c r="BU859"/>
      <c r="BV859"/>
      <c r="BX859"/>
    </row>
    <row r="860" spans="23:76" ht="15.75">
      <c r="W860" s="495"/>
      <c r="X860" s="495"/>
      <c r="Y860" s="495"/>
      <c r="Z860" s="451"/>
      <c r="AA860" s="145"/>
      <c r="AB860" s="223"/>
      <c r="AC860" s="22"/>
      <c r="AH860" s="9"/>
      <c r="AJ860" s="27"/>
      <c r="AK860" s="84"/>
      <c r="AM860" s="13"/>
      <c r="AP860"/>
      <c r="AR860"/>
      <c r="AV860"/>
      <c r="AW860"/>
      <c r="AX860"/>
      <c r="AY860"/>
      <c r="AZ860"/>
      <c r="BC860"/>
      <c r="BD860"/>
      <c r="BG860"/>
      <c r="BH860"/>
      <c r="BI860"/>
      <c r="BJ860"/>
      <c r="BS860"/>
      <c r="BU860"/>
      <c r="BV860"/>
      <c r="BX860"/>
    </row>
    <row r="861" spans="23:76" ht="15.75">
      <c r="W861" s="495"/>
      <c r="X861" s="495"/>
      <c r="Y861" s="495"/>
      <c r="Z861" s="451"/>
      <c r="AA861" s="145"/>
      <c r="AB861" s="223"/>
      <c r="AC861" s="22"/>
      <c r="AH861" s="9"/>
      <c r="AJ861" s="27"/>
      <c r="AK861" s="84"/>
      <c r="AM861" s="13"/>
      <c r="AP861"/>
      <c r="AR861"/>
      <c r="AV861"/>
      <c r="AW861"/>
      <c r="AX861"/>
      <c r="AY861"/>
      <c r="AZ861"/>
      <c r="BC861"/>
      <c r="BD861"/>
      <c r="BG861"/>
      <c r="BH861"/>
      <c r="BI861"/>
      <c r="BJ861"/>
      <c r="BS861"/>
      <c r="BU861"/>
      <c r="BV861"/>
      <c r="BX861"/>
    </row>
    <row r="862" spans="23:76" ht="15.75">
      <c r="W862" s="495"/>
      <c r="X862" s="495"/>
      <c r="Y862" s="495"/>
      <c r="Z862" s="451"/>
      <c r="AA862" s="145"/>
      <c r="AB862" s="223"/>
      <c r="AC862" s="22"/>
      <c r="AH862" s="9"/>
      <c r="AJ862" s="27"/>
      <c r="AK862" s="84"/>
      <c r="AM862" s="13"/>
      <c r="AP862"/>
      <c r="AR862"/>
      <c r="AV862"/>
      <c r="AW862"/>
      <c r="AX862"/>
      <c r="AY862"/>
      <c r="AZ862"/>
      <c r="BC862"/>
      <c r="BD862"/>
      <c r="BG862"/>
      <c r="BH862"/>
      <c r="BI862"/>
      <c r="BJ862"/>
      <c r="BS862"/>
      <c r="BU862"/>
      <c r="BV862"/>
      <c r="BX862"/>
    </row>
    <row r="863" spans="23:76" ht="15.75">
      <c r="W863" s="495"/>
      <c r="X863" s="495"/>
      <c r="Y863" s="495"/>
      <c r="Z863" s="451"/>
      <c r="AA863" s="145"/>
      <c r="AB863" s="223"/>
      <c r="AC863" s="22"/>
      <c r="AH863" s="9"/>
      <c r="AJ863" s="27"/>
      <c r="AK863" s="84"/>
      <c r="AM863" s="13"/>
      <c r="AP863"/>
      <c r="AR863"/>
      <c r="AV863"/>
      <c r="AW863"/>
      <c r="AX863"/>
      <c r="AY863"/>
      <c r="AZ863"/>
      <c r="BC863"/>
      <c r="BD863"/>
      <c r="BG863"/>
      <c r="BH863"/>
      <c r="BI863"/>
      <c r="BJ863"/>
      <c r="BS863"/>
      <c r="BU863"/>
      <c r="BV863"/>
      <c r="BX863"/>
    </row>
    <row r="864" spans="23:76" ht="15.75">
      <c r="W864" s="495"/>
      <c r="X864" s="495"/>
      <c r="Y864" s="495"/>
      <c r="Z864" s="451"/>
      <c r="AA864" s="145"/>
      <c r="AB864" s="223"/>
      <c r="AC864" s="22"/>
      <c r="AH864" s="9"/>
      <c r="AJ864" s="27"/>
      <c r="AK864" s="84"/>
      <c r="AM864" s="13"/>
      <c r="AP864"/>
      <c r="AR864"/>
      <c r="AV864"/>
      <c r="AW864"/>
      <c r="AX864"/>
      <c r="AY864"/>
      <c r="AZ864"/>
      <c r="BC864"/>
      <c r="BD864"/>
      <c r="BG864"/>
      <c r="BH864"/>
      <c r="BI864"/>
      <c r="BJ864"/>
      <c r="BS864"/>
      <c r="BU864"/>
      <c r="BV864"/>
      <c r="BX864"/>
    </row>
    <row r="865" spans="23:76" ht="15.75">
      <c r="W865" s="495"/>
      <c r="X865" s="495"/>
      <c r="Y865" s="495"/>
      <c r="Z865" s="451"/>
      <c r="AA865" s="145"/>
      <c r="AB865" s="223"/>
      <c r="AC865" s="22"/>
      <c r="AH865" s="9"/>
      <c r="AJ865" s="27"/>
      <c r="AK865" s="84"/>
      <c r="AM865" s="13"/>
      <c r="AP865"/>
      <c r="AR865"/>
      <c r="AV865"/>
      <c r="AW865"/>
      <c r="AX865"/>
      <c r="AY865"/>
      <c r="AZ865"/>
      <c r="BC865"/>
      <c r="BD865"/>
      <c r="BG865"/>
      <c r="BH865"/>
      <c r="BI865"/>
      <c r="BJ865"/>
      <c r="BS865"/>
      <c r="BU865"/>
      <c r="BV865"/>
      <c r="BX865"/>
    </row>
    <row r="866" spans="23:76" ht="15.75">
      <c r="W866" s="495"/>
      <c r="X866" s="495"/>
      <c r="Y866" s="495"/>
      <c r="Z866" s="451"/>
      <c r="AA866" s="145"/>
      <c r="AB866" s="223"/>
      <c r="AC866" s="22"/>
      <c r="AH866" s="9"/>
      <c r="AJ866" s="27"/>
      <c r="AK866" s="84"/>
      <c r="AM866" s="13"/>
      <c r="AP866"/>
      <c r="AR866"/>
      <c r="AV866"/>
      <c r="AW866"/>
      <c r="AX866"/>
      <c r="AY866"/>
      <c r="AZ866"/>
      <c r="BC866"/>
      <c r="BD866"/>
      <c r="BG866"/>
      <c r="BH866"/>
      <c r="BI866"/>
      <c r="BJ866"/>
      <c r="BS866"/>
      <c r="BU866"/>
      <c r="BV866"/>
      <c r="BX866"/>
    </row>
    <row r="867" spans="23:76" ht="15.75">
      <c r="W867" s="495"/>
      <c r="X867" s="495"/>
      <c r="Y867" s="495"/>
      <c r="Z867" s="451"/>
      <c r="AA867" s="145"/>
      <c r="AB867" s="223"/>
      <c r="AC867" s="22"/>
      <c r="AH867" s="9"/>
      <c r="AJ867" s="27"/>
      <c r="AK867" s="84"/>
      <c r="AM867" s="13"/>
      <c r="AP867"/>
      <c r="AR867"/>
      <c r="AV867"/>
      <c r="AW867"/>
      <c r="AX867"/>
      <c r="AY867"/>
      <c r="AZ867"/>
      <c r="BC867"/>
      <c r="BD867"/>
      <c r="BG867"/>
      <c r="BH867"/>
      <c r="BI867"/>
      <c r="BJ867"/>
      <c r="BS867"/>
      <c r="BU867"/>
      <c r="BV867"/>
      <c r="BX867"/>
    </row>
    <row r="868" spans="23:76" ht="15.75">
      <c r="W868" s="495"/>
      <c r="X868" s="495"/>
      <c r="Y868" s="495"/>
      <c r="Z868" s="451"/>
      <c r="AA868" s="145"/>
      <c r="AB868" s="223"/>
      <c r="AC868" s="22"/>
      <c r="AH868" s="9"/>
      <c r="AJ868" s="27"/>
      <c r="AK868" s="84"/>
      <c r="AM868" s="13"/>
      <c r="AP868"/>
      <c r="AR868"/>
      <c r="AV868"/>
      <c r="AW868"/>
      <c r="AX868"/>
      <c r="AY868"/>
      <c r="AZ868"/>
      <c r="BC868"/>
      <c r="BD868"/>
      <c r="BG868"/>
      <c r="BH868"/>
      <c r="BI868"/>
      <c r="BJ868"/>
      <c r="BS868"/>
      <c r="BU868"/>
      <c r="BV868"/>
      <c r="BX868"/>
    </row>
    <row r="869" spans="23:76" ht="15.75">
      <c r="W869" s="495"/>
      <c r="X869" s="495"/>
      <c r="Y869" s="495"/>
      <c r="Z869" s="451"/>
      <c r="AA869" s="145"/>
      <c r="AB869" s="223"/>
      <c r="AC869" s="22"/>
      <c r="AH869" s="9"/>
      <c r="AJ869" s="27"/>
      <c r="AK869" s="84"/>
      <c r="AM869" s="13"/>
      <c r="AP869"/>
      <c r="AR869"/>
      <c r="AV869"/>
      <c r="AW869"/>
      <c r="AX869"/>
      <c r="AY869"/>
      <c r="AZ869"/>
      <c r="BC869"/>
      <c r="BD869"/>
      <c r="BG869"/>
      <c r="BH869"/>
      <c r="BI869"/>
      <c r="BJ869"/>
      <c r="BS869"/>
      <c r="BU869"/>
      <c r="BV869"/>
      <c r="BX869"/>
    </row>
    <row r="870" spans="23:76" ht="15.75">
      <c r="W870" s="495"/>
      <c r="X870" s="495"/>
      <c r="Y870" s="495"/>
      <c r="Z870" s="451"/>
      <c r="AA870" s="145"/>
      <c r="AB870" s="223"/>
      <c r="AC870" s="22"/>
      <c r="AH870" s="9"/>
      <c r="AJ870" s="27"/>
      <c r="AK870" s="84"/>
      <c r="AM870" s="13"/>
      <c r="AP870"/>
      <c r="AR870"/>
      <c r="AV870"/>
      <c r="AW870"/>
      <c r="AX870"/>
      <c r="AY870"/>
      <c r="AZ870"/>
      <c r="BC870"/>
      <c r="BD870"/>
      <c r="BG870"/>
      <c r="BH870"/>
      <c r="BI870"/>
      <c r="BJ870"/>
      <c r="BS870"/>
      <c r="BU870"/>
      <c r="BV870"/>
      <c r="BX870"/>
    </row>
    <row r="871" spans="23:76" ht="15.75">
      <c r="W871" s="495"/>
      <c r="X871" s="495"/>
      <c r="Y871" s="495"/>
      <c r="Z871" s="451"/>
      <c r="AA871" s="145"/>
      <c r="AB871" s="223"/>
      <c r="AC871" s="22"/>
      <c r="AH871" s="9"/>
      <c r="AJ871" s="27"/>
      <c r="AK871" s="84"/>
      <c r="AM871" s="13"/>
      <c r="AP871"/>
      <c r="AR871"/>
      <c r="AV871"/>
      <c r="AW871"/>
      <c r="AX871"/>
      <c r="AY871"/>
      <c r="AZ871"/>
      <c r="BC871"/>
      <c r="BD871"/>
      <c r="BG871"/>
      <c r="BH871"/>
      <c r="BI871"/>
      <c r="BJ871"/>
      <c r="BS871"/>
      <c r="BU871"/>
      <c r="BV871"/>
      <c r="BX871"/>
    </row>
    <row r="872" spans="23:76" ht="15.75">
      <c r="W872" s="495"/>
      <c r="X872" s="495"/>
      <c r="Y872" s="495"/>
      <c r="Z872" s="451"/>
      <c r="AA872" s="145"/>
      <c r="AB872" s="223"/>
      <c r="AC872" s="22"/>
      <c r="AH872" s="9"/>
      <c r="AJ872" s="27"/>
      <c r="AK872" s="84"/>
      <c r="AM872" s="13"/>
      <c r="AP872"/>
      <c r="AR872"/>
      <c r="AV872"/>
      <c r="AW872"/>
      <c r="AX872"/>
      <c r="AY872"/>
      <c r="AZ872"/>
      <c r="BC872"/>
      <c r="BD872"/>
      <c r="BG872"/>
      <c r="BH872"/>
      <c r="BI872"/>
      <c r="BJ872"/>
      <c r="BS872"/>
      <c r="BU872"/>
      <c r="BV872"/>
      <c r="BX872"/>
    </row>
    <row r="873" spans="23:76" ht="15.75">
      <c r="W873" s="495"/>
      <c r="X873" s="495"/>
      <c r="Y873" s="495"/>
      <c r="Z873" s="451"/>
      <c r="AA873" s="145"/>
      <c r="AB873" s="223"/>
      <c r="AC873" s="22"/>
      <c r="AH873" s="9"/>
      <c r="AJ873" s="27"/>
      <c r="AK873" s="84"/>
      <c r="AM873" s="13"/>
      <c r="AP873"/>
      <c r="AR873"/>
      <c r="AV873"/>
      <c r="AW873"/>
      <c r="AX873"/>
      <c r="AY873"/>
      <c r="AZ873"/>
      <c r="BC873"/>
      <c r="BD873"/>
      <c r="BG873"/>
      <c r="BH873"/>
      <c r="BI873"/>
      <c r="BJ873"/>
      <c r="BS873"/>
      <c r="BU873"/>
      <c r="BV873"/>
      <c r="BX873"/>
    </row>
    <row r="874" spans="23:76" ht="15.75">
      <c r="W874" s="495"/>
      <c r="X874" s="495"/>
      <c r="Y874" s="495"/>
      <c r="Z874" s="451"/>
      <c r="AA874" s="145"/>
      <c r="AB874" s="223"/>
      <c r="AC874" s="22"/>
      <c r="AH874" s="9"/>
      <c r="AJ874" s="27"/>
      <c r="AK874" s="84"/>
      <c r="AM874" s="13"/>
      <c r="AP874"/>
      <c r="AR874"/>
      <c r="AV874"/>
      <c r="AW874"/>
      <c r="AX874"/>
      <c r="AY874"/>
      <c r="AZ874"/>
      <c r="BC874"/>
      <c r="BD874"/>
      <c r="BG874"/>
      <c r="BH874"/>
      <c r="BI874"/>
      <c r="BJ874"/>
      <c r="BS874"/>
      <c r="BU874"/>
      <c r="BV874"/>
      <c r="BX874"/>
    </row>
    <row r="875" spans="23:76" ht="15.75">
      <c r="W875" s="495"/>
      <c r="X875" s="495"/>
      <c r="Y875" s="495"/>
      <c r="Z875" s="451"/>
      <c r="AA875" s="145"/>
      <c r="AB875" s="223"/>
      <c r="AC875" s="22"/>
      <c r="AH875" s="9"/>
      <c r="AJ875" s="27"/>
      <c r="AK875" s="84"/>
      <c r="AM875" s="13"/>
      <c r="AP875"/>
      <c r="AR875"/>
      <c r="AV875"/>
      <c r="AW875"/>
      <c r="AX875"/>
      <c r="AY875"/>
      <c r="AZ875"/>
      <c r="BC875"/>
      <c r="BD875"/>
      <c r="BG875"/>
      <c r="BH875"/>
      <c r="BI875"/>
      <c r="BJ875"/>
      <c r="BS875"/>
      <c r="BU875"/>
      <c r="BV875"/>
      <c r="BX875"/>
    </row>
    <row r="876" spans="23:76" ht="15.75">
      <c r="W876" s="495"/>
      <c r="X876" s="495"/>
      <c r="Y876" s="495"/>
      <c r="Z876" s="451"/>
      <c r="AA876" s="145"/>
      <c r="AB876" s="223"/>
      <c r="AC876" s="22"/>
      <c r="AH876" s="9"/>
      <c r="AJ876" s="27"/>
      <c r="AK876" s="84"/>
      <c r="AM876" s="13"/>
      <c r="AP876"/>
      <c r="AR876"/>
      <c r="AV876"/>
      <c r="AW876"/>
      <c r="AX876"/>
      <c r="AY876"/>
      <c r="AZ876"/>
      <c r="BC876"/>
      <c r="BD876"/>
      <c r="BG876"/>
      <c r="BH876"/>
      <c r="BI876"/>
      <c r="BJ876"/>
      <c r="BS876"/>
      <c r="BU876"/>
      <c r="BV876"/>
      <c r="BX876"/>
    </row>
    <row r="877" spans="23:76" ht="15.75">
      <c r="W877" s="495"/>
      <c r="X877" s="495"/>
      <c r="Y877" s="495"/>
      <c r="Z877" s="451"/>
      <c r="AA877" s="145"/>
      <c r="AB877" s="223"/>
      <c r="AC877" s="22"/>
      <c r="AH877" s="9"/>
      <c r="AJ877" s="27"/>
      <c r="AK877" s="84"/>
      <c r="AM877" s="13"/>
      <c r="AP877"/>
      <c r="AR877"/>
      <c r="AV877"/>
      <c r="AW877"/>
      <c r="AX877"/>
      <c r="AY877"/>
      <c r="AZ877"/>
      <c r="BC877"/>
      <c r="BD877"/>
      <c r="BG877"/>
      <c r="BH877"/>
      <c r="BI877"/>
      <c r="BJ877"/>
      <c r="BS877"/>
      <c r="BU877"/>
      <c r="BV877"/>
      <c r="BX877"/>
    </row>
    <row r="878" spans="23:76" ht="15.75">
      <c r="W878" s="495"/>
      <c r="X878" s="495"/>
      <c r="Y878" s="495"/>
      <c r="Z878" s="451"/>
      <c r="AA878" s="145"/>
      <c r="AB878" s="223"/>
      <c r="AC878" s="22"/>
      <c r="AH878" s="9"/>
      <c r="AJ878" s="27"/>
      <c r="AK878" s="84"/>
      <c r="AM878" s="13"/>
      <c r="AP878"/>
      <c r="AR878"/>
      <c r="AV878"/>
      <c r="AW878"/>
      <c r="AX878"/>
      <c r="AY878"/>
      <c r="AZ878"/>
      <c r="BC878"/>
      <c r="BD878"/>
      <c r="BG878"/>
      <c r="BH878"/>
      <c r="BI878"/>
      <c r="BJ878"/>
      <c r="BS878"/>
      <c r="BU878"/>
      <c r="BV878"/>
      <c r="BX878"/>
    </row>
    <row r="879" spans="23:76" ht="15.75">
      <c r="W879" s="495"/>
      <c r="X879" s="495"/>
      <c r="Y879" s="495"/>
      <c r="Z879" s="451"/>
      <c r="AA879" s="145"/>
      <c r="AB879" s="223"/>
      <c r="AC879" s="22"/>
      <c r="AH879" s="9"/>
      <c r="AJ879" s="27"/>
      <c r="AK879" s="84"/>
      <c r="AM879" s="13"/>
      <c r="AP879"/>
      <c r="AR879"/>
      <c r="AV879"/>
      <c r="AW879"/>
      <c r="AX879"/>
      <c r="AY879"/>
      <c r="AZ879"/>
      <c r="BC879"/>
      <c r="BD879"/>
      <c r="BG879"/>
      <c r="BH879"/>
      <c r="BI879"/>
      <c r="BJ879"/>
      <c r="BS879"/>
      <c r="BU879"/>
      <c r="BV879"/>
      <c r="BX879"/>
    </row>
    <row r="880" spans="23:76" ht="15.75">
      <c r="W880" s="495"/>
      <c r="X880" s="495"/>
      <c r="Y880" s="495"/>
      <c r="Z880" s="451"/>
      <c r="AA880" s="145"/>
      <c r="AB880" s="223"/>
      <c r="AC880" s="22"/>
      <c r="AH880" s="9"/>
      <c r="AJ880" s="27"/>
      <c r="AK880" s="84"/>
      <c r="AM880" s="13"/>
      <c r="AP880"/>
      <c r="AR880"/>
      <c r="AV880"/>
      <c r="AW880"/>
      <c r="AX880"/>
      <c r="AY880"/>
      <c r="AZ880"/>
      <c r="BC880"/>
      <c r="BD880"/>
      <c r="BG880"/>
      <c r="BH880"/>
      <c r="BI880"/>
      <c r="BJ880"/>
      <c r="BS880"/>
      <c r="BU880"/>
      <c r="BV880"/>
      <c r="BX880"/>
    </row>
    <row r="881" spans="23:76" ht="15.75">
      <c r="W881" s="495"/>
      <c r="X881" s="495"/>
      <c r="Y881" s="495"/>
      <c r="Z881" s="451"/>
      <c r="AA881" s="145"/>
      <c r="AB881" s="223"/>
      <c r="AC881" s="22"/>
      <c r="AH881" s="9"/>
      <c r="AJ881" s="27"/>
      <c r="AK881" s="84"/>
      <c r="AM881" s="13"/>
      <c r="AP881"/>
      <c r="AR881"/>
      <c r="AV881"/>
      <c r="AW881"/>
      <c r="AX881"/>
      <c r="AY881"/>
      <c r="AZ881"/>
      <c r="BC881"/>
      <c r="BD881"/>
      <c r="BG881"/>
      <c r="BH881"/>
      <c r="BI881"/>
      <c r="BJ881"/>
      <c r="BS881"/>
      <c r="BU881"/>
      <c r="BV881"/>
      <c r="BX881"/>
    </row>
    <row r="882" spans="23:76" ht="15.75">
      <c r="W882" s="495"/>
      <c r="X882" s="495"/>
      <c r="Y882" s="495"/>
      <c r="Z882" s="451"/>
      <c r="AA882" s="145"/>
      <c r="AB882" s="223"/>
      <c r="AC882" s="22"/>
      <c r="AH882" s="9"/>
      <c r="AJ882" s="27"/>
      <c r="AK882" s="84"/>
      <c r="AM882" s="13"/>
      <c r="AP882"/>
      <c r="AR882"/>
      <c r="AV882"/>
      <c r="AW882"/>
      <c r="AX882"/>
      <c r="AY882"/>
      <c r="AZ882"/>
      <c r="BC882"/>
      <c r="BD882"/>
      <c r="BG882"/>
      <c r="BH882"/>
      <c r="BI882"/>
      <c r="BJ882"/>
      <c r="BS882"/>
      <c r="BU882"/>
      <c r="BV882"/>
      <c r="BX882"/>
    </row>
    <row r="883" spans="23:76" ht="15.75">
      <c r="W883" s="495"/>
      <c r="X883" s="495"/>
      <c r="Y883" s="495"/>
      <c r="Z883" s="451"/>
      <c r="AA883" s="145"/>
      <c r="AB883" s="223"/>
      <c r="AC883" s="22"/>
      <c r="AH883" s="9"/>
      <c r="AJ883" s="27"/>
      <c r="AK883" s="84"/>
      <c r="AM883" s="13"/>
      <c r="AP883"/>
      <c r="AR883"/>
      <c r="AV883"/>
      <c r="AW883"/>
      <c r="AX883"/>
      <c r="AY883"/>
      <c r="AZ883"/>
      <c r="BC883"/>
      <c r="BD883"/>
      <c r="BG883"/>
      <c r="BH883"/>
      <c r="BI883"/>
      <c r="BJ883"/>
      <c r="BS883"/>
      <c r="BU883"/>
      <c r="BV883"/>
      <c r="BX883"/>
    </row>
    <row r="884" spans="23:76" ht="15.75">
      <c r="W884" s="495"/>
      <c r="X884" s="495"/>
      <c r="Y884" s="495"/>
      <c r="Z884" s="451"/>
      <c r="AA884" s="145"/>
      <c r="AB884" s="223"/>
      <c r="AC884" s="22"/>
      <c r="AH884" s="9"/>
      <c r="AJ884" s="27"/>
      <c r="AK884" s="84"/>
      <c r="AM884" s="13"/>
      <c r="AP884"/>
      <c r="AR884"/>
      <c r="AV884"/>
      <c r="AW884"/>
      <c r="AX884"/>
      <c r="AY884"/>
      <c r="AZ884"/>
      <c r="BC884"/>
      <c r="BD884"/>
      <c r="BG884"/>
      <c r="BH884"/>
      <c r="BI884"/>
      <c r="BJ884"/>
      <c r="BS884"/>
      <c r="BU884"/>
      <c r="BV884"/>
      <c r="BX884"/>
    </row>
    <row r="885" spans="23:76" ht="15.75">
      <c r="W885" s="495"/>
      <c r="X885" s="495"/>
      <c r="Y885" s="495"/>
      <c r="Z885" s="451"/>
      <c r="AA885" s="145"/>
      <c r="AB885" s="223"/>
      <c r="AC885" s="22"/>
      <c r="AH885" s="9"/>
      <c r="AJ885" s="27"/>
      <c r="AK885" s="84"/>
      <c r="AM885" s="13"/>
      <c r="AP885"/>
      <c r="AR885"/>
      <c r="AV885"/>
      <c r="AW885"/>
      <c r="AX885"/>
      <c r="AY885"/>
      <c r="AZ885"/>
      <c r="BC885"/>
      <c r="BD885"/>
      <c r="BG885"/>
      <c r="BH885"/>
      <c r="BI885"/>
      <c r="BJ885"/>
      <c r="BS885"/>
      <c r="BU885"/>
      <c r="BV885"/>
      <c r="BX885"/>
    </row>
    <row r="886" spans="23:76" ht="15.75">
      <c r="W886" s="495"/>
      <c r="X886" s="495"/>
      <c r="Y886" s="495"/>
      <c r="Z886" s="451"/>
      <c r="AA886" s="145"/>
      <c r="AB886" s="223"/>
      <c r="AC886" s="22"/>
      <c r="AH886" s="9"/>
      <c r="AJ886" s="27"/>
      <c r="AK886" s="84"/>
      <c r="AM886" s="13"/>
      <c r="AP886"/>
      <c r="AR886"/>
      <c r="AV886"/>
      <c r="AW886"/>
      <c r="AX886"/>
      <c r="AY886"/>
      <c r="AZ886"/>
      <c r="BC886"/>
      <c r="BD886"/>
      <c r="BG886"/>
      <c r="BH886"/>
      <c r="BI886"/>
      <c r="BJ886"/>
      <c r="BS886"/>
      <c r="BU886"/>
      <c r="BV886"/>
      <c r="BX886"/>
    </row>
    <row r="887" spans="23:76" ht="15.75">
      <c r="W887" s="495"/>
      <c r="X887" s="495"/>
      <c r="Y887" s="495"/>
      <c r="Z887" s="451"/>
      <c r="AA887" s="145"/>
      <c r="AB887" s="223"/>
      <c r="AC887" s="22"/>
      <c r="AH887" s="9"/>
      <c r="AJ887" s="27"/>
      <c r="AK887" s="84"/>
      <c r="AM887" s="13"/>
      <c r="AP887"/>
      <c r="AR887"/>
      <c r="AV887"/>
      <c r="AW887"/>
      <c r="AX887"/>
      <c r="AY887"/>
      <c r="AZ887"/>
      <c r="BC887"/>
      <c r="BD887"/>
      <c r="BG887"/>
      <c r="BH887"/>
      <c r="BI887"/>
      <c r="BJ887"/>
      <c r="BS887"/>
      <c r="BU887"/>
      <c r="BV887"/>
      <c r="BX887"/>
    </row>
    <row r="888" spans="23:76" ht="15.75">
      <c r="W888" s="495"/>
      <c r="X888" s="495"/>
      <c r="Y888" s="495"/>
      <c r="Z888" s="451"/>
      <c r="AA888" s="145"/>
      <c r="AB888" s="223"/>
      <c r="AC888" s="22"/>
      <c r="AH888" s="9"/>
      <c r="AJ888" s="27"/>
      <c r="AK888" s="84"/>
      <c r="AM888" s="13"/>
      <c r="AP888"/>
      <c r="AR888"/>
      <c r="AV888"/>
      <c r="AW888"/>
      <c r="AX888"/>
      <c r="AY888"/>
      <c r="AZ888"/>
      <c r="BC888"/>
      <c r="BD888"/>
      <c r="BG888"/>
      <c r="BH888"/>
      <c r="BI888"/>
      <c r="BJ888"/>
      <c r="BS888"/>
      <c r="BU888"/>
      <c r="BV888"/>
      <c r="BX888"/>
    </row>
    <row r="889" spans="23:76" ht="15.75">
      <c r="W889" s="495"/>
      <c r="X889" s="495"/>
      <c r="Y889" s="495"/>
      <c r="Z889" s="451"/>
      <c r="AA889" s="145"/>
      <c r="AB889" s="223"/>
      <c r="AC889" s="22"/>
      <c r="AH889" s="9"/>
      <c r="AJ889" s="27"/>
      <c r="AK889" s="84"/>
      <c r="AM889" s="13"/>
      <c r="AP889"/>
      <c r="AR889"/>
      <c r="AV889"/>
      <c r="AW889"/>
      <c r="AX889"/>
      <c r="AY889"/>
      <c r="AZ889"/>
      <c r="BC889"/>
      <c r="BD889"/>
      <c r="BG889"/>
      <c r="BH889"/>
      <c r="BI889"/>
      <c r="BJ889"/>
      <c r="BS889"/>
      <c r="BU889"/>
      <c r="BV889"/>
      <c r="BX889"/>
    </row>
    <row r="890" spans="23:76" ht="15.75">
      <c r="W890" s="495"/>
      <c r="X890" s="495"/>
      <c r="Y890" s="495"/>
      <c r="Z890" s="451"/>
      <c r="AA890" s="145"/>
      <c r="AB890" s="223"/>
      <c r="AC890" s="22"/>
      <c r="AH890" s="9"/>
      <c r="AJ890" s="27"/>
      <c r="AK890" s="84"/>
      <c r="AM890" s="13"/>
      <c r="AP890"/>
      <c r="AR890"/>
      <c r="AV890"/>
      <c r="AW890"/>
      <c r="AX890"/>
      <c r="AY890"/>
      <c r="AZ890"/>
      <c r="BC890"/>
      <c r="BD890"/>
      <c r="BG890"/>
      <c r="BH890"/>
      <c r="BI890"/>
      <c r="BJ890"/>
      <c r="BS890"/>
      <c r="BU890"/>
      <c r="BV890"/>
      <c r="BX890"/>
    </row>
    <row r="891" spans="23:76" ht="15.75">
      <c r="W891" s="495"/>
      <c r="X891" s="495"/>
      <c r="Y891" s="495"/>
      <c r="Z891" s="451"/>
      <c r="AA891" s="145"/>
      <c r="AB891" s="223"/>
      <c r="AC891" s="22"/>
      <c r="AH891" s="9"/>
      <c r="AJ891" s="27"/>
      <c r="AK891" s="84"/>
      <c r="AM891" s="13"/>
      <c r="AP891"/>
      <c r="AR891"/>
      <c r="AV891"/>
      <c r="AW891"/>
      <c r="AX891"/>
      <c r="AY891"/>
      <c r="AZ891"/>
      <c r="BC891"/>
      <c r="BD891"/>
      <c r="BG891"/>
      <c r="BH891"/>
      <c r="BI891"/>
      <c r="BJ891"/>
      <c r="BS891"/>
      <c r="BU891"/>
      <c r="BV891"/>
      <c r="BX891"/>
    </row>
    <row r="892" spans="23:76" ht="15.75">
      <c r="W892" s="495"/>
      <c r="X892" s="495"/>
      <c r="Y892" s="495"/>
      <c r="Z892" s="451"/>
      <c r="AA892" s="145"/>
      <c r="AB892" s="223"/>
      <c r="AC892" s="22"/>
      <c r="AH892" s="9"/>
      <c r="AJ892" s="27"/>
      <c r="AK892" s="84"/>
      <c r="AM892" s="13"/>
      <c r="AP892"/>
      <c r="AR892"/>
      <c r="AV892"/>
      <c r="AW892"/>
      <c r="AX892"/>
      <c r="AY892"/>
      <c r="AZ892"/>
      <c r="BC892"/>
      <c r="BD892"/>
      <c r="BG892"/>
      <c r="BH892"/>
      <c r="BI892"/>
      <c r="BJ892"/>
      <c r="BS892"/>
      <c r="BU892"/>
      <c r="BV892"/>
      <c r="BX892"/>
    </row>
    <row r="893" spans="23:76" ht="15.75">
      <c r="W893" s="495"/>
      <c r="X893" s="495"/>
      <c r="Y893" s="495"/>
      <c r="Z893" s="451"/>
      <c r="AA893" s="145"/>
      <c r="AB893" s="223"/>
      <c r="AC893" s="22"/>
      <c r="AH893" s="9"/>
      <c r="AJ893" s="27"/>
      <c r="AK893" s="84"/>
      <c r="AM893" s="13"/>
      <c r="AP893"/>
      <c r="AR893"/>
      <c r="AV893"/>
      <c r="AW893"/>
      <c r="AX893"/>
      <c r="AY893"/>
      <c r="AZ893"/>
      <c r="BC893"/>
      <c r="BD893"/>
      <c r="BG893"/>
      <c r="BH893"/>
      <c r="BI893"/>
      <c r="BJ893"/>
      <c r="BS893"/>
      <c r="BU893"/>
      <c r="BV893"/>
      <c r="BX893"/>
    </row>
    <row r="894" spans="23:76" ht="15.75">
      <c r="W894" s="495"/>
      <c r="X894" s="495"/>
      <c r="Y894" s="495"/>
      <c r="Z894" s="451"/>
      <c r="AA894" s="145"/>
      <c r="AB894" s="223"/>
      <c r="AC894" s="22"/>
      <c r="AH894" s="9"/>
      <c r="AJ894" s="27"/>
      <c r="AK894" s="84"/>
      <c r="AM894" s="13"/>
      <c r="AP894"/>
      <c r="AR894"/>
      <c r="AV894"/>
      <c r="AW894"/>
      <c r="AX894"/>
      <c r="AY894"/>
      <c r="AZ894"/>
      <c r="BC894"/>
      <c r="BD894"/>
      <c r="BG894"/>
      <c r="BH894"/>
      <c r="BI894"/>
      <c r="BJ894"/>
      <c r="BS894"/>
      <c r="BU894"/>
      <c r="BV894"/>
      <c r="BX894"/>
    </row>
    <row r="895" spans="23:76" ht="15.75">
      <c r="W895" s="495"/>
      <c r="X895" s="495"/>
      <c r="Y895" s="495"/>
      <c r="Z895" s="451"/>
      <c r="AA895" s="145"/>
      <c r="AB895" s="223"/>
      <c r="AC895" s="22"/>
      <c r="AH895" s="9"/>
      <c r="AJ895" s="27"/>
      <c r="AK895" s="84"/>
      <c r="AM895" s="13"/>
      <c r="AP895"/>
      <c r="AR895"/>
      <c r="AV895"/>
      <c r="AW895"/>
      <c r="AX895"/>
      <c r="AY895"/>
      <c r="AZ895"/>
      <c r="BC895"/>
      <c r="BD895"/>
      <c r="BG895"/>
      <c r="BH895"/>
      <c r="BI895"/>
      <c r="BJ895"/>
      <c r="BS895"/>
      <c r="BU895"/>
      <c r="BV895"/>
      <c r="BX895"/>
    </row>
    <row r="896" spans="23:76" ht="15.75">
      <c r="W896" s="495"/>
      <c r="X896" s="495"/>
      <c r="Y896" s="495"/>
      <c r="Z896" s="451"/>
      <c r="AA896" s="145"/>
      <c r="AB896" s="223"/>
      <c r="AC896" s="22"/>
      <c r="AH896" s="9"/>
      <c r="AJ896" s="27"/>
      <c r="AK896" s="84"/>
      <c r="AM896" s="13"/>
      <c r="AP896"/>
      <c r="AR896"/>
      <c r="AV896"/>
      <c r="AW896"/>
      <c r="AX896"/>
      <c r="AY896"/>
      <c r="AZ896"/>
      <c r="BC896"/>
      <c r="BD896"/>
      <c r="BG896"/>
      <c r="BH896"/>
      <c r="BI896"/>
      <c r="BJ896"/>
      <c r="BS896"/>
      <c r="BU896"/>
      <c r="BV896"/>
      <c r="BX896"/>
    </row>
    <row r="897" spans="23:76" ht="15.75">
      <c r="W897" s="495"/>
      <c r="X897" s="495"/>
      <c r="Y897" s="495"/>
      <c r="Z897" s="451"/>
      <c r="AA897" s="145"/>
      <c r="AB897" s="223"/>
      <c r="AC897" s="22"/>
      <c r="AH897" s="9"/>
      <c r="AJ897" s="27"/>
      <c r="AK897" s="84"/>
      <c r="AM897" s="13"/>
      <c r="AP897"/>
      <c r="AR897"/>
      <c r="AV897"/>
      <c r="AW897"/>
      <c r="AX897"/>
      <c r="AY897"/>
      <c r="AZ897"/>
      <c r="BC897"/>
      <c r="BD897"/>
      <c r="BG897"/>
      <c r="BH897"/>
      <c r="BI897"/>
      <c r="BJ897"/>
      <c r="BS897"/>
      <c r="BU897"/>
      <c r="BV897"/>
      <c r="BX897"/>
    </row>
    <row r="898" spans="23:76" ht="15.75">
      <c r="W898" s="495"/>
      <c r="X898" s="495"/>
      <c r="Y898" s="495"/>
      <c r="Z898" s="451"/>
      <c r="AA898" s="145"/>
      <c r="AB898" s="223"/>
      <c r="AC898" s="22"/>
      <c r="AH898" s="9"/>
      <c r="AJ898" s="27"/>
      <c r="AK898" s="84"/>
      <c r="AM898" s="13"/>
      <c r="AP898"/>
      <c r="AR898"/>
      <c r="AV898"/>
      <c r="AW898"/>
      <c r="AX898"/>
      <c r="AY898"/>
      <c r="AZ898"/>
      <c r="BC898"/>
      <c r="BD898"/>
      <c r="BG898"/>
      <c r="BH898"/>
      <c r="BI898"/>
      <c r="BJ898"/>
      <c r="BS898"/>
      <c r="BU898"/>
      <c r="BV898"/>
      <c r="BX898"/>
    </row>
    <row r="899" spans="23:76" ht="15.75">
      <c r="W899" s="495"/>
      <c r="X899" s="495"/>
      <c r="Y899" s="495"/>
      <c r="Z899" s="451"/>
      <c r="AA899" s="145"/>
      <c r="AB899" s="223"/>
      <c r="AC899" s="22"/>
      <c r="AH899" s="9"/>
      <c r="AJ899" s="27"/>
      <c r="AK899" s="84"/>
      <c r="AM899" s="13"/>
      <c r="AP899"/>
      <c r="AR899"/>
      <c r="AV899"/>
      <c r="AW899"/>
      <c r="AX899"/>
      <c r="AY899"/>
      <c r="AZ899"/>
      <c r="BC899"/>
      <c r="BD899"/>
      <c r="BG899"/>
      <c r="BH899"/>
      <c r="BI899"/>
      <c r="BJ899"/>
      <c r="BS899"/>
      <c r="BU899"/>
      <c r="BV899"/>
      <c r="BX899"/>
    </row>
    <row r="900" spans="23:76" ht="15.75">
      <c r="W900" s="495"/>
      <c r="X900" s="495"/>
      <c r="Y900" s="495"/>
      <c r="Z900" s="451"/>
      <c r="AA900" s="145"/>
      <c r="AB900" s="223"/>
      <c r="AC900" s="22"/>
      <c r="AH900" s="9"/>
      <c r="AJ900" s="27"/>
      <c r="AK900" s="84"/>
      <c r="AM900" s="13"/>
      <c r="AP900"/>
      <c r="AR900"/>
      <c r="AV900"/>
      <c r="AW900"/>
      <c r="AX900"/>
      <c r="AY900"/>
      <c r="AZ900"/>
      <c r="BC900"/>
      <c r="BD900"/>
      <c r="BG900"/>
      <c r="BH900"/>
      <c r="BI900"/>
      <c r="BJ900"/>
      <c r="BS900"/>
      <c r="BU900"/>
      <c r="BV900"/>
      <c r="BX900"/>
    </row>
    <row r="901" spans="23:76" ht="15.75">
      <c r="W901" s="495"/>
      <c r="X901" s="495"/>
      <c r="Y901" s="495"/>
      <c r="Z901" s="451"/>
      <c r="AA901" s="145"/>
      <c r="AB901" s="223"/>
      <c r="AC901" s="22"/>
      <c r="AH901" s="9"/>
      <c r="AJ901" s="27"/>
      <c r="AK901" s="84"/>
      <c r="AM901" s="13"/>
      <c r="AP901"/>
      <c r="AR901"/>
      <c r="AV901"/>
      <c r="AW901"/>
      <c r="AX901"/>
      <c r="AY901"/>
      <c r="AZ901"/>
      <c r="BC901"/>
      <c r="BD901"/>
      <c r="BG901"/>
      <c r="BH901"/>
      <c r="BI901"/>
      <c r="BJ901"/>
      <c r="BS901"/>
      <c r="BU901"/>
      <c r="BV901"/>
      <c r="BX901"/>
    </row>
    <row r="902" spans="23:76" ht="15.75">
      <c r="W902" s="495"/>
      <c r="X902" s="495"/>
      <c r="Y902" s="495"/>
      <c r="Z902" s="451"/>
      <c r="AA902" s="145"/>
      <c r="AB902" s="223"/>
      <c r="AC902" s="22"/>
      <c r="AH902" s="9"/>
      <c r="AJ902" s="27"/>
      <c r="AK902" s="84"/>
      <c r="AM902" s="13"/>
      <c r="AP902"/>
      <c r="AR902"/>
      <c r="AV902"/>
      <c r="AW902"/>
      <c r="AX902"/>
      <c r="AY902"/>
      <c r="AZ902"/>
      <c r="BC902"/>
      <c r="BD902"/>
      <c r="BG902"/>
      <c r="BH902"/>
      <c r="BI902"/>
      <c r="BJ902"/>
      <c r="BS902"/>
      <c r="BU902"/>
      <c r="BV902"/>
      <c r="BX902"/>
    </row>
    <row r="903" spans="23:76" ht="15.75">
      <c r="W903" s="495"/>
      <c r="X903" s="495"/>
      <c r="Y903" s="495"/>
      <c r="Z903" s="451"/>
      <c r="AA903" s="145"/>
      <c r="AB903" s="223"/>
      <c r="AC903" s="22"/>
      <c r="AH903" s="9"/>
      <c r="AJ903" s="27"/>
      <c r="AK903" s="84"/>
      <c r="AM903" s="13"/>
      <c r="AP903"/>
      <c r="AR903"/>
      <c r="AV903"/>
      <c r="AW903"/>
      <c r="AX903"/>
      <c r="AY903"/>
      <c r="AZ903"/>
      <c r="BC903"/>
      <c r="BD903"/>
      <c r="BG903"/>
      <c r="BH903"/>
      <c r="BI903"/>
      <c r="BJ903"/>
      <c r="BS903"/>
      <c r="BU903"/>
      <c r="BV903"/>
      <c r="BX903"/>
    </row>
    <row r="904" spans="23:76" ht="15.75">
      <c r="W904" s="495"/>
      <c r="X904" s="495"/>
      <c r="Y904" s="495"/>
      <c r="Z904" s="451"/>
      <c r="AA904" s="145"/>
      <c r="AB904" s="223"/>
      <c r="AC904" s="22"/>
      <c r="AH904" s="9"/>
      <c r="AJ904" s="27"/>
      <c r="AK904" s="84"/>
      <c r="AM904" s="13"/>
      <c r="AP904"/>
      <c r="AR904"/>
      <c r="AV904"/>
      <c r="AW904"/>
      <c r="AX904"/>
      <c r="AY904"/>
      <c r="AZ904"/>
      <c r="BC904"/>
      <c r="BD904"/>
      <c r="BG904"/>
      <c r="BH904"/>
      <c r="BI904"/>
      <c r="BJ904"/>
      <c r="BS904"/>
      <c r="BU904"/>
      <c r="BV904"/>
      <c r="BX904"/>
    </row>
    <row r="905" spans="23:76" ht="15.75">
      <c r="W905" s="495"/>
      <c r="X905" s="495"/>
      <c r="Y905" s="495"/>
      <c r="Z905" s="451"/>
      <c r="AA905" s="145"/>
      <c r="AB905" s="223"/>
      <c r="AC905" s="22"/>
      <c r="AH905" s="9"/>
      <c r="AJ905" s="27"/>
      <c r="AK905" s="84"/>
      <c r="AM905" s="13"/>
      <c r="AP905"/>
      <c r="AR905"/>
      <c r="AV905"/>
      <c r="AW905"/>
      <c r="AX905"/>
      <c r="AY905"/>
      <c r="AZ905"/>
      <c r="BC905"/>
      <c r="BD905"/>
      <c r="BG905"/>
      <c r="BH905"/>
      <c r="BI905"/>
      <c r="BJ905"/>
      <c r="BS905"/>
      <c r="BU905"/>
      <c r="BV905"/>
      <c r="BX905"/>
    </row>
    <row r="906" spans="23:76" ht="15.75">
      <c r="W906" s="495"/>
      <c r="X906" s="495"/>
      <c r="Y906" s="495"/>
      <c r="Z906" s="451"/>
      <c r="AA906" s="145"/>
      <c r="AB906" s="223"/>
      <c r="AC906" s="22"/>
      <c r="AH906" s="9"/>
      <c r="AJ906" s="27"/>
      <c r="AK906" s="84"/>
      <c r="AM906" s="13"/>
      <c r="AP906"/>
      <c r="AR906"/>
      <c r="AV906"/>
      <c r="AW906"/>
      <c r="AX906"/>
      <c r="AY906"/>
      <c r="AZ906"/>
      <c r="BC906"/>
      <c r="BD906"/>
      <c r="BG906"/>
      <c r="BH906"/>
      <c r="BI906"/>
      <c r="BJ906"/>
      <c r="BS906"/>
      <c r="BU906"/>
      <c r="BV906"/>
      <c r="BX906"/>
    </row>
    <row r="907" spans="23:76" ht="15.75">
      <c r="W907" s="495"/>
      <c r="X907" s="495"/>
      <c r="Y907" s="495"/>
      <c r="Z907" s="451"/>
      <c r="AA907" s="145"/>
      <c r="AB907" s="223"/>
      <c r="AC907" s="22"/>
      <c r="AH907" s="9"/>
      <c r="AJ907" s="27"/>
      <c r="AK907" s="84"/>
      <c r="AM907" s="13"/>
      <c r="AP907"/>
      <c r="AR907"/>
      <c r="AV907"/>
      <c r="AW907"/>
      <c r="AX907"/>
      <c r="AY907"/>
      <c r="AZ907"/>
      <c r="BC907"/>
      <c r="BD907"/>
      <c r="BG907"/>
      <c r="BH907"/>
      <c r="BI907"/>
      <c r="BJ907"/>
      <c r="BS907"/>
      <c r="BU907"/>
      <c r="BV907"/>
      <c r="BX907"/>
    </row>
    <row r="908" spans="23:76" ht="15.75">
      <c r="W908" s="495"/>
      <c r="X908" s="495"/>
      <c r="Y908" s="495"/>
      <c r="Z908" s="451"/>
      <c r="AA908" s="145"/>
      <c r="AB908" s="223"/>
      <c r="AC908" s="22"/>
      <c r="AH908" s="9"/>
      <c r="AJ908" s="27"/>
      <c r="AK908" s="84"/>
      <c r="AM908" s="13"/>
      <c r="AP908"/>
      <c r="AR908"/>
      <c r="AV908"/>
      <c r="AW908"/>
      <c r="AX908"/>
      <c r="AY908"/>
      <c r="AZ908"/>
      <c r="BC908"/>
      <c r="BD908"/>
      <c r="BG908"/>
      <c r="BH908"/>
      <c r="BI908"/>
      <c r="BJ908"/>
      <c r="BS908"/>
      <c r="BU908"/>
      <c r="BV908"/>
      <c r="BX908"/>
    </row>
    <row r="909" spans="23:76" ht="15.75">
      <c r="W909" s="495"/>
      <c r="X909" s="495"/>
      <c r="Y909" s="495"/>
      <c r="Z909" s="451"/>
      <c r="AA909" s="145"/>
      <c r="AB909" s="223"/>
      <c r="AC909" s="22"/>
      <c r="AH909" s="9"/>
      <c r="AJ909" s="27"/>
      <c r="AK909" s="84"/>
      <c r="AM909" s="13"/>
      <c r="AP909"/>
      <c r="AR909"/>
      <c r="AV909"/>
      <c r="AW909"/>
      <c r="AX909"/>
      <c r="AY909"/>
      <c r="AZ909"/>
      <c r="BC909"/>
      <c r="BD909"/>
      <c r="BG909"/>
      <c r="BH909"/>
      <c r="BI909"/>
      <c r="BJ909"/>
      <c r="BS909"/>
      <c r="BU909"/>
      <c r="BV909"/>
      <c r="BX909"/>
    </row>
    <row r="910" spans="23:76" ht="15.75">
      <c r="W910" s="495"/>
      <c r="X910" s="495"/>
      <c r="Y910" s="495"/>
      <c r="Z910" s="451"/>
      <c r="AA910" s="145"/>
      <c r="AB910" s="223"/>
      <c r="AC910" s="22"/>
      <c r="AH910" s="9"/>
      <c r="AJ910" s="27"/>
      <c r="AK910" s="84"/>
      <c r="AM910" s="13"/>
      <c r="AP910"/>
      <c r="AR910"/>
      <c r="AV910"/>
      <c r="AW910"/>
      <c r="AX910"/>
      <c r="AY910"/>
      <c r="AZ910"/>
      <c r="BC910"/>
      <c r="BD910"/>
      <c r="BG910"/>
      <c r="BH910"/>
      <c r="BI910"/>
      <c r="BJ910"/>
      <c r="BS910"/>
      <c r="BU910"/>
      <c r="BV910"/>
      <c r="BX910"/>
    </row>
    <row r="911" spans="23:76" ht="15.75">
      <c r="W911" s="495"/>
      <c r="X911" s="495"/>
      <c r="Y911" s="495"/>
      <c r="Z911" s="451"/>
      <c r="AA911" s="145"/>
      <c r="AB911" s="223"/>
      <c r="AC911" s="22"/>
      <c r="AH911" s="9"/>
      <c r="AJ911" s="27"/>
      <c r="AK911" s="84"/>
      <c r="AM911" s="13"/>
      <c r="AP911"/>
      <c r="AR911"/>
      <c r="AV911"/>
      <c r="AW911"/>
      <c r="AX911"/>
      <c r="AY911"/>
      <c r="AZ911"/>
      <c r="BC911"/>
      <c r="BD911"/>
      <c r="BG911"/>
      <c r="BH911"/>
      <c r="BI911"/>
      <c r="BJ911"/>
      <c r="BS911"/>
      <c r="BU911"/>
      <c r="BV911"/>
      <c r="BX911"/>
    </row>
    <row r="912" spans="23:76" ht="15.75">
      <c r="W912" s="495"/>
      <c r="X912" s="495"/>
      <c r="Y912" s="495"/>
      <c r="Z912" s="451"/>
      <c r="AA912" s="145"/>
      <c r="AB912" s="223"/>
      <c r="AC912" s="22"/>
      <c r="AH912" s="9"/>
      <c r="AJ912" s="27"/>
      <c r="AK912" s="84"/>
      <c r="AM912" s="13"/>
      <c r="AP912"/>
      <c r="AR912"/>
      <c r="AV912"/>
      <c r="AW912"/>
      <c r="AX912"/>
      <c r="AY912"/>
      <c r="AZ912"/>
      <c r="BC912"/>
      <c r="BD912"/>
      <c r="BG912"/>
      <c r="BH912"/>
      <c r="BI912"/>
      <c r="BJ912"/>
      <c r="BS912"/>
      <c r="BU912"/>
      <c r="BV912"/>
      <c r="BX912"/>
    </row>
    <row r="913" spans="23:76" ht="15.75">
      <c r="W913" s="495"/>
      <c r="X913" s="495"/>
      <c r="Y913" s="495"/>
      <c r="Z913" s="451"/>
      <c r="AA913" s="145"/>
      <c r="AB913" s="223"/>
      <c r="AC913" s="22"/>
      <c r="AH913" s="9"/>
      <c r="AJ913" s="27"/>
      <c r="AK913" s="84"/>
      <c r="AM913" s="13"/>
      <c r="AP913"/>
      <c r="AR913"/>
      <c r="AV913"/>
      <c r="AW913"/>
      <c r="AX913"/>
      <c r="AY913"/>
      <c r="AZ913"/>
      <c r="BC913"/>
      <c r="BD913"/>
      <c r="BG913"/>
      <c r="BH913"/>
      <c r="BI913"/>
      <c r="BJ913"/>
      <c r="BS913"/>
      <c r="BU913"/>
      <c r="BV913"/>
      <c r="BX913"/>
    </row>
    <row r="914" spans="23:76" ht="15.75">
      <c r="W914" s="495"/>
      <c r="X914" s="495"/>
      <c r="Y914" s="495"/>
      <c r="Z914" s="451"/>
      <c r="AA914" s="145"/>
      <c r="AB914" s="223"/>
      <c r="AC914" s="22"/>
      <c r="AH914" s="9"/>
      <c r="AJ914" s="27"/>
      <c r="AK914" s="84"/>
      <c r="AM914" s="13"/>
      <c r="AP914"/>
      <c r="AR914"/>
      <c r="AV914"/>
      <c r="AW914"/>
      <c r="AX914"/>
      <c r="AY914"/>
      <c r="AZ914"/>
      <c r="BC914"/>
      <c r="BD914"/>
      <c r="BG914"/>
      <c r="BH914"/>
      <c r="BI914"/>
      <c r="BJ914"/>
      <c r="BS914"/>
      <c r="BU914"/>
      <c r="BV914"/>
      <c r="BX914"/>
    </row>
    <row r="915" spans="23:76" ht="15.75">
      <c r="W915" s="495"/>
      <c r="X915" s="495"/>
      <c r="Y915" s="495"/>
      <c r="Z915" s="451"/>
      <c r="AA915" s="145"/>
      <c r="AB915" s="223"/>
      <c r="AC915" s="22"/>
      <c r="AH915" s="9"/>
      <c r="AJ915" s="27"/>
      <c r="AK915" s="84"/>
      <c r="AM915" s="13"/>
      <c r="AP915"/>
      <c r="AR915"/>
      <c r="AV915"/>
      <c r="AW915"/>
      <c r="AX915"/>
      <c r="AY915"/>
      <c r="AZ915"/>
      <c r="BC915"/>
      <c r="BD915"/>
      <c r="BG915"/>
      <c r="BH915"/>
      <c r="BI915"/>
      <c r="BJ915"/>
      <c r="BS915"/>
      <c r="BU915"/>
      <c r="BV915"/>
      <c r="BX915"/>
    </row>
    <row r="916" spans="23:76" ht="15.75">
      <c r="W916" s="495"/>
      <c r="X916" s="495"/>
      <c r="Y916" s="495"/>
      <c r="Z916" s="451"/>
      <c r="AA916" s="145"/>
      <c r="AB916" s="223"/>
      <c r="AC916" s="22"/>
      <c r="AH916" s="9"/>
      <c r="AJ916" s="27"/>
      <c r="AK916" s="84"/>
      <c r="AM916" s="13"/>
      <c r="AP916"/>
      <c r="AR916"/>
      <c r="AV916"/>
      <c r="AW916"/>
      <c r="AX916"/>
      <c r="AY916"/>
      <c r="AZ916"/>
      <c r="BC916"/>
      <c r="BD916"/>
      <c r="BG916"/>
      <c r="BH916"/>
      <c r="BI916"/>
      <c r="BJ916"/>
      <c r="BS916"/>
      <c r="BU916"/>
      <c r="BV916"/>
      <c r="BX916"/>
    </row>
    <row r="917" spans="23:76" ht="15.75">
      <c r="W917" s="495"/>
      <c r="X917" s="495"/>
      <c r="Y917" s="495"/>
      <c r="Z917" s="451"/>
      <c r="AA917" s="145"/>
      <c r="AB917" s="223"/>
      <c r="AC917" s="22"/>
      <c r="AH917" s="9"/>
      <c r="AJ917" s="27"/>
      <c r="AK917" s="84"/>
      <c r="AM917" s="13"/>
      <c r="AP917"/>
      <c r="AR917"/>
      <c r="AV917"/>
      <c r="AW917"/>
      <c r="AX917"/>
      <c r="AY917"/>
      <c r="AZ917"/>
      <c r="BC917"/>
      <c r="BD917"/>
      <c r="BG917"/>
      <c r="BH917"/>
      <c r="BI917"/>
      <c r="BJ917"/>
      <c r="BS917"/>
      <c r="BU917"/>
      <c r="BV917"/>
      <c r="BX917"/>
    </row>
    <row r="918" spans="23:76" ht="15.75">
      <c r="W918" s="495"/>
      <c r="X918" s="495"/>
      <c r="Y918" s="495"/>
      <c r="Z918" s="451"/>
      <c r="AA918" s="145"/>
      <c r="AB918" s="223"/>
      <c r="AC918" s="22"/>
      <c r="AH918" s="9"/>
      <c r="AJ918" s="27"/>
      <c r="AK918" s="84"/>
      <c r="AM918" s="13"/>
      <c r="AP918"/>
      <c r="AR918"/>
      <c r="AV918"/>
      <c r="AW918"/>
      <c r="AX918"/>
      <c r="AY918"/>
      <c r="AZ918"/>
      <c r="BC918"/>
      <c r="BD918"/>
      <c r="BG918"/>
      <c r="BH918"/>
      <c r="BI918"/>
      <c r="BJ918"/>
      <c r="BS918"/>
      <c r="BU918"/>
      <c r="BV918"/>
      <c r="BX918"/>
    </row>
    <row r="919" spans="23:76" ht="15.75">
      <c r="W919" s="495"/>
      <c r="X919" s="495"/>
      <c r="Y919" s="495"/>
      <c r="Z919" s="451"/>
      <c r="AA919" s="145"/>
      <c r="AB919" s="223"/>
      <c r="AC919" s="22"/>
      <c r="AH919" s="9"/>
      <c r="AJ919" s="27"/>
      <c r="AK919" s="84"/>
      <c r="AM919" s="13"/>
      <c r="AP919"/>
      <c r="AR919"/>
      <c r="AV919"/>
      <c r="AW919"/>
      <c r="AX919"/>
      <c r="AY919"/>
      <c r="AZ919"/>
      <c r="BC919"/>
      <c r="BD919"/>
      <c r="BG919"/>
      <c r="BH919"/>
      <c r="BI919"/>
      <c r="BJ919"/>
      <c r="BS919"/>
      <c r="BU919"/>
      <c r="BV919"/>
      <c r="BX919"/>
    </row>
    <row r="920" spans="23:76" ht="15.75">
      <c r="W920" s="495"/>
      <c r="X920" s="495"/>
      <c r="Y920" s="495"/>
      <c r="Z920" s="451"/>
      <c r="AA920" s="145"/>
      <c r="AB920" s="223"/>
      <c r="AC920" s="22"/>
      <c r="AH920" s="9"/>
      <c r="AJ920" s="27"/>
      <c r="AK920" s="84"/>
      <c r="AM920" s="13"/>
      <c r="AP920"/>
      <c r="AR920"/>
      <c r="AV920"/>
      <c r="AW920"/>
      <c r="AX920"/>
      <c r="AY920"/>
      <c r="AZ920"/>
      <c r="BC920"/>
      <c r="BD920"/>
      <c r="BG920"/>
      <c r="BH920"/>
      <c r="BI920"/>
      <c r="BJ920"/>
      <c r="BS920"/>
      <c r="BU920"/>
      <c r="BV920"/>
      <c r="BX920"/>
    </row>
    <row r="921" spans="23:76" ht="15.75">
      <c r="W921" s="495"/>
      <c r="X921" s="495"/>
      <c r="Y921" s="495"/>
      <c r="Z921" s="451"/>
      <c r="AA921" s="145"/>
      <c r="AB921" s="223"/>
      <c r="AC921" s="22"/>
      <c r="AH921" s="9"/>
      <c r="AJ921" s="27"/>
      <c r="AK921" s="84"/>
      <c r="AM921" s="13"/>
      <c r="AP921"/>
      <c r="AR921"/>
      <c r="AV921"/>
      <c r="AW921"/>
      <c r="AX921"/>
      <c r="AY921"/>
      <c r="AZ921"/>
      <c r="BC921"/>
      <c r="BD921"/>
      <c r="BG921"/>
      <c r="BH921"/>
      <c r="BI921"/>
      <c r="BJ921"/>
      <c r="BS921"/>
      <c r="BU921"/>
      <c r="BV921"/>
      <c r="BX921"/>
    </row>
    <row r="922" spans="23:76" ht="15.75">
      <c r="W922" s="495"/>
      <c r="X922" s="495"/>
      <c r="Y922" s="495"/>
      <c r="Z922" s="451"/>
      <c r="AA922" s="145"/>
      <c r="AB922" s="223"/>
      <c r="AC922" s="22"/>
      <c r="AH922" s="9"/>
      <c r="AJ922" s="27"/>
      <c r="AK922" s="84"/>
      <c r="AM922" s="13"/>
      <c r="AP922"/>
      <c r="AR922"/>
      <c r="AV922"/>
      <c r="AW922"/>
      <c r="AX922"/>
      <c r="AY922"/>
      <c r="AZ922"/>
      <c r="BC922"/>
      <c r="BD922"/>
      <c r="BG922"/>
      <c r="BH922"/>
      <c r="BI922"/>
      <c r="BJ922"/>
      <c r="BS922"/>
      <c r="BU922"/>
      <c r="BV922"/>
      <c r="BX922"/>
    </row>
    <row r="923" spans="23:76" ht="15.75">
      <c r="W923" s="495"/>
      <c r="X923" s="495"/>
      <c r="Y923" s="495"/>
      <c r="Z923" s="451"/>
      <c r="AA923" s="145"/>
      <c r="AB923" s="223"/>
      <c r="AC923" s="22"/>
      <c r="AH923" s="9"/>
      <c r="AJ923" s="27"/>
      <c r="AK923" s="84"/>
      <c r="AM923" s="13"/>
      <c r="AP923"/>
      <c r="AR923"/>
      <c r="AV923"/>
      <c r="AW923"/>
      <c r="AX923"/>
      <c r="AY923"/>
      <c r="AZ923"/>
      <c r="BC923"/>
      <c r="BD923"/>
      <c r="BG923"/>
      <c r="BH923"/>
      <c r="BI923"/>
      <c r="BJ923"/>
      <c r="BS923"/>
      <c r="BU923"/>
      <c r="BV923"/>
      <c r="BX923"/>
    </row>
    <row r="924" spans="23:76" ht="15.75">
      <c r="W924" s="495"/>
      <c r="X924" s="495"/>
      <c r="Y924" s="495"/>
      <c r="Z924" s="451"/>
      <c r="AA924" s="145"/>
      <c r="AB924" s="223"/>
      <c r="AC924" s="22"/>
      <c r="AH924" s="9"/>
      <c r="AJ924" s="27"/>
      <c r="AK924" s="84"/>
      <c r="AM924" s="13"/>
      <c r="AP924"/>
      <c r="AR924"/>
      <c r="AV924"/>
      <c r="AW924"/>
      <c r="AX924"/>
      <c r="AY924"/>
      <c r="AZ924"/>
      <c r="BC924"/>
      <c r="BD924"/>
      <c r="BG924"/>
      <c r="BH924"/>
      <c r="BI924"/>
      <c r="BJ924"/>
      <c r="BS924"/>
      <c r="BU924"/>
      <c r="BV924"/>
      <c r="BX924"/>
    </row>
    <row r="925" spans="23:76" ht="15.75">
      <c r="W925" s="495"/>
      <c r="X925" s="495"/>
      <c r="Y925" s="495"/>
      <c r="Z925" s="451"/>
      <c r="AA925" s="145"/>
      <c r="AB925" s="223"/>
      <c r="AC925" s="22"/>
      <c r="AH925" s="9"/>
      <c r="AJ925" s="27"/>
      <c r="AK925" s="84"/>
      <c r="AM925" s="13"/>
      <c r="AP925"/>
      <c r="AR925"/>
      <c r="AV925"/>
      <c r="AW925"/>
      <c r="AX925"/>
      <c r="AY925"/>
      <c r="AZ925"/>
      <c r="BC925"/>
      <c r="BD925"/>
      <c r="BG925"/>
      <c r="BH925"/>
      <c r="BI925"/>
      <c r="BJ925"/>
      <c r="BS925"/>
      <c r="BU925"/>
      <c r="BV925"/>
      <c r="BX925"/>
    </row>
    <row r="926" spans="23:76" ht="15.75">
      <c r="W926" s="495"/>
      <c r="X926" s="495"/>
      <c r="Y926" s="495"/>
      <c r="Z926" s="451"/>
      <c r="AA926" s="145"/>
      <c r="AB926" s="223"/>
      <c r="AC926" s="22"/>
      <c r="AH926" s="9"/>
      <c r="AJ926" s="27"/>
      <c r="AK926" s="84"/>
      <c r="AM926" s="13"/>
      <c r="AP926"/>
      <c r="AR926"/>
      <c r="AV926"/>
      <c r="AW926"/>
      <c r="AX926"/>
      <c r="AY926"/>
      <c r="AZ926"/>
      <c r="BC926"/>
      <c r="BD926"/>
      <c r="BG926"/>
      <c r="BH926"/>
      <c r="BI926"/>
      <c r="BJ926"/>
      <c r="BS926"/>
      <c r="BU926"/>
      <c r="BV926"/>
      <c r="BX926"/>
    </row>
    <row r="927" spans="23:76" ht="15.75">
      <c r="W927" s="495"/>
      <c r="X927" s="495"/>
      <c r="Y927" s="495"/>
      <c r="Z927" s="451"/>
      <c r="AA927" s="145"/>
      <c r="AB927" s="223"/>
      <c r="AC927" s="22"/>
      <c r="AH927" s="9"/>
      <c r="AJ927" s="27"/>
      <c r="AK927" s="84"/>
      <c r="AM927" s="13"/>
      <c r="AP927"/>
      <c r="AR927"/>
      <c r="AV927"/>
      <c r="AW927"/>
      <c r="AX927"/>
      <c r="AY927"/>
      <c r="AZ927"/>
      <c r="BC927"/>
      <c r="BD927"/>
      <c r="BG927"/>
      <c r="BH927"/>
      <c r="BI927"/>
      <c r="BJ927"/>
      <c r="BS927"/>
      <c r="BU927"/>
      <c r="BV927"/>
      <c r="BX927"/>
    </row>
    <row r="928" spans="23:76" ht="15.75">
      <c r="W928" s="495"/>
      <c r="X928" s="495"/>
      <c r="Y928" s="495"/>
      <c r="Z928" s="451"/>
      <c r="AA928" s="145"/>
      <c r="AB928" s="223"/>
      <c r="AC928" s="22"/>
      <c r="AH928" s="9"/>
      <c r="AJ928" s="27"/>
      <c r="AK928" s="84"/>
      <c r="AM928" s="13"/>
      <c r="AP928"/>
      <c r="AR928"/>
      <c r="AV928"/>
      <c r="AW928"/>
      <c r="AX928"/>
      <c r="AY928"/>
      <c r="AZ928"/>
      <c r="BC928"/>
      <c r="BD928"/>
      <c r="BG928"/>
      <c r="BH928"/>
      <c r="BI928"/>
      <c r="BJ928"/>
      <c r="BS928"/>
      <c r="BU928"/>
      <c r="BV928"/>
      <c r="BX928"/>
    </row>
    <row r="929" spans="23:76" ht="15.75">
      <c r="W929" s="495"/>
      <c r="X929" s="495"/>
      <c r="Y929" s="495"/>
      <c r="Z929" s="451"/>
      <c r="AA929" s="145"/>
      <c r="AB929" s="223"/>
      <c r="AC929" s="22"/>
      <c r="AH929" s="9"/>
      <c r="AJ929" s="27"/>
      <c r="AK929" s="84"/>
      <c r="AM929" s="13"/>
      <c r="AP929"/>
      <c r="AR929"/>
      <c r="AV929"/>
      <c r="AW929"/>
      <c r="AX929"/>
      <c r="AY929"/>
      <c r="AZ929"/>
      <c r="BC929"/>
      <c r="BD929"/>
      <c r="BG929"/>
      <c r="BH929"/>
      <c r="BI929"/>
      <c r="BJ929"/>
      <c r="BS929"/>
      <c r="BU929"/>
      <c r="BV929"/>
      <c r="BX929"/>
    </row>
    <row r="930" spans="23:76" ht="15.75">
      <c r="W930" s="495"/>
      <c r="X930" s="495"/>
      <c r="Y930" s="495"/>
      <c r="Z930" s="451"/>
      <c r="AA930" s="145"/>
      <c r="AB930" s="223"/>
      <c r="AC930" s="22"/>
      <c r="AH930" s="9"/>
      <c r="AJ930" s="27"/>
      <c r="AK930" s="84"/>
      <c r="AM930" s="13"/>
      <c r="AP930"/>
      <c r="AR930"/>
      <c r="AV930"/>
      <c r="AW930"/>
      <c r="AX930"/>
      <c r="AY930"/>
      <c r="AZ930"/>
      <c r="BC930"/>
      <c r="BD930"/>
      <c r="BG930"/>
      <c r="BH930"/>
      <c r="BI930"/>
      <c r="BJ930"/>
      <c r="BS930"/>
      <c r="BU930"/>
      <c r="BV930"/>
      <c r="BX930"/>
    </row>
    <row r="931" spans="23:76" ht="15.75">
      <c r="W931" s="495"/>
      <c r="X931" s="495"/>
      <c r="Y931" s="495"/>
      <c r="Z931" s="451"/>
      <c r="AA931" s="145"/>
      <c r="AB931" s="223"/>
      <c r="AC931" s="22"/>
      <c r="AH931" s="9"/>
      <c r="AJ931" s="27"/>
      <c r="AK931" s="84"/>
      <c r="AM931" s="13"/>
      <c r="AP931"/>
      <c r="AR931"/>
      <c r="AV931"/>
      <c r="AW931"/>
      <c r="AX931"/>
      <c r="AY931"/>
      <c r="AZ931"/>
      <c r="BC931"/>
      <c r="BD931"/>
      <c r="BG931"/>
      <c r="BH931"/>
      <c r="BI931"/>
      <c r="BJ931"/>
      <c r="BS931"/>
      <c r="BU931"/>
      <c r="BV931"/>
      <c r="BX931"/>
    </row>
    <row r="932" spans="23:76" ht="15.75">
      <c r="W932" s="495"/>
      <c r="X932" s="495"/>
      <c r="Y932" s="495"/>
      <c r="Z932" s="451"/>
      <c r="AA932" s="145"/>
      <c r="AB932" s="223"/>
      <c r="AC932" s="22"/>
      <c r="AH932" s="9"/>
      <c r="AJ932" s="27"/>
      <c r="AK932" s="84"/>
      <c r="AM932" s="13"/>
      <c r="AP932"/>
      <c r="AR932"/>
      <c r="AV932"/>
      <c r="AW932"/>
      <c r="AX932"/>
      <c r="AY932"/>
      <c r="AZ932"/>
      <c r="BC932"/>
      <c r="BD932"/>
      <c r="BG932"/>
      <c r="BH932"/>
      <c r="BI932"/>
      <c r="BJ932"/>
      <c r="BS932"/>
      <c r="BU932"/>
      <c r="BV932"/>
      <c r="BX932"/>
    </row>
    <row r="933" spans="23:76" ht="15.75">
      <c r="W933" s="495"/>
      <c r="X933" s="495"/>
      <c r="Y933" s="495"/>
      <c r="Z933" s="451"/>
      <c r="AA933" s="145"/>
      <c r="AB933" s="223"/>
      <c r="AC933" s="22"/>
      <c r="AH933" s="9"/>
      <c r="AJ933" s="27"/>
      <c r="AK933" s="84"/>
      <c r="AM933" s="13"/>
      <c r="AP933"/>
      <c r="AR933"/>
      <c r="AV933"/>
      <c r="AW933"/>
      <c r="AX933"/>
      <c r="AY933"/>
      <c r="AZ933"/>
      <c r="BC933"/>
      <c r="BD933"/>
      <c r="BG933"/>
      <c r="BH933"/>
      <c r="BI933"/>
      <c r="BJ933"/>
      <c r="BS933"/>
      <c r="BU933"/>
      <c r="BV933"/>
      <c r="BX933"/>
    </row>
    <row r="934" spans="23:76" ht="15.75">
      <c r="W934" s="495"/>
      <c r="X934" s="495"/>
      <c r="Y934" s="495"/>
      <c r="Z934" s="451"/>
      <c r="AA934" s="145"/>
      <c r="AB934" s="223"/>
      <c r="AC934" s="22"/>
      <c r="AH934" s="9"/>
      <c r="AJ934" s="27"/>
      <c r="AK934" s="84"/>
      <c r="AM934" s="13"/>
      <c r="AP934"/>
      <c r="AR934"/>
      <c r="AV934"/>
      <c r="AW934"/>
      <c r="AX934"/>
      <c r="AY934"/>
      <c r="AZ934"/>
      <c r="BC934"/>
      <c r="BD934"/>
      <c r="BG934"/>
      <c r="BH934"/>
      <c r="BI934"/>
      <c r="BJ934"/>
      <c r="BS934"/>
      <c r="BU934"/>
      <c r="BV934"/>
      <c r="BX934"/>
    </row>
    <row r="935" spans="23:76" ht="15.75">
      <c r="W935" s="495"/>
      <c r="X935" s="495"/>
      <c r="Y935" s="495"/>
      <c r="Z935" s="451"/>
      <c r="AA935" s="145"/>
      <c r="AB935" s="223"/>
      <c r="AC935" s="22"/>
      <c r="AH935" s="9"/>
      <c r="AJ935" s="27"/>
      <c r="AK935" s="84"/>
      <c r="AM935" s="13"/>
      <c r="AP935"/>
      <c r="AR935"/>
      <c r="AV935"/>
      <c r="AW935"/>
      <c r="AX935"/>
      <c r="AY935"/>
      <c r="AZ935"/>
      <c r="BC935"/>
      <c r="BD935"/>
      <c r="BG935"/>
      <c r="BH935"/>
      <c r="BI935"/>
      <c r="BJ935"/>
      <c r="BS935"/>
      <c r="BU935"/>
      <c r="BV935"/>
      <c r="BX935"/>
    </row>
    <row r="936" spans="23:76" ht="15.75">
      <c r="W936" s="495"/>
      <c r="X936" s="495"/>
      <c r="Y936" s="495"/>
      <c r="Z936" s="451"/>
      <c r="AA936" s="145"/>
      <c r="AB936" s="223"/>
      <c r="AC936" s="22"/>
      <c r="AH936" s="9"/>
      <c r="AJ936" s="27"/>
      <c r="AK936" s="84"/>
      <c r="AM936" s="13"/>
      <c r="AP936"/>
      <c r="AR936"/>
      <c r="AV936"/>
      <c r="AW936"/>
      <c r="AX936"/>
      <c r="AY936"/>
      <c r="AZ936"/>
      <c r="BC936"/>
      <c r="BD936"/>
      <c r="BG936"/>
      <c r="BH936"/>
      <c r="BI936"/>
      <c r="BJ936"/>
      <c r="BS936"/>
      <c r="BU936"/>
      <c r="BV936"/>
      <c r="BX936"/>
    </row>
    <row r="937" spans="23:76" ht="15.75">
      <c r="W937" s="495"/>
      <c r="X937" s="495"/>
      <c r="Y937" s="495"/>
      <c r="Z937" s="451"/>
      <c r="AA937" s="145"/>
      <c r="AB937" s="223"/>
      <c r="AC937" s="22"/>
      <c r="AH937" s="9"/>
      <c r="AJ937" s="27"/>
      <c r="AK937" s="84"/>
      <c r="AM937" s="13"/>
      <c r="AP937"/>
      <c r="AR937"/>
      <c r="AV937"/>
      <c r="AW937"/>
      <c r="AX937"/>
      <c r="AY937"/>
      <c r="AZ937"/>
      <c r="BC937"/>
      <c r="BD937"/>
      <c r="BG937"/>
      <c r="BH937"/>
      <c r="BI937"/>
      <c r="BJ937"/>
      <c r="BS937"/>
      <c r="BU937"/>
      <c r="BV937"/>
      <c r="BX937"/>
    </row>
    <row r="938" spans="23:76" ht="15.75">
      <c r="W938" s="495"/>
      <c r="X938" s="495"/>
      <c r="Y938" s="495"/>
      <c r="Z938" s="451"/>
      <c r="AA938" s="145"/>
      <c r="AB938" s="223"/>
      <c r="AC938" s="22"/>
      <c r="AH938" s="9"/>
      <c r="AJ938" s="27"/>
      <c r="AK938" s="84"/>
      <c r="AM938" s="13"/>
      <c r="AP938"/>
      <c r="AR938"/>
      <c r="AV938"/>
      <c r="AW938"/>
      <c r="AX938"/>
      <c r="AY938"/>
      <c r="AZ938"/>
      <c r="BC938"/>
      <c r="BD938"/>
      <c r="BG938"/>
      <c r="BH938"/>
      <c r="BI938"/>
      <c r="BJ938"/>
      <c r="BS938"/>
      <c r="BU938"/>
      <c r="BV938"/>
      <c r="BX938"/>
    </row>
    <row r="939" spans="23:76" ht="15.75">
      <c r="W939" s="495"/>
      <c r="X939" s="495"/>
      <c r="Y939" s="495"/>
      <c r="Z939" s="451"/>
      <c r="AA939" s="145"/>
      <c r="AB939" s="223"/>
      <c r="AC939" s="22"/>
      <c r="AH939" s="9"/>
      <c r="AJ939" s="27"/>
      <c r="AK939" s="84"/>
      <c r="AM939" s="13"/>
      <c r="AP939"/>
      <c r="AR939"/>
      <c r="AV939"/>
      <c r="AW939"/>
      <c r="AX939"/>
      <c r="AY939"/>
      <c r="AZ939"/>
      <c r="BC939"/>
      <c r="BD939"/>
      <c r="BG939"/>
      <c r="BH939"/>
      <c r="BI939"/>
      <c r="BJ939"/>
      <c r="BS939"/>
      <c r="BU939"/>
      <c r="BV939"/>
      <c r="BX939"/>
    </row>
    <row r="940" spans="23:76" ht="15.75">
      <c r="W940" s="495"/>
      <c r="X940" s="495"/>
      <c r="Y940" s="495"/>
      <c r="Z940" s="451"/>
      <c r="AA940" s="145"/>
      <c r="AB940" s="223"/>
      <c r="AC940" s="22"/>
      <c r="AH940" s="9"/>
      <c r="AJ940" s="27"/>
      <c r="AK940" s="84"/>
      <c r="AM940" s="13"/>
      <c r="AP940"/>
      <c r="AR940"/>
      <c r="AV940"/>
      <c r="AW940"/>
      <c r="AX940"/>
      <c r="AY940"/>
      <c r="AZ940"/>
      <c r="BC940"/>
      <c r="BD940"/>
      <c r="BG940"/>
      <c r="BH940"/>
      <c r="BI940"/>
      <c r="BJ940"/>
      <c r="BS940"/>
      <c r="BU940"/>
      <c r="BV940"/>
      <c r="BX940"/>
    </row>
    <row r="941" spans="23:76" ht="15.75">
      <c r="W941" s="495"/>
      <c r="X941" s="495"/>
      <c r="Y941" s="495"/>
      <c r="Z941" s="451"/>
      <c r="AA941" s="145"/>
      <c r="AB941" s="223"/>
      <c r="AC941" s="22"/>
      <c r="AH941" s="9"/>
      <c r="AJ941" s="27"/>
      <c r="AK941" s="84"/>
      <c r="AM941" s="13"/>
      <c r="AP941"/>
      <c r="AR941"/>
      <c r="AV941"/>
      <c r="AW941"/>
      <c r="AX941"/>
      <c r="AY941"/>
      <c r="AZ941"/>
      <c r="BC941"/>
      <c r="BD941"/>
      <c r="BG941"/>
      <c r="BH941"/>
      <c r="BI941"/>
      <c r="BJ941"/>
      <c r="BS941"/>
      <c r="BU941"/>
      <c r="BV941"/>
      <c r="BX941"/>
    </row>
    <row r="942" spans="23:76" ht="15.75">
      <c r="W942" s="495"/>
      <c r="X942" s="495"/>
      <c r="Y942" s="495"/>
      <c r="Z942" s="451"/>
      <c r="AA942" s="145"/>
      <c r="AB942" s="223"/>
      <c r="AC942" s="22"/>
      <c r="AH942" s="9"/>
      <c r="AJ942" s="27"/>
      <c r="AK942" s="84"/>
      <c r="AM942" s="13"/>
      <c r="AP942"/>
      <c r="AR942"/>
      <c r="AV942"/>
      <c r="AW942"/>
      <c r="AX942"/>
      <c r="AY942"/>
      <c r="AZ942"/>
      <c r="BC942"/>
      <c r="BD942"/>
      <c r="BG942"/>
      <c r="BH942"/>
      <c r="BI942"/>
      <c r="BJ942"/>
      <c r="BS942"/>
      <c r="BU942"/>
      <c r="BV942"/>
      <c r="BX942"/>
    </row>
    <row r="943" spans="23:76" ht="15.75">
      <c r="W943" s="495"/>
      <c r="X943" s="495"/>
      <c r="Y943" s="495"/>
      <c r="Z943" s="451"/>
      <c r="AA943" s="145"/>
      <c r="AB943" s="223"/>
      <c r="AC943" s="22"/>
      <c r="AH943" s="9"/>
      <c r="AJ943" s="27"/>
      <c r="AK943" s="84"/>
      <c r="AM943" s="13"/>
      <c r="AP943"/>
      <c r="AR943"/>
      <c r="AV943"/>
      <c r="AW943"/>
      <c r="AX943"/>
      <c r="AY943"/>
      <c r="AZ943"/>
      <c r="BC943"/>
      <c r="BD943"/>
      <c r="BG943"/>
      <c r="BH943"/>
      <c r="BI943"/>
      <c r="BJ943"/>
      <c r="BS943"/>
      <c r="BU943"/>
      <c r="BV943"/>
      <c r="BX943"/>
    </row>
    <row r="944" spans="23:76" ht="15.75">
      <c r="W944" s="495"/>
      <c r="X944" s="495"/>
      <c r="Y944" s="495"/>
      <c r="Z944" s="451"/>
      <c r="AA944" s="145"/>
      <c r="AB944" s="223"/>
      <c r="AC944" s="22"/>
      <c r="AH944" s="9"/>
      <c r="AJ944" s="27"/>
      <c r="AK944" s="84"/>
      <c r="AM944" s="13"/>
      <c r="AP944"/>
      <c r="AR944"/>
      <c r="AV944"/>
      <c r="AW944"/>
      <c r="AX944"/>
      <c r="AY944"/>
      <c r="AZ944"/>
      <c r="BC944"/>
      <c r="BD944"/>
      <c r="BG944"/>
      <c r="BH944"/>
      <c r="BI944"/>
      <c r="BJ944"/>
      <c r="BS944"/>
      <c r="BU944"/>
      <c r="BV944"/>
      <c r="BX944"/>
    </row>
    <row r="945" spans="23:76" ht="15.75">
      <c r="W945" s="495"/>
      <c r="X945" s="495"/>
      <c r="Y945" s="495"/>
      <c r="Z945" s="451"/>
      <c r="AA945" s="145"/>
      <c r="AB945" s="223"/>
      <c r="AC945" s="22"/>
      <c r="AH945" s="9"/>
      <c r="AJ945" s="27"/>
      <c r="AK945" s="84"/>
      <c r="AM945" s="13"/>
      <c r="AP945"/>
      <c r="AR945"/>
      <c r="AV945"/>
      <c r="AW945"/>
      <c r="AX945"/>
      <c r="AY945"/>
      <c r="AZ945"/>
      <c r="BC945"/>
      <c r="BD945"/>
      <c r="BG945"/>
      <c r="BH945"/>
      <c r="BI945"/>
      <c r="BJ945"/>
      <c r="BS945"/>
      <c r="BU945"/>
      <c r="BV945"/>
      <c r="BX945"/>
    </row>
    <row r="946" spans="23:76" ht="15.75">
      <c r="W946" s="495"/>
      <c r="X946" s="495"/>
      <c r="Y946" s="495"/>
      <c r="Z946" s="451"/>
      <c r="AA946" s="145"/>
      <c r="AB946" s="223"/>
      <c r="AC946" s="22"/>
      <c r="AH946" s="9"/>
      <c r="AJ946" s="27"/>
      <c r="AK946" s="84"/>
      <c r="AM946" s="13"/>
      <c r="AP946"/>
      <c r="AR946"/>
      <c r="AV946"/>
      <c r="AW946"/>
      <c r="AX946"/>
      <c r="AY946"/>
      <c r="AZ946"/>
      <c r="BC946"/>
      <c r="BD946"/>
      <c r="BG946"/>
      <c r="BH946"/>
      <c r="BI946"/>
      <c r="BJ946"/>
      <c r="BS946"/>
      <c r="BU946"/>
      <c r="BV946"/>
      <c r="BX946"/>
    </row>
    <row r="947" spans="23:76" ht="15.75">
      <c r="W947" s="495"/>
      <c r="X947" s="495"/>
      <c r="Y947" s="495"/>
      <c r="Z947" s="451"/>
      <c r="AA947" s="145"/>
      <c r="AB947" s="223"/>
      <c r="AC947" s="22"/>
      <c r="AH947" s="9"/>
      <c r="AJ947" s="27"/>
      <c r="AK947" s="84"/>
      <c r="AM947" s="13"/>
      <c r="AP947"/>
      <c r="AR947"/>
      <c r="AV947"/>
      <c r="AW947"/>
      <c r="AX947"/>
      <c r="AY947"/>
      <c r="AZ947"/>
      <c r="BC947"/>
      <c r="BD947"/>
      <c r="BG947"/>
      <c r="BH947"/>
      <c r="BI947"/>
      <c r="BJ947"/>
      <c r="BS947"/>
      <c r="BU947"/>
      <c r="BV947"/>
      <c r="BX947"/>
    </row>
    <row r="948" spans="23:76" ht="15.75">
      <c r="W948" s="495"/>
      <c r="X948" s="495"/>
      <c r="Y948" s="495"/>
      <c r="Z948" s="451"/>
      <c r="AA948" s="145"/>
      <c r="AB948" s="223"/>
      <c r="AC948" s="22"/>
      <c r="AH948" s="9"/>
      <c r="AJ948" s="27"/>
      <c r="AK948" s="84"/>
      <c r="AM948" s="13"/>
      <c r="AP948"/>
      <c r="AR948"/>
      <c r="AV948"/>
      <c r="AW948"/>
      <c r="AX948"/>
      <c r="AY948"/>
      <c r="AZ948"/>
      <c r="BC948"/>
      <c r="BD948"/>
      <c r="BG948"/>
      <c r="BH948"/>
      <c r="BI948"/>
      <c r="BJ948"/>
      <c r="BS948"/>
      <c r="BU948"/>
      <c r="BV948"/>
      <c r="BX948"/>
    </row>
    <row r="949" spans="23:76" ht="15.75">
      <c r="W949" s="495"/>
      <c r="X949" s="495"/>
      <c r="Y949" s="495"/>
      <c r="Z949" s="451"/>
      <c r="AA949" s="145"/>
      <c r="AB949" s="223"/>
      <c r="AC949" s="22"/>
      <c r="AH949" s="9"/>
      <c r="AJ949" s="27"/>
      <c r="AK949" s="84"/>
      <c r="AM949" s="13"/>
      <c r="AP949"/>
      <c r="AR949"/>
      <c r="AV949"/>
      <c r="AW949"/>
      <c r="AX949"/>
      <c r="AY949"/>
      <c r="AZ949"/>
      <c r="BC949"/>
      <c r="BD949"/>
      <c r="BG949"/>
      <c r="BH949"/>
      <c r="BI949"/>
      <c r="BJ949"/>
      <c r="BS949"/>
      <c r="BU949"/>
      <c r="BV949"/>
      <c r="BX949"/>
    </row>
    <row r="950" spans="23:76" ht="15.75">
      <c r="W950" s="495"/>
      <c r="X950" s="495"/>
      <c r="Y950" s="495"/>
      <c r="Z950" s="451"/>
      <c r="AA950" s="145"/>
      <c r="AB950" s="223"/>
      <c r="AC950" s="22"/>
      <c r="AH950" s="9"/>
      <c r="AJ950" s="27"/>
      <c r="AK950" s="84"/>
      <c r="AM950" s="13"/>
      <c r="AP950"/>
      <c r="AR950"/>
      <c r="AV950"/>
      <c r="AW950"/>
      <c r="AX950"/>
      <c r="AY950"/>
      <c r="AZ950"/>
      <c r="BC950"/>
      <c r="BD950"/>
      <c r="BG950"/>
      <c r="BH950"/>
      <c r="BI950"/>
      <c r="BJ950"/>
      <c r="BS950"/>
      <c r="BU950"/>
      <c r="BV950"/>
      <c r="BX950"/>
    </row>
    <row r="951" spans="23:76" ht="15.75">
      <c r="W951" s="495"/>
      <c r="X951" s="495"/>
      <c r="Y951" s="495"/>
      <c r="Z951" s="451"/>
      <c r="AA951" s="145"/>
      <c r="AB951" s="223"/>
      <c r="AC951" s="22"/>
      <c r="AH951" s="9"/>
      <c r="AJ951" s="27"/>
      <c r="AK951" s="84"/>
      <c r="AM951" s="13"/>
      <c r="AP951"/>
      <c r="AR951"/>
      <c r="AV951"/>
      <c r="AW951"/>
      <c r="AX951"/>
      <c r="AY951"/>
      <c r="AZ951"/>
      <c r="BC951"/>
      <c r="BD951"/>
      <c r="BG951"/>
      <c r="BH951"/>
      <c r="BI951"/>
      <c r="BJ951"/>
      <c r="BS951"/>
      <c r="BU951"/>
      <c r="BV951"/>
      <c r="BX951"/>
    </row>
    <row r="952" spans="23:76" ht="15.75">
      <c r="W952" s="495"/>
      <c r="X952" s="495"/>
      <c r="Y952" s="495"/>
      <c r="Z952" s="451"/>
      <c r="AA952" s="145"/>
      <c r="AB952" s="223"/>
      <c r="AC952" s="22"/>
      <c r="AH952" s="9"/>
      <c r="AJ952" s="27"/>
      <c r="AK952" s="84"/>
      <c r="AM952" s="13"/>
      <c r="AP952"/>
      <c r="AR952"/>
      <c r="AV952"/>
      <c r="AW952"/>
      <c r="AX952"/>
      <c r="AY952"/>
      <c r="AZ952"/>
      <c r="BC952"/>
      <c r="BD952"/>
      <c r="BG952"/>
      <c r="BH952"/>
      <c r="BI952"/>
      <c r="BJ952"/>
      <c r="BS952"/>
      <c r="BU952"/>
      <c r="BV952"/>
      <c r="BX952"/>
    </row>
    <row r="953" spans="23:76" ht="15.75">
      <c r="W953" s="495"/>
      <c r="X953" s="495"/>
      <c r="Y953" s="495"/>
      <c r="Z953" s="451"/>
      <c r="AA953" s="145"/>
      <c r="AB953" s="223"/>
      <c r="AC953" s="22"/>
      <c r="AH953" s="9"/>
      <c r="AJ953" s="27"/>
      <c r="AK953" s="84"/>
      <c r="AM953" s="13"/>
      <c r="AP953"/>
      <c r="AR953"/>
      <c r="AV953"/>
      <c r="AW953"/>
      <c r="AX953"/>
      <c r="AY953"/>
      <c r="AZ953"/>
      <c r="BC953"/>
      <c r="BD953"/>
      <c r="BG953"/>
      <c r="BH953"/>
      <c r="BI953"/>
      <c r="BJ953"/>
      <c r="BS953"/>
      <c r="BU953"/>
      <c r="BV953"/>
      <c r="BX953"/>
    </row>
    <row r="954" spans="23:76" ht="15.75">
      <c r="W954" s="495"/>
      <c r="X954" s="495"/>
      <c r="Y954" s="495"/>
      <c r="Z954" s="451"/>
      <c r="AA954" s="145"/>
      <c r="AB954" s="223"/>
      <c r="AC954" s="22"/>
      <c r="AH954" s="9"/>
      <c r="AJ954" s="27"/>
      <c r="AK954" s="84"/>
      <c r="AM954" s="13"/>
      <c r="AP954"/>
      <c r="AR954"/>
      <c r="AV954"/>
      <c r="AW954"/>
      <c r="AX954"/>
      <c r="AY954"/>
      <c r="AZ954"/>
      <c r="BC954"/>
      <c r="BD954"/>
      <c r="BG954"/>
      <c r="BH954"/>
      <c r="BI954"/>
      <c r="BJ954"/>
      <c r="BS954"/>
      <c r="BU954"/>
      <c r="BV954"/>
      <c r="BX954"/>
    </row>
    <row r="955" spans="23:76" ht="15.75">
      <c r="W955" s="495"/>
      <c r="X955" s="495"/>
      <c r="Y955" s="495"/>
      <c r="Z955" s="451"/>
      <c r="AA955" s="145"/>
      <c r="AB955" s="223"/>
      <c r="AC955" s="22"/>
      <c r="AH955" s="9"/>
      <c r="AJ955" s="27"/>
      <c r="AK955" s="84"/>
      <c r="AM955" s="13"/>
      <c r="AP955"/>
      <c r="AR955"/>
      <c r="AV955"/>
      <c r="AW955"/>
      <c r="AX955"/>
      <c r="AY955"/>
      <c r="AZ955"/>
      <c r="BC955"/>
      <c r="BD955"/>
      <c r="BG955"/>
      <c r="BH955"/>
      <c r="BI955"/>
      <c r="BJ955"/>
      <c r="BS955"/>
      <c r="BU955"/>
      <c r="BV955"/>
      <c r="BX955"/>
    </row>
    <row r="956" spans="23:76" ht="15.75">
      <c r="W956" s="495"/>
      <c r="X956" s="495"/>
      <c r="Y956" s="495"/>
      <c r="Z956" s="451"/>
      <c r="AA956" s="145"/>
      <c r="AB956" s="223"/>
      <c r="AC956" s="22"/>
      <c r="AH956" s="9"/>
      <c r="AJ956" s="27"/>
      <c r="AK956" s="84"/>
      <c r="AM956" s="13"/>
      <c r="AP956"/>
      <c r="AR956"/>
      <c r="AV956"/>
      <c r="AW956"/>
      <c r="AX956"/>
      <c r="AY956"/>
      <c r="AZ956"/>
      <c r="BC956"/>
      <c r="BD956"/>
      <c r="BG956"/>
      <c r="BH956"/>
      <c r="BI956"/>
      <c r="BJ956"/>
      <c r="BS956"/>
      <c r="BU956"/>
      <c r="BV956"/>
      <c r="BX956"/>
    </row>
    <row r="957" spans="23:76" ht="15.75">
      <c r="W957" s="495"/>
      <c r="X957" s="495"/>
      <c r="Y957" s="495"/>
      <c r="Z957" s="451"/>
      <c r="AA957" s="145"/>
      <c r="AB957" s="223"/>
      <c r="AC957" s="22"/>
      <c r="AH957" s="9"/>
      <c r="AJ957" s="27"/>
      <c r="AK957" s="84"/>
      <c r="AM957" s="13"/>
      <c r="AP957"/>
      <c r="AR957"/>
      <c r="AV957"/>
      <c r="AW957"/>
      <c r="AX957"/>
      <c r="AY957"/>
      <c r="AZ957"/>
      <c r="BC957"/>
      <c r="BD957"/>
      <c r="BG957"/>
      <c r="BH957"/>
      <c r="BI957"/>
      <c r="BJ957"/>
      <c r="BS957"/>
      <c r="BU957"/>
      <c r="BV957"/>
      <c r="BX957"/>
    </row>
    <row r="958" spans="23:76" ht="15.75">
      <c r="W958" s="495"/>
      <c r="X958" s="495"/>
      <c r="Y958" s="495"/>
      <c r="Z958" s="451"/>
      <c r="AA958" s="145"/>
      <c r="AB958" s="223"/>
      <c r="AC958" s="22"/>
      <c r="AH958" s="9"/>
      <c r="AJ958" s="27"/>
      <c r="AK958" s="84"/>
      <c r="AM958" s="13"/>
      <c r="AP958"/>
      <c r="AR958"/>
      <c r="AV958"/>
      <c r="AW958"/>
      <c r="AX958"/>
      <c r="AY958"/>
      <c r="AZ958"/>
      <c r="BC958"/>
      <c r="BD958"/>
      <c r="BG958"/>
      <c r="BH958"/>
      <c r="BI958"/>
      <c r="BJ958"/>
      <c r="BS958"/>
      <c r="BU958"/>
      <c r="BV958"/>
      <c r="BX958"/>
    </row>
    <row r="959" spans="23:76" ht="15.75">
      <c r="W959" s="495"/>
      <c r="X959" s="495"/>
      <c r="Y959" s="495"/>
      <c r="Z959" s="451"/>
      <c r="AA959" s="145"/>
      <c r="AB959" s="223"/>
      <c r="AC959" s="22"/>
      <c r="AH959" s="9"/>
      <c r="AJ959" s="27"/>
      <c r="AK959" s="84"/>
      <c r="AM959" s="13"/>
      <c r="AP959"/>
      <c r="AR959"/>
      <c r="AV959"/>
      <c r="AW959"/>
      <c r="AX959"/>
      <c r="AY959"/>
      <c r="AZ959"/>
      <c r="BC959"/>
      <c r="BD959"/>
      <c r="BG959"/>
      <c r="BH959"/>
      <c r="BI959"/>
      <c r="BJ959"/>
      <c r="BS959"/>
      <c r="BU959"/>
      <c r="BV959"/>
      <c r="BX959"/>
    </row>
    <row r="960" spans="23:76" ht="15.75">
      <c r="W960" s="495"/>
      <c r="X960" s="495"/>
      <c r="Y960" s="495"/>
      <c r="Z960" s="451"/>
      <c r="AA960" s="145"/>
      <c r="AB960" s="223"/>
      <c r="AC960" s="22"/>
      <c r="AH960" s="9"/>
      <c r="AJ960" s="27"/>
      <c r="AK960" s="84"/>
      <c r="AM960" s="13"/>
      <c r="AP960"/>
      <c r="AR960"/>
      <c r="AV960"/>
      <c r="AW960"/>
      <c r="AX960"/>
      <c r="AY960"/>
      <c r="AZ960"/>
      <c r="BC960"/>
      <c r="BD960"/>
      <c r="BG960"/>
      <c r="BH960"/>
      <c r="BI960"/>
      <c r="BJ960"/>
      <c r="BS960"/>
      <c r="BU960"/>
      <c r="BV960"/>
      <c r="BX960"/>
    </row>
    <row r="961" spans="23:76" ht="15.75">
      <c r="W961" s="495"/>
      <c r="X961" s="495"/>
      <c r="Y961" s="495"/>
      <c r="Z961" s="451"/>
      <c r="AA961" s="145"/>
      <c r="AB961" s="223"/>
      <c r="AC961" s="22"/>
      <c r="AH961" s="9"/>
      <c r="AJ961" s="27"/>
      <c r="AK961" s="84"/>
      <c r="AM961" s="13"/>
      <c r="AP961"/>
      <c r="AR961"/>
      <c r="AV961"/>
      <c r="AW961"/>
      <c r="AX961"/>
      <c r="AY961"/>
      <c r="AZ961"/>
      <c r="BC961"/>
      <c r="BD961"/>
      <c r="BG961"/>
      <c r="BH961"/>
      <c r="BI961"/>
      <c r="BJ961"/>
      <c r="BS961"/>
      <c r="BU961"/>
      <c r="BV961"/>
      <c r="BX961"/>
    </row>
    <row r="962" spans="23:76" ht="15.75">
      <c r="W962" s="495"/>
      <c r="X962" s="495"/>
      <c r="Y962" s="495"/>
      <c r="Z962" s="451"/>
      <c r="AA962" s="145"/>
      <c r="AB962" s="223"/>
      <c r="AC962" s="22"/>
      <c r="AH962" s="9"/>
      <c r="AJ962" s="27"/>
      <c r="AK962" s="84"/>
      <c r="AM962" s="13"/>
      <c r="AP962"/>
      <c r="AR962"/>
      <c r="AV962"/>
      <c r="AW962"/>
      <c r="AX962"/>
      <c r="AY962"/>
      <c r="AZ962"/>
      <c r="BC962"/>
      <c r="BD962"/>
      <c r="BG962"/>
      <c r="BH962"/>
      <c r="BI962"/>
      <c r="BJ962"/>
      <c r="BS962"/>
      <c r="BU962"/>
      <c r="BV962"/>
      <c r="BX962"/>
    </row>
    <row r="963" spans="23:76" ht="15.75">
      <c r="W963" s="495"/>
      <c r="X963" s="495"/>
      <c r="Y963" s="495"/>
      <c r="Z963" s="451"/>
      <c r="AA963" s="145"/>
      <c r="AB963" s="223"/>
      <c r="AC963" s="22"/>
      <c r="AH963" s="9"/>
      <c r="AJ963" s="27"/>
      <c r="AK963" s="84"/>
      <c r="AM963" s="13"/>
      <c r="AP963"/>
      <c r="AR963"/>
      <c r="AV963"/>
      <c r="AW963"/>
      <c r="AX963"/>
      <c r="AY963"/>
      <c r="AZ963"/>
      <c r="BC963"/>
      <c r="BD963"/>
      <c r="BG963"/>
      <c r="BH963"/>
      <c r="BI963"/>
      <c r="BJ963"/>
      <c r="BS963"/>
      <c r="BU963"/>
      <c r="BV963"/>
      <c r="BX963"/>
    </row>
    <row r="964" spans="23:76" ht="15.75">
      <c r="W964" s="495"/>
      <c r="X964" s="495"/>
      <c r="Y964" s="495"/>
      <c r="Z964" s="451"/>
      <c r="AA964" s="145"/>
      <c r="AB964" s="223"/>
      <c r="AC964" s="22"/>
      <c r="AH964" s="9"/>
      <c r="AJ964" s="27"/>
      <c r="AK964" s="84"/>
      <c r="AM964" s="13"/>
      <c r="AP964"/>
      <c r="AR964"/>
      <c r="AV964"/>
      <c r="AW964"/>
      <c r="AX964"/>
      <c r="AY964"/>
      <c r="AZ964"/>
      <c r="BC964"/>
      <c r="BD964"/>
      <c r="BG964"/>
      <c r="BH964"/>
      <c r="BI964"/>
      <c r="BJ964"/>
      <c r="BS964"/>
      <c r="BU964"/>
      <c r="BV964"/>
      <c r="BX964"/>
    </row>
    <row r="965" spans="23:76" ht="15.75">
      <c r="W965" s="495"/>
      <c r="X965" s="495"/>
      <c r="Y965" s="495"/>
      <c r="Z965" s="451"/>
      <c r="AA965" s="145"/>
      <c r="AB965" s="223"/>
      <c r="AC965" s="22"/>
      <c r="AH965" s="9"/>
      <c r="AJ965" s="27"/>
      <c r="AK965" s="84"/>
      <c r="AM965" s="13"/>
      <c r="AP965"/>
      <c r="AR965"/>
      <c r="AV965"/>
      <c r="AW965"/>
      <c r="AX965"/>
      <c r="AY965"/>
      <c r="AZ965"/>
      <c r="BC965"/>
      <c r="BD965"/>
      <c r="BG965"/>
      <c r="BH965"/>
      <c r="BI965"/>
      <c r="BJ965"/>
      <c r="BS965"/>
      <c r="BU965"/>
      <c r="BV965"/>
      <c r="BX965"/>
    </row>
    <row r="966" spans="23:76" ht="15.75">
      <c r="W966" s="495"/>
      <c r="X966" s="495"/>
      <c r="Y966" s="495"/>
      <c r="Z966" s="451"/>
      <c r="AA966" s="145"/>
      <c r="AB966" s="223"/>
      <c r="AC966" s="22"/>
      <c r="AH966" s="9"/>
      <c r="AJ966" s="27"/>
      <c r="AK966" s="84"/>
      <c r="AM966" s="13"/>
      <c r="AP966"/>
      <c r="AR966"/>
      <c r="AV966"/>
      <c r="AW966"/>
      <c r="AX966"/>
      <c r="AY966"/>
      <c r="AZ966"/>
      <c r="BC966"/>
      <c r="BD966"/>
      <c r="BG966"/>
      <c r="BH966"/>
      <c r="BI966"/>
      <c r="BJ966"/>
      <c r="BS966"/>
      <c r="BU966"/>
      <c r="BV966"/>
      <c r="BX966"/>
    </row>
    <row r="967" spans="23:76" ht="15.75">
      <c r="W967" s="495"/>
      <c r="X967" s="495"/>
      <c r="Y967" s="495"/>
      <c r="Z967" s="451"/>
      <c r="AA967" s="145"/>
      <c r="AB967" s="223"/>
      <c r="AC967" s="22"/>
      <c r="AH967" s="9"/>
      <c r="AJ967" s="27"/>
      <c r="AK967" s="84"/>
      <c r="AM967" s="13"/>
      <c r="AP967"/>
      <c r="AR967"/>
      <c r="AV967"/>
      <c r="AW967"/>
      <c r="AX967"/>
      <c r="AY967"/>
      <c r="AZ967"/>
      <c r="BC967"/>
      <c r="BD967"/>
      <c r="BG967"/>
      <c r="BH967"/>
      <c r="BI967"/>
      <c r="BJ967"/>
      <c r="BS967"/>
      <c r="BU967"/>
      <c r="BV967"/>
      <c r="BX967"/>
    </row>
    <row r="968" spans="23:76" ht="15.75">
      <c r="W968" s="495"/>
      <c r="X968" s="495"/>
      <c r="Y968" s="495"/>
      <c r="Z968" s="451"/>
      <c r="AA968" s="145"/>
      <c r="AB968" s="223"/>
      <c r="AC968" s="22"/>
      <c r="AH968" s="9"/>
      <c r="AJ968" s="27"/>
      <c r="AK968" s="84"/>
      <c r="AM968" s="13"/>
      <c r="AP968"/>
      <c r="AR968"/>
      <c r="AV968"/>
      <c r="AW968"/>
      <c r="AX968"/>
      <c r="AY968"/>
      <c r="AZ968"/>
      <c r="BC968"/>
      <c r="BD968"/>
      <c r="BG968"/>
      <c r="BH968"/>
      <c r="BI968"/>
      <c r="BJ968"/>
      <c r="BS968"/>
      <c r="BU968"/>
      <c r="BV968"/>
      <c r="BX968"/>
    </row>
    <row r="969" spans="23:76" ht="15.75">
      <c r="W969" s="495"/>
      <c r="X969" s="495"/>
      <c r="Y969" s="495"/>
      <c r="Z969" s="451"/>
      <c r="AA969" s="145"/>
      <c r="AB969" s="223"/>
      <c r="AC969" s="22"/>
      <c r="AH969" s="9"/>
      <c r="AJ969" s="27"/>
      <c r="AK969" s="84"/>
      <c r="AM969" s="13"/>
      <c r="AP969"/>
      <c r="AR969"/>
      <c r="AV969"/>
      <c r="AW969"/>
      <c r="AX969"/>
      <c r="AY969"/>
      <c r="AZ969"/>
      <c r="BC969"/>
      <c r="BD969"/>
      <c r="BG969"/>
      <c r="BH969"/>
      <c r="BI969"/>
      <c r="BJ969"/>
      <c r="BS969"/>
      <c r="BU969"/>
      <c r="BV969"/>
      <c r="BX969"/>
    </row>
    <row r="970" spans="23:76" ht="15.75">
      <c r="W970" s="495"/>
      <c r="X970" s="495"/>
      <c r="Y970" s="495"/>
      <c r="Z970" s="451"/>
      <c r="AA970" s="145"/>
      <c r="AB970" s="223"/>
      <c r="AC970" s="22"/>
      <c r="AH970" s="9"/>
      <c r="AJ970" s="27"/>
      <c r="AK970" s="84"/>
      <c r="AM970" s="13"/>
      <c r="AP970"/>
      <c r="AR970"/>
      <c r="AV970"/>
      <c r="AW970"/>
      <c r="AX970"/>
      <c r="AY970"/>
      <c r="AZ970"/>
      <c r="BC970"/>
      <c r="BD970"/>
      <c r="BG970"/>
      <c r="BH970"/>
      <c r="BI970"/>
      <c r="BJ970"/>
      <c r="BS970"/>
      <c r="BU970"/>
      <c r="BV970"/>
      <c r="BX970"/>
    </row>
    <row r="971" spans="23:76" ht="15.75">
      <c r="W971" s="495"/>
      <c r="X971" s="495"/>
      <c r="Y971" s="495"/>
      <c r="Z971" s="451"/>
      <c r="AA971" s="145"/>
      <c r="AB971" s="223"/>
      <c r="AC971" s="22"/>
      <c r="AH971" s="9"/>
      <c r="AJ971" s="27"/>
      <c r="AK971" s="84"/>
      <c r="AM971" s="13"/>
      <c r="AP971"/>
      <c r="AR971"/>
      <c r="AV971"/>
      <c r="AW971"/>
      <c r="AX971"/>
      <c r="AY971"/>
      <c r="AZ971"/>
      <c r="BC971"/>
      <c r="BD971"/>
      <c r="BG971"/>
      <c r="BH971"/>
      <c r="BI971"/>
      <c r="BJ971"/>
      <c r="BS971"/>
      <c r="BU971"/>
      <c r="BV971"/>
      <c r="BX971"/>
    </row>
    <row r="972" spans="23:76" ht="15.75">
      <c r="W972" s="495"/>
      <c r="X972" s="495"/>
      <c r="Y972" s="495"/>
      <c r="Z972" s="451"/>
      <c r="AA972" s="145"/>
      <c r="AB972" s="223"/>
      <c r="AC972" s="22"/>
      <c r="AH972" s="9"/>
      <c r="AJ972" s="27"/>
      <c r="AK972" s="84"/>
      <c r="AM972" s="13"/>
      <c r="AP972"/>
      <c r="AR972"/>
      <c r="AV972"/>
      <c r="AW972"/>
      <c r="AX972"/>
      <c r="AY972"/>
      <c r="AZ972"/>
      <c r="BC972"/>
      <c r="BD972"/>
      <c r="BG972"/>
      <c r="BH972"/>
      <c r="BI972"/>
      <c r="BJ972"/>
      <c r="BS972"/>
      <c r="BU972"/>
      <c r="BV972"/>
      <c r="BX972"/>
    </row>
    <row r="973" spans="23:76" ht="15.75">
      <c r="W973" s="495"/>
      <c r="X973" s="495"/>
      <c r="Y973" s="495"/>
      <c r="Z973" s="451"/>
      <c r="AA973" s="145"/>
      <c r="AB973" s="223"/>
      <c r="AC973" s="22"/>
      <c r="AH973" s="9"/>
      <c r="AJ973" s="27"/>
      <c r="AK973" s="84"/>
      <c r="AM973" s="13"/>
      <c r="AP973"/>
      <c r="AR973"/>
      <c r="AV973"/>
      <c r="AW973"/>
      <c r="AX973"/>
      <c r="AY973"/>
      <c r="AZ973"/>
      <c r="BC973"/>
      <c r="BD973"/>
      <c r="BG973"/>
      <c r="BH973"/>
      <c r="BI973"/>
      <c r="BJ973"/>
      <c r="BS973"/>
      <c r="BU973"/>
      <c r="BV973"/>
      <c r="BX973"/>
    </row>
    <row r="974" spans="23:76" ht="15.75">
      <c r="W974" s="495"/>
      <c r="X974" s="495"/>
      <c r="Y974" s="495"/>
      <c r="Z974" s="451"/>
      <c r="AA974" s="145"/>
      <c r="AB974" s="223"/>
      <c r="AC974" s="22"/>
      <c r="AH974" s="9"/>
      <c r="AJ974" s="27"/>
      <c r="AK974" s="84"/>
      <c r="AM974" s="13"/>
      <c r="AP974"/>
      <c r="AR974"/>
      <c r="AV974"/>
      <c r="AW974"/>
      <c r="AX974"/>
      <c r="AY974"/>
      <c r="AZ974"/>
      <c r="BC974"/>
      <c r="BD974"/>
      <c r="BG974"/>
      <c r="BH974"/>
      <c r="BI974"/>
      <c r="BJ974"/>
      <c r="BS974"/>
      <c r="BU974"/>
      <c r="BV974"/>
      <c r="BX974"/>
    </row>
    <row r="975" spans="23:76" ht="15.75">
      <c r="W975" s="495"/>
      <c r="X975" s="495"/>
      <c r="Y975" s="495"/>
      <c r="Z975" s="451"/>
      <c r="AA975" s="145"/>
      <c r="AB975" s="223"/>
      <c r="AC975" s="22"/>
      <c r="AH975" s="9"/>
      <c r="AJ975" s="27"/>
      <c r="AK975" s="84"/>
      <c r="AM975" s="13"/>
      <c r="AP975"/>
      <c r="AR975"/>
      <c r="AV975"/>
      <c r="AW975"/>
      <c r="AX975"/>
      <c r="AY975"/>
      <c r="AZ975"/>
      <c r="BC975"/>
      <c r="BD975"/>
      <c r="BG975"/>
      <c r="BH975"/>
      <c r="BI975"/>
      <c r="BJ975"/>
      <c r="BS975"/>
      <c r="BU975"/>
      <c r="BV975"/>
      <c r="BX975"/>
    </row>
    <row r="976" spans="23:76" ht="15.75">
      <c r="W976" s="495"/>
      <c r="X976" s="495"/>
      <c r="Y976" s="495"/>
      <c r="Z976" s="451"/>
      <c r="AA976" s="145"/>
      <c r="AB976" s="223"/>
      <c r="AC976" s="22"/>
      <c r="AH976" s="9"/>
      <c r="AJ976" s="27"/>
      <c r="AK976" s="84"/>
      <c r="AM976" s="13"/>
      <c r="AP976"/>
      <c r="AR976"/>
      <c r="AV976"/>
      <c r="AW976"/>
      <c r="AX976"/>
      <c r="AY976"/>
      <c r="AZ976"/>
      <c r="BC976"/>
      <c r="BD976"/>
      <c r="BG976"/>
      <c r="BH976"/>
      <c r="BI976"/>
      <c r="BJ976"/>
      <c r="BS976"/>
      <c r="BU976"/>
      <c r="BV976"/>
      <c r="BX976"/>
    </row>
    <row r="977" spans="23:76" ht="15.75">
      <c r="W977" s="495"/>
      <c r="X977" s="495"/>
      <c r="Y977" s="495"/>
      <c r="Z977" s="451"/>
      <c r="AA977" s="145"/>
      <c r="AB977" s="223"/>
      <c r="AC977" s="22"/>
      <c r="AH977" s="9"/>
      <c r="AJ977" s="27"/>
      <c r="AK977" s="84"/>
      <c r="AM977" s="13"/>
      <c r="AP977"/>
      <c r="AR977"/>
      <c r="AV977"/>
      <c r="AW977"/>
      <c r="AX977"/>
      <c r="AY977"/>
      <c r="AZ977"/>
      <c r="BC977"/>
      <c r="BD977"/>
      <c r="BG977"/>
      <c r="BH977"/>
      <c r="BI977"/>
      <c r="BJ977"/>
      <c r="BS977"/>
      <c r="BU977"/>
      <c r="BV977"/>
      <c r="BX977"/>
    </row>
    <row r="978" spans="23:76" ht="15.75">
      <c r="W978" s="495"/>
      <c r="X978" s="495"/>
      <c r="Y978" s="495"/>
      <c r="Z978" s="451"/>
      <c r="AA978" s="145"/>
      <c r="AB978" s="223"/>
      <c r="AC978" s="22"/>
      <c r="AH978" s="9"/>
      <c r="AJ978" s="27"/>
      <c r="AK978" s="84"/>
      <c r="AM978" s="13"/>
      <c r="AP978"/>
      <c r="AR978"/>
      <c r="AV978"/>
      <c r="AW978"/>
      <c r="AX978"/>
      <c r="AY978"/>
      <c r="AZ978"/>
      <c r="BC978"/>
      <c r="BD978"/>
      <c r="BG978"/>
      <c r="BH978"/>
      <c r="BI978"/>
      <c r="BJ978"/>
      <c r="BS978"/>
      <c r="BU978"/>
      <c r="BV978"/>
      <c r="BX978"/>
    </row>
    <row r="979" spans="23:76" ht="15.75">
      <c r="W979" s="495"/>
      <c r="X979" s="495"/>
      <c r="Y979" s="495"/>
      <c r="Z979" s="451"/>
      <c r="AA979" s="145"/>
      <c r="AB979" s="223"/>
      <c r="AC979" s="22"/>
      <c r="AH979" s="9"/>
      <c r="AJ979" s="27"/>
      <c r="AK979" s="84"/>
      <c r="AM979" s="13"/>
      <c r="AP979"/>
      <c r="AR979"/>
      <c r="AV979"/>
      <c r="AW979"/>
      <c r="AX979"/>
      <c r="AY979"/>
      <c r="AZ979"/>
      <c r="BC979"/>
      <c r="BD979"/>
      <c r="BG979"/>
      <c r="BH979"/>
      <c r="BI979"/>
      <c r="BJ979"/>
      <c r="BS979"/>
      <c r="BU979"/>
      <c r="BV979"/>
      <c r="BX979"/>
    </row>
    <row r="980" spans="23:76" ht="15.75">
      <c r="W980" s="495"/>
      <c r="X980" s="495"/>
      <c r="Y980" s="495"/>
      <c r="Z980" s="451"/>
      <c r="AA980" s="145"/>
      <c r="AB980" s="223"/>
      <c r="AC980" s="22"/>
      <c r="AH980" s="9"/>
      <c r="AJ980" s="27"/>
      <c r="AK980" s="84"/>
      <c r="AM980" s="13"/>
      <c r="AP980"/>
      <c r="AR980"/>
      <c r="AV980"/>
      <c r="AW980"/>
      <c r="AX980"/>
      <c r="AY980"/>
      <c r="AZ980"/>
      <c r="BC980"/>
      <c r="BD980"/>
      <c r="BG980"/>
      <c r="BH980"/>
      <c r="BI980"/>
      <c r="BJ980"/>
      <c r="BS980"/>
      <c r="BU980"/>
      <c r="BV980"/>
      <c r="BX980"/>
    </row>
    <row r="981" spans="23:76" ht="15.75">
      <c r="W981" s="495"/>
      <c r="X981" s="495"/>
      <c r="Y981" s="495"/>
      <c r="Z981" s="451"/>
      <c r="AA981" s="145"/>
      <c r="AB981" s="223"/>
      <c r="AC981" s="22"/>
      <c r="AH981" s="9"/>
      <c r="AJ981" s="27"/>
      <c r="AK981" s="84"/>
      <c r="AM981" s="13"/>
      <c r="AP981"/>
      <c r="AR981"/>
      <c r="AV981"/>
      <c r="AW981"/>
      <c r="AX981"/>
      <c r="AY981"/>
      <c r="AZ981"/>
      <c r="BC981"/>
      <c r="BD981"/>
      <c r="BG981"/>
      <c r="BH981"/>
      <c r="BI981"/>
      <c r="BJ981"/>
      <c r="BS981"/>
      <c r="BU981"/>
      <c r="BV981"/>
      <c r="BX981"/>
    </row>
    <row r="982" spans="23:76" ht="15.75">
      <c r="W982" s="495"/>
      <c r="X982" s="495"/>
      <c r="Y982" s="495"/>
      <c r="Z982" s="451"/>
      <c r="AA982" s="145"/>
      <c r="AB982" s="223"/>
      <c r="AC982" s="22"/>
      <c r="AH982" s="9"/>
      <c r="AJ982" s="27"/>
      <c r="AK982" s="84"/>
      <c r="AM982" s="13"/>
      <c r="AP982"/>
      <c r="AR982"/>
      <c r="AV982"/>
      <c r="AW982"/>
      <c r="AX982"/>
      <c r="AY982"/>
      <c r="AZ982"/>
      <c r="BC982"/>
      <c r="BD982"/>
      <c r="BG982"/>
      <c r="BH982"/>
      <c r="BI982"/>
      <c r="BJ982"/>
      <c r="BS982"/>
      <c r="BU982"/>
      <c r="BV982"/>
      <c r="BX982"/>
    </row>
    <row r="983" spans="23:76" ht="15.75">
      <c r="W983" s="495"/>
      <c r="X983" s="495"/>
      <c r="Y983" s="495"/>
      <c r="Z983" s="451"/>
      <c r="AA983" s="145"/>
      <c r="AB983" s="223"/>
      <c r="AC983" s="22"/>
      <c r="AH983" s="9"/>
      <c r="AJ983" s="27"/>
      <c r="AK983" s="84"/>
      <c r="AM983" s="13"/>
      <c r="AP983"/>
      <c r="AR983"/>
      <c r="AV983"/>
      <c r="AW983"/>
      <c r="AX983"/>
      <c r="AY983"/>
      <c r="AZ983"/>
      <c r="BC983"/>
      <c r="BD983"/>
      <c r="BG983"/>
      <c r="BH983"/>
      <c r="BI983"/>
      <c r="BJ983"/>
      <c r="BS983"/>
      <c r="BU983"/>
      <c r="BV983"/>
      <c r="BX983"/>
    </row>
    <row r="984" spans="23:76" ht="15.75">
      <c r="W984" s="495"/>
      <c r="X984" s="495"/>
      <c r="Y984" s="495"/>
      <c r="Z984" s="451"/>
      <c r="AA984" s="145"/>
      <c r="AB984" s="223"/>
      <c r="AC984" s="22"/>
      <c r="AH984" s="9"/>
      <c r="AJ984" s="27"/>
      <c r="AK984" s="84"/>
      <c r="AM984" s="13"/>
      <c r="AP984"/>
      <c r="AR984"/>
      <c r="AV984"/>
      <c r="AW984"/>
      <c r="AX984"/>
      <c r="AY984"/>
      <c r="AZ984"/>
      <c r="BC984"/>
      <c r="BD984"/>
      <c r="BG984"/>
      <c r="BH984"/>
      <c r="BI984"/>
      <c r="BJ984"/>
      <c r="BS984"/>
      <c r="BU984"/>
      <c r="BV984"/>
      <c r="BX984"/>
    </row>
    <row r="985" spans="23:76" ht="15.75">
      <c r="W985" s="495"/>
      <c r="X985" s="495"/>
      <c r="Y985" s="495"/>
      <c r="Z985" s="451"/>
      <c r="AA985" s="145"/>
      <c r="AB985" s="223"/>
      <c r="AC985" s="22"/>
      <c r="AH985" s="9"/>
      <c r="AJ985" s="27"/>
      <c r="AK985" s="84"/>
      <c r="AM985" s="13"/>
      <c r="AP985"/>
      <c r="AR985"/>
      <c r="AV985"/>
      <c r="AW985"/>
      <c r="AX985"/>
      <c r="AY985"/>
      <c r="AZ985"/>
      <c r="BC985"/>
      <c r="BD985"/>
      <c r="BG985"/>
      <c r="BH985"/>
      <c r="BI985"/>
      <c r="BJ985"/>
      <c r="BS985"/>
      <c r="BU985"/>
      <c r="BV985"/>
      <c r="BX985"/>
    </row>
    <row r="986" spans="23:76" ht="15.75">
      <c r="W986" s="495"/>
      <c r="X986" s="495"/>
      <c r="Y986" s="495"/>
      <c r="Z986" s="451"/>
      <c r="AA986" s="145"/>
      <c r="AB986" s="223"/>
      <c r="AC986" s="22"/>
      <c r="AH986" s="9"/>
      <c r="AJ986" s="27"/>
      <c r="AK986" s="84"/>
      <c r="AM986" s="13"/>
      <c r="AP986"/>
      <c r="AR986"/>
      <c r="AV986"/>
      <c r="AW986"/>
      <c r="AX986"/>
      <c r="AY986"/>
      <c r="AZ986"/>
      <c r="BC986"/>
      <c r="BD986"/>
      <c r="BG986"/>
      <c r="BH986"/>
      <c r="BI986"/>
      <c r="BJ986"/>
      <c r="BS986"/>
      <c r="BU986"/>
      <c r="BV986"/>
      <c r="BX986"/>
    </row>
    <row r="987" spans="23:76" ht="15.75">
      <c r="W987" s="495"/>
      <c r="X987" s="495"/>
      <c r="Y987" s="495"/>
      <c r="Z987" s="451"/>
      <c r="AA987" s="145"/>
      <c r="AB987" s="223"/>
      <c r="AC987" s="22"/>
      <c r="AH987" s="9"/>
      <c r="AJ987" s="27"/>
      <c r="AK987" s="84"/>
      <c r="AM987" s="13"/>
      <c r="AP987"/>
      <c r="AR987"/>
      <c r="AV987"/>
      <c r="AW987"/>
      <c r="AX987"/>
      <c r="AY987"/>
      <c r="AZ987"/>
      <c r="BC987"/>
      <c r="BD987"/>
      <c r="BG987"/>
      <c r="BH987"/>
      <c r="BI987"/>
      <c r="BJ987"/>
      <c r="BS987"/>
      <c r="BU987"/>
      <c r="BV987"/>
      <c r="BX987"/>
    </row>
    <row r="988" spans="23:76" ht="15.75">
      <c r="W988" s="495"/>
      <c r="X988" s="495"/>
      <c r="Y988" s="495"/>
      <c r="Z988" s="451"/>
      <c r="AA988" s="145"/>
      <c r="AB988" s="223"/>
      <c r="AC988" s="22"/>
      <c r="AH988" s="9"/>
      <c r="AJ988" s="27"/>
      <c r="AK988" s="84"/>
      <c r="AM988" s="13"/>
      <c r="AP988"/>
      <c r="AR988"/>
      <c r="AV988"/>
      <c r="AW988"/>
      <c r="AX988"/>
      <c r="AY988"/>
      <c r="AZ988"/>
      <c r="BC988"/>
      <c r="BD988"/>
      <c r="BG988"/>
      <c r="BH988"/>
      <c r="BI988"/>
      <c r="BJ988"/>
      <c r="BS988"/>
      <c r="BU988"/>
      <c r="BV988"/>
      <c r="BX988"/>
    </row>
    <row r="989" spans="23:76" ht="15.75">
      <c r="W989" s="495"/>
      <c r="X989" s="495"/>
      <c r="Y989" s="495"/>
      <c r="Z989" s="451"/>
      <c r="AA989" s="145"/>
      <c r="AB989" s="223"/>
      <c r="AC989" s="22"/>
      <c r="AH989" s="9"/>
      <c r="AJ989" s="27"/>
      <c r="AK989" s="84"/>
      <c r="AM989" s="13"/>
      <c r="AP989"/>
      <c r="AR989"/>
      <c r="AV989"/>
      <c r="AW989"/>
      <c r="AX989"/>
      <c r="AY989"/>
      <c r="AZ989"/>
      <c r="BC989"/>
      <c r="BD989"/>
      <c r="BG989"/>
      <c r="BH989"/>
      <c r="BI989"/>
      <c r="BJ989"/>
      <c r="BS989"/>
      <c r="BU989"/>
      <c r="BV989"/>
      <c r="BX989"/>
    </row>
    <row r="990" spans="23:76" ht="15.75">
      <c r="W990" s="495"/>
      <c r="X990" s="495"/>
      <c r="Y990" s="495"/>
      <c r="Z990" s="451"/>
      <c r="AA990" s="145"/>
      <c r="AB990" s="223"/>
      <c r="AC990" s="22"/>
      <c r="AH990" s="9"/>
      <c r="AJ990" s="27"/>
      <c r="AK990" s="84"/>
      <c r="AM990" s="13"/>
      <c r="AP990"/>
      <c r="AR990"/>
      <c r="AV990"/>
      <c r="AW990"/>
      <c r="AX990"/>
      <c r="AY990"/>
      <c r="AZ990"/>
      <c r="BC990"/>
      <c r="BD990"/>
      <c r="BG990"/>
      <c r="BH990"/>
      <c r="BI990"/>
      <c r="BJ990"/>
      <c r="BS990"/>
      <c r="BU990"/>
      <c r="BV990"/>
      <c r="BX990"/>
    </row>
    <row r="991" spans="23:76" ht="15.75">
      <c r="W991" s="495"/>
      <c r="X991" s="495"/>
      <c r="Y991" s="495"/>
      <c r="Z991" s="451"/>
      <c r="AA991" s="145"/>
      <c r="AB991" s="223"/>
      <c r="AC991" s="22"/>
      <c r="AH991" s="9"/>
      <c r="AJ991" s="27"/>
      <c r="AK991" s="84"/>
      <c r="AM991" s="13"/>
      <c r="AP991"/>
      <c r="AR991"/>
      <c r="AV991"/>
      <c r="AW991"/>
      <c r="AX991"/>
      <c r="AY991"/>
      <c r="AZ991"/>
      <c r="BC991"/>
      <c r="BD991"/>
      <c r="BG991"/>
      <c r="BH991"/>
      <c r="BI991"/>
      <c r="BJ991"/>
      <c r="BS991"/>
      <c r="BU991"/>
      <c r="BV991"/>
      <c r="BX991"/>
    </row>
    <row r="992" spans="23:76" ht="15.75">
      <c r="W992" s="495"/>
      <c r="X992" s="495"/>
      <c r="Y992" s="495"/>
      <c r="Z992" s="451"/>
      <c r="AA992" s="145"/>
      <c r="AB992" s="223"/>
      <c r="AC992" s="22"/>
      <c r="AH992" s="9"/>
      <c r="AJ992" s="27"/>
      <c r="AK992" s="84"/>
      <c r="AM992" s="13"/>
      <c r="AP992"/>
      <c r="AR992"/>
      <c r="AV992"/>
      <c r="AW992"/>
      <c r="AX992"/>
      <c r="AY992"/>
      <c r="AZ992"/>
      <c r="BC992"/>
      <c r="BD992"/>
      <c r="BG992"/>
      <c r="BH992"/>
      <c r="BI992"/>
      <c r="BJ992"/>
      <c r="BS992"/>
      <c r="BU992"/>
      <c r="BV992"/>
      <c r="BX992"/>
    </row>
    <row r="993" spans="23:76" ht="15.75">
      <c r="W993" s="495"/>
      <c r="X993" s="495"/>
      <c r="Y993" s="495"/>
      <c r="Z993" s="451"/>
      <c r="AA993" s="145"/>
      <c r="AB993" s="223"/>
      <c r="AC993" s="22"/>
      <c r="AH993" s="9"/>
      <c r="AJ993" s="27"/>
      <c r="AK993" s="84"/>
      <c r="AM993" s="13"/>
      <c r="AP993"/>
      <c r="AR993"/>
      <c r="AV993"/>
      <c r="AW993"/>
      <c r="AX993"/>
      <c r="AY993"/>
      <c r="AZ993"/>
      <c r="BC993"/>
      <c r="BD993"/>
      <c r="BG993"/>
      <c r="BH993"/>
      <c r="BI993"/>
      <c r="BJ993"/>
      <c r="BS993"/>
      <c r="BU993"/>
      <c r="BV993"/>
      <c r="BX993"/>
    </row>
    <row r="994" spans="23:76" ht="15.75">
      <c r="W994" s="495"/>
      <c r="X994" s="495"/>
      <c r="Y994" s="495"/>
      <c r="Z994" s="451"/>
      <c r="AA994" s="145"/>
      <c r="AB994" s="223"/>
      <c r="AC994" s="22"/>
      <c r="AH994" s="9"/>
      <c r="AJ994" s="27"/>
      <c r="AK994" s="84"/>
      <c r="AM994" s="13"/>
      <c r="AP994"/>
      <c r="AR994"/>
      <c r="AV994"/>
      <c r="AW994"/>
      <c r="AX994"/>
      <c r="AY994"/>
      <c r="AZ994"/>
      <c r="BC994"/>
      <c r="BD994"/>
      <c r="BG994"/>
      <c r="BH994"/>
      <c r="BI994"/>
      <c r="BJ994"/>
      <c r="BS994"/>
      <c r="BU994"/>
      <c r="BV994"/>
      <c r="BX994"/>
    </row>
    <row r="995" spans="23:76" ht="15.75">
      <c r="W995" s="495"/>
      <c r="X995" s="495"/>
      <c r="Y995" s="495"/>
      <c r="Z995" s="451"/>
      <c r="AA995" s="145"/>
      <c r="AB995" s="223"/>
      <c r="AC995" s="22"/>
      <c r="AH995" s="9"/>
      <c r="AJ995" s="27"/>
      <c r="AK995" s="84"/>
      <c r="AM995" s="13"/>
      <c r="AP995"/>
      <c r="AR995"/>
      <c r="AV995"/>
      <c r="AW995"/>
      <c r="AX995"/>
      <c r="AY995"/>
      <c r="AZ995"/>
      <c r="BC995"/>
      <c r="BD995"/>
      <c r="BG995"/>
      <c r="BH995"/>
      <c r="BI995"/>
      <c r="BJ995"/>
      <c r="BS995"/>
      <c r="BU995"/>
      <c r="BV995"/>
      <c r="BX995"/>
    </row>
    <row r="996" spans="23:76" ht="15.75">
      <c r="W996" s="495"/>
      <c r="X996" s="495"/>
      <c r="Y996" s="495"/>
      <c r="Z996" s="451"/>
      <c r="AA996" s="145"/>
      <c r="AB996" s="223"/>
      <c r="AC996" s="22"/>
      <c r="AH996" s="9"/>
      <c r="AJ996" s="27"/>
      <c r="AK996" s="84"/>
      <c r="AM996" s="13"/>
      <c r="AP996"/>
      <c r="AR996"/>
      <c r="AV996"/>
      <c r="AW996"/>
      <c r="AX996"/>
      <c r="AY996"/>
      <c r="AZ996"/>
      <c r="BC996"/>
      <c r="BD996"/>
      <c r="BG996"/>
      <c r="BH996"/>
      <c r="BI996"/>
      <c r="BJ996"/>
      <c r="BS996"/>
      <c r="BU996"/>
      <c r="BV996"/>
      <c r="BX996"/>
    </row>
    <row r="997" spans="23:76" ht="15.75">
      <c r="W997" s="495"/>
      <c r="X997" s="495"/>
      <c r="Y997" s="495"/>
      <c r="Z997" s="451"/>
      <c r="AA997" s="145"/>
      <c r="AB997" s="223"/>
      <c r="AC997" s="22"/>
      <c r="AH997" s="9"/>
      <c r="AJ997" s="27"/>
      <c r="AK997" s="84"/>
      <c r="AM997" s="13"/>
      <c r="AP997"/>
      <c r="AR997"/>
      <c r="AV997"/>
      <c r="AW997"/>
      <c r="AX997"/>
      <c r="AY997"/>
      <c r="AZ997"/>
      <c r="BC997"/>
      <c r="BD997"/>
      <c r="BG997"/>
      <c r="BH997"/>
      <c r="BI997"/>
      <c r="BJ997"/>
      <c r="BS997"/>
      <c r="BU997"/>
      <c r="BV997"/>
      <c r="BX997"/>
    </row>
    <row r="998" spans="23:76" ht="15.75">
      <c r="W998" s="495"/>
      <c r="X998" s="495"/>
      <c r="Y998" s="495"/>
      <c r="Z998" s="451"/>
      <c r="AA998" s="145"/>
      <c r="AB998" s="223"/>
      <c r="AC998" s="22"/>
      <c r="AH998" s="9"/>
      <c r="AJ998" s="27"/>
      <c r="AK998" s="84"/>
      <c r="AM998" s="13"/>
      <c r="AP998"/>
      <c r="AR998"/>
      <c r="AV998"/>
      <c r="AW998"/>
      <c r="AX998"/>
      <c r="AY998"/>
      <c r="AZ998"/>
      <c r="BC998"/>
      <c r="BD998"/>
      <c r="BG998"/>
      <c r="BH998"/>
      <c r="BI998"/>
      <c r="BJ998"/>
      <c r="BS998"/>
      <c r="BU998"/>
      <c r="BV998"/>
      <c r="BX998"/>
    </row>
    <row r="999" spans="23:76" ht="15.75">
      <c r="W999" s="495"/>
      <c r="X999" s="495"/>
      <c r="Y999" s="495"/>
      <c r="Z999" s="451"/>
      <c r="AA999" s="145"/>
      <c r="AB999" s="223"/>
      <c r="AC999" s="22"/>
      <c r="AH999" s="9"/>
      <c r="AJ999" s="27"/>
      <c r="AK999" s="84"/>
      <c r="AM999" s="13"/>
      <c r="AP999"/>
      <c r="AR999"/>
      <c r="AV999"/>
      <c r="AW999"/>
      <c r="AX999"/>
      <c r="AY999"/>
      <c r="AZ999"/>
      <c r="BC999"/>
      <c r="BD999"/>
      <c r="BG999"/>
      <c r="BH999"/>
      <c r="BI999"/>
      <c r="BJ999"/>
      <c r="BS999"/>
      <c r="BU999"/>
      <c r="BV999"/>
      <c r="BX999"/>
    </row>
    <row r="1000" spans="23:76" ht="15.75">
      <c r="W1000" s="495"/>
      <c r="X1000" s="495"/>
      <c r="Y1000" s="495"/>
      <c r="Z1000" s="451"/>
      <c r="AA1000" s="145"/>
      <c r="AB1000" s="223"/>
      <c r="AC1000" s="22"/>
      <c r="AH1000" s="9"/>
      <c r="AJ1000" s="27"/>
      <c r="AK1000" s="84"/>
      <c r="AM1000" s="13"/>
      <c r="AP1000"/>
      <c r="AR1000"/>
      <c r="AV1000"/>
      <c r="AW1000"/>
      <c r="AX1000"/>
      <c r="AY1000"/>
      <c r="AZ1000"/>
      <c r="BC1000"/>
      <c r="BD1000"/>
      <c r="BG1000"/>
      <c r="BH1000"/>
      <c r="BI1000"/>
      <c r="BJ1000"/>
      <c r="BS1000"/>
      <c r="BU1000"/>
      <c r="BV1000"/>
      <c r="BX1000"/>
    </row>
    <row r="1001" spans="23:76" ht="15.75">
      <c r="W1001" s="495"/>
      <c r="X1001" s="495"/>
      <c r="Y1001" s="495"/>
      <c r="Z1001" s="451"/>
      <c r="AA1001" s="145"/>
      <c r="AB1001" s="223"/>
      <c r="AC1001" s="22"/>
      <c r="AH1001" s="9"/>
      <c r="AJ1001" s="27"/>
      <c r="AK1001" s="84"/>
      <c r="AM1001" s="13"/>
      <c r="AP1001"/>
      <c r="AR1001"/>
      <c r="AV1001"/>
      <c r="AW1001"/>
      <c r="AX1001"/>
      <c r="AY1001"/>
      <c r="AZ1001"/>
      <c r="BC1001"/>
      <c r="BD1001"/>
      <c r="BG1001"/>
      <c r="BH1001"/>
      <c r="BI1001"/>
      <c r="BJ1001"/>
      <c r="BS1001"/>
      <c r="BU1001"/>
      <c r="BV1001"/>
      <c r="BX1001"/>
    </row>
    <row r="1002" spans="23:76" ht="15.75">
      <c r="W1002" s="495"/>
      <c r="X1002" s="495"/>
      <c r="Y1002" s="495"/>
      <c r="Z1002" s="451"/>
      <c r="AA1002" s="145"/>
      <c r="AB1002" s="223"/>
      <c r="AC1002" s="22"/>
      <c r="AH1002" s="9"/>
      <c r="AJ1002" s="27"/>
      <c r="AK1002" s="84"/>
      <c r="AM1002" s="13"/>
      <c r="AP1002"/>
      <c r="AR1002"/>
      <c r="AV1002"/>
      <c r="AW1002"/>
      <c r="AX1002"/>
      <c r="AY1002"/>
      <c r="AZ1002"/>
      <c r="BC1002"/>
      <c r="BD1002"/>
      <c r="BG1002"/>
      <c r="BH1002"/>
      <c r="BI1002"/>
      <c r="BJ1002"/>
      <c r="BS1002"/>
      <c r="BU1002"/>
      <c r="BV1002"/>
      <c r="BX1002"/>
    </row>
    <row r="1003" spans="23:76" ht="15.75">
      <c r="W1003" s="495"/>
      <c r="X1003" s="495"/>
      <c r="Y1003" s="495"/>
      <c r="Z1003" s="451"/>
      <c r="AA1003" s="145"/>
      <c r="AB1003" s="223"/>
      <c r="AC1003" s="22"/>
      <c r="AH1003" s="9"/>
      <c r="AJ1003" s="27"/>
      <c r="AK1003" s="84"/>
      <c r="AM1003" s="13"/>
      <c r="AP1003"/>
      <c r="AR1003"/>
      <c r="AV1003"/>
      <c r="AW1003"/>
      <c r="AX1003"/>
      <c r="AY1003"/>
      <c r="AZ1003"/>
      <c r="BC1003"/>
      <c r="BD1003"/>
      <c r="BG1003"/>
      <c r="BH1003"/>
      <c r="BI1003"/>
      <c r="BJ1003"/>
      <c r="BS1003"/>
      <c r="BU1003"/>
      <c r="BV1003"/>
      <c r="BX1003"/>
    </row>
    <row r="1004" spans="23:76" ht="15.75">
      <c r="W1004" s="495"/>
      <c r="X1004" s="495"/>
      <c r="Y1004" s="495"/>
      <c r="Z1004" s="451"/>
      <c r="AA1004" s="145"/>
      <c r="AB1004" s="223"/>
      <c r="AC1004" s="22"/>
      <c r="AH1004" s="9"/>
      <c r="AJ1004" s="27"/>
      <c r="AK1004" s="84"/>
      <c r="AM1004" s="13"/>
      <c r="AP1004"/>
      <c r="AR1004"/>
      <c r="AV1004"/>
      <c r="AW1004"/>
      <c r="AX1004"/>
      <c r="AY1004"/>
      <c r="AZ1004"/>
      <c r="BC1004"/>
      <c r="BD1004"/>
      <c r="BG1004"/>
      <c r="BH1004"/>
      <c r="BI1004"/>
      <c r="BJ1004"/>
      <c r="BS1004"/>
      <c r="BU1004"/>
      <c r="BV1004"/>
      <c r="BX1004"/>
    </row>
    <row r="1005" spans="23:76" ht="15.75">
      <c r="W1005" s="495"/>
      <c r="X1005" s="495"/>
      <c r="Y1005" s="495"/>
      <c r="Z1005" s="451"/>
      <c r="AA1005" s="145"/>
      <c r="AB1005" s="223"/>
      <c r="AC1005" s="22"/>
      <c r="AH1005" s="9"/>
      <c r="AJ1005" s="27"/>
      <c r="AK1005" s="84"/>
      <c r="AM1005" s="13"/>
      <c r="AP1005"/>
      <c r="AR1005"/>
      <c r="AV1005"/>
      <c r="AW1005"/>
      <c r="AX1005"/>
      <c r="AY1005"/>
      <c r="AZ1005"/>
      <c r="BC1005"/>
      <c r="BD1005"/>
      <c r="BG1005"/>
      <c r="BH1005"/>
      <c r="BI1005"/>
      <c r="BJ1005"/>
      <c r="BS1005"/>
      <c r="BU1005"/>
      <c r="BV1005"/>
      <c r="BX1005"/>
    </row>
    <row r="1006" spans="23:76" ht="15.75">
      <c r="W1006" s="495"/>
      <c r="X1006" s="495"/>
      <c r="Y1006" s="495"/>
      <c r="Z1006" s="451"/>
      <c r="AA1006" s="145"/>
      <c r="AB1006" s="223"/>
      <c r="AC1006" s="22"/>
      <c r="AH1006" s="9"/>
      <c r="AJ1006" s="27"/>
      <c r="AK1006" s="84"/>
      <c r="AM1006" s="13"/>
      <c r="AP1006"/>
      <c r="AR1006"/>
      <c r="AV1006"/>
      <c r="AW1006"/>
      <c r="AX1006"/>
      <c r="AY1006"/>
      <c r="AZ1006"/>
      <c r="BC1006"/>
      <c r="BD1006"/>
      <c r="BG1006"/>
      <c r="BH1006"/>
      <c r="BI1006"/>
      <c r="BJ1006"/>
      <c r="BS1006"/>
      <c r="BU1006"/>
      <c r="BV1006"/>
      <c r="BX1006"/>
    </row>
    <row r="1007" spans="23:76" ht="15.75">
      <c r="W1007" s="495"/>
      <c r="X1007" s="495"/>
      <c r="Y1007" s="495"/>
      <c r="Z1007" s="451"/>
      <c r="AA1007" s="145"/>
      <c r="AB1007" s="223"/>
      <c r="AC1007" s="22"/>
      <c r="AH1007" s="9"/>
      <c r="AJ1007" s="27"/>
      <c r="AK1007" s="84"/>
      <c r="AM1007" s="13"/>
      <c r="AP1007"/>
      <c r="AR1007"/>
      <c r="AV1007"/>
      <c r="AW1007"/>
      <c r="AX1007"/>
      <c r="AY1007"/>
      <c r="AZ1007"/>
      <c r="BC1007"/>
      <c r="BD1007"/>
      <c r="BG1007"/>
      <c r="BH1007"/>
      <c r="BI1007"/>
      <c r="BJ1007"/>
      <c r="BS1007"/>
      <c r="BU1007"/>
      <c r="BV1007"/>
      <c r="BX1007"/>
    </row>
    <row r="1008" spans="23:76" ht="15.75">
      <c r="W1008" s="495"/>
      <c r="X1008" s="495"/>
      <c r="Y1008" s="495"/>
      <c r="Z1008" s="451"/>
      <c r="AA1008" s="145"/>
      <c r="AB1008" s="223"/>
      <c r="AC1008" s="22"/>
      <c r="AH1008" s="9"/>
      <c r="AJ1008" s="27"/>
      <c r="AK1008" s="84"/>
      <c r="AM1008" s="13"/>
      <c r="AP1008"/>
      <c r="AR1008"/>
      <c r="AV1008"/>
      <c r="AW1008"/>
      <c r="AX1008"/>
      <c r="AY1008"/>
      <c r="AZ1008"/>
      <c r="BC1008"/>
      <c r="BD1008"/>
      <c r="BG1008"/>
      <c r="BH1008"/>
      <c r="BI1008"/>
      <c r="BJ1008"/>
      <c r="BS1008"/>
      <c r="BU1008"/>
      <c r="BV1008"/>
      <c r="BX1008"/>
    </row>
    <row r="1009" spans="23:76" ht="15.75">
      <c r="W1009" s="495"/>
      <c r="X1009" s="495"/>
      <c r="Y1009" s="495"/>
      <c r="Z1009" s="451"/>
      <c r="AA1009" s="145"/>
      <c r="AB1009" s="223"/>
      <c r="AC1009" s="22"/>
      <c r="AH1009" s="9"/>
      <c r="AJ1009" s="27"/>
      <c r="AK1009" s="84"/>
      <c r="AM1009" s="13"/>
      <c r="AP1009"/>
      <c r="AR1009"/>
      <c r="AV1009"/>
      <c r="AW1009"/>
      <c r="AX1009"/>
      <c r="AY1009"/>
      <c r="AZ1009"/>
      <c r="BC1009"/>
      <c r="BD1009"/>
      <c r="BG1009"/>
      <c r="BH1009"/>
      <c r="BI1009"/>
      <c r="BJ1009"/>
      <c r="BS1009"/>
      <c r="BU1009"/>
      <c r="BV1009"/>
      <c r="BX1009"/>
    </row>
    <row r="1010" spans="23:76" ht="15.75">
      <c r="W1010" s="495"/>
      <c r="X1010" s="495"/>
      <c r="Y1010" s="495"/>
      <c r="Z1010" s="451"/>
      <c r="AA1010" s="145"/>
      <c r="AB1010" s="223"/>
      <c r="AC1010" s="22"/>
      <c r="AH1010" s="9"/>
      <c r="AJ1010" s="27"/>
      <c r="AK1010" s="84"/>
      <c r="AM1010" s="13"/>
      <c r="AP1010"/>
      <c r="AR1010"/>
      <c r="AV1010"/>
      <c r="AW1010"/>
      <c r="AX1010"/>
      <c r="AY1010"/>
      <c r="AZ1010"/>
      <c r="BC1010"/>
      <c r="BD1010"/>
      <c r="BG1010"/>
      <c r="BH1010"/>
      <c r="BI1010"/>
      <c r="BJ1010"/>
      <c r="BS1010"/>
      <c r="BU1010"/>
      <c r="BV1010"/>
      <c r="BX1010"/>
    </row>
    <row r="1011" spans="23:76" ht="15.75">
      <c r="W1011" s="495"/>
      <c r="X1011" s="495"/>
      <c r="Y1011" s="495"/>
      <c r="Z1011" s="451"/>
      <c r="AA1011" s="145"/>
      <c r="AB1011" s="223"/>
      <c r="AC1011" s="22"/>
      <c r="AH1011" s="9"/>
      <c r="AJ1011" s="27"/>
      <c r="AK1011" s="84"/>
      <c r="AM1011" s="13"/>
      <c r="AP1011"/>
      <c r="AR1011"/>
      <c r="AV1011"/>
      <c r="AW1011"/>
      <c r="AX1011"/>
      <c r="AY1011"/>
      <c r="AZ1011"/>
      <c r="BC1011"/>
      <c r="BD1011"/>
      <c r="BG1011"/>
      <c r="BH1011"/>
      <c r="BI1011"/>
      <c r="BJ1011"/>
      <c r="BS1011"/>
      <c r="BU1011"/>
      <c r="BV1011"/>
      <c r="BX1011"/>
    </row>
    <row r="1012" spans="23:76" ht="15.75">
      <c r="W1012" s="495"/>
      <c r="X1012" s="495"/>
      <c r="Y1012" s="495"/>
      <c r="Z1012" s="451"/>
      <c r="AA1012" s="145"/>
      <c r="AB1012" s="223"/>
      <c r="AC1012" s="22"/>
      <c r="AH1012" s="9"/>
      <c r="AJ1012" s="27"/>
      <c r="AK1012" s="84"/>
      <c r="AM1012" s="13"/>
      <c r="AP1012"/>
      <c r="AR1012"/>
      <c r="AV1012"/>
      <c r="AW1012"/>
      <c r="AX1012"/>
      <c r="AY1012"/>
      <c r="AZ1012"/>
      <c r="BC1012"/>
      <c r="BD1012"/>
      <c r="BG1012"/>
      <c r="BH1012"/>
      <c r="BI1012"/>
      <c r="BJ1012"/>
      <c r="BS1012"/>
      <c r="BU1012"/>
      <c r="BV1012"/>
      <c r="BX1012"/>
    </row>
    <row r="1013" spans="23:76" ht="15.75">
      <c r="W1013" s="495"/>
      <c r="X1013" s="495"/>
      <c r="Y1013" s="495"/>
      <c r="Z1013" s="451"/>
      <c r="AA1013" s="145"/>
      <c r="AB1013" s="223"/>
      <c r="AC1013" s="22"/>
      <c r="AH1013" s="9"/>
      <c r="AJ1013" s="27"/>
      <c r="AK1013" s="84"/>
      <c r="AM1013" s="13"/>
      <c r="AP1013"/>
      <c r="AR1013"/>
      <c r="AV1013"/>
      <c r="AW1013"/>
      <c r="AX1013"/>
      <c r="AY1013"/>
      <c r="AZ1013"/>
      <c r="BC1013"/>
      <c r="BD1013"/>
      <c r="BG1013"/>
      <c r="BH1013"/>
      <c r="BI1013"/>
      <c r="BJ1013"/>
      <c r="BS1013"/>
      <c r="BU1013"/>
      <c r="BV1013"/>
      <c r="BX1013"/>
    </row>
    <row r="1014" spans="23:76" ht="15.75">
      <c r="W1014" s="495"/>
      <c r="X1014" s="495"/>
      <c r="Y1014" s="495"/>
      <c r="Z1014" s="451"/>
      <c r="AA1014" s="145"/>
      <c r="AB1014" s="223"/>
      <c r="AC1014" s="22"/>
      <c r="AH1014" s="9"/>
      <c r="AJ1014" s="27"/>
      <c r="AK1014" s="84"/>
      <c r="AM1014" s="13"/>
      <c r="AP1014"/>
      <c r="AR1014"/>
      <c r="AV1014"/>
      <c r="AW1014"/>
      <c r="AX1014"/>
      <c r="AY1014"/>
      <c r="AZ1014"/>
      <c r="BC1014"/>
      <c r="BD1014"/>
      <c r="BG1014"/>
      <c r="BH1014"/>
      <c r="BI1014"/>
      <c r="BJ1014"/>
      <c r="BS1014"/>
      <c r="BU1014"/>
      <c r="BV1014"/>
      <c r="BX1014"/>
    </row>
    <row r="1015" spans="23:76" ht="15.75">
      <c r="W1015" s="495"/>
      <c r="X1015" s="495"/>
      <c r="Y1015" s="495"/>
      <c r="Z1015" s="451"/>
      <c r="AA1015" s="145"/>
      <c r="AB1015" s="223"/>
      <c r="AC1015" s="22"/>
      <c r="AH1015" s="9"/>
      <c r="AJ1015" s="27"/>
      <c r="AK1015" s="84"/>
      <c r="AM1015" s="13"/>
      <c r="AP1015"/>
      <c r="AR1015"/>
      <c r="AV1015"/>
      <c r="AW1015"/>
      <c r="AX1015"/>
      <c r="AY1015"/>
      <c r="AZ1015"/>
      <c r="BC1015"/>
      <c r="BD1015"/>
      <c r="BG1015"/>
      <c r="BH1015"/>
      <c r="BI1015"/>
      <c r="BJ1015"/>
      <c r="BS1015"/>
      <c r="BU1015"/>
      <c r="BV1015"/>
      <c r="BX1015"/>
    </row>
    <row r="1016" spans="23:76" ht="15.75">
      <c r="W1016" s="495"/>
      <c r="X1016" s="495"/>
      <c r="Y1016" s="495"/>
      <c r="Z1016" s="451"/>
      <c r="AA1016" s="145"/>
      <c r="AB1016" s="223"/>
      <c r="AC1016" s="22"/>
      <c r="AH1016" s="9"/>
      <c r="AJ1016" s="27"/>
      <c r="AK1016" s="84"/>
      <c r="AM1016" s="13"/>
      <c r="AP1016"/>
      <c r="AR1016"/>
      <c r="AV1016"/>
      <c r="AW1016"/>
      <c r="AX1016"/>
      <c r="AY1016"/>
      <c r="AZ1016"/>
      <c r="BC1016"/>
      <c r="BD1016"/>
      <c r="BG1016"/>
      <c r="BH1016"/>
      <c r="BI1016"/>
      <c r="BJ1016"/>
      <c r="BS1016"/>
      <c r="BU1016"/>
      <c r="BV1016"/>
      <c r="BX1016"/>
    </row>
    <row r="1017" spans="23:76" ht="15.75">
      <c r="W1017" s="495"/>
      <c r="X1017" s="495"/>
      <c r="Y1017" s="495"/>
      <c r="Z1017" s="451"/>
      <c r="AA1017" s="145"/>
      <c r="AB1017" s="223"/>
      <c r="AC1017" s="22"/>
      <c r="AH1017" s="9"/>
      <c r="AJ1017" s="27"/>
      <c r="AK1017" s="84"/>
      <c r="AM1017" s="13"/>
      <c r="AP1017"/>
      <c r="AR1017"/>
      <c r="AV1017"/>
      <c r="AW1017"/>
      <c r="AX1017"/>
      <c r="AY1017"/>
      <c r="AZ1017"/>
      <c r="BC1017"/>
      <c r="BD1017"/>
      <c r="BG1017"/>
      <c r="BH1017"/>
      <c r="BI1017"/>
      <c r="BJ1017"/>
      <c r="BS1017"/>
      <c r="BU1017"/>
      <c r="BV1017"/>
      <c r="BX1017"/>
    </row>
    <row r="1018" spans="23:76" ht="15.75">
      <c r="W1018" s="495"/>
      <c r="X1018" s="495"/>
      <c r="Y1018" s="495"/>
      <c r="Z1018" s="451"/>
      <c r="AA1018" s="145"/>
      <c r="AB1018" s="223"/>
      <c r="AC1018" s="22"/>
      <c r="AH1018" s="9"/>
      <c r="AJ1018" s="27"/>
      <c r="AK1018" s="84"/>
      <c r="AM1018" s="13"/>
      <c r="AP1018"/>
      <c r="AR1018"/>
      <c r="AV1018"/>
      <c r="AW1018"/>
      <c r="AX1018"/>
      <c r="AY1018"/>
      <c r="AZ1018"/>
      <c r="BC1018"/>
      <c r="BD1018"/>
      <c r="BG1018"/>
      <c r="BH1018"/>
      <c r="BI1018"/>
      <c r="BJ1018"/>
      <c r="BS1018"/>
      <c r="BU1018"/>
      <c r="BV1018"/>
      <c r="BX1018"/>
    </row>
    <row r="1019" spans="23:76" ht="15.75">
      <c r="W1019" s="495"/>
      <c r="X1019" s="495"/>
      <c r="Y1019" s="495"/>
      <c r="Z1019" s="451"/>
      <c r="AA1019" s="145"/>
      <c r="AB1019" s="223"/>
      <c r="AC1019" s="22"/>
      <c r="AH1019" s="9"/>
      <c r="AJ1019" s="27"/>
      <c r="AK1019" s="84"/>
      <c r="AM1019" s="13"/>
      <c r="AP1019"/>
      <c r="AR1019"/>
      <c r="AV1019"/>
      <c r="AW1019"/>
      <c r="AX1019"/>
      <c r="AY1019"/>
      <c r="AZ1019"/>
      <c r="BC1019"/>
      <c r="BD1019"/>
      <c r="BG1019"/>
      <c r="BH1019"/>
      <c r="BI1019"/>
      <c r="BJ1019"/>
      <c r="BS1019"/>
      <c r="BU1019"/>
      <c r="BV1019"/>
      <c r="BX1019"/>
    </row>
    <row r="1020" spans="23:76" ht="15.75">
      <c r="W1020" s="495"/>
      <c r="X1020" s="495"/>
      <c r="Y1020" s="495"/>
      <c r="Z1020" s="451"/>
      <c r="AA1020" s="145"/>
      <c r="AB1020" s="223"/>
      <c r="AC1020" s="22"/>
      <c r="AH1020" s="9"/>
      <c r="AJ1020" s="27"/>
      <c r="AK1020" s="84"/>
      <c r="AM1020" s="13"/>
      <c r="AP1020"/>
      <c r="AR1020"/>
      <c r="AV1020"/>
      <c r="AW1020"/>
      <c r="AX1020"/>
      <c r="AY1020"/>
      <c r="AZ1020"/>
      <c r="BC1020"/>
      <c r="BD1020"/>
      <c r="BG1020"/>
      <c r="BH1020"/>
      <c r="BI1020"/>
      <c r="BJ1020"/>
      <c r="BS1020"/>
      <c r="BU1020"/>
      <c r="BV1020"/>
      <c r="BX1020"/>
    </row>
    <row r="1021" spans="23:76" ht="15.75">
      <c r="W1021" s="495"/>
      <c r="X1021" s="495"/>
      <c r="Y1021" s="495"/>
      <c r="Z1021" s="451"/>
      <c r="AA1021" s="145"/>
      <c r="AB1021" s="223"/>
      <c r="AC1021" s="22"/>
      <c r="AH1021" s="9"/>
      <c r="AJ1021" s="27"/>
      <c r="AK1021" s="84"/>
      <c r="AM1021" s="13"/>
      <c r="AP1021"/>
      <c r="AR1021"/>
      <c r="AV1021"/>
      <c r="AW1021"/>
      <c r="AX1021"/>
      <c r="AY1021"/>
      <c r="AZ1021"/>
      <c r="BC1021"/>
      <c r="BD1021"/>
      <c r="BG1021"/>
      <c r="BH1021"/>
      <c r="BI1021"/>
      <c r="BJ1021"/>
      <c r="BS1021"/>
      <c r="BU1021"/>
      <c r="BV1021"/>
      <c r="BX1021"/>
    </row>
    <row r="1022" spans="23:76" ht="15.75">
      <c r="W1022" s="495"/>
      <c r="X1022" s="495"/>
      <c r="Y1022" s="495"/>
      <c r="Z1022" s="451"/>
      <c r="AA1022" s="145"/>
      <c r="AB1022" s="223"/>
      <c r="AC1022" s="22"/>
      <c r="AH1022" s="9"/>
      <c r="AJ1022" s="27"/>
      <c r="AK1022" s="84"/>
      <c r="AM1022" s="13"/>
      <c r="AP1022"/>
      <c r="AR1022"/>
      <c r="AV1022"/>
      <c r="AW1022"/>
      <c r="AX1022"/>
      <c r="AY1022"/>
      <c r="AZ1022"/>
      <c r="BC1022"/>
      <c r="BD1022"/>
      <c r="BG1022"/>
      <c r="BH1022"/>
      <c r="BI1022"/>
      <c r="BJ1022"/>
      <c r="BS1022"/>
      <c r="BU1022"/>
      <c r="BV1022"/>
      <c r="BX1022"/>
    </row>
    <row r="1023" spans="23:76" ht="15.75">
      <c r="W1023" s="495"/>
      <c r="X1023" s="495"/>
      <c r="Y1023" s="495"/>
      <c r="Z1023" s="451"/>
      <c r="AA1023" s="145"/>
      <c r="AB1023" s="223"/>
      <c r="AC1023" s="22"/>
      <c r="AH1023" s="9"/>
      <c r="AJ1023" s="27"/>
      <c r="AK1023" s="84"/>
      <c r="AM1023" s="13"/>
      <c r="AP1023"/>
      <c r="AR1023"/>
      <c r="AV1023"/>
      <c r="AW1023"/>
      <c r="AX1023"/>
      <c r="AY1023"/>
      <c r="AZ1023"/>
      <c r="BC1023"/>
      <c r="BD1023"/>
      <c r="BG1023"/>
      <c r="BH1023"/>
      <c r="BI1023"/>
      <c r="BJ1023"/>
      <c r="BS1023"/>
      <c r="BU1023"/>
      <c r="BV1023"/>
      <c r="BX1023"/>
    </row>
    <row r="1024" spans="23:76" ht="15.75">
      <c r="W1024" s="495"/>
      <c r="X1024" s="495"/>
      <c r="Y1024" s="495"/>
      <c r="Z1024" s="451"/>
      <c r="AA1024" s="145"/>
      <c r="AB1024" s="223"/>
      <c r="AC1024" s="22"/>
      <c r="AH1024" s="9"/>
      <c r="AJ1024" s="27"/>
      <c r="AK1024" s="84"/>
      <c r="AM1024" s="13"/>
      <c r="AP1024"/>
      <c r="AR1024"/>
      <c r="AV1024"/>
      <c r="AW1024"/>
      <c r="AX1024"/>
      <c r="AY1024"/>
      <c r="AZ1024"/>
      <c r="BC1024"/>
      <c r="BD1024"/>
      <c r="BG1024"/>
      <c r="BH1024"/>
      <c r="BI1024"/>
      <c r="BJ1024"/>
      <c r="BS1024"/>
      <c r="BU1024"/>
      <c r="BV1024"/>
      <c r="BX1024"/>
    </row>
    <row r="1025" spans="23:76" ht="15.75">
      <c r="W1025" s="495"/>
      <c r="X1025" s="495"/>
      <c r="Y1025" s="495"/>
      <c r="Z1025" s="451"/>
      <c r="AA1025" s="145"/>
      <c r="AB1025" s="223"/>
      <c r="AC1025" s="22"/>
      <c r="AH1025" s="9"/>
      <c r="AJ1025" s="27"/>
      <c r="AK1025" s="84"/>
      <c r="AM1025" s="13"/>
      <c r="AP1025"/>
      <c r="AR1025"/>
      <c r="AV1025"/>
      <c r="AW1025"/>
      <c r="AX1025"/>
      <c r="AY1025"/>
      <c r="AZ1025"/>
      <c r="BC1025"/>
      <c r="BD1025"/>
      <c r="BG1025"/>
      <c r="BH1025"/>
      <c r="BI1025"/>
      <c r="BJ1025"/>
      <c r="BS1025"/>
      <c r="BU1025"/>
      <c r="BV1025"/>
      <c r="BX1025"/>
    </row>
    <row r="1026" spans="23:76" ht="15.75">
      <c r="W1026" s="495"/>
      <c r="X1026" s="495"/>
      <c r="Y1026" s="495"/>
      <c r="Z1026" s="451"/>
      <c r="AA1026" s="145"/>
      <c r="AB1026" s="223"/>
      <c r="AC1026" s="22"/>
      <c r="AH1026" s="9"/>
      <c r="AJ1026" s="27"/>
      <c r="AK1026" s="84"/>
      <c r="AM1026" s="13"/>
      <c r="AP1026"/>
      <c r="AR1026"/>
      <c r="AV1026"/>
      <c r="AW1026"/>
      <c r="AX1026"/>
      <c r="AY1026"/>
      <c r="AZ1026"/>
      <c r="BC1026"/>
      <c r="BD1026"/>
      <c r="BG1026"/>
      <c r="BH1026"/>
      <c r="BI1026"/>
      <c r="BJ1026"/>
      <c r="BS1026"/>
      <c r="BU1026"/>
      <c r="BV1026"/>
      <c r="BX1026"/>
    </row>
    <row r="1027" spans="23:76" ht="15.75">
      <c r="W1027" s="495"/>
      <c r="X1027" s="495"/>
      <c r="Y1027" s="495"/>
      <c r="Z1027" s="451"/>
      <c r="AA1027" s="145"/>
      <c r="AB1027" s="223"/>
      <c r="AC1027" s="22"/>
      <c r="AH1027" s="9"/>
      <c r="AJ1027" s="27"/>
      <c r="AK1027" s="84"/>
      <c r="AM1027" s="13"/>
      <c r="AP1027"/>
      <c r="AR1027"/>
      <c r="AV1027"/>
      <c r="AW1027"/>
      <c r="AX1027"/>
      <c r="AY1027"/>
      <c r="AZ1027"/>
      <c r="BC1027"/>
      <c r="BD1027"/>
      <c r="BG1027"/>
      <c r="BH1027"/>
      <c r="BI1027"/>
      <c r="BJ1027"/>
      <c r="BS1027"/>
      <c r="BU1027"/>
      <c r="BV1027"/>
      <c r="BX1027"/>
    </row>
    <row r="1028" spans="23:76" ht="15.75">
      <c r="W1028" s="495"/>
      <c r="X1028" s="495"/>
      <c r="Y1028" s="495"/>
      <c r="Z1028" s="451"/>
      <c r="AA1028" s="145"/>
      <c r="AB1028" s="223"/>
      <c r="AC1028" s="22"/>
      <c r="AH1028" s="9"/>
      <c r="AJ1028" s="27"/>
      <c r="AK1028" s="84"/>
      <c r="AM1028" s="13"/>
      <c r="AP1028"/>
      <c r="AR1028"/>
      <c r="AV1028"/>
      <c r="AW1028"/>
      <c r="AX1028"/>
      <c r="AY1028"/>
      <c r="AZ1028"/>
      <c r="BC1028"/>
      <c r="BD1028"/>
      <c r="BG1028"/>
      <c r="BH1028"/>
      <c r="BI1028"/>
      <c r="BJ1028"/>
      <c r="BS1028"/>
      <c r="BU1028"/>
      <c r="BV1028"/>
      <c r="BX1028"/>
    </row>
    <row r="1029" spans="23:76" ht="15.75">
      <c r="W1029" s="495"/>
      <c r="X1029" s="495"/>
      <c r="Y1029" s="495"/>
      <c r="Z1029" s="451"/>
      <c r="AA1029" s="145"/>
      <c r="AB1029" s="223"/>
      <c r="AC1029" s="22"/>
      <c r="AH1029" s="9"/>
      <c r="AJ1029" s="27"/>
      <c r="AK1029" s="84"/>
      <c r="AM1029" s="13"/>
      <c r="AP1029"/>
      <c r="AR1029"/>
      <c r="AV1029"/>
      <c r="AW1029"/>
      <c r="AX1029"/>
      <c r="AY1029"/>
      <c r="AZ1029"/>
      <c r="BC1029"/>
      <c r="BD1029"/>
      <c r="BG1029"/>
      <c r="BH1029"/>
      <c r="BI1029"/>
      <c r="BJ1029"/>
      <c r="BS1029"/>
      <c r="BU1029"/>
      <c r="BV1029"/>
      <c r="BX1029"/>
    </row>
    <row r="1030" spans="23:76" ht="15.75">
      <c r="W1030" s="495"/>
      <c r="X1030" s="495"/>
      <c r="Y1030" s="495"/>
      <c r="Z1030" s="451"/>
      <c r="AA1030" s="145"/>
      <c r="AB1030" s="223"/>
      <c r="AC1030" s="22"/>
      <c r="AH1030" s="9"/>
      <c r="AJ1030" s="27"/>
      <c r="AK1030" s="84"/>
      <c r="AM1030" s="13"/>
      <c r="AP1030"/>
      <c r="AR1030"/>
      <c r="AV1030"/>
      <c r="AW1030"/>
      <c r="AX1030"/>
      <c r="AY1030"/>
      <c r="AZ1030"/>
      <c r="BC1030"/>
      <c r="BD1030"/>
      <c r="BG1030"/>
      <c r="BH1030"/>
      <c r="BI1030"/>
      <c r="BJ1030"/>
      <c r="BS1030"/>
      <c r="BU1030"/>
      <c r="BV1030"/>
      <c r="BX1030"/>
    </row>
    <row r="1031" spans="23:76" ht="15.75">
      <c r="W1031" s="495"/>
      <c r="X1031" s="495"/>
      <c r="Y1031" s="495"/>
      <c r="Z1031" s="451"/>
      <c r="AA1031" s="145"/>
      <c r="AB1031" s="223"/>
      <c r="AC1031" s="22"/>
      <c r="AH1031" s="9"/>
      <c r="AJ1031" s="27"/>
      <c r="AK1031" s="84"/>
      <c r="AM1031" s="13"/>
      <c r="AP1031"/>
      <c r="AR1031"/>
      <c r="AV1031"/>
      <c r="AW1031"/>
      <c r="AX1031"/>
      <c r="AY1031"/>
      <c r="AZ1031"/>
      <c r="BC1031"/>
      <c r="BD1031"/>
      <c r="BG1031"/>
      <c r="BH1031"/>
      <c r="BI1031"/>
      <c r="BJ1031"/>
      <c r="BS1031"/>
      <c r="BU1031"/>
      <c r="BV1031"/>
      <c r="BX1031"/>
    </row>
    <row r="1032" spans="23:76" ht="15.75">
      <c r="W1032" s="495"/>
      <c r="X1032" s="495"/>
      <c r="Y1032" s="495"/>
      <c r="Z1032" s="451"/>
      <c r="AA1032" s="145"/>
      <c r="AB1032" s="223"/>
      <c r="AC1032" s="22"/>
      <c r="AH1032" s="9"/>
      <c r="AJ1032" s="27"/>
      <c r="AK1032" s="84"/>
      <c r="AM1032" s="13"/>
      <c r="AP1032"/>
      <c r="AR1032"/>
      <c r="AV1032"/>
      <c r="AW1032"/>
      <c r="AX1032"/>
      <c r="AY1032"/>
      <c r="AZ1032"/>
      <c r="BC1032"/>
      <c r="BD1032"/>
      <c r="BG1032"/>
      <c r="BH1032"/>
      <c r="BI1032"/>
      <c r="BJ1032"/>
      <c r="BS1032"/>
      <c r="BU1032"/>
      <c r="BV1032"/>
      <c r="BX1032"/>
    </row>
    <row r="1033" spans="23:76" ht="15.75">
      <c r="W1033" s="495"/>
      <c r="X1033" s="495"/>
      <c r="Y1033" s="495"/>
      <c r="Z1033" s="451"/>
      <c r="AA1033" s="145"/>
      <c r="AB1033" s="223"/>
      <c r="AC1033" s="22"/>
      <c r="AH1033" s="9"/>
      <c r="AJ1033" s="27"/>
      <c r="AK1033" s="84"/>
      <c r="AM1033" s="13"/>
      <c r="AP1033"/>
      <c r="AR1033"/>
      <c r="AV1033"/>
      <c r="AW1033"/>
      <c r="AX1033"/>
      <c r="AY1033"/>
      <c r="AZ1033"/>
      <c r="BC1033"/>
      <c r="BD1033"/>
      <c r="BG1033"/>
      <c r="BH1033"/>
      <c r="BI1033"/>
      <c r="BJ1033"/>
      <c r="BS1033"/>
      <c r="BU1033"/>
      <c r="BV1033"/>
      <c r="BX1033"/>
    </row>
    <row r="1034" spans="23:76" ht="15.75">
      <c r="W1034" s="495"/>
      <c r="X1034" s="495"/>
      <c r="Y1034" s="495"/>
      <c r="Z1034" s="451"/>
      <c r="AA1034" s="145"/>
      <c r="AB1034" s="223"/>
      <c r="AC1034" s="22"/>
      <c r="AH1034" s="9"/>
      <c r="AJ1034" s="27"/>
      <c r="AK1034" s="84"/>
      <c r="AM1034" s="13"/>
      <c r="AP1034"/>
      <c r="AR1034"/>
      <c r="AV1034"/>
      <c r="AW1034"/>
      <c r="AX1034"/>
      <c r="AY1034"/>
      <c r="AZ1034"/>
      <c r="BC1034"/>
      <c r="BD1034"/>
      <c r="BG1034"/>
      <c r="BH1034"/>
      <c r="BI1034"/>
      <c r="BJ1034"/>
      <c r="BS1034"/>
      <c r="BU1034"/>
      <c r="BV1034"/>
      <c r="BX1034"/>
    </row>
    <row r="1035" spans="23:76" ht="15.75">
      <c r="W1035" s="495"/>
      <c r="X1035" s="495"/>
      <c r="Y1035" s="495"/>
      <c r="Z1035" s="451"/>
      <c r="AA1035" s="145"/>
      <c r="AB1035" s="223"/>
      <c r="AC1035" s="22"/>
      <c r="AH1035" s="9"/>
      <c r="AJ1035" s="27"/>
      <c r="AK1035" s="84"/>
      <c r="AM1035" s="13"/>
      <c r="AP1035"/>
      <c r="AR1035"/>
      <c r="AV1035"/>
      <c r="AW1035"/>
      <c r="AX1035"/>
      <c r="AY1035"/>
      <c r="AZ1035"/>
      <c r="BC1035"/>
      <c r="BD1035"/>
      <c r="BG1035"/>
      <c r="BH1035"/>
      <c r="BI1035"/>
      <c r="BJ1035"/>
      <c r="BS1035"/>
      <c r="BU1035"/>
      <c r="BV1035"/>
      <c r="BX1035"/>
    </row>
    <row r="1036" spans="23:76" ht="15.75">
      <c r="W1036" s="495"/>
      <c r="X1036" s="495"/>
      <c r="Y1036" s="495"/>
      <c r="Z1036" s="451"/>
      <c r="AA1036" s="145"/>
      <c r="AB1036" s="223"/>
      <c r="AC1036" s="22"/>
      <c r="AH1036" s="9"/>
      <c r="AJ1036" s="27"/>
      <c r="AK1036" s="84"/>
      <c r="AM1036" s="13"/>
      <c r="AP1036"/>
      <c r="AR1036"/>
      <c r="AV1036"/>
      <c r="AW1036"/>
      <c r="AX1036"/>
      <c r="AY1036"/>
      <c r="AZ1036"/>
      <c r="BC1036"/>
      <c r="BD1036"/>
      <c r="BG1036"/>
      <c r="BH1036"/>
      <c r="BI1036"/>
      <c r="BJ1036"/>
      <c r="BS1036"/>
      <c r="BU1036"/>
      <c r="BV1036"/>
      <c r="BX1036"/>
    </row>
    <row r="1037" spans="23:76" ht="15.75">
      <c r="W1037" s="495"/>
      <c r="X1037" s="495"/>
      <c r="Y1037" s="495"/>
      <c r="Z1037" s="451"/>
      <c r="AA1037" s="145"/>
      <c r="AB1037" s="223"/>
      <c r="AC1037" s="22"/>
      <c r="AH1037" s="9"/>
      <c r="AJ1037" s="27"/>
      <c r="AK1037" s="84"/>
      <c r="AM1037" s="13"/>
      <c r="AP1037"/>
      <c r="AR1037"/>
      <c r="AV1037"/>
      <c r="AW1037"/>
      <c r="AX1037"/>
      <c r="AY1037"/>
      <c r="AZ1037"/>
      <c r="BC1037"/>
      <c r="BD1037"/>
      <c r="BG1037"/>
      <c r="BH1037"/>
      <c r="BI1037"/>
      <c r="BJ1037"/>
      <c r="BS1037"/>
      <c r="BU1037"/>
      <c r="BV1037"/>
      <c r="BX1037"/>
    </row>
    <row r="1038" spans="23:76" ht="15.75">
      <c r="W1038" s="495"/>
      <c r="X1038" s="495"/>
      <c r="Y1038" s="495"/>
      <c r="Z1038" s="451"/>
      <c r="AA1038" s="145"/>
      <c r="AB1038" s="223"/>
      <c r="AC1038" s="22"/>
      <c r="AH1038" s="9"/>
      <c r="AJ1038" s="27"/>
      <c r="AK1038" s="84"/>
      <c r="AM1038" s="13"/>
      <c r="AP1038"/>
      <c r="AR1038"/>
      <c r="AV1038"/>
      <c r="AW1038"/>
      <c r="AX1038"/>
      <c r="AY1038"/>
      <c r="AZ1038"/>
      <c r="BC1038"/>
      <c r="BD1038"/>
      <c r="BG1038"/>
      <c r="BH1038"/>
      <c r="BI1038"/>
      <c r="BJ1038"/>
      <c r="BS1038"/>
      <c r="BU1038"/>
      <c r="BV1038"/>
      <c r="BX1038"/>
    </row>
    <row r="1039" spans="23:76" ht="15.75">
      <c r="W1039" s="495"/>
      <c r="X1039" s="495"/>
      <c r="Y1039" s="495"/>
      <c r="Z1039" s="451"/>
      <c r="AA1039" s="145"/>
      <c r="AB1039" s="223"/>
      <c r="AC1039" s="22"/>
      <c r="AH1039" s="9"/>
      <c r="AJ1039" s="27"/>
      <c r="AK1039" s="84"/>
      <c r="AM1039" s="13"/>
      <c r="AP1039"/>
      <c r="AR1039"/>
      <c r="AV1039"/>
      <c r="AW1039"/>
      <c r="AX1039"/>
      <c r="AY1039"/>
      <c r="AZ1039"/>
      <c r="BC1039"/>
      <c r="BD1039"/>
      <c r="BG1039"/>
      <c r="BH1039"/>
      <c r="BI1039"/>
      <c r="BJ1039"/>
      <c r="BS1039"/>
      <c r="BU1039"/>
      <c r="BV1039"/>
      <c r="BX1039"/>
    </row>
    <row r="1040" spans="23:76" ht="15.75">
      <c r="W1040" s="495"/>
      <c r="X1040" s="495"/>
      <c r="Y1040" s="495"/>
      <c r="Z1040" s="451"/>
      <c r="AA1040" s="145"/>
      <c r="AB1040" s="223"/>
      <c r="AC1040" s="22"/>
      <c r="AH1040" s="9"/>
      <c r="AJ1040" s="27"/>
      <c r="AK1040" s="84"/>
      <c r="AM1040" s="13"/>
      <c r="AP1040"/>
      <c r="AR1040"/>
      <c r="AV1040"/>
      <c r="AW1040"/>
      <c r="AX1040"/>
      <c r="AY1040"/>
      <c r="AZ1040"/>
      <c r="BC1040"/>
      <c r="BD1040"/>
      <c r="BG1040"/>
      <c r="BH1040"/>
      <c r="BI1040"/>
      <c r="BJ1040"/>
      <c r="BS1040"/>
      <c r="BU1040"/>
      <c r="BV1040"/>
      <c r="BX1040"/>
    </row>
    <row r="1041" spans="23:76" ht="15.75">
      <c r="W1041" s="495"/>
      <c r="X1041" s="495"/>
      <c r="Y1041" s="495"/>
      <c r="Z1041" s="451"/>
      <c r="AA1041" s="145"/>
      <c r="AB1041" s="223"/>
      <c r="AC1041" s="22"/>
      <c r="AH1041" s="9"/>
      <c r="AJ1041" s="27"/>
      <c r="AK1041" s="84"/>
      <c r="AM1041" s="13"/>
      <c r="AP1041"/>
      <c r="AR1041"/>
      <c r="AV1041"/>
      <c r="AW1041"/>
      <c r="AX1041"/>
      <c r="AY1041"/>
      <c r="AZ1041"/>
      <c r="BC1041"/>
      <c r="BD1041"/>
      <c r="BG1041"/>
      <c r="BH1041"/>
      <c r="BI1041"/>
      <c r="BJ1041"/>
      <c r="BS1041"/>
      <c r="BU1041"/>
      <c r="BV1041"/>
      <c r="BX1041"/>
    </row>
    <row r="1042" spans="23:76" ht="15.75">
      <c r="W1042" s="495"/>
      <c r="X1042" s="495"/>
      <c r="Y1042" s="495"/>
      <c r="Z1042" s="451"/>
      <c r="AA1042" s="145"/>
      <c r="AB1042" s="223"/>
      <c r="AC1042" s="22"/>
      <c r="AH1042" s="9"/>
      <c r="AJ1042" s="27"/>
      <c r="AK1042" s="84"/>
      <c r="AM1042" s="13"/>
      <c r="AP1042"/>
      <c r="AR1042"/>
      <c r="AV1042"/>
      <c r="AW1042"/>
      <c r="AX1042"/>
      <c r="AY1042"/>
      <c r="AZ1042"/>
      <c r="BC1042"/>
      <c r="BD1042"/>
      <c r="BG1042"/>
      <c r="BH1042"/>
      <c r="BI1042"/>
      <c r="BJ1042"/>
      <c r="BS1042"/>
      <c r="BU1042"/>
      <c r="BV1042"/>
      <c r="BX1042"/>
    </row>
    <row r="1043" spans="23:76" ht="15.75">
      <c r="W1043" s="495"/>
      <c r="X1043" s="495"/>
      <c r="Y1043" s="495"/>
      <c r="Z1043" s="451"/>
      <c r="AA1043" s="145"/>
      <c r="AB1043" s="223"/>
      <c r="AC1043" s="22"/>
      <c r="AH1043" s="9"/>
      <c r="AJ1043" s="27"/>
      <c r="AK1043" s="84"/>
      <c r="AM1043" s="13"/>
      <c r="AP1043"/>
      <c r="AR1043"/>
      <c r="AV1043"/>
      <c r="AW1043"/>
      <c r="AX1043"/>
      <c r="AY1043"/>
      <c r="AZ1043"/>
      <c r="BC1043"/>
      <c r="BD1043"/>
      <c r="BG1043"/>
      <c r="BH1043"/>
      <c r="BI1043"/>
      <c r="BJ1043"/>
      <c r="BS1043"/>
      <c r="BU1043"/>
      <c r="BV1043"/>
      <c r="BX1043"/>
    </row>
    <row r="1044" spans="23:76" ht="15.75">
      <c r="W1044" s="495"/>
      <c r="X1044" s="495"/>
      <c r="Y1044" s="495"/>
      <c r="Z1044" s="451"/>
      <c r="AA1044" s="145"/>
      <c r="AB1044" s="223"/>
      <c r="AC1044" s="22"/>
      <c r="AH1044" s="9"/>
      <c r="AJ1044" s="27"/>
      <c r="AK1044" s="84"/>
      <c r="AM1044" s="13"/>
      <c r="AP1044"/>
      <c r="AR1044"/>
      <c r="AV1044"/>
      <c r="AW1044"/>
      <c r="AX1044"/>
      <c r="AY1044"/>
      <c r="AZ1044"/>
      <c r="BC1044"/>
      <c r="BD1044"/>
      <c r="BG1044"/>
      <c r="BH1044"/>
      <c r="BI1044"/>
      <c r="BJ1044"/>
      <c r="BS1044"/>
      <c r="BU1044"/>
      <c r="BV1044"/>
      <c r="BX1044"/>
    </row>
    <row r="1045" spans="23:76" ht="15.75">
      <c r="W1045" s="495"/>
      <c r="X1045" s="495"/>
      <c r="Y1045" s="495"/>
      <c r="Z1045" s="451"/>
      <c r="AA1045" s="145"/>
      <c r="AB1045" s="223"/>
      <c r="AC1045" s="22"/>
      <c r="AH1045" s="9"/>
      <c r="AJ1045" s="27"/>
      <c r="AK1045" s="84"/>
      <c r="AM1045" s="13"/>
      <c r="AP1045"/>
      <c r="AR1045"/>
      <c r="AV1045"/>
      <c r="AW1045"/>
      <c r="AX1045"/>
      <c r="AY1045"/>
      <c r="AZ1045"/>
      <c r="BC1045"/>
      <c r="BD1045"/>
      <c r="BG1045"/>
      <c r="BH1045"/>
      <c r="BI1045"/>
      <c r="BJ1045"/>
      <c r="BS1045"/>
      <c r="BU1045"/>
      <c r="BV1045"/>
      <c r="BX1045"/>
    </row>
    <row r="1046" spans="23:76" ht="15.75">
      <c r="W1046" s="495"/>
      <c r="X1046" s="495"/>
      <c r="Y1046" s="495"/>
      <c r="Z1046" s="451"/>
      <c r="AA1046" s="145"/>
      <c r="AB1046" s="223"/>
      <c r="AC1046" s="22"/>
      <c r="AH1046" s="9"/>
      <c r="AJ1046" s="27"/>
      <c r="AK1046" s="84"/>
      <c r="AM1046" s="13"/>
      <c r="AP1046"/>
      <c r="AR1046"/>
      <c r="AV1046"/>
      <c r="AW1046"/>
      <c r="AX1046"/>
      <c r="AY1046"/>
      <c r="AZ1046"/>
      <c r="BC1046"/>
      <c r="BD1046"/>
      <c r="BG1046"/>
      <c r="BH1046"/>
      <c r="BI1046"/>
      <c r="BJ1046"/>
      <c r="BS1046"/>
      <c r="BU1046"/>
      <c r="BV1046"/>
      <c r="BX1046"/>
    </row>
    <row r="1047" spans="23:76" ht="15.75">
      <c r="W1047" s="495"/>
      <c r="X1047" s="495"/>
      <c r="Y1047" s="495"/>
      <c r="Z1047" s="451"/>
      <c r="AA1047" s="145"/>
      <c r="AB1047" s="223"/>
      <c r="AC1047" s="22"/>
      <c r="AH1047" s="9"/>
      <c r="AJ1047" s="27"/>
      <c r="AK1047" s="84"/>
      <c r="AM1047" s="13"/>
      <c r="AP1047"/>
      <c r="AR1047"/>
      <c r="AV1047"/>
      <c r="AW1047"/>
      <c r="AX1047"/>
      <c r="AY1047"/>
      <c r="AZ1047"/>
      <c r="BC1047"/>
      <c r="BD1047"/>
      <c r="BG1047"/>
      <c r="BH1047"/>
      <c r="BI1047"/>
      <c r="BJ1047"/>
      <c r="BS1047"/>
      <c r="BU1047"/>
      <c r="BV1047"/>
      <c r="BX1047"/>
    </row>
    <row r="1048" spans="23:76" ht="15.75">
      <c r="W1048" s="495"/>
      <c r="X1048" s="495"/>
      <c r="Y1048" s="495"/>
      <c r="Z1048" s="451"/>
      <c r="AA1048" s="145"/>
      <c r="AB1048" s="223"/>
      <c r="AC1048" s="22"/>
      <c r="AH1048" s="9"/>
      <c r="AJ1048" s="27"/>
      <c r="AK1048" s="84"/>
      <c r="AM1048" s="13"/>
      <c r="AP1048"/>
      <c r="AR1048"/>
      <c r="AV1048"/>
      <c r="AW1048"/>
      <c r="AX1048"/>
      <c r="AY1048"/>
      <c r="AZ1048"/>
      <c r="BC1048"/>
      <c r="BD1048"/>
      <c r="BG1048"/>
      <c r="BH1048"/>
      <c r="BI1048"/>
      <c r="BJ1048"/>
      <c r="BS1048"/>
      <c r="BU1048"/>
      <c r="BV1048"/>
      <c r="BX1048"/>
    </row>
    <row r="1049" spans="23:76" ht="15.75">
      <c r="W1049" s="495"/>
      <c r="X1049" s="495"/>
      <c r="Y1049" s="495"/>
      <c r="Z1049" s="451"/>
      <c r="AA1049" s="145"/>
      <c r="AB1049" s="223"/>
      <c r="AC1049" s="22"/>
      <c r="AH1049" s="9"/>
      <c r="AJ1049" s="27"/>
      <c r="AK1049" s="84"/>
      <c r="AM1049" s="13"/>
      <c r="AP1049"/>
      <c r="AR1049"/>
      <c r="AV1049"/>
      <c r="AW1049"/>
      <c r="AX1049"/>
      <c r="AY1049"/>
      <c r="AZ1049"/>
      <c r="BC1049"/>
      <c r="BD1049"/>
      <c r="BG1049"/>
      <c r="BH1049"/>
      <c r="BI1049"/>
      <c r="BJ1049"/>
      <c r="BS1049"/>
      <c r="BU1049"/>
      <c r="BV1049"/>
      <c r="BX1049"/>
    </row>
    <row r="1050" spans="23:76" ht="15.75">
      <c r="W1050" s="495"/>
      <c r="X1050" s="495"/>
      <c r="Y1050" s="495"/>
      <c r="Z1050" s="451"/>
      <c r="AA1050" s="145"/>
      <c r="AB1050" s="223"/>
      <c r="AC1050" s="22"/>
      <c r="AH1050" s="9"/>
      <c r="AJ1050" s="27"/>
      <c r="AK1050" s="84"/>
      <c r="AM1050" s="13"/>
      <c r="AP1050"/>
      <c r="AR1050"/>
      <c r="AV1050"/>
      <c r="AW1050"/>
      <c r="AX1050"/>
      <c r="AY1050"/>
      <c r="AZ1050"/>
      <c r="BC1050"/>
      <c r="BD1050"/>
      <c r="BG1050"/>
      <c r="BH1050"/>
      <c r="BI1050"/>
      <c r="BJ1050"/>
      <c r="BS1050"/>
      <c r="BU1050"/>
      <c r="BV1050"/>
      <c r="BX1050"/>
    </row>
    <row r="1051" spans="23:76" ht="15.75">
      <c r="W1051" s="495"/>
      <c r="X1051" s="495"/>
      <c r="Y1051" s="495"/>
      <c r="Z1051" s="451"/>
      <c r="AA1051" s="145"/>
      <c r="AB1051" s="223"/>
      <c r="AC1051" s="22"/>
      <c r="AH1051" s="9"/>
      <c r="AJ1051" s="27"/>
      <c r="AK1051" s="84"/>
      <c r="AM1051" s="13"/>
      <c r="AP1051"/>
      <c r="AR1051"/>
      <c r="AV1051"/>
      <c r="AW1051"/>
      <c r="AX1051"/>
      <c r="AY1051"/>
      <c r="AZ1051"/>
      <c r="BC1051"/>
      <c r="BD1051"/>
      <c r="BG1051"/>
      <c r="BH1051"/>
      <c r="BI1051"/>
      <c r="BJ1051"/>
      <c r="BS1051"/>
      <c r="BU1051"/>
      <c r="BV1051"/>
      <c r="BX1051"/>
    </row>
    <row r="1052" spans="23:76" ht="15.75">
      <c r="W1052" s="495"/>
      <c r="X1052" s="495"/>
      <c r="Y1052" s="495"/>
      <c r="Z1052" s="451"/>
      <c r="AA1052" s="145"/>
      <c r="AB1052" s="223"/>
      <c r="AC1052" s="22"/>
      <c r="AH1052" s="9"/>
      <c r="AJ1052" s="27"/>
      <c r="AK1052" s="84"/>
      <c r="AM1052" s="13"/>
      <c r="AP1052"/>
      <c r="AR1052"/>
      <c r="AV1052"/>
      <c r="AW1052"/>
      <c r="AX1052"/>
      <c r="AY1052"/>
      <c r="AZ1052"/>
      <c r="BC1052"/>
      <c r="BD1052"/>
      <c r="BG1052"/>
      <c r="BH1052"/>
      <c r="BI1052"/>
      <c r="BJ1052"/>
      <c r="BS1052"/>
      <c r="BU1052"/>
      <c r="BV1052"/>
      <c r="BX1052"/>
    </row>
    <row r="1053" spans="23:76" ht="15.75">
      <c r="W1053" s="495"/>
      <c r="X1053" s="495"/>
      <c r="Y1053" s="495"/>
      <c r="Z1053" s="451"/>
      <c r="AA1053" s="145"/>
      <c r="AB1053" s="223"/>
      <c r="AC1053" s="22"/>
      <c r="AH1053" s="9"/>
      <c r="AJ1053" s="27"/>
      <c r="AK1053" s="84"/>
      <c r="AM1053" s="13"/>
      <c r="AP1053"/>
      <c r="AR1053"/>
      <c r="AV1053"/>
      <c r="AW1053"/>
      <c r="AX1053"/>
      <c r="AY1053"/>
      <c r="AZ1053"/>
      <c r="BC1053"/>
      <c r="BD1053"/>
      <c r="BG1053"/>
      <c r="BH1053"/>
      <c r="BI1053"/>
      <c r="BJ1053"/>
      <c r="BS1053"/>
      <c r="BU1053"/>
      <c r="BV1053"/>
      <c r="BX1053"/>
    </row>
    <row r="1054" spans="23:76" ht="15.75">
      <c r="W1054" s="495"/>
      <c r="X1054" s="495"/>
      <c r="Y1054" s="495"/>
      <c r="Z1054" s="451"/>
      <c r="AA1054" s="145"/>
      <c r="AB1054" s="223"/>
      <c r="AC1054" s="22"/>
      <c r="AH1054" s="9"/>
      <c r="AJ1054" s="27"/>
      <c r="AK1054" s="84"/>
      <c r="AM1054" s="13"/>
      <c r="AP1054"/>
      <c r="AR1054"/>
      <c r="AV1054"/>
      <c r="AW1054"/>
      <c r="AX1054"/>
      <c r="AY1054"/>
      <c r="AZ1054"/>
      <c r="BC1054"/>
      <c r="BD1054"/>
      <c r="BG1054"/>
      <c r="BH1054"/>
      <c r="BI1054"/>
      <c r="BJ1054"/>
      <c r="BS1054"/>
      <c r="BU1054"/>
      <c r="BV1054"/>
      <c r="BX1054"/>
    </row>
    <row r="1055" spans="23:76" ht="15.75">
      <c r="W1055" s="495"/>
      <c r="X1055" s="495"/>
      <c r="Y1055" s="495"/>
      <c r="Z1055" s="451"/>
      <c r="AA1055" s="145"/>
      <c r="AB1055" s="223"/>
      <c r="AC1055" s="22"/>
      <c r="AH1055" s="9"/>
      <c r="AJ1055" s="27"/>
      <c r="AK1055" s="84"/>
      <c r="AM1055" s="13"/>
      <c r="AP1055"/>
      <c r="AR1055"/>
      <c r="AV1055"/>
      <c r="AW1055"/>
      <c r="AX1055"/>
      <c r="AY1055"/>
      <c r="AZ1055"/>
      <c r="BC1055"/>
      <c r="BD1055"/>
      <c r="BG1055"/>
      <c r="BH1055"/>
      <c r="BI1055"/>
      <c r="BJ1055"/>
      <c r="BS1055"/>
      <c r="BU1055"/>
      <c r="BV1055"/>
      <c r="BX1055"/>
    </row>
    <row r="1056" spans="23:76" ht="15.75">
      <c r="W1056" s="495"/>
      <c r="X1056" s="495"/>
      <c r="Y1056" s="495"/>
      <c r="Z1056" s="451"/>
      <c r="AA1056" s="145"/>
      <c r="AB1056" s="223"/>
      <c r="AC1056" s="22"/>
      <c r="AH1056" s="9"/>
      <c r="AJ1056" s="27"/>
      <c r="AK1056" s="84"/>
      <c r="AM1056" s="13"/>
      <c r="AP1056"/>
      <c r="AR1056"/>
      <c r="AV1056"/>
      <c r="AW1056"/>
      <c r="AX1056"/>
      <c r="AY1056"/>
      <c r="AZ1056"/>
      <c r="BC1056"/>
      <c r="BD1056"/>
      <c r="BG1056"/>
      <c r="BH1056"/>
      <c r="BI1056"/>
      <c r="BJ1056"/>
      <c r="BS1056"/>
      <c r="BU1056"/>
      <c r="BV1056"/>
      <c r="BX1056"/>
    </row>
    <row r="1057" spans="23:76" ht="15.75">
      <c r="W1057" s="495"/>
      <c r="X1057" s="495"/>
      <c r="Y1057" s="495"/>
      <c r="Z1057" s="451"/>
      <c r="AA1057" s="145"/>
      <c r="AB1057" s="223"/>
      <c r="AC1057" s="22"/>
      <c r="AH1057" s="9"/>
      <c r="AJ1057" s="27"/>
      <c r="AK1057" s="84"/>
      <c r="AM1057" s="13"/>
      <c r="AP1057"/>
      <c r="AR1057"/>
      <c r="AV1057"/>
      <c r="AW1057"/>
      <c r="AX1057"/>
      <c r="AY1057"/>
      <c r="AZ1057"/>
      <c r="BC1057"/>
      <c r="BD1057"/>
      <c r="BG1057"/>
      <c r="BH1057"/>
      <c r="BI1057"/>
      <c r="BJ1057"/>
      <c r="BS1057"/>
      <c r="BU1057"/>
      <c r="BV1057"/>
      <c r="BX1057"/>
    </row>
    <row r="1058" spans="23:76" ht="15.75">
      <c r="W1058" s="495"/>
      <c r="X1058" s="495"/>
      <c r="Y1058" s="495"/>
      <c r="Z1058" s="451"/>
      <c r="AA1058" s="145"/>
      <c r="AB1058" s="223"/>
      <c r="AC1058" s="22"/>
      <c r="AH1058" s="9"/>
      <c r="AJ1058" s="27"/>
      <c r="AK1058" s="84"/>
      <c r="AM1058" s="13"/>
      <c r="AP1058"/>
      <c r="AR1058"/>
      <c r="AV1058"/>
      <c r="AW1058"/>
      <c r="AX1058"/>
      <c r="AY1058"/>
      <c r="AZ1058"/>
      <c r="BC1058"/>
      <c r="BD1058"/>
      <c r="BG1058"/>
      <c r="BH1058"/>
      <c r="BI1058"/>
      <c r="BJ1058"/>
      <c r="BS1058"/>
      <c r="BU1058"/>
      <c r="BV1058"/>
      <c r="BX1058"/>
    </row>
    <row r="1059" spans="23:76" ht="15.75">
      <c r="W1059" s="495"/>
      <c r="X1059" s="495"/>
      <c r="Y1059" s="495"/>
      <c r="Z1059" s="451"/>
      <c r="AA1059" s="145"/>
      <c r="AB1059" s="223"/>
      <c r="AC1059" s="22"/>
      <c r="AH1059" s="9"/>
      <c r="AJ1059" s="27"/>
      <c r="AK1059" s="84"/>
      <c r="AM1059" s="13"/>
      <c r="AP1059"/>
      <c r="AR1059"/>
      <c r="AV1059"/>
      <c r="AW1059"/>
      <c r="AX1059"/>
      <c r="AY1059"/>
      <c r="AZ1059"/>
      <c r="BC1059"/>
      <c r="BD1059"/>
      <c r="BG1059"/>
      <c r="BH1059"/>
      <c r="BI1059"/>
      <c r="BJ1059"/>
      <c r="BS1059"/>
      <c r="BU1059"/>
      <c r="BV1059"/>
      <c r="BX1059"/>
    </row>
    <row r="1060" spans="23:76" ht="15.75">
      <c r="W1060" s="495"/>
      <c r="X1060" s="495"/>
      <c r="Y1060" s="495"/>
      <c r="Z1060" s="451"/>
      <c r="AA1060" s="145"/>
      <c r="AB1060" s="223"/>
      <c r="AC1060" s="22"/>
      <c r="AH1060" s="9"/>
      <c r="AJ1060" s="27"/>
      <c r="AK1060" s="84"/>
      <c r="AM1060" s="13"/>
      <c r="AP1060"/>
      <c r="AR1060"/>
      <c r="AV1060"/>
      <c r="AW1060"/>
      <c r="AX1060"/>
      <c r="AY1060"/>
      <c r="AZ1060"/>
      <c r="BC1060"/>
      <c r="BD1060"/>
      <c r="BG1060"/>
      <c r="BH1060"/>
      <c r="BI1060"/>
      <c r="BJ1060"/>
      <c r="BS1060"/>
      <c r="BU1060"/>
      <c r="BV1060"/>
      <c r="BX1060"/>
    </row>
    <row r="1061" spans="23:76" ht="15.75">
      <c r="W1061" s="495"/>
      <c r="X1061" s="495"/>
      <c r="Y1061" s="495"/>
      <c r="Z1061" s="451"/>
      <c r="AA1061" s="145"/>
      <c r="AB1061" s="223"/>
      <c r="AC1061" s="22"/>
      <c r="AH1061" s="9"/>
      <c r="AJ1061" s="27"/>
      <c r="AK1061" s="84"/>
      <c r="AM1061" s="13"/>
      <c r="AP1061"/>
      <c r="AR1061"/>
      <c r="AV1061"/>
      <c r="AW1061"/>
      <c r="AX1061"/>
      <c r="AY1061"/>
      <c r="AZ1061"/>
      <c r="BC1061"/>
      <c r="BD1061"/>
      <c r="BG1061"/>
      <c r="BH1061"/>
      <c r="BI1061"/>
      <c r="BJ1061"/>
      <c r="BS1061"/>
      <c r="BU1061"/>
      <c r="BV1061"/>
      <c r="BX1061"/>
    </row>
    <row r="1062" spans="23:76" ht="15.75">
      <c r="W1062" s="495"/>
      <c r="X1062" s="495"/>
      <c r="Y1062" s="495"/>
      <c r="Z1062" s="451"/>
      <c r="AA1062" s="145"/>
      <c r="AB1062" s="223"/>
      <c r="AC1062" s="22"/>
      <c r="AH1062" s="9"/>
      <c r="AJ1062" s="27"/>
      <c r="AK1062" s="84"/>
      <c r="AM1062" s="13"/>
      <c r="AP1062"/>
      <c r="AR1062"/>
      <c r="AV1062"/>
      <c r="AW1062"/>
      <c r="AX1062"/>
      <c r="AY1062"/>
      <c r="AZ1062"/>
      <c r="BC1062"/>
      <c r="BD1062"/>
      <c r="BG1062"/>
      <c r="BH1062"/>
      <c r="BI1062"/>
      <c r="BJ1062"/>
      <c r="BS1062"/>
      <c r="BU1062"/>
      <c r="BV1062"/>
      <c r="BX1062"/>
    </row>
    <row r="1063" spans="23:76" ht="15.75">
      <c r="W1063" s="495"/>
      <c r="X1063" s="495"/>
      <c r="Y1063" s="495"/>
      <c r="Z1063" s="451"/>
      <c r="AA1063" s="145"/>
      <c r="AB1063" s="223"/>
      <c r="AC1063" s="22"/>
      <c r="AH1063" s="9"/>
      <c r="AJ1063" s="27"/>
      <c r="AK1063" s="84"/>
      <c r="AM1063" s="13"/>
      <c r="AP1063"/>
      <c r="AR1063"/>
      <c r="AV1063"/>
      <c r="AW1063"/>
      <c r="AX1063"/>
      <c r="AY1063"/>
      <c r="AZ1063"/>
      <c r="BC1063"/>
      <c r="BD1063"/>
      <c r="BG1063"/>
      <c r="BH1063"/>
      <c r="BI1063"/>
      <c r="BJ1063"/>
      <c r="BS1063"/>
      <c r="BU1063"/>
      <c r="BV1063"/>
      <c r="BX1063"/>
    </row>
    <row r="1064" spans="23:76" ht="15.75">
      <c r="W1064" s="495"/>
      <c r="X1064" s="495"/>
      <c r="Y1064" s="495"/>
      <c r="Z1064" s="451"/>
      <c r="AA1064" s="145"/>
      <c r="AB1064" s="223"/>
      <c r="AC1064" s="22"/>
      <c r="AH1064" s="9"/>
      <c r="AJ1064" s="27"/>
      <c r="AK1064" s="84"/>
      <c r="AM1064" s="13"/>
      <c r="AP1064"/>
      <c r="AR1064"/>
      <c r="AV1064"/>
      <c r="AW1064"/>
      <c r="AX1064"/>
      <c r="AY1064"/>
      <c r="AZ1064"/>
      <c r="BC1064"/>
      <c r="BD1064"/>
      <c r="BG1064"/>
      <c r="BH1064"/>
      <c r="BI1064"/>
      <c r="BJ1064"/>
      <c r="BS1064"/>
      <c r="BU1064"/>
      <c r="BV1064"/>
      <c r="BX1064"/>
    </row>
    <row r="1065" spans="23:76" ht="15.75">
      <c r="W1065" s="495"/>
      <c r="X1065" s="495"/>
      <c r="Y1065" s="495"/>
      <c r="Z1065" s="451"/>
      <c r="AA1065" s="145"/>
      <c r="AB1065" s="223"/>
      <c r="AC1065" s="22"/>
      <c r="AH1065" s="9"/>
      <c r="AJ1065" s="27"/>
      <c r="AK1065" s="84"/>
      <c r="AM1065" s="13"/>
      <c r="AP1065"/>
      <c r="AR1065"/>
      <c r="AV1065"/>
      <c r="AW1065"/>
      <c r="AX1065"/>
      <c r="AY1065"/>
      <c r="AZ1065"/>
      <c r="BC1065"/>
      <c r="BD1065"/>
      <c r="BG1065"/>
      <c r="BH1065"/>
      <c r="BI1065"/>
      <c r="BJ1065"/>
      <c r="BS1065"/>
      <c r="BU1065"/>
      <c r="BV1065"/>
      <c r="BX1065"/>
    </row>
    <row r="1066" spans="23:76" ht="15.75">
      <c r="W1066" s="495"/>
      <c r="X1066" s="495"/>
      <c r="Y1066" s="495"/>
      <c r="Z1066" s="451"/>
      <c r="AA1066" s="145"/>
      <c r="AB1066" s="223"/>
      <c r="AC1066" s="22"/>
      <c r="AH1066" s="9"/>
      <c r="AJ1066" s="27"/>
      <c r="AK1066" s="84"/>
      <c r="AM1066" s="13"/>
      <c r="AP1066"/>
      <c r="AR1066"/>
      <c r="AV1066"/>
      <c r="AW1066"/>
      <c r="AX1066"/>
      <c r="AY1066"/>
      <c r="AZ1066"/>
      <c r="BC1066"/>
      <c r="BD1066"/>
      <c r="BG1066"/>
      <c r="BH1066"/>
      <c r="BI1066"/>
      <c r="BJ1066"/>
      <c r="BS1066"/>
      <c r="BU1066"/>
      <c r="BV1066"/>
      <c r="BX1066"/>
    </row>
    <row r="1067" spans="23:76" ht="15.75">
      <c r="W1067" s="495"/>
      <c r="X1067" s="495"/>
      <c r="Y1067" s="495"/>
      <c r="Z1067" s="451"/>
      <c r="AA1067" s="145"/>
      <c r="AB1067" s="223"/>
      <c r="AC1067" s="22"/>
      <c r="AH1067" s="9"/>
      <c r="AJ1067" s="27"/>
      <c r="AK1067" s="84"/>
      <c r="AM1067" s="13"/>
      <c r="AP1067"/>
      <c r="AR1067"/>
      <c r="AV1067"/>
      <c r="AW1067"/>
      <c r="AX1067"/>
      <c r="AY1067"/>
      <c r="AZ1067"/>
      <c r="BC1067"/>
      <c r="BD1067"/>
      <c r="BG1067"/>
      <c r="BH1067"/>
      <c r="BI1067"/>
      <c r="BJ1067"/>
      <c r="BS1067"/>
      <c r="BU1067"/>
      <c r="BV1067"/>
      <c r="BX1067"/>
    </row>
    <row r="1068" spans="23:76" ht="15.75">
      <c r="W1068" s="495"/>
      <c r="X1068" s="495"/>
      <c r="Y1068" s="495"/>
      <c r="Z1068" s="451"/>
      <c r="AA1068" s="145"/>
      <c r="AB1068" s="223"/>
      <c r="AC1068" s="22"/>
      <c r="AH1068" s="9"/>
      <c r="AJ1068" s="27"/>
      <c r="AK1068" s="84"/>
      <c r="AM1068" s="13"/>
      <c r="AP1068"/>
      <c r="AR1068"/>
      <c r="AV1068"/>
      <c r="AW1068"/>
      <c r="AX1068"/>
      <c r="AY1068"/>
      <c r="AZ1068"/>
      <c r="BC1068"/>
      <c r="BD1068"/>
      <c r="BG1068"/>
      <c r="BH1068"/>
      <c r="BI1068"/>
      <c r="BJ1068"/>
      <c r="BS1068"/>
      <c r="BU1068"/>
      <c r="BV1068"/>
      <c r="BX1068"/>
    </row>
    <row r="1069" spans="23:76" ht="15.75">
      <c r="W1069" s="495"/>
      <c r="X1069" s="495"/>
      <c r="Y1069" s="495"/>
      <c r="Z1069" s="451"/>
      <c r="AA1069" s="145"/>
      <c r="AB1069" s="223"/>
      <c r="AC1069" s="22"/>
      <c r="AH1069" s="9"/>
      <c r="AJ1069" s="27"/>
      <c r="AK1069" s="84"/>
      <c r="AM1069" s="13"/>
      <c r="AP1069"/>
      <c r="AR1069"/>
      <c r="AV1069"/>
      <c r="AW1069"/>
      <c r="AX1069"/>
      <c r="AY1069"/>
      <c r="AZ1069"/>
      <c r="BC1069"/>
      <c r="BD1069"/>
      <c r="BG1069"/>
      <c r="BH1069"/>
      <c r="BI1069"/>
      <c r="BJ1069"/>
      <c r="BS1069"/>
      <c r="BU1069"/>
      <c r="BV1069"/>
      <c r="BX1069"/>
    </row>
    <row r="1070" spans="23:76" ht="15.75">
      <c r="W1070" s="495"/>
      <c r="X1070" s="495"/>
      <c r="Y1070" s="495"/>
      <c r="Z1070" s="451"/>
      <c r="AA1070" s="145"/>
      <c r="AB1070" s="223"/>
      <c r="AC1070" s="22"/>
      <c r="AH1070" s="9"/>
      <c r="AJ1070" s="27"/>
      <c r="AK1070" s="84"/>
      <c r="AM1070" s="13"/>
      <c r="AP1070"/>
      <c r="AR1070"/>
      <c r="AV1070"/>
      <c r="AW1070"/>
      <c r="AX1070"/>
      <c r="AY1070"/>
      <c r="AZ1070"/>
      <c r="BC1070"/>
      <c r="BD1070"/>
      <c r="BG1070"/>
      <c r="BH1070"/>
      <c r="BI1070"/>
      <c r="BJ1070"/>
      <c r="BS1070"/>
      <c r="BU1070"/>
      <c r="BV1070"/>
      <c r="BX1070"/>
    </row>
    <row r="1071" spans="23:76" ht="15.75">
      <c r="W1071" s="495"/>
      <c r="X1071" s="495"/>
      <c r="Y1071" s="495"/>
      <c r="Z1071" s="451"/>
      <c r="AA1071" s="145"/>
      <c r="AB1071" s="223"/>
      <c r="AC1071" s="22"/>
      <c r="AH1071" s="9"/>
      <c r="AJ1071" s="27"/>
      <c r="AK1071" s="84"/>
      <c r="AM1071" s="13"/>
      <c r="AP1071"/>
      <c r="AR1071"/>
      <c r="AV1071"/>
      <c r="AW1071"/>
      <c r="AX1071"/>
      <c r="AY1071"/>
      <c r="AZ1071"/>
      <c r="BC1071"/>
      <c r="BD1071"/>
      <c r="BG1071"/>
      <c r="BH1071"/>
      <c r="BI1071"/>
      <c r="BJ1071"/>
      <c r="BS1071"/>
      <c r="BU1071"/>
      <c r="BV1071"/>
      <c r="BX1071"/>
    </row>
    <row r="1072" spans="23:76" ht="15.75">
      <c r="W1072" s="495"/>
      <c r="X1072" s="495"/>
      <c r="Y1072" s="495"/>
      <c r="Z1072" s="451"/>
      <c r="AA1072" s="145"/>
      <c r="AB1072" s="223"/>
      <c r="AC1072" s="22"/>
      <c r="AH1072" s="9"/>
      <c r="AJ1072" s="27"/>
      <c r="AK1072" s="84"/>
      <c r="AM1072" s="13"/>
      <c r="AP1072"/>
      <c r="AR1072"/>
      <c r="AV1072"/>
      <c r="AW1072"/>
      <c r="AX1072"/>
      <c r="AY1072"/>
      <c r="AZ1072"/>
      <c r="BC1072"/>
      <c r="BD1072"/>
      <c r="BG1072"/>
      <c r="BH1072"/>
      <c r="BI1072"/>
      <c r="BJ1072"/>
      <c r="BS1072"/>
      <c r="BU1072"/>
      <c r="BV1072"/>
      <c r="BX1072"/>
    </row>
    <row r="1073" spans="23:76" ht="15.75">
      <c r="W1073" s="495"/>
      <c r="X1073" s="495"/>
      <c r="Y1073" s="495"/>
      <c r="Z1073" s="451"/>
      <c r="AA1073" s="145"/>
      <c r="AB1073" s="223"/>
      <c r="AC1073" s="22"/>
      <c r="AH1073" s="9"/>
      <c r="AJ1073" s="27"/>
      <c r="AK1073" s="84"/>
      <c r="AM1073" s="13"/>
      <c r="AP1073"/>
      <c r="AR1073"/>
      <c r="AV1073"/>
      <c r="AW1073"/>
      <c r="AX1073"/>
      <c r="AY1073"/>
      <c r="AZ1073"/>
      <c r="BC1073"/>
      <c r="BD1073"/>
      <c r="BG1073"/>
      <c r="BH1073"/>
      <c r="BI1073"/>
      <c r="BJ1073"/>
      <c r="BS1073"/>
      <c r="BU1073"/>
      <c r="BV1073"/>
      <c r="BX1073"/>
    </row>
    <row r="1074" spans="23:76" ht="15.75">
      <c r="W1074" s="495"/>
      <c r="X1074" s="495"/>
      <c r="Y1074" s="495"/>
      <c r="Z1074" s="451"/>
      <c r="AA1074" s="145"/>
      <c r="AB1074" s="223"/>
      <c r="AC1074" s="22"/>
      <c r="AH1074" s="9"/>
      <c r="AJ1074" s="27"/>
      <c r="AK1074" s="84"/>
      <c r="AM1074" s="13"/>
      <c r="AP1074"/>
      <c r="AR1074"/>
      <c r="AV1074"/>
      <c r="AW1074"/>
      <c r="AX1074"/>
      <c r="AY1074"/>
      <c r="AZ1074"/>
      <c r="BC1074"/>
      <c r="BD1074"/>
      <c r="BG1074"/>
      <c r="BH1074"/>
      <c r="BI1074"/>
      <c r="BJ1074"/>
      <c r="BS1074"/>
      <c r="BU1074"/>
      <c r="BV1074"/>
      <c r="BX1074"/>
    </row>
    <row r="1075" spans="23:76" ht="15.75">
      <c r="W1075" s="495"/>
      <c r="X1075" s="495"/>
      <c r="Y1075" s="495"/>
      <c r="Z1075" s="451"/>
      <c r="AA1075" s="145"/>
      <c r="AB1075" s="223"/>
      <c r="AC1075" s="22"/>
      <c r="AH1075" s="9"/>
      <c r="AJ1075" s="27"/>
      <c r="AK1075" s="84"/>
      <c r="AM1075" s="13"/>
      <c r="AP1075"/>
      <c r="AR1075"/>
      <c r="AV1075"/>
      <c r="AW1075"/>
      <c r="AX1075"/>
      <c r="AY1075"/>
      <c r="AZ1075"/>
      <c r="BC1075"/>
      <c r="BD1075"/>
      <c r="BG1075"/>
      <c r="BH1075"/>
      <c r="BI1075"/>
      <c r="BJ1075"/>
      <c r="BS1075"/>
      <c r="BU1075"/>
      <c r="BV1075"/>
      <c r="BX1075"/>
    </row>
    <row r="1076" spans="23:76" ht="15.75">
      <c r="W1076" s="495"/>
      <c r="X1076" s="495"/>
      <c r="Y1076" s="495"/>
      <c r="Z1076" s="451"/>
      <c r="AA1076" s="145"/>
      <c r="AB1076" s="223"/>
      <c r="AC1076" s="22"/>
      <c r="AH1076" s="9"/>
      <c r="AJ1076" s="27"/>
      <c r="AK1076" s="84"/>
      <c r="AM1076" s="13"/>
      <c r="AP1076"/>
      <c r="AR1076"/>
      <c r="AV1076"/>
      <c r="AW1076"/>
      <c r="AX1076"/>
      <c r="AY1076"/>
      <c r="AZ1076"/>
      <c r="BC1076"/>
      <c r="BD1076"/>
      <c r="BG1076"/>
      <c r="BH1076"/>
      <c r="BI1076"/>
      <c r="BJ1076"/>
      <c r="BS1076"/>
      <c r="BU1076"/>
      <c r="BV1076"/>
      <c r="BX1076"/>
    </row>
    <row r="1077" spans="23:76" ht="15.75">
      <c r="W1077" s="495"/>
      <c r="X1077" s="495"/>
      <c r="Y1077" s="495"/>
      <c r="Z1077" s="451"/>
      <c r="AA1077" s="145"/>
      <c r="AB1077" s="223"/>
      <c r="AC1077" s="22"/>
      <c r="AH1077" s="9"/>
      <c r="AJ1077" s="27"/>
      <c r="AK1077" s="84"/>
      <c r="AM1077" s="13"/>
      <c r="AP1077"/>
      <c r="AR1077"/>
      <c r="AV1077"/>
      <c r="AW1077"/>
      <c r="AX1077"/>
      <c r="AY1077"/>
      <c r="AZ1077"/>
      <c r="BC1077"/>
      <c r="BD1077"/>
      <c r="BG1077"/>
      <c r="BH1077"/>
      <c r="BI1077"/>
      <c r="BJ1077"/>
      <c r="BS1077"/>
      <c r="BU1077"/>
      <c r="BV1077"/>
      <c r="BX1077"/>
    </row>
    <row r="1078" spans="23:76" ht="15.75">
      <c r="W1078" s="495"/>
      <c r="X1078" s="495"/>
      <c r="Y1078" s="495"/>
      <c r="Z1078" s="451"/>
      <c r="AA1078" s="145"/>
      <c r="AB1078" s="223"/>
      <c r="AC1078" s="22"/>
      <c r="AH1078" s="9"/>
      <c r="AJ1078" s="27"/>
      <c r="AK1078" s="84"/>
      <c r="AM1078" s="13"/>
      <c r="AP1078"/>
      <c r="AR1078"/>
      <c r="AV1078"/>
      <c r="AW1078"/>
      <c r="AX1078"/>
      <c r="AY1078"/>
      <c r="AZ1078"/>
      <c r="BC1078"/>
      <c r="BD1078"/>
      <c r="BG1078"/>
      <c r="BH1078"/>
      <c r="BI1078"/>
      <c r="BJ1078"/>
      <c r="BS1078"/>
      <c r="BU1078"/>
      <c r="BV1078"/>
      <c r="BX1078"/>
    </row>
    <row r="1079" spans="23:76" ht="15.75">
      <c r="W1079" s="495"/>
      <c r="X1079" s="495"/>
      <c r="Y1079" s="495"/>
      <c r="Z1079" s="451"/>
      <c r="AA1079" s="145"/>
      <c r="AB1079" s="223"/>
      <c r="AC1079" s="22"/>
      <c r="AH1079" s="9"/>
      <c r="AJ1079" s="27"/>
      <c r="AK1079" s="84"/>
      <c r="AM1079" s="13"/>
      <c r="AP1079"/>
      <c r="AR1079"/>
      <c r="AV1079"/>
      <c r="AW1079"/>
      <c r="AX1079"/>
      <c r="AY1079"/>
      <c r="AZ1079"/>
      <c r="BC1079"/>
      <c r="BD1079"/>
      <c r="BG1079"/>
      <c r="BH1079"/>
      <c r="BI1079"/>
      <c r="BJ1079"/>
      <c r="BS1079"/>
      <c r="BU1079"/>
      <c r="BV1079"/>
      <c r="BX1079"/>
    </row>
    <row r="1080" spans="23:76" ht="15.75">
      <c r="W1080" s="495"/>
      <c r="X1080" s="495"/>
      <c r="Y1080" s="495"/>
      <c r="Z1080" s="451"/>
      <c r="AA1080" s="145"/>
      <c r="AB1080" s="223"/>
      <c r="AC1080" s="22"/>
      <c r="AH1080" s="9"/>
      <c r="AJ1080" s="27"/>
      <c r="AK1080" s="84"/>
      <c r="AM1080" s="13"/>
      <c r="AP1080"/>
      <c r="AR1080"/>
      <c r="AV1080"/>
      <c r="AW1080"/>
      <c r="AX1080"/>
      <c r="AY1080"/>
      <c r="AZ1080"/>
      <c r="BC1080"/>
      <c r="BD1080"/>
      <c r="BG1080"/>
      <c r="BH1080"/>
      <c r="BI1080"/>
      <c r="BJ1080"/>
      <c r="BS1080"/>
      <c r="BU1080"/>
      <c r="BV1080"/>
      <c r="BX1080"/>
    </row>
    <row r="1081" spans="23:76" ht="15.75">
      <c r="W1081" s="495"/>
      <c r="X1081" s="495"/>
      <c r="Y1081" s="495"/>
      <c r="Z1081" s="451"/>
      <c r="AA1081" s="145"/>
      <c r="AB1081" s="223"/>
      <c r="AC1081" s="22"/>
      <c r="AH1081" s="9"/>
      <c r="AJ1081" s="27"/>
      <c r="AK1081" s="84"/>
      <c r="AM1081" s="13"/>
      <c r="AP1081"/>
      <c r="AR1081"/>
      <c r="AV1081"/>
      <c r="AW1081"/>
      <c r="AX1081"/>
      <c r="AY1081"/>
      <c r="AZ1081"/>
      <c r="BC1081"/>
      <c r="BD1081"/>
      <c r="BG1081"/>
      <c r="BH1081"/>
      <c r="BI1081"/>
      <c r="BJ1081"/>
      <c r="BS1081"/>
      <c r="BU1081"/>
      <c r="BV1081"/>
      <c r="BX1081"/>
    </row>
    <row r="1082" spans="23:76" ht="15.75">
      <c r="W1082" s="495"/>
      <c r="X1082" s="495"/>
      <c r="Y1082" s="495"/>
      <c r="Z1082" s="451"/>
      <c r="AA1082" s="145"/>
      <c r="AB1082" s="223"/>
      <c r="AC1082" s="22"/>
      <c r="AH1082" s="9"/>
      <c r="AJ1082" s="27"/>
      <c r="AK1082" s="84"/>
      <c r="AM1082" s="13"/>
      <c r="AP1082"/>
      <c r="AR1082"/>
      <c r="AV1082"/>
      <c r="AW1082"/>
      <c r="AX1082"/>
      <c r="AY1082"/>
      <c r="AZ1082"/>
      <c r="BC1082"/>
      <c r="BD1082"/>
      <c r="BG1082"/>
      <c r="BH1082"/>
      <c r="BI1082"/>
      <c r="BJ1082"/>
      <c r="BS1082"/>
      <c r="BU1082"/>
      <c r="BV1082"/>
      <c r="BX1082"/>
    </row>
    <row r="1083" spans="23:76" ht="15.75">
      <c r="W1083" s="495"/>
      <c r="X1083" s="495"/>
      <c r="Y1083" s="495"/>
      <c r="Z1083" s="451"/>
      <c r="AA1083" s="145"/>
      <c r="AB1083" s="223"/>
      <c r="AC1083" s="22"/>
      <c r="AH1083" s="9"/>
      <c r="AJ1083" s="27"/>
      <c r="AK1083" s="84"/>
      <c r="AM1083" s="13"/>
      <c r="AP1083"/>
      <c r="AR1083"/>
      <c r="AV1083"/>
      <c r="AW1083"/>
      <c r="AX1083"/>
      <c r="AY1083"/>
      <c r="AZ1083"/>
      <c r="BC1083"/>
      <c r="BD1083"/>
      <c r="BG1083"/>
      <c r="BH1083"/>
      <c r="BI1083"/>
      <c r="BJ1083"/>
      <c r="BS1083"/>
      <c r="BU1083"/>
      <c r="BV1083"/>
      <c r="BX1083"/>
    </row>
    <row r="1084" spans="23:76" ht="15.75">
      <c r="W1084" s="495"/>
      <c r="X1084" s="495"/>
      <c r="Y1084" s="495"/>
      <c r="Z1084" s="451"/>
      <c r="AA1084" s="145"/>
      <c r="AB1084" s="223"/>
      <c r="AC1084" s="22"/>
      <c r="AH1084" s="9"/>
      <c r="AJ1084" s="27"/>
      <c r="AK1084" s="84"/>
      <c r="AM1084" s="13"/>
      <c r="AP1084"/>
      <c r="AR1084"/>
      <c r="AV1084"/>
      <c r="AW1084"/>
      <c r="AX1084"/>
      <c r="AY1084"/>
      <c r="AZ1084"/>
      <c r="BC1084"/>
      <c r="BD1084"/>
      <c r="BG1084"/>
      <c r="BH1084"/>
      <c r="BI1084"/>
      <c r="BJ1084"/>
      <c r="BS1084"/>
      <c r="BU1084"/>
      <c r="BV1084"/>
      <c r="BX1084"/>
    </row>
    <row r="1085" spans="23:76" ht="15.75">
      <c r="W1085" s="495"/>
      <c r="X1085" s="495"/>
      <c r="Y1085" s="495"/>
      <c r="Z1085" s="451"/>
      <c r="AA1085" s="145"/>
      <c r="AB1085" s="223"/>
      <c r="AC1085" s="22"/>
      <c r="AH1085" s="9"/>
      <c r="AJ1085" s="27"/>
      <c r="AK1085" s="84"/>
      <c r="AM1085" s="13"/>
      <c r="AP1085"/>
      <c r="AR1085"/>
      <c r="AV1085"/>
      <c r="AW1085"/>
      <c r="AX1085"/>
      <c r="AY1085"/>
      <c r="AZ1085"/>
      <c r="BC1085"/>
      <c r="BD1085"/>
      <c r="BG1085"/>
      <c r="BH1085"/>
      <c r="BI1085"/>
      <c r="BJ1085"/>
      <c r="BS1085"/>
      <c r="BU1085"/>
      <c r="BV1085"/>
      <c r="BX1085"/>
    </row>
    <row r="1086" spans="23:76" ht="15.75">
      <c r="W1086" s="495"/>
      <c r="X1086" s="495"/>
      <c r="Y1086" s="495"/>
      <c r="Z1086" s="451"/>
      <c r="AA1086" s="145"/>
      <c r="AB1086" s="223"/>
      <c r="AC1086" s="22"/>
      <c r="AH1086" s="9"/>
      <c r="AJ1086" s="27"/>
      <c r="AK1086" s="84"/>
      <c r="AM1086" s="13"/>
      <c r="AP1086"/>
      <c r="AR1086"/>
      <c r="AV1086"/>
      <c r="AW1086"/>
      <c r="AX1086"/>
      <c r="AY1086"/>
      <c r="AZ1086"/>
      <c r="BC1086"/>
      <c r="BD1086"/>
      <c r="BG1086"/>
      <c r="BH1086"/>
      <c r="BI1086"/>
      <c r="BJ1086"/>
      <c r="BS1086"/>
      <c r="BU1086"/>
      <c r="BV1086"/>
      <c r="BX1086"/>
    </row>
    <row r="1087" spans="23:76" ht="15.75">
      <c r="W1087" s="495"/>
      <c r="X1087" s="495"/>
      <c r="Y1087" s="495"/>
      <c r="Z1087" s="451"/>
      <c r="AA1087" s="145"/>
      <c r="AB1087" s="223"/>
      <c r="AC1087" s="22"/>
      <c r="AH1087" s="9"/>
      <c r="AJ1087" s="27"/>
      <c r="AK1087" s="84"/>
      <c r="AM1087" s="13"/>
      <c r="AP1087"/>
      <c r="AR1087"/>
      <c r="AV1087"/>
      <c r="AW1087"/>
      <c r="AX1087"/>
      <c r="AY1087"/>
      <c r="AZ1087"/>
      <c r="BC1087"/>
      <c r="BD1087"/>
      <c r="BG1087"/>
      <c r="BH1087"/>
      <c r="BI1087"/>
      <c r="BJ1087"/>
      <c r="BS1087"/>
      <c r="BU1087"/>
      <c r="BV1087"/>
      <c r="BX1087"/>
    </row>
    <row r="1088" spans="23:76" ht="15.75">
      <c r="W1088" s="495"/>
      <c r="X1088" s="495"/>
      <c r="Y1088" s="495"/>
      <c r="Z1088" s="451"/>
      <c r="AA1088" s="145"/>
      <c r="AB1088" s="223"/>
      <c r="AC1088" s="22"/>
      <c r="AH1088" s="9"/>
      <c r="AJ1088" s="27"/>
      <c r="AK1088" s="84"/>
      <c r="AM1088" s="13"/>
      <c r="AP1088"/>
      <c r="AR1088"/>
      <c r="AV1088"/>
      <c r="AW1088"/>
      <c r="AX1088"/>
      <c r="AY1088"/>
      <c r="AZ1088"/>
      <c r="BC1088"/>
      <c r="BD1088"/>
      <c r="BG1088"/>
      <c r="BH1088"/>
      <c r="BI1088"/>
      <c r="BJ1088"/>
      <c r="BS1088"/>
      <c r="BU1088"/>
      <c r="BV1088"/>
      <c r="BX1088"/>
    </row>
    <row r="1089" spans="23:76" ht="15.75">
      <c r="W1089" s="495"/>
      <c r="X1089" s="495"/>
      <c r="Y1089" s="495"/>
      <c r="Z1089" s="451"/>
      <c r="AA1089" s="145"/>
      <c r="AB1089" s="223"/>
      <c r="AC1089" s="22"/>
      <c r="AH1089" s="9"/>
      <c r="AJ1089" s="27"/>
      <c r="AK1089" s="84"/>
      <c r="AM1089" s="13"/>
      <c r="AP1089"/>
      <c r="AR1089"/>
      <c r="AV1089"/>
      <c r="AW1089"/>
      <c r="AX1089"/>
      <c r="AY1089"/>
      <c r="AZ1089"/>
      <c r="BC1089"/>
      <c r="BD1089"/>
      <c r="BG1089"/>
      <c r="BH1089"/>
      <c r="BI1089"/>
      <c r="BJ1089"/>
      <c r="BS1089"/>
      <c r="BU1089"/>
      <c r="BV1089"/>
      <c r="BX1089"/>
    </row>
    <row r="1090" spans="23:76" ht="15.75">
      <c r="W1090" s="495"/>
      <c r="X1090" s="495"/>
      <c r="Y1090" s="495"/>
      <c r="Z1090" s="451"/>
      <c r="AA1090" s="145"/>
      <c r="AB1090" s="223"/>
      <c r="AC1090" s="22"/>
      <c r="AH1090" s="9"/>
      <c r="AJ1090" s="27"/>
      <c r="AK1090" s="84"/>
      <c r="AM1090" s="13"/>
      <c r="AP1090"/>
      <c r="AR1090"/>
      <c r="AV1090"/>
      <c r="AW1090"/>
      <c r="AX1090"/>
      <c r="AY1090"/>
      <c r="AZ1090"/>
      <c r="BC1090"/>
      <c r="BD1090"/>
      <c r="BG1090"/>
      <c r="BH1090"/>
      <c r="BI1090"/>
      <c r="BJ1090"/>
      <c r="BS1090"/>
      <c r="BU1090"/>
      <c r="BV1090"/>
      <c r="BX1090"/>
    </row>
    <row r="1091" spans="23:76" ht="15.75">
      <c r="W1091" s="495"/>
      <c r="X1091" s="495"/>
      <c r="Y1091" s="495"/>
      <c r="Z1091" s="451"/>
      <c r="AA1091" s="145"/>
      <c r="AB1091" s="223"/>
      <c r="AC1091" s="22"/>
      <c r="AH1091" s="9"/>
      <c r="AJ1091" s="27"/>
      <c r="AK1091" s="84"/>
      <c r="AM1091" s="13"/>
      <c r="AP1091"/>
      <c r="AR1091"/>
      <c r="AV1091"/>
      <c r="AW1091"/>
      <c r="AX1091"/>
      <c r="AY1091"/>
      <c r="AZ1091"/>
      <c r="BC1091"/>
      <c r="BD1091"/>
      <c r="BG1091"/>
      <c r="BH1091"/>
      <c r="BI1091"/>
      <c r="BJ1091"/>
      <c r="BS1091"/>
      <c r="BU1091"/>
      <c r="BV1091"/>
      <c r="BX1091"/>
    </row>
    <row r="1092" spans="23:76" ht="15.75">
      <c r="W1092" s="495"/>
      <c r="X1092" s="495"/>
      <c r="Y1092" s="495"/>
      <c r="Z1092" s="451"/>
      <c r="AA1092" s="145"/>
      <c r="AB1092" s="223"/>
      <c r="AC1092" s="22"/>
      <c r="AH1092" s="9"/>
      <c r="AJ1092" s="27"/>
      <c r="AK1092" s="84"/>
      <c r="AM1092" s="13"/>
      <c r="AP1092"/>
      <c r="AR1092"/>
      <c r="AV1092"/>
      <c r="AW1092"/>
      <c r="AX1092"/>
      <c r="AY1092"/>
      <c r="AZ1092"/>
      <c r="BC1092"/>
      <c r="BD1092"/>
      <c r="BG1092"/>
      <c r="BH1092"/>
      <c r="BI1092"/>
      <c r="BJ1092"/>
      <c r="BS1092"/>
      <c r="BU1092"/>
      <c r="BV1092"/>
      <c r="BX1092"/>
    </row>
    <row r="1093" spans="23:76" ht="15.75">
      <c r="W1093" s="495"/>
      <c r="X1093" s="495"/>
      <c r="Y1093" s="495"/>
      <c r="Z1093" s="451"/>
      <c r="AA1093" s="145"/>
      <c r="AB1093" s="223"/>
      <c r="AC1093" s="22"/>
      <c r="AH1093" s="9"/>
      <c r="AJ1093" s="27"/>
      <c r="AK1093" s="84"/>
      <c r="AM1093" s="13"/>
      <c r="AP1093"/>
      <c r="AR1093"/>
      <c r="AV1093"/>
      <c r="AW1093"/>
      <c r="AX1093"/>
      <c r="AY1093"/>
      <c r="AZ1093"/>
      <c r="BC1093"/>
      <c r="BD1093"/>
      <c r="BG1093"/>
      <c r="BH1093"/>
      <c r="BI1093"/>
      <c r="BJ1093"/>
      <c r="BS1093"/>
      <c r="BU1093"/>
      <c r="BV1093"/>
      <c r="BX1093"/>
    </row>
    <row r="1094" spans="23:76" ht="15.75">
      <c r="W1094" s="495"/>
      <c r="X1094" s="495"/>
      <c r="Y1094" s="495"/>
      <c r="Z1094" s="451"/>
      <c r="AA1094" s="145"/>
      <c r="AB1094" s="223"/>
      <c r="AC1094" s="22"/>
      <c r="AH1094" s="9"/>
      <c r="AJ1094" s="27"/>
      <c r="AK1094" s="84"/>
      <c r="AM1094" s="13"/>
      <c r="AP1094"/>
      <c r="AR1094"/>
      <c r="AV1094"/>
      <c r="AW1094"/>
      <c r="AX1094"/>
      <c r="AY1094"/>
      <c r="AZ1094"/>
      <c r="BC1094"/>
      <c r="BD1094"/>
      <c r="BG1094"/>
      <c r="BH1094"/>
      <c r="BI1094"/>
      <c r="BJ1094"/>
      <c r="BS1094"/>
      <c r="BU1094"/>
      <c r="BV1094"/>
      <c r="BX1094"/>
    </row>
    <row r="1095" spans="23:76" ht="15.75">
      <c r="W1095" s="495"/>
      <c r="X1095" s="495"/>
      <c r="Y1095" s="495"/>
      <c r="Z1095" s="451"/>
      <c r="AA1095" s="145"/>
      <c r="AB1095" s="223"/>
      <c r="AC1095" s="22"/>
      <c r="AH1095" s="9"/>
      <c r="AJ1095" s="27"/>
      <c r="AK1095" s="84"/>
      <c r="AM1095" s="13"/>
      <c r="AP1095"/>
      <c r="AR1095"/>
      <c r="AV1095"/>
      <c r="AW1095"/>
      <c r="AX1095"/>
      <c r="AY1095"/>
      <c r="AZ1095"/>
      <c r="BC1095"/>
      <c r="BD1095"/>
      <c r="BG1095"/>
      <c r="BH1095"/>
      <c r="BI1095"/>
      <c r="BJ1095"/>
      <c r="BS1095"/>
      <c r="BU1095"/>
      <c r="BV1095"/>
      <c r="BX1095"/>
    </row>
    <row r="1096" spans="23:76" ht="15.75">
      <c r="W1096" s="495"/>
      <c r="X1096" s="495"/>
      <c r="Y1096" s="495"/>
      <c r="Z1096" s="451"/>
      <c r="AA1096" s="145"/>
      <c r="AB1096" s="223"/>
      <c r="AC1096" s="22"/>
      <c r="AH1096" s="9"/>
      <c r="AJ1096" s="27"/>
      <c r="AK1096" s="84"/>
      <c r="AM1096" s="13"/>
      <c r="AP1096"/>
      <c r="AR1096"/>
      <c r="AV1096"/>
      <c r="AW1096"/>
      <c r="AX1096"/>
      <c r="AY1096"/>
      <c r="AZ1096"/>
      <c r="BC1096"/>
      <c r="BD1096"/>
      <c r="BG1096"/>
      <c r="BH1096"/>
      <c r="BI1096"/>
      <c r="BJ1096"/>
      <c r="BS1096"/>
      <c r="BU1096"/>
      <c r="BV1096"/>
      <c r="BX1096"/>
    </row>
    <row r="1097" spans="23:76" ht="15.75">
      <c r="W1097" s="495"/>
      <c r="X1097" s="495"/>
      <c r="Y1097" s="495"/>
      <c r="Z1097" s="451"/>
      <c r="AA1097" s="145"/>
      <c r="AB1097" s="223"/>
      <c r="AC1097" s="22"/>
      <c r="AH1097" s="9"/>
      <c r="AJ1097" s="27"/>
      <c r="AK1097" s="84"/>
      <c r="AM1097" s="13"/>
      <c r="AP1097"/>
      <c r="AR1097"/>
      <c r="AV1097"/>
      <c r="AW1097"/>
      <c r="AX1097"/>
      <c r="AY1097"/>
      <c r="AZ1097"/>
      <c r="BC1097"/>
      <c r="BD1097"/>
      <c r="BG1097"/>
      <c r="BH1097"/>
      <c r="BI1097"/>
      <c r="BJ1097"/>
      <c r="BS1097"/>
      <c r="BU1097"/>
      <c r="BV1097"/>
      <c r="BX1097"/>
    </row>
    <row r="1098" spans="23:76" ht="15.75">
      <c r="W1098" s="495"/>
      <c r="X1098" s="495"/>
      <c r="Y1098" s="495"/>
      <c r="Z1098" s="451"/>
      <c r="AA1098" s="145"/>
      <c r="AB1098" s="223"/>
      <c r="AC1098" s="22"/>
      <c r="AH1098" s="9"/>
      <c r="AJ1098" s="27"/>
      <c r="AK1098" s="84"/>
      <c r="AM1098" s="13"/>
      <c r="AP1098"/>
      <c r="AR1098"/>
      <c r="AV1098"/>
      <c r="AW1098"/>
      <c r="AX1098"/>
      <c r="AY1098"/>
      <c r="AZ1098"/>
      <c r="BC1098"/>
      <c r="BD1098"/>
      <c r="BG1098"/>
      <c r="BH1098"/>
      <c r="BI1098"/>
      <c r="BJ1098"/>
      <c r="BS1098"/>
      <c r="BU1098"/>
      <c r="BV1098"/>
      <c r="BX1098"/>
    </row>
    <row r="1099" spans="23:76" ht="15.75">
      <c r="W1099" s="495"/>
      <c r="X1099" s="495"/>
      <c r="Y1099" s="495"/>
      <c r="Z1099" s="451"/>
      <c r="AA1099" s="145"/>
      <c r="AB1099" s="223"/>
      <c r="AC1099" s="22"/>
      <c r="AH1099" s="9"/>
      <c r="AJ1099" s="27"/>
      <c r="AK1099" s="84"/>
      <c r="AM1099" s="13"/>
      <c r="AP1099"/>
      <c r="AR1099"/>
      <c r="AV1099"/>
      <c r="AW1099"/>
      <c r="AX1099"/>
      <c r="AY1099"/>
      <c r="AZ1099"/>
      <c r="BC1099"/>
      <c r="BD1099"/>
      <c r="BG1099"/>
      <c r="BH1099"/>
      <c r="BI1099"/>
      <c r="BJ1099"/>
      <c r="BS1099"/>
      <c r="BU1099"/>
      <c r="BV1099"/>
      <c r="BX1099"/>
    </row>
    <row r="1100" spans="23:76" ht="15.75">
      <c r="W1100" s="495"/>
      <c r="X1100" s="495"/>
      <c r="Y1100" s="495"/>
      <c r="Z1100" s="451"/>
      <c r="AA1100" s="145"/>
      <c r="AB1100" s="223"/>
      <c r="AC1100" s="22"/>
      <c r="AH1100" s="9"/>
      <c r="AJ1100" s="27"/>
      <c r="AK1100" s="84"/>
      <c r="AM1100" s="13"/>
      <c r="AP1100"/>
      <c r="AR1100"/>
      <c r="AV1100"/>
      <c r="AW1100"/>
      <c r="AX1100"/>
      <c r="AY1100"/>
      <c r="AZ1100"/>
      <c r="BC1100"/>
      <c r="BD1100"/>
      <c r="BG1100"/>
      <c r="BH1100"/>
      <c r="BI1100"/>
      <c r="BJ1100"/>
      <c r="BS1100"/>
      <c r="BU1100"/>
      <c r="BV1100"/>
      <c r="BX1100"/>
    </row>
    <row r="1101" spans="23:76" ht="15.75">
      <c r="W1101" s="495"/>
      <c r="X1101" s="495"/>
      <c r="Y1101" s="495"/>
      <c r="Z1101" s="451"/>
      <c r="AA1101" s="145"/>
      <c r="AB1101" s="223"/>
      <c r="AC1101" s="22"/>
      <c r="AH1101" s="9"/>
      <c r="AJ1101" s="27"/>
      <c r="AK1101" s="84"/>
      <c r="AM1101" s="13"/>
      <c r="AP1101"/>
      <c r="AR1101"/>
      <c r="AV1101"/>
      <c r="AW1101"/>
      <c r="AX1101"/>
      <c r="AY1101"/>
      <c r="AZ1101"/>
      <c r="BC1101"/>
      <c r="BD1101"/>
      <c r="BG1101"/>
      <c r="BH1101"/>
      <c r="BI1101"/>
      <c r="BJ1101"/>
      <c r="BS1101"/>
      <c r="BU1101"/>
      <c r="BV1101"/>
      <c r="BX1101"/>
    </row>
    <row r="1102" spans="23:76" ht="15.75">
      <c r="W1102" s="495"/>
      <c r="X1102" s="495"/>
      <c r="Y1102" s="495"/>
      <c r="Z1102" s="451"/>
      <c r="AA1102" s="145"/>
      <c r="AB1102" s="223"/>
      <c r="AC1102" s="22"/>
      <c r="AH1102" s="9"/>
      <c r="AJ1102" s="27"/>
      <c r="AK1102" s="84"/>
      <c r="AM1102" s="13"/>
      <c r="AP1102"/>
      <c r="AR1102"/>
      <c r="AV1102"/>
      <c r="AW1102"/>
      <c r="AX1102"/>
      <c r="AY1102"/>
      <c r="AZ1102"/>
      <c r="BC1102"/>
      <c r="BD1102"/>
      <c r="BG1102"/>
      <c r="BH1102"/>
      <c r="BI1102"/>
      <c r="BJ1102"/>
      <c r="BS1102"/>
      <c r="BU1102"/>
      <c r="BV1102"/>
      <c r="BX1102"/>
    </row>
    <row r="1103" spans="23:76" ht="15.75">
      <c r="W1103" s="495"/>
      <c r="X1103" s="495"/>
      <c r="Y1103" s="495"/>
      <c r="Z1103" s="451"/>
      <c r="AA1103" s="145"/>
      <c r="AB1103" s="223"/>
      <c r="AC1103" s="22"/>
      <c r="AH1103" s="9"/>
      <c r="AJ1103" s="27"/>
      <c r="AK1103" s="84"/>
      <c r="AM1103" s="13"/>
      <c r="AP1103"/>
      <c r="AR1103"/>
      <c r="AV1103"/>
      <c r="AW1103"/>
      <c r="AX1103"/>
      <c r="AY1103"/>
      <c r="AZ1103"/>
      <c r="BC1103"/>
      <c r="BD1103"/>
      <c r="BG1103"/>
      <c r="BH1103"/>
      <c r="BI1103"/>
      <c r="BJ1103"/>
      <c r="BS1103"/>
      <c r="BU1103"/>
      <c r="BV1103"/>
      <c r="BX1103"/>
    </row>
    <row r="1104" spans="23:76" ht="15.75">
      <c r="W1104" s="495"/>
      <c r="X1104" s="495"/>
      <c r="Y1104" s="495"/>
      <c r="Z1104" s="451"/>
      <c r="AA1104" s="145"/>
      <c r="AB1104" s="223"/>
      <c r="AC1104" s="22"/>
      <c r="AH1104" s="9"/>
      <c r="AJ1104" s="27"/>
      <c r="AK1104" s="84"/>
      <c r="AM1104" s="13"/>
      <c r="AP1104"/>
      <c r="AR1104"/>
      <c r="AV1104"/>
      <c r="AW1104"/>
      <c r="AX1104"/>
      <c r="AY1104"/>
      <c r="AZ1104"/>
      <c r="BC1104"/>
      <c r="BD1104"/>
      <c r="BG1104"/>
      <c r="BH1104"/>
      <c r="BI1104"/>
      <c r="BJ1104"/>
      <c r="BS1104"/>
      <c r="BU1104"/>
      <c r="BV1104"/>
      <c r="BX1104"/>
    </row>
    <row r="1105" spans="23:76" ht="15.75">
      <c r="W1105" s="495"/>
      <c r="X1105" s="495"/>
      <c r="Y1105" s="495"/>
      <c r="Z1105" s="451"/>
      <c r="AA1105" s="145"/>
      <c r="AB1105" s="223"/>
      <c r="AC1105" s="22"/>
      <c r="AH1105" s="9"/>
      <c r="AJ1105" s="27"/>
      <c r="AK1105" s="84"/>
      <c r="AM1105" s="13"/>
      <c r="AP1105"/>
      <c r="AR1105"/>
      <c r="AV1105"/>
      <c r="AW1105"/>
      <c r="AX1105"/>
      <c r="AY1105"/>
      <c r="AZ1105"/>
      <c r="BC1105"/>
      <c r="BD1105"/>
      <c r="BG1105"/>
      <c r="BH1105"/>
      <c r="BI1105"/>
      <c r="BJ1105"/>
      <c r="BS1105"/>
      <c r="BU1105"/>
      <c r="BV1105"/>
      <c r="BX1105"/>
    </row>
    <row r="1106" spans="23:76" ht="15.75">
      <c r="W1106" s="495"/>
      <c r="X1106" s="495"/>
      <c r="Y1106" s="495"/>
      <c r="Z1106" s="451"/>
      <c r="AA1106" s="145"/>
      <c r="AB1106" s="223"/>
      <c r="AC1106" s="22"/>
      <c r="AH1106" s="9"/>
      <c r="AJ1106" s="27"/>
      <c r="AK1106" s="84"/>
      <c r="AM1106" s="13"/>
      <c r="AP1106"/>
      <c r="AR1106"/>
      <c r="AV1106"/>
      <c r="AW1106"/>
      <c r="AX1106"/>
      <c r="AY1106"/>
      <c r="AZ1106"/>
      <c r="BC1106"/>
      <c r="BD1106"/>
      <c r="BG1106"/>
      <c r="BH1106"/>
      <c r="BI1106"/>
      <c r="BJ1106"/>
      <c r="BS1106"/>
      <c r="BU1106"/>
      <c r="BV1106"/>
      <c r="BX1106"/>
    </row>
    <row r="1107" spans="23:76" ht="15.75">
      <c r="W1107" s="495"/>
      <c r="X1107" s="495"/>
      <c r="Y1107" s="495"/>
      <c r="Z1107" s="451"/>
      <c r="AA1107" s="145"/>
      <c r="AB1107" s="223"/>
      <c r="AC1107" s="22"/>
      <c r="AH1107" s="9"/>
      <c r="AJ1107" s="27"/>
      <c r="AK1107" s="84"/>
      <c r="AM1107" s="13"/>
      <c r="AP1107"/>
      <c r="AR1107"/>
      <c r="AV1107"/>
      <c r="AW1107"/>
      <c r="AX1107"/>
      <c r="AY1107"/>
      <c r="AZ1107"/>
      <c r="BC1107"/>
      <c r="BD1107"/>
      <c r="BG1107"/>
      <c r="BH1107"/>
      <c r="BI1107"/>
      <c r="BJ1107"/>
      <c r="BS1107"/>
      <c r="BU1107"/>
      <c r="BV1107"/>
      <c r="BX1107"/>
    </row>
    <row r="1108" spans="23:76" ht="15.75">
      <c r="W1108" s="495"/>
      <c r="X1108" s="495"/>
      <c r="Y1108" s="495"/>
      <c r="Z1108" s="451"/>
      <c r="AA1108" s="145"/>
      <c r="AB1108" s="223"/>
      <c r="AC1108" s="22"/>
      <c r="AH1108" s="9"/>
      <c r="AJ1108" s="27"/>
      <c r="AK1108" s="84"/>
      <c r="AM1108" s="13"/>
      <c r="AP1108"/>
      <c r="AR1108"/>
      <c r="AV1108"/>
      <c r="AW1108"/>
      <c r="AX1108"/>
      <c r="AY1108"/>
      <c r="AZ1108"/>
      <c r="BC1108"/>
      <c r="BD1108"/>
      <c r="BG1108"/>
      <c r="BH1108"/>
      <c r="BI1108"/>
      <c r="BJ1108"/>
      <c r="BS1108"/>
      <c r="BU1108"/>
      <c r="BV1108"/>
      <c r="BX1108"/>
    </row>
    <row r="1109" spans="23:76" ht="15.75">
      <c r="W1109" s="495"/>
      <c r="X1109" s="495"/>
      <c r="Y1109" s="495"/>
      <c r="Z1109" s="451"/>
      <c r="AA1109" s="145"/>
      <c r="AB1109" s="223"/>
      <c r="AC1109" s="22"/>
      <c r="AH1109" s="9"/>
      <c r="AJ1109" s="27"/>
      <c r="AK1109" s="84"/>
      <c r="AM1109" s="13"/>
      <c r="AP1109"/>
      <c r="AR1109"/>
      <c r="AV1109"/>
      <c r="AW1109"/>
      <c r="AX1109"/>
      <c r="AY1109"/>
      <c r="AZ1109"/>
      <c r="BC1109"/>
      <c r="BD1109"/>
      <c r="BG1109"/>
      <c r="BH1109"/>
      <c r="BI1109"/>
      <c r="BJ1109"/>
      <c r="BS1109"/>
      <c r="BU1109"/>
      <c r="BV1109"/>
      <c r="BX1109"/>
    </row>
    <row r="1110" spans="23:76" ht="15.75">
      <c r="W1110" s="495"/>
      <c r="X1110" s="495"/>
      <c r="Y1110" s="495"/>
      <c r="Z1110" s="451"/>
      <c r="AA1110" s="145"/>
      <c r="AB1110" s="223"/>
      <c r="AC1110" s="22"/>
      <c r="AH1110" s="9"/>
      <c r="AJ1110" s="27"/>
      <c r="AK1110" s="84"/>
      <c r="AM1110" s="13"/>
      <c r="AP1110"/>
      <c r="AR1110"/>
      <c r="AV1110"/>
      <c r="AW1110"/>
      <c r="AX1110"/>
      <c r="AY1110"/>
      <c r="AZ1110"/>
      <c r="BC1110"/>
      <c r="BD1110"/>
      <c r="BG1110"/>
      <c r="BH1110"/>
      <c r="BI1110"/>
      <c r="BJ1110"/>
      <c r="BS1110"/>
      <c r="BU1110"/>
      <c r="BV1110"/>
      <c r="BX1110"/>
    </row>
    <row r="1111" spans="23:76" ht="15.75">
      <c r="W1111" s="495"/>
      <c r="X1111" s="495"/>
      <c r="Y1111" s="495"/>
      <c r="Z1111" s="451"/>
      <c r="AA1111" s="145"/>
      <c r="AB1111" s="223"/>
      <c r="AC1111" s="22"/>
      <c r="AH1111" s="9"/>
      <c r="AJ1111" s="27"/>
      <c r="AK1111" s="84"/>
      <c r="AM1111" s="13"/>
      <c r="AP1111"/>
      <c r="AR1111"/>
      <c r="AV1111"/>
      <c r="AW1111"/>
      <c r="AX1111"/>
      <c r="AY1111"/>
      <c r="AZ1111"/>
      <c r="BC1111"/>
      <c r="BD1111"/>
      <c r="BG1111"/>
      <c r="BH1111"/>
      <c r="BI1111"/>
      <c r="BJ1111"/>
      <c r="BS1111"/>
      <c r="BU1111"/>
      <c r="BV1111"/>
      <c r="BX1111"/>
    </row>
    <row r="1112" spans="23:76" ht="15.75">
      <c r="W1112" s="495"/>
      <c r="X1112" s="495"/>
      <c r="Y1112" s="495"/>
      <c r="Z1112" s="451"/>
      <c r="AA1112" s="145"/>
      <c r="AB1112" s="223"/>
      <c r="AC1112" s="22"/>
      <c r="AH1112" s="9"/>
      <c r="AJ1112" s="27"/>
      <c r="AK1112" s="84"/>
      <c r="AM1112" s="13"/>
      <c r="AP1112"/>
      <c r="AR1112"/>
      <c r="AV1112"/>
      <c r="AW1112"/>
      <c r="AX1112"/>
      <c r="AY1112"/>
      <c r="AZ1112"/>
      <c r="BC1112"/>
      <c r="BD1112"/>
      <c r="BG1112"/>
      <c r="BH1112"/>
      <c r="BI1112"/>
      <c r="BJ1112"/>
      <c r="BS1112"/>
      <c r="BU1112"/>
      <c r="BV1112"/>
      <c r="BX1112"/>
    </row>
    <row r="1113" spans="23:76" ht="15.75">
      <c r="W1113" s="495"/>
      <c r="X1113" s="495"/>
      <c r="Y1113" s="495"/>
      <c r="Z1113" s="451"/>
      <c r="AA1113" s="145"/>
      <c r="AB1113" s="223"/>
      <c r="AC1113" s="22"/>
      <c r="AH1113" s="9"/>
      <c r="AJ1113" s="27"/>
      <c r="AK1113" s="84"/>
      <c r="AM1113" s="13"/>
      <c r="AP1113"/>
      <c r="AR1113"/>
      <c r="AV1113"/>
      <c r="AW1113"/>
      <c r="AX1113"/>
      <c r="AY1113"/>
      <c r="AZ1113"/>
      <c r="BC1113"/>
      <c r="BD1113"/>
      <c r="BG1113"/>
      <c r="BH1113"/>
      <c r="BI1113"/>
      <c r="BJ1113"/>
      <c r="BS1113"/>
      <c r="BU1113"/>
      <c r="BV1113"/>
      <c r="BX1113"/>
    </row>
    <row r="1114" spans="23:76" ht="15.75">
      <c r="W1114" s="495"/>
      <c r="X1114" s="495"/>
      <c r="Y1114" s="495"/>
      <c r="Z1114" s="451"/>
      <c r="AA1114" s="145"/>
      <c r="AB1114" s="223"/>
      <c r="AC1114" s="22"/>
      <c r="AH1114" s="9"/>
      <c r="AJ1114" s="27"/>
      <c r="AK1114" s="84"/>
      <c r="AM1114" s="13"/>
      <c r="AP1114"/>
      <c r="AR1114"/>
      <c r="AV1114"/>
      <c r="AW1114"/>
      <c r="AX1114"/>
      <c r="AY1114"/>
      <c r="AZ1114"/>
      <c r="BC1114"/>
      <c r="BD1114"/>
      <c r="BG1114"/>
      <c r="BH1114"/>
      <c r="BI1114"/>
      <c r="BJ1114"/>
      <c r="BS1114"/>
      <c r="BU1114"/>
      <c r="BV1114"/>
      <c r="BX1114"/>
    </row>
    <row r="1115" spans="23:76" ht="15.75">
      <c r="W1115" s="495"/>
      <c r="X1115" s="495"/>
      <c r="Y1115" s="495"/>
      <c r="Z1115" s="451"/>
      <c r="AA1115" s="145"/>
      <c r="AB1115" s="223"/>
      <c r="AC1115" s="22"/>
      <c r="AH1115" s="9"/>
      <c r="AJ1115" s="27"/>
      <c r="AK1115" s="84"/>
      <c r="AM1115" s="13"/>
      <c r="AP1115"/>
      <c r="AR1115"/>
      <c r="AV1115"/>
      <c r="AW1115"/>
      <c r="AX1115"/>
      <c r="AY1115"/>
      <c r="AZ1115"/>
      <c r="BC1115"/>
      <c r="BD1115"/>
      <c r="BG1115"/>
      <c r="BH1115"/>
      <c r="BI1115"/>
      <c r="BJ1115"/>
      <c r="BS1115"/>
      <c r="BU1115"/>
      <c r="BV1115"/>
      <c r="BX1115"/>
    </row>
    <row r="1116" spans="23:76" ht="15.75">
      <c r="W1116" s="495"/>
      <c r="X1116" s="495"/>
      <c r="Y1116" s="495"/>
      <c r="Z1116" s="451"/>
      <c r="AA1116" s="145"/>
      <c r="AB1116" s="223"/>
      <c r="AC1116" s="22"/>
      <c r="AH1116" s="9"/>
      <c r="AJ1116" s="27"/>
      <c r="AK1116" s="84"/>
      <c r="AM1116" s="13"/>
      <c r="AP1116"/>
      <c r="AR1116"/>
      <c r="AV1116"/>
      <c r="AW1116"/>
      <c r="AX1116"/>
      <c r="AY1116"/>
      <c r="AZ1116"/>
      <c r="BC1116"/>
      <c r="BD1116"/>
      <c r="BG1116"/>
      <c r="BH1116"/>
      <c r="BI1116"/>
      <c r="BJ1116"/>
      <c r="BS1116"/>
      <c r="BU1116"/>
      <c r="BV1116"/>
      <c r="BX1116"/>
    </row>
    <row r="1117" spans="23:76" ht="15.75">
      <c r="W1117" s="495"/>
      <c r="X1117" s="495"/>
      <c r="Y1117" s="495"/>
      <c r="Z1117" s="451"/>
      <c r="AA1117" s="145"/>
      <c r="AB1117" s="223"/>
      <c r="AC1117" s="22"/>
      <c r="AH1117" s="9"/>
      <c r="AJ1117" s="27"/>
      <c r="AK1117" s="84"/>
      <c r="AM1117" s="13"/>
      <c r="AP1117"/>
      <c r="AR1117"/>
      <c r="AV1117"/>
      <c r="AW1117"/>
      <c r="AX1117"/>
      <c r="AY1117"/>
      <c r="AZ1117"/>
      <c r="BC1117"/>
      <c r="BD1117"/>
      <c r="BG1117"/>
      <c r="BH1117"/>
      <c r="BI1117"/>
      <c r="BJ1117"/>
      <c r="BS1117"/>
      <c r="BU1117"/>
      <c r="BV1117"/>
      <c r="BX1117"/>
    </row>
    <row r="1118" spans="23:76" ht="15.75">
      <c r="W1118" s="495"/>
      <c r="X1118" s="495"/>
      <c r="Y1118" s="495"/>
      <c r="Z1118" s="451"/>
      <c r="AA1118" s="145"/>
      <c r="AB1118" s="223"/>
      <c r="AC1118" s="22"/>
      <c r="AH1118" s="9"/>
      <c r="AJ1118" s="27"/>
      <c r="AK1118" s="84"/>
      <c r="AM1118" s="13"/>
      <c r="AP1118"/>
      <c r="AR1118"/>
      <c r="AV1118"/>
      <c r="AW1118"/>
      <c r="AX1118"/>
      <c r="AY1118"/>
      <c r="AZ1118"/>
      <c r="BC1118"/>
      <c r="BD1118"/>
      <c r="BG1118"/>
      <c r="BH1118"/>
      <c r="BI1118"/>
      <c r="BJ1118"/>
      <c r="BS1118"/>
      <c r="BU1118"/>
      <c r="BV1118"/>
      <c r="BX1118"/>
    </row>
    <row r="1119" spans="23:76" ht="15.75">
      <c r="W1119" s="495"/>
      <c r="X1119" s="495"/>
      <c r="Y1119" s="495"/>
      <c r="Z1119" s="451"/>
      <c r="AA1119" s="145"/>
      <c r="AB1119" s="223"/>
      <c r="AC1119" s="22"/>
      <c r="AH1119" s="9"/>
      <c r="AJ1119" s="27"/>
      <c r="AK1119" s="84"/>
      <c r="AM1119" s="13"/>
      <c r="AP1119"/>
      <c r="AR1119"/>
      <c r="AV1119"/>
      <c r="AW1119"/>
      <c r="AX1119"/>
      <c r="AY1119"/>
      <c r="AZ1119"/>
      <c r="BC1119"/>
      <c r="BD1119"/>
      <c r="BG1119"/>
      <c r="BH1119"/>
      <c r="BI1119"/>
      <c r="BJ1119"/>
      <c r="BS1119"/>
      <c r="BU1119"/>
      <c r="BV1119"/>
      <c r="BX1119"/>
    </row>
    <row r="1120" spans="23:76" ht="15.75">
      <c r="W1120" s="495"/>
      <c r="X1120" s="495"/>
      <c r="Y1120" s="495"/>
      <c r="Z1120" s="451"/>
      <c r="AA1120" s="145"/>
      <c r="AB1120" s="223"/>
      <c r="AC1120" s="22"/>
      <c r="AH1120" s="9"/>
      <c r="AJ1120" s="27"/>
      <c r="AK1120" s="84"/>
      <c r="AM1120" s="13"/>
      <c r="AP1120"/>
      <c r="AR1120"/>
      <c r="AV1120"/>
      <c r="AW1120"/>
      <c r="AX1120"/>
      <c r="AY1120"/>
      <c r="AZ1120"/>
      <c r="BC1120"/>
      <c r="BD1120"/>
      <c r="BG1120"/>
      <c r="BH1120"/>
      <c r="BI1120"/>
      <c r="BJ1120"/>
      <c r="BS1120"/>
      <c r="BU1120"/>
      <c r="BV1120"/>
      <c r="BX1120"/>
    </row>
    <row r="1121" spans="23:76" ht="15.75">
      <c r="W1121" s="495"/>
      <c r="X1121" s="495"/>
      <c r="Y1121" s="495"/>
      <c r="Z1121" s="451"/>
      <c r="AA1121" s="145"/>
      <c r="AB1121" s="223"/>
      <c r="AC1121" s="22"/>
      <c r="AH1121" s="9"/>
      <c r="AJ1121" s="27"/>
      <c r="AK1121" s="84"/>
      <c r="AM1121" s="13"/>
      <c r="AP1121"/>
      <c r="AR1121"/>
      <c r="AV1121"/>
      <c r="AW1121"/>
      <c r="AX1121"/>
      <c r="AY1121"/>
      <c r="AZ1121"/>
      <c r="BC1121"/>
      <c r="BD1121"/>
      <c r="BG1121"/>
      <c r="BH1121"/>
      <c r="BI1121"/>
      <c r="BJ1121"/>
      <c r="BS1121"/>
      <c r="BU1121"/>
      <c r="BV1121"/>
      <c r="BX1121"/>
    </row>
    <row r="1122" spans="23:76" ht="15.75">
      <c r="W1122" s="495"/>
      <c r="X1122" s="495"/>
      <c r="Y1122" s="495"/>
      <c r="Z1122" s="451"/>
      <c r="AA1122" s="145"/>
      <c r="AB1122" s="223"/>
      <c r="AC1122" s="22"/>
      <c r="AH1122" s="9"/>
      <c r="AJ1122" s="27"/>
      <c r="AK1122" s="84"/>
      <c r="AM1122" s="13"/>
      <c r="AP1122"/>
      <c r="AR1122"/>
      <c r="AV1122"/>
      <c r="AW1122"/>
      <c r="AX1122"/>
      <c r="AY1122"/>
      <c r="AZ1122"/>
      <c r="BC1122"/>
      <c r="BD1122"/>
      <c r="BG1122"/>
      <c r="BH1122"/>
      <c r="BI1122"/>
      <c r="BJ1122"/>
      <c r="BS1122"/>
      <c r="BU1122"/>
      <c r="BV1122"/>
      <c r="BX1122"/>
    </row>
    <row r="1123" spans="23:76" ht="15.75">
      <c r="W1123" s="495"/>
      <c r="X1123" s="495"/>
      <c r="Y1123" s="495"/>
      <c r="Z1123" s="451"/>
      <c r="AA1123" s="145"/>
      <c r="AB1123" s="223"/>
      <c r="AC1123" s="22"/>
      <c r="AH1123" s="9"/>
      <c r="AJ1123" s="27"/>
      <c r="AK1123" s="84"/>
      <c r="AM1123" s="13"/>
      <c r="AP1123"/>
      <c r="AR1123"/>
      <c r="AV1123"/>
      <c r="AW1123"/>
      <c r="AX1123"/>
      <c r="AY1123"/>
      <c r="AZ1123"/>
      <c r="BC1123"/>
      <c r="BD1123"/>
      <c r="BG1123"/>
      <c r="BH1123"/>
      <c r="BI1123"/>
      <c r="BJ1123"/>
      <c r="BS1123"/>
      <c r="BU1123"/>
      <c r="BV1123"/>
      <c r="BX1123"/>
    </row>
    <row r="1124" spans="23:76" ht="15.75">
      <c r="W1124" s="495"/>
      <c r="X1124" s="495"/>
      <c r="Y1124" s="495"/>
      <c r="Z1124" s="451"/>
      <c r="AA1124" s="145"/>
      <c r="AB1124" s="223"/>
      <c r="AC1124" s="22"/>
      <c r="AH1124" s="9"/>
      <c r="AJ1124" s="27"/>
      <c r="AK1124" s="84"/>
      <c r="AM1124" s="13"/>
      <c r="AP1124"/>
      <c r="AR1124"/>
      <c r="AV1124"/>
      <c r="AW1124"/>
      <c r="AX1124"/>
      <c r="AY1124"/>
      <c r="AZ1124"/>
      <c r="BC1124"/>
      <c r="BD1124"/>
      <c r="BG1124"/>
      <c r="BH1124"/>
      <c r="BI1124"/>
      <c r="BJ1124"/>
      <c r="BS1124"/>
      <c r="BU1124"/>
      <c r="BV1124"/>
      <c r="BX1124"/>
    </row>
    <row r="1125" spans="23:76" ht="15.75">
      <c r="W1125" s="495"/>
      <c r="X1125" s="495"/>
      <c r="Y1125" s="495"/>
      <c r="Z1125" s="451"/>
      <c r="AA1125" s="145"/>
      <c r="AB1125" s="223"/>
      <c r="AC1125" s="22"/>
      <c r="AH1125" s="9"/>
      <c r="AJ1125" s="27"/>
      <c r="AK1125" s="84"/>
      <c r="AM1125" s="13"/>
      <c r="AP1125"/>
      <c r="AR1125"/>
      <c r="AV1125"/>
      <c r="AW1125"/>
      <c r="AX1125"/>
      <c r="AY1125"/>
      <c r="AZ1125"/>
      <c r="BC1125"/>
      <c r="BD1125"/>
      <c r="BG1125"/>
      <c r="BH1125"/>
      <c r="BI1125"/>
      <c r="BJ1125"/>
      <c r="BS1125"/>
      <c r="BU1125"/>
      <c r="BV1125"/>
      <c r="BX1125"/>
    </row>
    <row r="1126" spans="23:76" ht="15.75">
      <c r="W1126" s="495"/>
      <c r="X1126" s="495"/>
      <c r="Y1126" s="495"/>
      <c r="Z1126" s="451"/>
      <c r="AA1126" s="145"/>
      <c r="AB1126" s="223"/>
      <c r="AC1126" s="22"/>
      <c r="AH1126" s="9"/>
      <c r="AJ1126" s="27"/>
      <c r="AK1126" s="84"/>
      <c r="AM1126" s="13"/>
      <c r="AP1126"/>
      <c r="AR1126"/>
      <c r="AV1126"/>
      <c r="AW1126"/>
      <c r="AX1126"/>
      <c r="AY1126"/>
      <c r="AZ1126"/>
      <c r="BC1126"/>
      <c r="BD1126"/>
      <c r="BG1126"/>
      <c r="BH1126"/>
      <c r="BI1126"/>
      <c r="BJ1126"/>
      <c r="BS1126"/>
      <c r="BU1126"/>
      <c r="BV1126"/>
      <c r="BX1126"/>
    </row>
    <row r="1127" spans="23:76" ht="15.75">
      <c r="W1127" s="495"/>
      <c r="X1127" s="495"/>
      <c r="Y1127" s="495"/>
      <c r="Z1127" s="451"/>
      <c r="AA1127" s="145"/>
      <c r="AB1127" s="223"/>
      <c r="AC1127" s="22"/>
      <c r="AH1127" s="9"/>
      <c r="AJ1127" s="27"/>
      <c r="AK1127" s="84"/>
      <c r="AM1127" s="13"/>
      <c r="AP1127"/>
      <c r="AR1127"/>
      <c r="AV1127"/>
      <c r="AW1127"/>
      <c r="AX1127"/>
      <c r="AY1127"/>
      <c r="AZ1127"/>
      <c r="BC1127"/>
      <c r="BD1127"/>
      <c r="BG1127"/>
      <c r="BH1127"/>
      <c r="BI1127"/>
      <c r="BJ1127"/>
      <c r="BS1127"/>
      <c r="BU1127"/>
      <c r="BV1127"/>
      <c r="BX1127"/>
    </row>
    <row r="1128" spans="23:76" ht="15.75">
      <c r="W1128" s="495"/>
      <c r="X1128" s="495"/>
      <c r="Y1128" s="495"/>
      <c r="Z1128" s="451"/>
      <c r="AA1128" s="145"/>
      <c r="AB1128" s="223"/>
      <c r="AC1128" s="22"/>
      <c r="AH1128" s="9"/>
      <c r="AJ1128" s="27"/>
      <c r="AK1128" s="84"/>
      <c r="AM1128" s="13"/>
      <c r="AP1128"/>
      <c r="AR1128"/>
      <c r="AV1128"/>
      <c r="AW1128"/>
      <c r="AX1128"/>
      <c r="AY1128"/>
      <c r="AZ1128"/>
      <c r="BC1128"/>
      <c r="BD1128"/>
      <c r="BG1128"/>
      <c r="BH1128"/>
      <c r="BI1128"/>
      <c r="BJ1128"/>
      <c r="BS1128"/>
      <c r="BU1128"/>
      <c r="BV1128"/>
      <c r="BX1128"/>
    </row>
    <row r="1129" spans="23:76" ht="15.75">
      <c r="W1129" s="495"/>
      <c r="X1129" s="495"/>
      <c r="Y1129" s="495"/>
      <c r="Z1129" s="451"/>
      <c r="AA1129" s="145"/>
      <c r="AB1129" s="223"/>
      <c r="AC1129" s="22"/>
      <c r="AH1129" s="9"/>
      <c r="AJ1129" s="27"/>
      <c r="AK1129" s="84"/>
      <c r="AM1129" s="13"/>
      <c r="AP1129"/>
      <c r="AR1129"/>
      <c r="AV1129"/>
      <c r="AW1129"/>
      <c r="AX1129"/>
      <c r="AY1129"/>
      <c r="AZ1129"/>
      <c r="BC1129"/>
      <c r="BD1129"/>
      <c r="BG1129"/>
      <c r="BH1129"/>
      <c r="BI1129"/>
      <c r="BJ1129"/>
      <c r="BS1129"/>
      <c r="BU1129"/>
      <c r="BV1129"/>
      <c r="BX1129"/>
    </row>
    <row r="1130" spans="23:76" ht="15.75">
      <c r="W1130" s="495"/>
      <c r="X1130" s="495"/>
      <c r="Y1130" s="495"/>
      <c r="Z1130" s="451"/>
      <c r="AA1130" s="145"/>
      <c r="AB1130" s="223"/>
      <c r="AC1130" s="22"/>
      <c r="AH1130" s="9"/>
      <c r="AJ1130" s="27"/>
      <c r="AK1130" s="84"/>
      <c r="AM1130" s="13"/>
      <c r="AP1130"/>
      <c r="AR1130"/>
      <c r="AV1130"/>
      <c r="AW1130"/>
      <c r="AX1130"/>
      <c r="AY1130"/>
      <c r="AZ1130"/>
      <c r="BC1130"/>
      <c r="BD1130"/>
      <c r="BG1130"/>
      <c r="BH1130"/>
      <c r="BI1130"/>
      <c r="BJ1130"/>
      <c r="BS1130"/>
      <c r="BU1130"/>
      <c r="BV1130"/>
      <c r="BX1130"/>
    </row>
    <row r="1131" spans="23:76" ht="15.75">
      <c r="W1131" s="495"/>
      <c r="X1131" s="495"/>
      <c r="Y1131" s="495"/>
      <c r="Z1131" s="451"/>
      <c r="AA1131" s="145"/>
      <c r="AB1131" s="223"/>
      <c r="AC1131" s="22"/>
      <c r="AH1131" s="9"/>
      <c r="AJ1131" s="27"/>
      <c r="AK1131" s="84"/>
      <c r="AM1131" s="13"/>
      <c r="AP1131"/>
      <c r="AR1131"/>
      <c r="AV1131"/>
      <c r="AW1131"/>
      <c r="AX1131"/>
      <c r="AY1131"/>
      <c r="AZ1131"/>
      <c r="BC1131"/>
      <c r="BD1131"/>
      <c r="BG1131"/>
      <c r="BH1131"/>
      <c r="BI1131"/>
      <c r="BJ1131"/>
      <c r="BS1131"/>
      <c r="BU1131"/>
      <c r="BV1131"/>
      <c r="BX1131"/>
    </row>
    <row r="1132" spans="23:76" ht="15.75">
      <c r="W1132" s="495"/>
      <c r="X1132" s="495"/>
      <c r="Y1132" s="495"/>
      <c r="Z1132" s="451"/>
      <c r="AA1132" s="145"/>
      <c r="AB1132" s="223"/>
      <c r="AC1132" s="22"/>
      <c r="AH1132" s="9"/>
      <c r="AJ1132" s="27"/>
      <c r="AK1132" s="84"/>
      <c r="AM1132" s="13"/>
      <c r="AP1132"/>
      <c r="AR1132"/>
      <c r="AV1132"/>
      <c r="AW1132"/>
      <c r="AX1132"/>
      <c r="AY1132"/>
      <c r="AZ1132"/>
      <c r="BC1132"/>
      <c r="BD1132"/>
      <c r="BG1132"/>
      <c r="BH1132"/>
      <c r="BI1132"/>
      <c r="BJ1132"/>
      <c r="BS1132"/>
      <c r="BU1132"/>
      <c r="BV1132"/>
      <c r="BX1132"/>
    </row>
    <row r="1133" spans="23:76" ht="15.75">
      <c r="W1133" s="495"/>
      <c r="X1133" s="495"/>
      <c r="Y1133" s="495"/>
      <c r="Z1133" s="451"/>
      <c r="AA1133" s="145"/>
      <c r="AB1133" s="223"/>
      <c r="AC1133" s="22"/>
      <c r="AH1133" s="9"/>
      <c r="AJ1133" s="27"/>
      <c r="AK1133" s="84"/>
      <c r="AM1133" s="13"/>
      <c r="AP1133"/>
      <c r="AR1133"/>
      <c r="AV1133"/>
      <c r="AW1133"/>
      <c r="AX1133"/>
      <c r="AY1133"/>
      <c r="AZ1133"/>
      <c r="BC1133"/>
      <c r="BD1133"/>
      <c r="BG1133"/>
      <c r="BH1133"/>
      <c r="BI1133"/>
      <c r="BJ1133"/>
      <c r="BS1133"/>
      <c r="BU1133"/>
      <c r="BV1133"/>
      <c r="BX1133"/>
    </row>
    <row r="1134" spans="23:76" ht="15.75">
      <c r="W1134" s="495"/>
      <c r="X1134" s="495"/>
      <c r="Y1134" s="495"/>
      <c r="Z1134" s="451"/>
      <c r="AA1134" s="145"/>
      <c r="AB1134" s="223"/>
      <c r="AC1134" s="22"/>
      <c r="AH1134" s="9"/>
      <c r="AJ1134" s="27"/>
      <c r="AK1134" s="84"/>
      <c r="AM1134" s="13"/>
      <c r="AP1134"/>
      <c r="AR1134"/>
      <c r="AV1134"/>
      <c r="AW1134"/>
      <c r="AX1134"/>
      <c r="AY1134"/>
      <c r="AZ1134"/>
      <c r="BC1134"/>
      <c r="BD1134"/>
      <c r="BG1134"/>
      <c r="BH1134"/>
      <c r="BI1134"/>
      <c r="BJ1134"/>
      <c r="BS1134"/>
      <c r="BU1134"/>
      <c r="BV1134"/>
      <c r="BX1134"/>
    </row>
    <row r="1135" spans="23:76" ht="15.75">
      <c r="W1135" s="495"/>
      <c r="X1135" s="495"/>
      <c r="Y1135" s="495"/>
      <c r="Z1135" s="451"/>
      <c r="AA1135" s="145"/>
      <c r="AB1135" s="223"/>
      <c r="AC1135" s="22"/>
      <c r="AH1135" s="9"/>
      <c r="AJ1135" s="27"/>
      <c r="AK1135" s="84"/>
      <c r="AM1135" s="13"/>
      <c r="AP1135"/>
      <c r="AR1135"/>
      <c r="AV1135"/>
      <c r="AW1135"/>
      <c r="AX1135"/>
      <c r="AY1135"/>
      <c r="AZ1135"/>
      <c r="BC1135"/>
      <c r="BD1135"/>
      <c r="BG1135"/>
      <c r="BH1135"/>
      <c r="BI1135"/>
      <c r="BJ1135"/>
      <c r="BS1135"/>
      <c r="BU1135"/>
      <c r="BV1135"/>
      <c r="BX1135"/>
    </row>
    <row r="1136" spans="23:76" ht="15.75">
      <c r="W1136" s="495"/>
      <c r="X1136" s="495"/>
      <c r="Y1136" s="495"/>
      <c r="Z1136" s="451"/>
      <c r="AA1136" s="145"/>
      <c r="AB1136" s="223"/>
      <c r="AC1136" s="22"/>
      <c r="AH1136" s="9"/>
      <c r="AJ1136" s="27"/>
      <c r="AK1136" s="84"/>
      <c r="AM1136" s="13"/>
      <c r="AP1136"/>
      <c r="AR1136"/>
      <c r="AV1136"/>
      <c r="AW1136"/>
      <c r="AX1136"/>
      <c r="AY1136"/>
      <c r="AZ1136"/>
      <c r="BC1136"/>
      <c r="BD1136"/>
      <c r="BG1136"/>
      <c r="BH1136"/>
      <c r="BI1136"/>
      <c r="BJ1136"/>
      <c r="BS1136"/>
      <c r="BU1136"/>
      <c r="BV1136"/>
      <c r="BX1136"/>
    </row>
    <row r="1137" spans="23:76" ht="15.75">
      <c r="W1137" s="495"/>
      <c r="X1137" s="495"/>
      <c r="Y1137" s="495"/>
      <c r="Z1137" s="451"/>
      <c r="AA1137" s="145"/>
      <c r="AB1137" s="223"/>
      <c r="AC1137" s="22"/>
      <c r="AH1137" s="9"/>
      <c r="AJ1137" s="27"/>
      <c r="AK1137" s="84"/>
      <c r="AM1137" s="13"/>
      <c r="AP1137"/>
      <c r="AR1137"/>
      <c r="AV1137"/>
      <c r="AW1137"/>
      <c r="AX1137"/>
      <c r="AY1137"/>
      <c r="AZ1137"/>
      <c r="BC1137"/>
      <c r="BD1137"/>
      <c r="BG1137"/>
      <c r="BH1137"/>
      <c r="BI1137"/>
      <c r="BJ1137"/>
      <c r="BS1137"/>
      <c r="BU1137"/>
      <c r="BV1137"/>
      <c r="BX1137"/>
    </row>
    <row r="1138" spans="23:76" ht="15.75">
      <c r="W1138" s="495"/>
      <c r="X1138" s="495"/>
      <c r="Y1138" s="495"/>
      <c r="Z1138" s="451"/>
      <c r="AA1138" s="145"/>
      <c r="AB1138" s="223"/>
      <c r="AC1138" s="22"/>
      <c r="AH1138" s="9"/>
      <c r="AJ1138" s="27"/>
      <c r="AK1138" s="84"/>
      <c r="AM1138" s="13"/>
      <c r="AP1138"/>
      <c r="AR1138"/>
      <c r="AV1138"/>
      <c r="AW1138"/>
      <c r="AX1138"/>
      <c r="AY1138"/>
      <c r="AZ1138"/>
      <c r="BC1138"/>
      <c r="BD1138"/>
      <c r="BG1138"/>
      <c r="BH1138"/>
      <c r="BI1138"/>
      <c r="BJ1138"/>
      <c r="BS1138"/>
      <c r="BU1138"/>
      <c r="BV1138"/>
      <c r="BX1138"/>
    </row>
    <row r="1139" spans="23:76" ht="15.75">
      <c r="W1139" s="495"/>
      <c r="X1139" s="495"/>
      <c r="Y1139" s="495"/>
      <c r="Z1139" s="451"/>
      <c r="AA1139" s="145"/>
      <c r="AB1139" s="223"/>
      <c r="AC1139" s="22"/>
      <c r="AH1139" s="9"/>
      <c r="AJ1139" s="27"/>
      <c r="AK1139" s="84"/>
      <c r="AM1139" s="13"/>
      <c r="AP1139"/>
      <c r="AR1139"/>
      <c r="AV1139"/>
      <c r="AW1139"/>
      <c r="AX1139"/>
      <c r="AY1139"/>
      <c r="AZ1139"/>
      <c r="BC1139"/>
      <c r="BD1139"/>
      <c r="BG1139"/>
      <c r="BH1139"/>
      <c r="BI1139"/>
      <c r="BJ1139"/>
      <c r="BS1139"/>
      <c r="BU1139"/>
      <c r="BV1139"/>
      <c r="BX1139"/>
    </row>
    <row r="1140" spans="23:76" ht="15.75">
      <c r="W1140" s="495"/>
      <c r="X1140" s="495"/>
      <c r="Y1140" s="495"/>
      <c r="Z1140" s="451"/>
      <c r="AA1140" s="145"/>
      <c r="AB1140" s="223"/>
      <c r="AC1140" s="22"/>
      <c r="AH1140" s="9"/>
      <c r="AJ1140" s="27"/>
      <c r="AK1140" s="84"/>
      <c r="AM1140" s="13"/>
      <c r="AP1140"/>
      <c r="AR1140"/>
      <c r="AV1140"/>
      <c r="AW1140"/>
      <c r="AX1140"/>
      <c r="AY1140"/>
      <c r="AZ1140"/>
      <c r="BC1140"/>
      <c r="BD1140"/>
      <c r="BG1140"/>
      <c r="BH1140"/>
      <c r="BI1140"/>
      <c r="BJ1140"/>
      <c r="BS1140"/>
      <c r="BU1140"/>
      <c r="BV1140"/>
      <c r="BX1140"/>
    </row>
    <row r="1141" spans="23:76" ht="15.75">
      <c r="W1141" s="495"/>
      <c r="X1141" s="495"/>
      <c r="Y1141" s="495"/>
      <c r="Z1141" s="451"/>
      <c r="AA1141" s="145"/>
      <c r="AB1141" s="223"/>
      <c r="AC1141" s="22"/>
      <c r="AH1141" s="9"/>
      <c r="AJ1141" s="27"/>
      <c r="AK1141" s="84"/>
      <c r="AM1141" s="13"/>
      <c r="AP1141"/>
      <c r="AR1141"/>
      <c r="AV1141"/>
      <c r="AW1141"/>
      <c r="AX1141"/>
      <c r="AY1141"/>
      <c r="AZ1141"/>
      <c r="BC1141"/>
      <c r="BD1141"/>
      <c r="BG1141"/>
      <c r="BH1141"/>
      <c r="BI1141"/>
      <c r="BJ1141"/>
      <c r="BS1141"/>
      <c r="BU1141"/>
      <c r="BV1141"/>
      <c r="BX1141"/>
    </row>
    <row r="1142" spans="23:76" ht="15.75">
      <c r="W1142" s="495"/>
      <c r="X1142" s="495"/>
      <c r="Y1142" s="495"/>
      <c r="Z1142" s="451"/>
      <c r="AA1142" s="145"/>
      <c r="AB1142" s="223"/>
      <c r="AC1142" s="22"/>
      <c r="AH1142" s="9"/>
      <c r="AJ1142" s="27"/>
      <c r="AK1142" s="84"/>
      <c r="AM1142" s="13"/>
      <c r="AP1142"/>
      <c r="AR1142"/>
      <c r="AV1142"/>
      <c r="AW1142"/>
      <c r="AX1142"/>
      <c r="AY1142"/>
      <c r="AZ1142"/>
      <c r="BC1142"/>
      <c r="BD1142"/>
      <c r="BG1142"/>
      <c r="BH1142"/>
      <c r="BI1142"/>
      <c r="BJ1142"/>
      <c r="BS1142"/>
      <c r="BU1142"/>
      <c r="BV1142"/>
      <c r="BX1142"/>
    </row>
    <row r="1143" spans="23:76" ht="15.75">
      <c r="W1143" s="495"/>
      <c r="X1143" s="495"/>
      <c r="Y1143" s="495"/>
      <c r="Z1143" s="451"/>
      <c r="AA1143" s="145"/>
      <c r="AB1143" s="223"/>
      <c r="AC1143" s="22"/>
      <c r="AH1143" s="9"/>
      <c r="AJ1143" s="27"/>
      <c r="AK1143" s="84"/>
      <c r="AM1143" s="13"/>
      <c r="AP1143"/>
      <c r="AR1143"/>
      <c r="AV1143"/>
      <c r="AW1143"/>
      <c r="AX1143"/>
      <c r="AY1143"/>
      <c r="AZ1143"/>
      <c r="BC1143"/>
      <c r="BD1143"/>
      <c r="BG1143"/>
      <c r="BH1143"/>
      <c r="BI1143"/>
      <c r="BJ1143"/>
      <c r="BS1143"/>
      <c r="BU1143"/>
      <c r="BV1143"/>
      <c r="BX1143"/>
    </row>
    <row r="1144" spans="23:76" ht="15.75">
      <c r="W1144" s="495"/>
      <c r="X1144" s="495"/>
      <c r="Y1144" s="495"/>
      <c r="Z1144" s="451"/>
      <c r="AA1144" s="145"/>
      <c r="AB1144" s="223"/>
      <c r="AC1144" s="22"/>
      <c r="AH1144" s="9"/>
      <c r="AJ1144" s="27"/>
      <c r="AK1144" s="84"/>
      <c r="AM1144" s="13"/>
      <c r="AP1144"/>
      <c r="AR1144"/>
      <c r="AV1144"/>
      <c r="AW1144"/>
      <c r="AX1144"/>
      <c r="AY1144"/>
      <c r="AZ1144"/>
      <c r="BC1144"/>
      <c r="BD1144"/>
      <c r="BG1144"/>
      <c r="BH1144"/>
      <c r="BI1144"/>
      <c r="BJ1144"/>
      <c r="BS1144"/>
      <c r="BU1144"/>
      <c r="BV1144"/>
      <c r="BX1144"/>
    </row>
    <row r="1145" spans="23:76" ht="15.75">
      <c r="W1145" s="495"/>
      <c r="X1145" s="495"/>
      <c r="Y1145" s="495"/>
      <c r="Z1145" s="451"/>
      <c r="AA1145" s="145"/>
      <c r="AB1145" s="223"/>
      <c r="AC1145" s="22"/>
      <c r="AH1145" s="9"/>
      <c r="AJ1145" s="27"/>
      <c r="AK1145" s="84"/>
      <c r="AM1145" s="13"/>
      <c r="AP1145"/>
      <c r="AR1145"/>
      <c r="AV1145"/>
      <c r="AW1145"/>
      <c r="AX1145"/>
      <c r="AY1145"/>
      <c r="AZ1145"/>
      <c r="BC1145"/>
      <c r="BD1145"/>
      <c r="BG1145"/>
      <c r="BH1145"/>
      <c r="BI1145"/>
      <c r="BJ1145"/>
      <c r="BS1145"/>
      <c r="BU1145"/>
      <c r="BV1145"/>
      <c r="BX1145"/>
    </row>
    <row r="1146" spans="23:76" ht="15.75">
      <c r="W1146" s="495"/>
      <c r="X1146" s="495"/>
      <c r="Y1146" s="495"/>
      <c r="Z1146" s="451"/>
      <c r="AA1146" s="145"/>
      <c r="AB1146" s="223"/>
      <c r="AC1146" s="22"/>
      <c r="AH1146" s="9"/>
      <c r="AJ1146" s="27"/>
      <c r="AK1146" s="84"/>
      <c r="AM1146" s="13"/>
      <c r="AP1146"/>
      <c r="AR1146"/>
      <c r="AV1146"/>
      <c r="AW1146"/>
      <c r="AX1146"/>
      <c r="AY1146"/>
      <c r="AZ1146"/>
      <c r="BC1146"/>
      <c r="BD1146"/>
      <c r="BG1146"/>
      <c r="BH1146"/>
      <c r="BI1146"/>
      <c r="BJ1146"/>
      <c r="BS1146"/>
      <c r="BU1146"/>
      <c r="BV1146"/>
      <c r="BX1146"/>
    </row>
    <row r="1147" spans="23:76" ht="15.75">
      <c r="W1147" s="495"/>
      <c r="X1147" s="495"/>
      <c r="Y1147" s="495"/>
      <c r="Z1147" s="451"/>
      <c r="AA1147" s="145"/>
      <c r="AB1147" s="223"/>
      <c r="AC1147" s="22"/>
      <c r="AH1147" s="9"/>
      <c r="AJ1147" s="27"/>
      <c r="AK1147" s="84"/>
      <c r="AM1147" s="13"/>
      <c r="AP1147"/>
      <c r="AR1147"/>
      <c r="AV1147"/>
      <c r="AW1147"/>
      <c r="AX1147"/>
      <c r="AY1147"/>
      <c r="AZ1147"/>
      <c r="BC1147"/>
      <c r="BD1147"/>
      <c r="BG1147"/>
      <c r="BH1147"/>
      <c r="BI1147"/>
      <c r="BJ1147"/>
      <c r="BS1147"/>
      <c r="BU1147"/>
      <c r="BV1147"/>
      <c r="BX1147"/>
    </row>
    <row r="1148" spans="23:76" ht="15.75">
      <c r="W1148" s="495"/>
      <c r="X1148" s="495"/>
      <c r="Y1148" s="495"/>
      <c r="Z1148" s="451"/>
      <c r="AA1148" s="145"/>
      <c r="AB1148" s="223"/>
      <c r="AC1148" s="22"/>
      <c r="AH1148" s="9"/>
      <c r="AJ1148" s="27"/>
      <c r="AK1148" s="84"/>
      <c r="AM1148" s="13"/>
      <c r="AP1148"/>
      <c r="AR1148"/>
      <c r="AV1148"/>
      <c r="AW1148"/>
      <c r="AX1148"/>
      <c r="AY1148"/>
      <c r="AZ1148"/>
      <c r="BC1148"/>
      <c r="BD1148"/>
      <c r="BG1148"/>
      <c r="BH1148"/>
      <c r="BI1148"/>
      <c r="BJ1148"/>
      <c r="BS1148"/>
      <c r="BU1148"/>
      <c r="BV1148"/>
      <c r="BX1148"/>
    </row>
    <row r="1149" spans="23:76" ht="15.75">
      <c r="W1149" s="495"/>
      <c r="X1149" s="495"/>
      <c r="Y1149" s="495"/>
      <c r="Z1149" s="451"/>
      <c r="AA1149" s="145"/>
      <c r="AB1149" s="223"/>
      <c r="AC1149" s="22"/>
      <c r="AH1149" s="9"/>
      <c r="AJ1149" s="27"/>
      <c r="AK1149" s="84"/>
      <c r="AM1149" s="13"/>
      <c r="AP1149"/>
      <c r="AR1149"/>
      <c r="AV1149"/>
      <c r="AW1149"/>
      <c r="AX1149"/>
      <c r="AY1149"/>
      <c r="AZ1149"/>
      <c r="BC1149"/>
      <c r="BD1149"/>
      <c r="BG1149"/>
      <c r="BH1149"/>
      <c r="BI1149"/>
      <c r="BJ1149"/>
      <c r="BS1149"/>
      <c r="BU1149"/>
      <c r="BV1149"/>
      <c r="BX1149"/>
    </row>
    <row r="1150" spans="23:76" ht="15.75">
      <c r="W1150" s="495"/>
      <c r="X1150" s="495"/>
      <c r="Y1150" s="495"/>
      <c r="Z1150" s="451"/>
      <c r="AA1150" s="145"/>
      <c r="AB1150" s="223"/>
      <c r="AC1150" s="22"/>
      <c r="AH1150" s="9"/>
      <c r="AJ1150" s="27"/>
      <c r="AK1150" s="84"/>
      <c r="AM1150" s="13"/>
      <c r="AP1150"/>
      <c r="AR1150"/>
      <c r="AV1150"/>
      <c r="AW1150"/>
      <c r="AX1150"/>
      <c r="AY1150"/>
      <c r="AZ1150"/>
      <c r="BC1150"/>
      <c r="BD1150"/>
      <c r="BG1150"/>
      <c r="BH1150"/>
      <c r="BI1150"/>
      <c r="BJ1150"/>
      <c r="BS1150"/>
      <c r="BU1150"/>
      <c r="BV1150"/>
      <c r="BX1150"/>
    </row>
    <row r="1151" spans="23:76" ht="15.75">
      <c r="W1151" s="495"/>
      <c r="X1151" s="495"/>
      <c r="Y1151" s="495"/>
      <c r="Z1151" s="451"/>
      <c r="AA1151" s="145"/>
      <c r="AB1151" s="223"/>
      <c r="AC1151" s="22"/>
      <c r="AH1151" s="9"/>
      <c r="AJ1151" s="27"/>
      <c r="AK1151" s="84"/>
      <c r="AM1151" s="13"/>
      <c r="AP1151"/>
      <c r="AR1151"/>
      <c r="AV1151"/>
      <c r="AW1151"/>
      <c r="AX1151"/>
      <c r="AY1151"/>
      <c r="AZ1151"/>
      <c r="BC1151"/>
      <c r="BD1151"/>
      <c r="BG1151"/>
      <c r="BH1151"/>
      <c r="BI1151"/>
      <c r="BJ1151"/>
      <c r="BS1151"/>
      <c r="BU1151"/>
      <c r="BV1151"/>
      <c r="BX1151"/>
    </row>
    <row r="1152" spans="23:76" ht="15.75">
      <c r="W1152" s="495"/>
      <c r="X1152" s="495"/>
      <c r="Y1152" s="495"/>
      <c r="Z1152" s="451"/>
      <c r="AA1152" s="145"/>
      <c r="AB1152" s="223"/>
      <c r="AC1152" s="22"/>
      <c r="AH1152" s="9"/>
      <c r="AJ1152" s="27"/>
      <c r="AK1152" s="84"/>
      <c r="AM1152" s="13"/>
      <c r="AP1152"/>
      <c r="AR1152"/>
      <c r="AV1152"/>
      <c r="AW1152"/>
      <c r="AX1152"/>
      <c r="AY1152"/>
      <c r="AZ1152"/>
      <c r="BC1152"/>
      <c r="BD1152"/>
      <c r="BG1152"/>
      <c r="BH1152"/>
      <c r="BI1152"/>
      <c r="BJ1152"/>
      <c r="BS1152"/>
      <c r="BU1152"/>
      <c r="BV1152"/>
      <c r="BX1152"/>
    </row>
    <row r="1153" spans="23:76" ht="15.75">
      <c r="W1153" s="495"/>
      <c r="X1153" s="495"/>
      <c r="Y1153" s="495"/>
      <c r="Z1153" s="451"/>
      <c r="AA1153" s="145"/>
      <c r="AB1153" s="223"/>
      <c r="AC1153" s="22"/>
      <c r="AH1153" s="9"/>
      <c r="AJ1153" s="27"/>
      <c r="AK1153" s="84"/>
      <c r="AM1153" s="13"/>
      <c r="AP1153"/>
      <c r="AR1153"/>
      <c r="AV1153"/>
      <c r="AW1153"/>
      <c r="AX1153"/>
      <c r="AY1153"/>
      <c r="AZ1153"/>
      <c r="BC1153"/>
      <c r="BD1153"/>
      <c r="BG1153"/>
      <c r="BH1153"/>
      <c r="BI1153"/>
      <c r="BJ1153"/>
      <c r="BS1153"/>
      <c r="BU1153"/>
      <c r="BV1153"/>
      <c r="BX1153"/>
    </row>
    <row r="1154" spans="23:76" ht="15.75">
      <c r="W1154" s="495"/>
      <c r="X1154" s="495"/>
      <c r="Y1154" s="495"/>
      <c r="Z1154" s="451"/>
      <c r="AA1154" s="145"/>
      <c r="AB1154" s="223"/>
      <c r="AC1154" s="22"/>
      <c r="AH1154" s="9"/>
      <c r="AJ1154" s="27"/>
      <c r="AK1154" s="84"/>
      <c r="AM1154" s="13"/>
      <c r="AP1154"/>
      <c r="AR1154"/>
      <c r="AV1154"/>
      <c r="AW1154"/>
      <c r="AX1154"/>
      <c r="AY1154"/>
      <c r="AZ1154"/>
      <c r="BC1154"/>
      <c r="BD1154"/>
      <c r="BG1154"/>
      <c r="BH1154"/>
      <c r="BI1154"/>
      <c r="BJ1154"/>
      <c r="BS1154"/>
      <c r="BU1154"/>
      <c r="BV1154"/>
      <c r="BX1154"/>
    </row>
    <row r="1155" spans="23:76" ht="15.75">
      <c r="W1155" s="495"/>
      <c r="X1155" s="495"/>
      <c r="Y1155" s="495"/>
      <c r="Z1155" s="451"/>
      <c r="AA1155" s="145"/>
      <c r="AB1155" s="223"/>
      <c r="AC1155" s="22"/>
      <c r="AH1155" s="9"/>
      <c r="AJ1155" s="27"/>
      <c r="AK1155" s="84"/>
      <c r="AM1155" s="13"/>
      <c r="AP1155"/>
      <c r="AR1155"/>
      <c r="AV1155"/>
      <c r="AW1155"/>
      <c r="AX1155"/>
      <c r="AY1155"/>
      <c r="AZ1155"/>
      <c r="BC1155"/>
      <c r="BD1155"/>
      <c r="BG1155"/>
      <c r="BH1155"/>
      <c r="BI1155"/>
      <c r="BJ1155"/>
      <c r="BS1155"/>
      <c r="BU1155"/>
      <c r="BV1155"/>
      <c r="BX1155"/>
    </row>
    <row r="1156" spans="23:76" ht="15.75">
      <c r="W1156" s="495"/>
      <c r="X1156" s="495"/>
      <c r="Y1156" s="495"/>
      <c r="Z1156" s="451"/>
      <c r="AA1156" s="145"/>
      <c r="AB1156" s="223"/>
      <c r="AC1156" s="22"/>
      <c r="AH1156" s="9"/>
      <c r="AJ1156" s="27"/>
      <c r="AK1156" s="84"/>
      <c r="AM1156" s="13"/>
      <c r="AP1156"/>
      <c r="AR1156"/>
      <c r="AV1156"/>
      <c r="AW1156"/>
      <c r="AX1156"/>
      <c r="AY1156"/>
      <c r="AZ1156"/>
      <c r="BC1156"/>
      <c r="BD1156"/>
      <c r="BG1156"/>
      <c r="BH1156"/>
      <c r="BI1156"/>
      <c r="BJ1156"/>
      <c r="BS1156"/>
      <c r="BU1156"/>
      <c r="BV1156"/>
      <c r="BX1156"/>
    </row>
    <row r="1157" spans="23:76" ht="15.75">
      <c r="W1157" s="495"/>
      <c r="X1157" s="495"/>
      <c r="Y1157" s="495"/>
      <c r="Z1157" s="451"/>
      <c r="AA1157" s="145"/>
      <c r="AB1157" s="223"/>
      <c r="AC1157" s="22"/>
      <c r="AH1157" s="9"/>
      <c r="AJ1157" s="27"/>
      <c r="AK1157" s="84"/>
      <c r="AM1157" s="13"/>
      <c r="AP1157"/>
      <c r="AR1157"/>
      <c r="AV1157"/>
      <c r="AW1157"/>
      <c r="AX1157"/>
      <c r="AY1157"/>
      <c r="AZ1157"/>
      <c r="BC1157"/>
      <c r="BD1157"/>
      <c r="BG1157"/>
      <c r="BH1157"/>
      <c r="BI1157"/>
      <c r="BJ1157"/>
      <c r="BS1157"/>
      <c r="BU1157"/>
      <c r="BV1157"/>
      <c r="BX1157"/>
    </row>
    <row r="1158" spans="23:76" ht="15.75">
      <c r="W1158" s="495"/>
      <c r="X1158" s="495"/>
      <c r="Y1158" s="495"/>
      <c r="Z1158" s="451"/>
      <c r="AA1158" s="145"/>
      <c r="AB1158" s="223"/>
      <c r="AC1158" s="22"/>
      <c r="AH1158" s="9"/>
      <c r="AJ1158" s="27"/>
      <c r="AK1158" s="84"/>
      <c r="AM1158" s="13"/>
      <c r="AP1158"/>
      <c r="AR1158"/>
      <c r="AV1158"/>
      <c r="AW1158"/>
      <c r="AX1158"/>
      <c r="AY1158"/>
      <c r="AZ1158"/>
      <c r="BC1158"/>
      <c r="BD1158"/>
      <c r="BG1158"/>
      <c r="BH1158"/>
      <c r="BI1158"/>
      <c r="BJ1158"/>
      <c r="BS1158"/>
      <c r="BU1158"/>
      <c r="BV1158"/>
      <c r="BX1158"/>
    </row>
    <row r="1159" spans="23:76" ht="15.75">
      <c r="W1159" s="495"/>
      <c r="X1159" s="495"/>
      <c r="Y1159" s="495"/>
      <c r="Z1159" s="451"/>
      <c r="AA1159" s="145"/>
      <c r="AB1159" s="223"/>
      <c r="AC1159" s="22"/>
      <c r="AH1159" s="9"/>
      <c r="AJ1159" s="27"/>
      <c r="AK1159" s="84"/>
      <c r="AM1159" s="13"/>
      <c r="AP1159"/>
      <c r="AR1159"/>
      <c r="AV1159"/>
      <c r="AW1159"/>
      <c r="AX1159"/>
      <c r="AY1159"/>
      <c r="AZ1159"/>
      <c r="BC1159"/>
      <c r="BD1159"/>
      <c r="BG1159"/>
      <c r="BH1159"/>
      <c r="BI1159"/>
      <c r="BJ1159"/>
      <c r="BS1159"/>
      <c r="BU1159"/>
      <c r="BV1159"/>
      <c r="BX1159"/>
    </row>
    <row r="1160" spans="23:76" ht="15.75">
      <c r="W1160" s="495"/>
      <c r="X1160" s="495"/>
      <c r="Y1160" s="495"/>
      <c r="Z1160" s="451"/>
      <c r="AA1160" s="145"/>
      <c r="AB1160" s="223"/>
      <c r="AC1160" s="22"/>
      <c r="AH1160" s="9"/>
      <c r="AJ1160" s="27"/>
      <c r="AK1160" s="84"/>
      <c r="AM1160" s="13"/>
      <c r="AP1160"/>
      <c r="AR1160"/>
      <c r="AV1160"/>
      <c r="AW1160"/>
      <c r="AX1160"/>
      <c r="AY1160"/>
      <c r="AZ1160"/>
      <c r="BC1160"/>
      <c r="BD1160"/>
      <c r="BG1160"/>
      <c r="BH1160"/>
      <c r="BI1160"/>
      <c r="BJ1160"/>
      <c r="BS1160"/>
      <c r="BU1160"/>
      <c r="BV1160"/>
      <c r="BX1160"/>
    </row>
    <row r="1161" spans="23:76" ht="15.75">
      <c r="W1161" s="495"/>
      <c r="X1161" s="495"/>
      <c r="Y1161" s="495"/>
      <c r="Z1161" s="451"/>
      <c r="AA1161" s="145"/>
      <c r="AB1161" s="223"/>
      <c r="AC1161" s="22"/>
      <c r="AH1161" s="9"/>
      <c r="AJ1161" s="27"/>
      <c r="AK1161" s="84"/>
      <c r="AM1161" s="13"/>
      <c r="AP1161"/>
      <c r="AR1161"/>
      <c r="AV1161"/>
      <c r="AW1161"/>
      <c r="AX1161"/>
      <c r="AY1161"/>
      <c r="AZ1161"/>
      <c r="BC1161"/>
      <c r="BD1161"/>
      <c r="BG1161"/>
      <c r="BH1161"/>
      <c r="BI1161"/>
      <c r="BJ1161"/>
      <c r="BS1161"/>
      <c r="BU1161"/>
      <c r="BV1161"/>
      <c r="BX1161"/>
    </row>
    <row r="1162" spans="23:76" ht="15.75">
      <c r="W1162" s="495"/>
      <c r="X1162" s="495"/>
      <c r="Y1162" s="495"/>
      <c r="Z1162" s="451"/>
      <c r="AA1162" s="145"/>
      <c r="AB1162" s="223"/>
      <c r="AC1162" s="22"/>
      <c r="AH1162" s="9"/>
      <c r="AJ1162" s="27"/>
      <c r="AK1162" s="84"/>
      <c r="AM1162" s="13"/>
      <c r="AP1162"/>
      <c r="AR1162"/>
      <c r="AV1162"/>
      <c r="AW1162"/>
      <c r="AX1162"/>
      <c r="AY1162"/>
      <c r="AZ1162"/>
      <c r="BC1162"/>
      <c r="BD1162"/>
      <c r="BG1162"/>
      <c r="BH1162"/>
      <c r="BI1162"/>
      <c r="BJ1162"/>
      <c r="BS1162"/>
      <c r="BU1162"/>
      <c r="BV1162"/>
      <c r="BX1162"/>
    </row>
    <row r="1163" spans="23:76" ht="15.75">
      <c r="W1163" s="495"/>
      <c r="X1163" s="495"/>
      <c r="Y1163" s="495"/>
      <c r="Z1163" s="451"/>
      <c r="AA1163" s="145"/>
      <c r="AB1163" s="223"/>
      <c r="AC1163" s="22"/>
      <c r="AH1163" s="9"/>
      <c r="AJ1163" s="27"/>
      <c r="AK1163" s="84"/>
      <c r="AM1163" s="13"/>
      <c r="AP1163"/>
      <c r="AR1163"/>
      <c r="AV1163"/>
      <c r="AW1163"/>
      <c r="AX1163"/>
      <c r="AY1163"/>
      <c r="AZ1163"/>
      <c r="BC1163"/>
      <c r="BD1163"/>
      <c r="BG1163"/>
      <c r="BH1163"/>
      <c r="BI1163"/>
      <c r="BJ1163"/>
      <c r="BS1163"/>
      <c r="BU1163"/>
      <c r="BV1163"/>
      <c r="BX1163"/>
    </row>
    <row r="1164" spans="23:76" ht="15.75">
      <c r="W1164" s="495"/>
      <c r="X1164" s="495"/>
      <c r="Y1164" s="495"/>
      <c r="Z1164" s="451"/>
      <c r="AA1164" s="145"/>
      <c r="AB1164" s="223"/>
      <c r="AC1164" s="22"/>
      <c r="AH1164" s="9"/>
      <c r="AJ1164" s="27"/>
      <c r="AK1164" s="84"/>
      <c r="AM1164" s="13"/>
      <c r="AP1164"/>
      <c r="AR1164"/>
      <c r="AV1164"/>
      <c r="AW1164"/>
      <c r="AX1164"/>
      <c r="AY1164"/>
      <c r="AZ1164"/>
      <c r="BC1164"/>
      <c r="BD1164"/>
      <c r="BG1164"/>
      <c r="BH1164"/>
      <c r="BI1164"/>
      <c r="BJ1164"/>
      <c r="BS1164"/>
      <c r="BU1164"/>
      <c r="BV1164"/>
      <c r="BX1164"/>
    </row>
    <row r="1165" spans="23:76" ht="15.75">
      <c r="W1165" s="495"/>
      <c r="X1165" s="495"/>
      <c r="Y1165" s="495"/>
      <c r="Z1165" s="451"/>
      <c r="AA1165" s="145"/>
      <c r="AB1165" s="223"/>
      <c r="AC1165" s="22"/>
      <c r="AH1165" s="9"/>
      <c r="AJ1165" s="27"/>
      <c r="AK1165" s="84"/>
      <c r="AM1165" s="13"/>
      <c r="AP1165"/>
      <c r="AR1165"/>
      <c r="AV1165"/>
      <c r="AW1165"/>
      <c r="AX1165"/>
      <c r="AY1165"/>
      <c r="AZ1165"/>
      <c r="BC1165"/>
      <c r="BD1165"/>
      <c r="BG1165"/>
      <c r="BH1165"/>
      <c r="BI1165"/>
      <c r="BJ1165"/>
      <c r="BS1165"/>
      <c r="BU1165"/>
      <c r="BV1165"/>
      <c r="BX1165"/>
    </row>
    <row r="1166" spans="23:76" ht="15.75">
      <c r="W1166" s="495"/>
      <c r="X1166" s="495"/>
      <c r="Y1166" s="495"/>
      <c r="Z1166" s="451"/>
      <c r="AA1166" s="145"/>
      <c r="AB1166" s="223"/>
      <c r="AC1166" s="22"/>
      <c r="AH1166" s="9"/>
      <c r="AJ1166" s="27"/>
      <c r="AK1166" s="84"/>
      <c r="AM1166" s="13"/>
      <c r="AP1166"/>
      <c r="AR1166"/>
      <c r="AV1166"/>
      <c r="AW1166"/>
      <c r="AX1166"/>
      <c r="AY1166"/>
      <c r="AZ1166"/>
      <c r="BC1166"/>
      <c r="BD1166"/>
      <c r="BG1166"/>
      <c r="BH1166"/>
      <c r="BI1166"/>
      <c r="BJ1166"/>
      <c r="BS1166"/>
      <c r="BU1166"/>
      <c r="BV1166"/>
      <c r="BX1166"/>
    </row>
    <row r="1167" spans="23:76" ht="15.75">
      <c r="W1167" s="495"/>
      <c r="X1167" s="495"/>
      <c r="Y1167" s="495"/>
      <c r="Z1167" s="451"/>
      <c r="AA1167" s="145"/>
      <c r="AB1167" s="223"/>
      <c r="AC1167" s="22"/>
      <c r="AH1167" s="9"/>
      <c r="AJ1167" s="27"/>
      <c r="AK1167" s="84"/>
      <c r="AM1167" s="13"/>
      <c r="AP1167"/>
      <c r="AR1167"/>
      <c r="AV1167"/>
      <c r="AW1167"/>
      <c r="AX1167"/>
      <c r="AY1167"/>
      <c r="AZ1167"/>
      <c r="BC1167"/>
      <c r="BD1167"/>
      <c r="BG1167"/>
      <c r="BH1167"/>
      <c r="BI1167"/>
      <c r="BJ1167"/>
      <c r="BS1167"/>
      <c r="BU1167"/>
      <c r="BV1167"/>
      <c r="BX1167"/>
    </row>
    <row r="1168" spans="23:76" ht="15.75">
      <c r="W1168" s="495"/>
      <c r="X1168" s="495"/>
      <c r="Y1168" s="495"/>
      <c r="Z1168" s="451"/>
      <c r="AA1168" s="145"/>
      <c r="AB1168" s="223"/>
      <c r="AC1168" s="22"/>
      <c r="AH1168" s="9"/>
      <c r="AJ1168" s="27"/>
      <c r="AK1168" s="84"/>
      <c r="AM1168" s="13"/>
      <c r="AP1168"/>
      <c r="AR1168"/>
      <c r="AV1168"/>
      <c r="AW1168"/>
      <c r="AX1168"/>
      <c r="AY1168"/>
      <c r="AZ1168"/>
      <c r="BC1168"/>
      <c r="BD1168"/>
      <c r="BG1168"/>
      <c r="BH1168"/>
      <c r="BI1168"/>
      <c r="BJ1168"/>
      <c r="BS1168"/>
      <c r="BU1168"/>
      <c r="BV1168"/>
      <c r="BX1168"/>
    </row>
    <row r="1169" spans="23:76" ht="15.75">
      <c r="W1169" s="495"/>
      <c r="X1169" s="495"/>
      <c r="Y1169" s="495"/>
      <c r="Z1169" s="451"/>
      <c r="AA1169" s="145"/>
      <c r="AB1169" s="223"/>
      <c r="AC1169" s="22"/>
      <c r="AH1169" s="9"/>
      <c r="AJ1169" s="27"/>
      <c r="AK1169" s="84"/>
      <c r="AM1169" s="13"/>
      <c r="AP1169"/>
      <c r="AR1169"/>
      <c r="AV1169"/>
      <c r="AW1169"/>
      <c r="AX1169"/>
      <c r="AY1169"/>
      <c r="AZ1169"/>
      <c r="BC1169"/>
      <c r="BD1169"/>
      <c r="BG1169"/>
      <c r="BH1169"/>
      <c r="BI1169"/>
      <c r="BJ1169"/>
      <c r="BS1169"/>
      <c r="BU1169"/>
      <c r="BV1169"/>
      <c r="BX1169"/>
    </row>
    <row r="1170" spans="23:76" ht="15.75">
      <c r="W1170" s="495"/>
      <c r="X1170" s="495"/>
      <c r="Y1170" s="495"/>
      <c r="Z1170" s="451"/>
      <c r="AA1170" s="145"/>
      <c r="AB1170" s="223"/>
      <c r="AC1170" s="22"/>
      <c r="AH1170" s="9"/>
      <c r="AJ1170" s="27"/>
      <c r="AK1170" s="84"/>
      <c r="AM1170" s="13"/>
      <c r="AP1170"/>
      <c r="AR1170"/>
      <c r="AV1170"/>
      <c r="AW1170"/>
      <c r="AX1170"/>
      <c r="AY1170"/>
      <c r="AZ1170"/>
      <c r="BC1170"/>
      <c r="BD1170"/>
      <c r="BG1170"/>
      <c r="BH1170"/>
      <c r="BI1170"/>
      <c r="BJ1170"/>
      <c r="BS1170"/>
      <c r="BU1170"/>
      <c r="BV1170"/>
      <c r="BX1170"/>
    </row>
    <row r="1171" spans="23:76" ht="15.75">
      <c r="W1171" s="495"/>
      <c r="X1171" s="495"/>
      <c r="Y1171" s="495"/>
      <c r="Z1171" s="451"/>
      <c r="AA1171" s="145"/>
      <c r="AB1171" s="223"/>
      <c r="AC1171" s="22"/>
      <c r="AH1171" s="9"/>
      <c r="AJ1171" s="27"/>
      <c r="AK1171" s="84"/>
      <c r="AM1171" s="13"/>
      <c r="AP1171"/>
      <c r="AR1171"/>
      <c r="AV1171"/>
      <c r="AW1171"/>
      <c r="AX1171"/>
      <c r="AY1171"/>
      <c r="AZ1171"/>
      <c r="BC1171"/>
      <c r="BD1171"/>
      <c r="BG1171"/>
      <c r="BH1171"/>
      <c r="BI1171"/>
      <c r="BJ1171"/>
      <c r="BS1171"/>
      <c r="BU1171"/>
      <c r="BV1171"/>
      <c r="BX1171"/>
    </row>
    <row r="1172" spans="23:76" ht="15.75">
      <c r="W1172" s="495"/>
      <c r="X1172" s="495"/>
      <c r="Y1172" s="495"/>
      <c r="Z1172" s="451"/>
      <c r="AA1172" s="145"/>
      <c r="AB1172" s="223"/>
      <c r="AC1172" s="22"/>
      <c r="AH1172" s="9"/>
      <c r="AJ1172" s="27"/>
      <c r="AK1172" s="84"/>
      <c r="AM1172" s="13"/>
      <c r="AP1172"/>
      <c r="AR1172"/>
      <c r="AV1172"/>
      <c r="AW1172"/>
      <c r="AX1172"/>
      <c r="AY1172"/>
      <c r="AZ1172"/>
      <c r="BC1172"/>
      <c r="BD1172"/>
      <c r="BG1172"/>
      <c r="BH1172"/>
      <c r="BI1172"/>
      <c r="BJ1172"/>
      <c r="BS1172"/>
      <c r="BU1172"/>
      <c r="BV1172"/>
      <c r="BX1172"/>
    </row>
    <row r="1173" spans="23:76" ht="15.75">
      <c r="W1173" s="495"/>
      <c r="X1173" s="495"/>
      <c r="Y1173" s="495"/>
      <c r="Z1173" s="451"/>
      <c r="AA1173" s="145"/>
      <c r="AB1173" s="223"/>
      <c r="AC1173" s="22"/>
      <c r="AH1173" s="9"/>
      <c r="AJ1173" s="27"/>
      <c r="AK1173" s="84"/>
      <c r="AM1173" s="13"/>
      <c r="AP1173"/>
      <c r="AR1173"/>
      <c r="AV1173"/>
      <c r="AW1173"/>
      <c r="AX1173"/>
      <c r="AY1173"/>
      <c r="AZ1173"/>
      <c r="BC1173"/>
      <c r="BD1173"/>
      <c r="BG1173"/>
      <c r="BH1173"/>
      <c r="BI1173"/>
      <c r="BJ1173"/>
      <c r="BS1173"/>
      <c r="BU1173"/>
      <c r="BV1173"/>
      <c r="BX1173"/>
    </row>
    <row r="1174" spans="23:76" ht="15.75">
      <c r="W1174" s="495"/>
      <c r="X1174" s="495"/>
      <c r="Y1174" s="495"/>
      <c r="Z1174" s="451"/>
      <c r="AA1174" s="145"/>
      <c r="AB1174" s="223"/>
      <c r="AC1174" s="22"/>
      <c r="AH1174" s="9"/>
      <c r="AJ1174" s="27"/>
      <c r="AK1174" s="84"/>
      <c r="AM1174" s="13"/>
      <c r="AP1174"/>
      <c r="AR1174"/>
      <c r="AV1174"/>
      <c r="AW1174"/>
      <c r="AX1174"/>
      <c r="AY1174"/>
      <c r="AZ1174"/>
      <c r="BC1174"/>
      <c r="BD1174"/>
      <c r="BG1174"/>
      <c r="BH1174"/>
      <c r="BI1174"/>
      <c r="BJ1174"/>
      <c r="BS1174"/>
      <c r="BU1174"/>
      <c r="BV1174"/>
      <c r="BX1174"/>
    </row>
    <row r="1175" spans="23:76" ht="15.75">
      <c r="W1175" s="495"/>
      <c r="X1175" s="495"/>
      <c r="Y1175" s="495"/>
      <c r="Z1175" s="451"/>
      <c r="AA1175" s="145"/>
      <c r="AB1175" s="223"/>
      <c r="AC1175" s="22"/>
      <c r="AH1175" s="9"/>
      <c r="AJ1175" s="27"/>
      <c r="AK1175" s="84"/>
      <c r="AM1175" s="13"/>
      <c r="AP1175"/>
      <c r="AR1175"/>
      <c r="AV1175"/>
      <c r="AW1175"/>
      <c r="AX1175"/>
      <c r="AY1175"/>
      <c r="AZ1175"/>
      <c r="BC1175"/>
      <c r="BD1175"/>
      <c r="BG1175"/>
      <c r="BH1175"/>
      <c r="BI1175"/>
      <c r="BJ1175"/>
      <c r="BS1175"/>
      <c r="BU1175"/>
      <c r="BV1175"/>
      <c r="BX1175"/>
    </row>
    <row r="1176" spans="23:76" ht="15.75">
      <c r="W1176" s="495"/>
      <c r="X1176" s="495"/>
      <c r="Y1176" s="495"/>
      <c r="Z1176" s="451"/>
      <c r="AA1176" s="145"/>
      <c r="AB1176" s="223"/>
      <c r="AC1176" s="22"/>
      <c r="AH1176" s="9"/>
      <c r="AJ1176" s="27"/>
      <c r="AK1176" s="84"/>
      <c r="AM1176" s="13"/>
      <c r="AP1176"/>
      <c r="AR1176"/>
      <c r="AV1176"/>
      <c r="AW1176"/>
      <c r="AX1176"/>
      <c r="AY1176"/>
      <c r="AZ1176"/>
      <c r="BC1176"/>
      <c r="BD1176"/>
      <c r="BG1176"/>
      <c r="BH1176"/>
      <c r="BI1176"/>
      <c r="BJ1176"/>
      <c r="BS1176"/>
      <c r="BU1176"/>
      <c r="BV1176"/>
      <c r="BX1176"/>
    </row>
    <row r="1177" spans="23:76" ht="15.75">
      <c r="W1177" s="495"/>
      <c r="X1177" s="495"/>
      <c r="Y1177" s="495"/>
      <c r="Z1177" s="451"/>
      <c r="AA1177" s="145"/>
      <c r="AB1177" s="223"/>
      <c r="AC1177" s="22"/>
      <c r="AH1177" s="9"/>
      <c r="AJ1177" s="27"/>
      <c r="AK1177" s="84"/>
      <c r="AM1177" s="13"/>
      <c r="AP1177"/>
      <c r="AR1177"/>
      <c r="AV1177"/>
      <c r="AW1177"/>
      <c r="AX1177"/>
      <c r="AY1177"/>
      <c r="AZ1177"/>
      <c r="BC1177"/>
      <c r="BD1177"/>
      <c r="BG1177"/>
      <c r="BH1177"/>
      <c r="BI1177"/>
      <c r="BJ1177"/>
      <c r="BS1177"/>
      <c r="BU1177"/>
      <c r="BV1177"/>
      <c r="BX1177"/>
    </row>
    <row r="1178" spans="23:76" ht="15.75">
      <c r="W1178" s="495"/>
      <c r="X1178" s="495"/>
      <c r="Y1178" s="495"/>
      <c r="Z1178" s="451"/>
      <c r="AA1178" s="145"/>
      <c r="AB1178" s="223"/>
      <c r="AC1178" s="22"/>
      <c r="AH1178" s="9"/>
      <c r="AJ1178" s="27"/>
      <c r="AK1178" s="84"/>
      <c r="AM1178" s="13"/>
      <c r="AP1178"/>
      <c r="AR1178"/>
      <c r="AV1178"/>
      <c r="AW1178"/>
      <c r="AX1178"/>
      <c r="AY1178"/>
      <c r="AZ1178"/>
      <c r="BC1178"/>
      <c r="BD1178"/>
      <c r="BG1178"/>
      <c r="BH1178"/>
      <c r="BI1178"/>
      <c r="BJ1178"/>
      <c r="BS1178"/>
      <c r="BU1178"/>
      <c r="BV1178"/>
      <c r="BX1178"/>
    </row>
    <row r="1179" spans="23:76" ht="15.75">
      <c r="W1179" s="495"/>
      <c r="X1179" s="495"/>
      <c r="Y1179" s="495"/>
      <c r="Z1179" s="451"/>
      <c r="AA1179" s="145"/>
      <c r="AB1179" s="223"/>
      <c r="AC1179" s="22"/>
      <c r="AH1179" s="9"/>
      <c r="AJ1179" s="27"/>
      <c r="AK1179" s="84"/>
      <c r="AM1179" s="13"/>
      <c r="AP1179"/>
      <c r="AR1179"/>
      <c r="AV1179"/>
      <c r="AW1179"/>
      <c r="AX1179"/>
      <c r="AY1179"/>
      <c r="AZ1179"/>
      <c r="BC1179"/>
      <c r="BD1179"/>
      <c r="BG1179"/>
      <c r="BH1179"/>
      <c r="BI1179"/>
      <c r="BJ1179"/>
      <c r="BS1179"/>
      <c r="BU1179"/>
      <c r="BV1179"/>
      <c r="BX1179"/>
    </row>
    <row r="1180" spans="23:76" ht="15.75">
      <c r="W1180" s="495"/>
      <c r="X1180" s="495"/>
      <c r="Y1180" s="495"/>
      <c r="Z1180" s="451"/>
      <c r="AA1180" s="145"/>
      <c r="AB1180" s="223"/>
      <c r="AC1180" s="22"/>
      <c r="AH1180" s="9"/>
      <c r="AJ1180" s="27"/>
      <c r="AK1180" s="84"/>
      <c r="AM1180" s="13"/>
      <c r="AP1180"/>
      <c r="AR1180"/>
      <c r="AV1180"/>
      <c r="AW1180"/>
      <c r="AX1180"/>
      <c r="AY1180"/>
      <c r="AZ1180"/>
      <c r="BC1180"/>
      <c r="BD1180"/>
      <c r="BG1180"/>
      <c r="BH1180"/>
      <c r="BI1180"/>
      <c r="BJ1180"/>
      <c r="BS1180"/>
      <c r="BU1180"/>
      <c r="BV1180"/>
      <c r="BX1180"/>
    </row>
    <row r="1181" spans="23:76" ht="15.75">
      <c r="W1181" s="495"/>
      <c r="X1181" s="495"/>
      <c r="Y1181" s="495"/>
      <c r="Z1181" s="451"/>
      <c r="AA1181" s="145"/>
      <c r="AB1181" s="223"/>
      <c r="AC1181" s="22"/>
      <c r="AH1181" s="9"/>
      <c r="AJ1181" s="27"/>
      <c r="AK1181" s="84"/>
      <c r="AM1181" s="13"/>
      <c r="AP1181"/>
      <c r="AR1181"/>
      <c r="AV1181"/>
      <c r="AW1181"/>
      <c r="AX1181"/>
      <c r="AY1181"/>
      <c r="AZ1181"/>
      <c r="BC1181"/>
      <c r="BD1181"/>
      <c r="BG1181"/>
      <c r="BH1181"/>
      <c r="BI1181"/>
      <c r="BJ1181"/>
      <c r="BS1181"/>
      <c r="BU1181"/>
      <c r="BV1181"/>
      <c r="BX1181"/>
    </row>
    <row r="1182" spans="23:76" ht="15.75">
      <c r="W1182" s="495"/>
      <c r="X1182" s="495"/>
      <c r="Y1182" s="495"/>
      <c r="Z1182" s="451"/>
      <c r="AA1182" s="145"/>
      <c r="AB1182" s="223"/>
      <c r="AC1182" s="22"/>
      <c r="AH1182" s="9"/>
      <c r="AJ1182" s="27"/>
      <c r="AK1182" s="84"/>
      <c r="AM1182" s="13"/>
      <c r="AP1182"/>
      <c r="AR1182"/>
      <c r="AV1182"/>
      <c r="AW1182"/>
      <c r="AX1182"/>
      <c r="AY1182"/>
      <c r="AZ1182"/>
      <c r="BC1182"/>
      <c r="BD1182"/>
      <c r="BG1182"/>
      <c r="BH1182"/>
      <c r="BI1182"/>
      <c r="BJ1182"/>
      <c r="BS1182"/>
      <c r="BU1182"/>
      <c r="BV1182"/>
      <c r="BX1182"/>
    </row>
    <row r="1183" spans="23:76" ht="15.75">
      <c r="W1183" s="495"/>
      <c r="X1183" s="495"/>
      <c r="Y1183" s="495"/>
      <c r="Z1183" s="451"/>
      <c r="AA1183" s="145"/>
      <c r="AB1183" s="223"/>
      <c r="AC1183" s="22"/>
      <c r="AH1183" s="9"/>
      <c r="AJ1183" s="27"/>
      <c r="AK1183" s="84"/>
      <c r="AM1183" s="13"/>
      <c r="AP1183"/>
      <c r="AR1183"/>
      <c r="AV1183"/>
      <c r="AW1183"/>
      <c r="AX1183"/>
      <c r="AY1183"/>
      <c r="AZ1183"/>
      <c r="BC1183"/>
      <c r="BD1183"/>
      <c r="BG1183"/>
      <c r="BH1183"/>
      <c r="BI1183"/>
      <c r="BJ1183"/>
      <c r="BS1183"/>
      <c r="BU1183"/>
      <c r="BV1183"/>
      <c r="BX1183"/>
    </row>
    <row r="1184" spans="23:76" ht="15.75">
      <c r="W1184" s="495"/>
      <c r="X1184" s="495"/>
      <c r="Y1184" s="495"/>
      <c r="Z1184" s="451"/>
      <c r="AA1184" s="145"/>
      <c r="AB1184" s="223"/>
      <c r="AC1184" s="22"/>
      <c r="AH1184" s="9"/>
      <c r="AJ1184" s="27"/>
      <c r="AK1184" s="84"/>
      <c r="AM1184" s="13"/>
      <c r="AP1184"/>
      <c r="AR1184"/>
      <c r="AV1184"/>
      <c r="AW1184"/>
      <c r="AX1184"/>
      <c r="AY1184"/>
      <c r="AZ1184"/>
      <c r="BC1184"/>
      <c r="BD1184"/>
      <c r="BG1184"/>
      <c r="BH1184"/>
      <c r="BI1184"/>
      <c r="BJ1184"/>
      <c r="BS1184"/>
      <c r="BU1184"/>
      <c r="BV1184"/>
      <c r="BX1184"/>
    </row>
    <row r="1185" spans="23:76" ht="15.75">
      <c r="W1185" s="495"/>
      <c r="X1185" s="495"/>
      <c r="Y1185" s="495"/>
      <c r="Z1185" s="451"/>
      <c r="AA1185" s="145"/>
      <c r="AB1185" s="223"/>
      <c r="AC1185" s="22"/>
      <c r="AH1185" s="9"/>
      <c r="AJ1185" s="27"/>
      <c r="AK1185" s="84"/>
      <c r="AM1185" s="13"/>
      <c r="AP1185"/>
      <c r="AR1185"/>
      <c r="AV1185"/>
      <c r="AW1185"/>
      <c r="AX1185"/>
      <c r="AY1185"/>
      <c r="AZ1185"/>
      <c r="BC1185"/>
      <c r="BD1185"/>
      <c r="BG1185"/>
      <c r="BH1185"/>
      <c r="BI1185"/>
      <c r="BJ1185"/>
      <c r="BS1185"/>
      <c r="BU1185"/>
      <c r="BV1185"/>
      <c r="BX1185"/>
    </row>
    <row r="1186" spans="23:76" ht="15.75">
      <c r="W1186" s="495"/>
      <c r="X1186" s="495"/>
      <c r="Y1186" s="495"/>
      <c r="Z1186" s="451"/>
      <c r="AA1186" s="145"/>
      <c r="AB1186" s="223"/>
      <c r="AC1186" s="22"/>
      <c r="AH1186" s="9"/>
      <c r="AJ1186" s="27"/>
      <c r="AK1186" s="84"/>
      <c r="AM1186" s="13"/>
      <c r="AP1186"/>
      <c r="AR1186"/>
      <c r="AV1186"/>
      <c r="AW1186"/>
      <c r="AX1186"/>
      <c r="AY1186"/>
      <c r="AZ1186"/>
      <c r="BC1186"/>
      <c r="BD1186"/>
      <c r="BG1186"/>
      <c r="BH1186"/>
      <c r="BI1186"/>
      <c r="BJ1186"/>
      <c r="BS1186"/>
      <c r="BU1186"/>
      <c r="BV1186"/>
      <c r="BX1186"/>
    </row>
    <row r="1187" spans="23:76" ht="15.75">
      <c r="W1187" s="495"/>
      <c r="X1187" s="495"/>
      <c r="Y1187" s="495"/>
      <c r="Z1187" s="451"/>
      <c r="AA1187" s="145"/>
      <c r="AB1187" s="223"/>
      <c r="AC1187" s="22"/>
      <c r="AH1187" s="9"/>
      <c r="AJ1187" s="27"/>
      <c r="AK1187" s="84"/>
      <c r="AM1187" s="13"/>
      <c r="AP1187"/>
      <c r="AR1187"/>
      <c r="AV1187"/>
      <c r="AW1187"/>
      <c r="AX1187"/>
      <c r="AY1187"/>
      <c r="AZ1187"/>
      <c r="BC1187"/>
      <c r="BD1187"/>
      <c r="BG1187"/>
      <c r="BH1187"/>
      <c r="BI1187"/>
      <c r="BJ1187"/>
      <c r="BS1187"/>
      <c r="BU1187"/>
      <c r="BV1187"/>
      <c r="BX1187"/>
    </row>
    <row r="1188" spans="23:76" ht="15.75">
      <c r="W1188" s="495"/>
      <c r="X1188" s="495"/>
      <c r="Y1188" s="495"/>
      <c r="Z1188" s="451"/>
      <c r="AA1188" s="145"/>
      <c r="AB1188" s="223"/>
      <c r="AC1188" s="22"/>
      <c r="AH1188" s="9"/>
      <c r="AJ1188" s="27"/>
      <c r="AK1188" s="84"/>
      <c r="AM1188" s="13"/>
      <c r="AP1188"/>
      <c r="AR1188"/>
      <c r="AV1188"/>
      <c r="AW1188"/>
      <c r="AX1188"/>
      <c r="AY1188"/>
      <c r="AZ1188"/>
      <c r="BC1188"/>
      <c r="BD1188"/>
      <c r="BG1188"/>
      <c r="BH1188"/>
      <c r="BI1188"/>
      <c r="BJ1188"/>
      <c r="BS1188"/>
      <c r="BU1188"/>
      <c r="BV1188"/>
      <c r="BX1188"/>
    </row>
    <row r="1189" spans="23:76" ht="15.75">
      <c r="W1189" s="495"/>
      <c r="X1189" s="495"/>
      <c r="Y1189" s="495"/>
      <c r="Z1189" s="451"/>
      <c r="AA1189" s="145"/>
      <c r="AB1189" s="223"/>
      <c r="AC1189" s="22"/>
      <c r="AH1189" s="9"/>
      <c r="AJ1189" s="27"/>
      <c r="AK1189" s="84"/>
      <c r="AM1189" s="13"/>
      <c r="AP1189"/>
      <c r="AR1189"/>
      <c r="AV1189"/>
      <c r="AW1189"/>
      <c r="AX1189"/>
      <c r="AY1189"/>
      <c r="AZ1189"/>
      <c r="BC1189"/>
      <c r="BD1189"/>
      <c r="BG1189"/>
      <c r="BH1189"/>
      <c r="BI1189"/>
      <c r="BJ1189"/>
      <c r="BS1189"/>
      <c r="BU1189"/>
      <c r="BV1189"/>
      <c r="BX1189"/>
    </row>
    <row r="1190" spans="23:76" ht="15.75">
      <c r="W1190" s="495"/>
      <c r="X1190" s="495"/>
      <c r="Y1190" s="495"/>
      <c r="Z1190" s="451"/>
      <c r="AA1190" s="145"/>
      <c r="AB1190" s="223"/>
      <c r="AC1190" s="22"/>
      <c r="AH1190" s="9"/>
      <c r="AJ1190" s="27"/>
      <c r="AK1190" s="84"/>
      <c r="AM1190" s="13"/>
      <c r="AP1190"/>
      <c r="AR1190"/>
      <c r="AV1190"/>
      <c r="AW1190"/>
      <c r="AX1190"/>
      <c r="AY1190"/>
      <c r="AZ1190"/>
      <c r="BC1190"/>
      <c r="BD1190"/>
      <c r="BG1190"/>
      <c r="BH1190"/>
      <c r="BI1190"/>
      <c r="BJ1190"/>
      <c r="BS1190"/>
      <c r="BU1190"/>
      <c r="BV1190"/>
      <c r="BX1190"/>
    </row>
    <row r="1191" spans="23:76" ht="15.75">
      <c r="W1191" s="495"/>
      <c r="X1191" s="495"/>
      <c r="Y1191" s="495"/>
      <c r="Z1191" s="451"/>
      <c r="AA1191" s="145"/>
      <c r="AB1191" s="223"/>
      <c r="AC1191" s="22"/>
      <c r="AH1191" s="9"/>
      <c r="AJ1191" s="27"/>
      <c r="AK1191" s="84"/>
      <c r="AM1191" s="13"/>
      <c r="AP1191"/>
      <c r="AR1191"/>
      <c r="AV1191"/>
      <c r="AW1191"/>
      <c r="AX1191"/>
      <c r="AY1191"/>
      <c r="AZ1191"/>
      <c r="BC1191"/>
      <c r="BD1191"/>
      <c r="BG1191"/>
      <c r="BH1191"/>
      <c r="BI1191"/>
      <c r="BJ1191"/>
      <c r="BS1191"/>
      <c r="BU1191"/>
      <c r="BV1191"/>
      <c r="BX1191"/>
    </row>
    <row r="1192" spans="23:76" ht="15.75">
      <c r="W1192" s="495"/>
      <c r="X1192" s="495"/>
      <c r="Y1192" s="495"/>
      <c r="Z1192" s="451"/>
      <c r="AA1192" s="145"/>
      <c r="AB1192" s="223"/>
      <c r="AC1192" s="22"/>
      <c r="AH1192" s="9"/>
      <c r="AJ1192" s="27"/>
      <c r="AK1192" s="84"/>
      <c r="AM1192" s="13"/>
      <c r="AP1192"/>
      <c r="AR1192"/>
      <c r="AV1192"/>
      <c r="AW1192"/>
      <c r="AX1192"/>
      <c r="AY1192"/>
      <c r="AZ1192"/>
      <c r="BC1192"/>
      <c r="BD1192"/>
      <c r="BG1192"/>
      <c r="BH1192"/>
      <c r="BI1192"/>
      <c r="BJ1192"/>
      <c r="BS1192"/>
      <c r="BU1192"/>
      <c r="BV1192"/>
      <c r="BX1192"/>
    </row>
    <row r="1193" spans="23:76" ht="15.75">
      <c r="W1193" s="495"/>
      <c r="X1193" s="495"/>
      <c r="Y1193" s="495"/>
      <c r="Z1193" s="451"/>
      <c r="AA1193" s="145"/>
      <c r="AB1193" s="223"/>
      <c r="AC1193" s="22"/>
      <c r="AH1193" s="9"/>
      <c r="AJ1193" s="27"/>
      <c r="AK1193" s="84"/>
      <c r="AM1193" s="13"/>
      <c r="AP1193"/>
      <c r="AR1193"/>
      <c r="AV1193"/>
      <c r="AW1193"/>
      <c r="AX1193"/>
      <c r="AY1193"/>
      <c r="AZ1193"/>
      <c r="BC1193"/>
      <c r="BD1193"/>
      <c r="BG1193"/>
      <c r="BH1193"/>
      <c r="BI1193"/>
      <c r="BJ1193"/>
      <c r="BS1193"/>
      <c r="BU1193"/>
      <c r="BV1193"/>
      <c r="BX1193"/>
    </row>
    <row r="1194" spans="23:76" ht="15.75">
      <c r="W1194" s="495"/>
      <c r="X1194" s="495"/>
      <c r="Y1194" s="495"/>
      <c r="Z1194" s="451"/>
      <c r="AA1194" s="145"/>
      <c r="AB1194" s="223"/>
      <c r="AC1194" s="22"/>
      <c r="AH1194" s="9"/>
      <c r="AJ1194" s="27"/>
      <c r="AK1194" s="84"/>
      <c r="AM1194" s="13"/>
      <c r="AP1194"/>
      <c r="AR1194"/>
      <c r="AV1194"/>
      <c r="AW1194"/>
      <c r="AX1194"/>
      <c r="AY1194"/>
      <c r="AZ1194"/>
      <c r="BC1194"/>
      <c r="BD1194"/>
      <c r="BG1194"/>
      <c r="BH1194"/>
      <c r="BI1194"/>
      <c r="BJ1194"/>
      <c r="BS1194"/>
      <c r="BU1194"/>
      <c r="BV1194"/>
      <c r="BX1194"/>
    </row>
    <row r="1195" spans="23:76" ht="15.75">
      <c r="W1195" s="495"/>
      <c r="X1195" s="495"/>
      <c r="Y1195" s="495"/>
      <c r="Z1195" s="451"/>
      <c r="AA1195" s="145"/>
      <c r="AB1195" s="223"/>
      <c r="AC1195" s="22"/>
      <c r="AH1195" s="9"/>
      <c r="AJ1195" s="27"/>
      <c r="AK1195" s="84"/>
      <c r="AM1195" s="13"/>
      <c r="AP1195"/>
      <c r="AR1195"/>
      <c r="AV1195"/>
      <c r="AW1195"/>
      <c r="AX1195"/>
      <c r="AY1195"/>
      <c r="AZ1195"/>
      <c r="BC1195"/>
      <c r="BD1195"/>
      <c r="BG1195"/>
      <c r="BH1195"/>
      <c r="BI1195"/>
      <c r="BJ1195"/>
      <c r="BS1195"/>
      <c r="BU1195"/>
      <c r="BV1195"/>
      <c r="BX1195"/>
    </row>
    <row r="1196" spans="23:76" ht="15.75">
      <c r="W1196" s="495"/>
      <c r="X1196" s="495"/>
      <c r="Y1196" s="495"/>
      <c r="Z1196" s="451"/>
      <c r="AA1196" s="145"/>
      <c r="AB1196" s="223"/>
      <c r="AC1196" s="22"/>
      <c r="AH1196" s="9"/>
      <c r="AJ1196" s="27"/>
      <c r="AK1196" s="84"/>
      <c r="AM1196" s="13"/>
      <c r="AP1196"/>
      <c r="AR1196"/>
      <c r="AV1196"/>
      <c r="AW1196"/>
      <c r="AX1196"/>
      <c r="AY1196"/>
      <c r="AZ1196"/>
      <c r="BC1196"/>
      <c r="BD1196"/>
      <c r="BG1196"/>
      <c r="BH1196"/>
      <c r="BI1196"/>
      <c r="BJ1196"/>
      <c r="BS1196"/>
      <c r="BU1196"/>
      <c r="BV1196"/>
      <c r="BX1196"/>
    </row>
    <row r="1197" spans="23:76" ht="15.75">
      <c r="W1197" s="495"/>
      <c r="X1197" s="495"/>
      <c r="Y1197" s="495"/>
      <c r="Z1197" s="451"/>
      <c r="AA1197" s="145"/>
      <c r="AB1197" s="223"/>
      <c r="AC1197" s="22"/>
      <c r="AH1197" s="9"/>
      <c r="AJ1197" s="27"/>
      <c r="AK1197" s="84"/>
      <c r="AM1197" s="13"/>
      <c r="AP1197"/>
      <c r="AR1197"/>
      <c r="AV1197"/>
      <c r="AW1197"/>
      <c r="AX1197"/>
      <c r="AY1197"/>
      <c r="AZ1197"/>
      <c r="BC1197"/>
      <c r="BD1197"/>
      <c r="BG1197"/>
      <c r="BH1197"/>
      <c r="BI1197"/>
      <c r="BJ1197"/>
      <c r="BS1197"/>
      <c r="BU1197"/>
      <c r="BV1197"/>
      <c r="BX1197"/>
    </row>
    <row r="1198" spans="23:76" ht="15.75">
      <c r="W1198" s="495"/>
      <c r="X1198" s="495"/>
      <c r="Y1198" s="495"/>
      <c r="Z1198" s="451"/>
      <c r="AA1198" s="145"/>
      <c r="AB1198" s="223"/>
      <c r="AC1198" s="22"/>
      <c r="AH1198" s="9"/>
      <c r="AJ1198" s="27"/>
      <c r="AK1198" s="84"/>
      <c r="AM1198" s="13"/>
      <c r="AP1198"/>
      <c r="AR1198"/>
      <c r="AV1198"/>
      <c r="AW1198"/>
      <c r="AX1198"/>
      <c r="AY1198"/>
      <c r="AZ1198"/>
      <c r="BC1198"/>
      <c r="BD1198"/>
      <c r="BG1198"/>
      <c r="BH1198"/>
      <c r="BI1198"/>
      <c r="BJ1198"/>
      <c r="BS1198"/>
      <c r="BU1198"/>
      <c r="BV1198"/>
      <c r="BX1198"/>
    </row>
    <row r="1199" spans="23:76" ht="15.75">
      <c r="W1199" s="495"/>
      <c r="X1199" s="495"/>
      <c r="Y1199" s="495"/>
      <c r="Z1199" s="451"/>
      <c r="AA1199" s="145"/>
      <c r="AB1199" s="223"/>
      <c r="AC1199" s="22"/>
      <c r="AH1199" s="9"/>
      <c r="AJ1199" s="27"/>
      <c r="AK1199" s="84"/>
      <c r="AM1199" s="13"/>
      <c r="AP1199"/>
      <c r="AR1199"/>
      <c r="AV1199"/>
      <c r="AW1199"/>
      <c r="AX1199"/>
      <c r="AY1199"/>
      <c r="AZ1199"/>
      <c r="BC1199"/>
      <c r="BD1199"/>
      <c r="BG1199"/>
      <c r="BH1199"/>
      <c r="BI1199"/>
      <c r="BJ1199"/>
      <c r="BS1199"/>
      <c r="BU1199"/>
      <c r="BV1199"/>
      <c r="BX1199"/>
    </row>
    <row r="1200" spans="23:76" ht="15.75">
      <c r="W1200" s="495"/>
      <c r="X1200" s="495"/>
      <c r="Y1200" s="495"/>
      <c r="Z1200" s="451"/>
      <c r="AA1200" s="145"/>
      <c r="AB1200" s="223"/>
      <c r="AC1200" s="22"/>
      <c r="AH1200" s="9"/>
      <c r="AJ1200" s="27"/>
      <c r="AK1200" s="84"/>
      <c r="AM1200" s="13"/>
      <c r="AP1200"/>
      <c r="AR1200"/>
      <c r="AV1200"/>
      <c r="AW1200"/>
      <c r="AX1200"/>
      <c r="AY1200"/>
      <c r="AZ1200"/>
      <c r="BC1200"/>
      <c r="BD1200"/>
      <c r="BG1200"/>
      <c r="BH1200"/>
      <c r="BI1200"/>
      <c r="BJ1200"/>
      <c r="BS1200"/>
      <c r="BU1200"/>
      <c r="BV1200"/>
      <c r="BX1200"/>
    </row>
    <row r="1201" spans="23:76" ht="15.75">
      <c r="W1201" s="495"/>
      <c r="X1201" s="495"/>
      <c r="Y1201" s="495"/>
      <c r="Z1201" s="451"/>
      <c r="AA1201" s="145"/>
      <c r="AB1201" s="223"/>
      <c r="AC1201" s="22"/>
      <c r="AH1201" s="9"/>
      <c r="AJ1201" s="27"/>
      <c r="AK1201" s="84"/>
      <c r="AM1201" s="13"/>
      <c r="AP1201"/>
      <c r="AR1201"/>
      <c r="AV1201"/>
      <c r="AW1201"/>
      <c r="AX1201"/>
      <c r="AY1201"/>
      <c r="AZ1201"/>
      <c r="BC1201"/>
      <c r="BD1201"/>
      <c r="BG1201"/>
      <c r="BH1201"/>
      <c r="BI1201"/>
      <c r="BJ1201"/>
      <c r="BS1201"/>
      <c r="BU1201"/>
      <c r="BV1201"/>
      <c r="BX1201"/>
    </row>
    <row r="1202" spans="23:76" ht="15.75">
      <c r="W1202" s="495"/>
      <c r="X1202" s="495"/>
      <c r="Y1202" s="495"/>
      <c r="Z1202" s="451"/>
      <c r="AA1202" s="145"/>
      <c r="AB1202" s="223"/>
      <c r="AC1202" s="22"/>
      <c r="AH1202" s="9"/>
      <c r="AJ1202" s="27"/>
      <c r="AK1202" s="84"/>
      <c r="AM1202" s="13"/>
      <c r="AP1202"/>
      <c r="AR1202"/>
      <c r="AV1202"/>
      <c r="AW1202"/>
      <c r="AX1202"/>
      <c r="AY1202"/>
      <c r="AZ1202"/>
      <c r="BC1202"/>
      <c r="BD1202"/>
      <c r="BG1202"/>
      <c r="BH1202"/>
      <c r="BI1202"/>
      <c r="BJ1202"/>
      <c r="BS1202"/>
      <c r="BU1202"/>
      <c r="BV1202"/>
      <c r="BX1202"/>
    </row>
    <row r="1203" spans="23:76" ht="15.75">
      <c r="W1203" s="495"/>
      <c r="X1203" s="495"/>
      <c r="Y1203" s="495"/>
      <c r="Z1203" s="451"/>
      <c r="AA1203" s="145"/>
      <c r="AB1203" s="223"/>
      <c r="AC1203" s="22"/>
      <c r="AH1203" s="9"/>
      <c r="AJ1203" s="27"/>
      <c r="AK1203" s="84"/>
      <c r="AM1203" s="13"/>
      <c r="AP1203"/>
      <c r="AR1203"/>
      <c r="AV1203"/>
      <c r="AW1203"/>
      <c r="AX1203"/>
      <c r="AY1203"/>
      <c r="AZ1203"/>
      <c r="BC1203"/>
      <c r="BD1203"/>
      <c r="BG1203"/>
      <c r="BH1203"/>
      <c r="BI1203"/>
      <c r="BJ1203"/>
      <c r="BS1203"/>
      <c r="BU1203"/>
      <c r="BV1203"/>
      <c r="BX1203"/>
    </row>
    <row r="1204" spans="23:76" ht="15.75">
      <c r="W1204" s="495"/>
      <c r="X1204" s="495"/>
      <c r="Y1204" s="495"/>
      <c r="Z1204" s="451"/>
      <c r="AA1204" s="145"/>
      <c r="AB1204" s="223"/>
      <c r="AC1204" s="22"/>
      <c r="AH1204" s="9"/>
      <c r="AJ1204" s="27"/>
      <c r="AK1204" s="84"/>
      <c r="AM1204" s="13"/>
      <c r="AP1204"/>
      <c r="AR1204"/>
      <c r="AV1204"/>
      <c r="AW1204"/>
      <c r="AX1204"/>
      <c r="AY1204"/>
      <c r="AZ1204"/>
      <c r="BC1204"/>
      <c r="BD1204"/>
      <c r="BG1204"/>
      <c r="BH1204"/>
      <c r="BI1204"/>
      <c r="BJ1204"/>
      <c r="BS1204"/>
      <c r="BU1204"/>
      <c r="BV1204"/>
      <c r="BX1204"/>
    </row>
    <row r="1205" spans="23:76" ht="15.75">
      <c r="W1205" s="495"/>
      <c r="X1205" s="495"/>
      <c r="Y1205" s="495"/>
      <c r="Z1205" s="451"/>
      <c r="AA1205" s="145"/>
      <c r="AB1205" s="223"/>
      <c r="AC1205" s="22"/>
      <c r="AH1205" s="9"/>
      <c r="AJ1205" s="27"/>
      <c r="AK1205" s="84"/>
      <c r="AM1205" s="13"/>
      <c r="AP1205"/>
      <c r="AR1205"/>
      <c r="AV1205"/>
      <c r="AW1205"/>
      <c r="AX1205"/>
      <c r="AY1205"/>
      <c r="AZ1205"/>
      <c r="BC1205"/>
      <c r="BD1205"/>
      <c r="BG1205"/>
      <c r="BH1205"/>
      <c r="BI1205"/>
      <c r="BJ1205"/>
      <c r="BS1205"/>
      <c r="BU1205"/>
      <c r="BV1205"/>
      <c r="BX1205"/>
    </row>
    <row r="1206" spans="23:76" ht="15.75">
      <c r="W1206" s="495"/>
      <c r="X1206" s="495"/>
      <c r="Y1206" s="495"/>
      <c r="Z1206" s="451"/>
      <c r="AA1206" s="145"/>
      <c r="AB1206" s="223"/>
      <c r="AC1206" s="22"/>
      <c r="AH1206" s="9"/>
      <c r="AJ1206" s="27"/>
      <c r="AK1206" s="84"/>
      <c r="AM1206" s="13"/>
      <c r="AP1206"/>
      <c r="AR1206"/>
      <c r="AV1206"/>
      <c r="AW1206"/>
      <c r="AX1206"/>
      <c r="AY1206"/>
      <c r="AZ1206"/>
      <c r="BC1206"/>
      <c r="BD1206"/>
      <c r="BG1206"/>
      <c r="BH1206"/>
      <c r="BI1206"/>
      <c r="BJ1206"/>
      <c r="BS1206"/>
      <c r="BU1206"/>
      <c r="BV1206"/>
      <c r="BX1206"/>
    </row>
    <row r="1207" spans="23:76" ht="15.75">
      <c r="W1207" s="495"/>
      <c r="X1207" s="495"/>
      <c r="Y1207" s="495"/>
      <c r="Z1207" s="451"/>
      <c r="AA1207" s="145"/>
      <c r="AB1207" s="223"/>
      <c r="AC1207" s="22"/>
      <c r="AH1207" s="9"/>
      <c r="AJ1207" s="27"/>
      <c r="AK1207" s="84"/>
      <c r="AM1207" s="13"/>
      <c r="AP1207"/>
      <c r="AR1207"/>
      <c r="AV1207"/>
      <c r="AW1207"/>
      <c r="AX1207"/>
      <c r="AY1207"/>
      <c r="AZ1207"/>
      <c r="BC1207"/>
      <c r="BD1207"/>
      <c r="BG1207"/>
      <c r="BH1207"/>
      <c r="BI1207"/>
      <c r="BJ1207"/>
      <c r="BS1207"/>
      <c r="BU1207"/>
      <c r="BV1207"/>
      <c r="BX1207"/>
    </row>
    <row r="1208" spans="23:76" ht="15.75">
      <c r="W1208" s="495"/>
      <c r="X1208" s="495"/>
      <c r="Y1208" s="495"/>
      <c r="Z1208" s="451"/>
      <c r="AA1208" s="145"/>
      <c r="AB1208" s="223"/>
      <c r="AC1208" s="22"/>
      <c r="AH1208" s="9"/>
      <c r="AJ1208" s="27"/>
      <c r="AK1208" s="84"/>
      <c r="AM1208" s="13"/>
      <c r="AP1208"/>
      <c r="AR1208"/>
      <c r="AV1208"/>
      <c r="AW1208"/>
      <c r="AX1208"/>
      <c r="AY1208"/>
      <c r="AZ1208"/>
      <c r="BC1208"/>
      <c r="BD1208"/>
      <c r="BG1208"/>
      <c r="BH1208"/>
      <c r="BI1208"/>
      <c r="BJ1208"/>
      <c r="BS1208"/>
      <c r="BU1208"/>
      <c r="BV1208"/>
      <c r="BX1208"/>
    </row>
    <row r="1209" spans="23:76" ht="15.75">
      <c r="W1209" s="495"/>
      <c r="X1209" s="495"/>
      <c r="Y1209" s="495"/>
      <c r="Z1209" s="451"/>
      <c r="AA1209" s="145"/>
      <c r="AB1209" s="223"/>
      <c r="AC1209" s="22"/>
      <c r="AH1209" s="9"/>
      <c r="AJ1209" s="27"/>
      <c r="AK1209" s="84"/>
      <c r="AM1209" s="13"/>
      <c r="AP1209"/>
      <c r="AR1209"/>
      <c r="AV1209"/>
      <c r="AW1209"/>
      <c r="AX1209"/>
      <c r="AY1209"/>
      <c r="AZ1209"/>
      <c r="BC1209"/>
      <c r="BD1209"/>
      <c r="BG1209"/>
      <c r="BH1209"/>
      <c r="BI1209"/>
      <c r="BJ1209"/>
      <c r="BS1209"/>
      <c r="BU1209"/>
      <c r="BV1209"/>
      <c r="BX1209"/>
    </row>
    <row r="1210" spans="23:76" ht="15.75">
      <c r="W1210" s="495"/>
      <c r="X1210" s="495"/>
      <c r="Y1210" s="495"/>
      <c r="Z1210" s="451"/>
      <c r="AA1210" s="145"/>
      <c r="AB1210" s="223"/>
      <c r="AC1210" s="22"/>
      <c r="AH1210" s="9"/>
      <c r="AJ1210" s="27"/>
      <c r="AK1210" s="84"/>
      <c r="AM1210" s="13"/>
      <c r="AP1210"/>
      <c r="AR1210"/>
      <c r="AV1210"/>
      <c r="AW1210"/>
      <c r="AX1210"/>
      <c r="AY1210"/>
      <c r="AZ1210"/>
      <c r="BC1210"/>
      <c r="BD1210"/>
      <c r="BG1210"/>
      <c r="BH1210"/>
      <c r="BI1210"/>
      <c r="BJ1210"/>
      <c r="BS1210"/>
      <c r="BU1210"/>
      <c r="BV1210"/>
      <c r="BX1210"/>
    </row>
    <row r="1211" spans="23:76" ht="15.75">
      <c r="W1211" s="495"/>
      <c r="X1211" s="495"/>
      <c r="Y1211" s="495"/>
      <c r="Z1211" s="451"/>
      <c r="AA1211" s="145"/>
      <c r="AB1211" s="223"/>
      <c r="AC1211" s="22"/>
      <c r="AH1211" s="9"/>
      <c r="AJ1211" s="27"/>
      <c r="AK1211" s="84"/>
      <c r="AM1211" s="13"/>
      <c r="AP1211"/>
      <c r="AR1211"/>
      <c r="AV1211"/>
      <c r="AW1211"/>
      <c r="AX1211"/>
      <c r="AY1211"/>
      <c r="AZ1211"/>
      <c r="BC1211"/>
      <c r="BD1211"/>
      <c r="BG1211"/>
      <c r="BH1211"/>
      <c r="BI1211"/>
      <c r="BJ1211"/>
      <c r="BS1211"/>
      <c r="BU1211"/>
      <c r="BV1211"/>
      <c r="BX1211"/>
    </row>
    <row r="1212" spans="23:76" ht="15.75">
      <c r="W1212" s="495"/>
      <c r="X1212" s="495"/>
      <c r="Y1212" s="495"/>
      <c r="Z1212" s="451"/>
      <c r="AA1212" s="145"/>
      <c r="AB1212" s="223"/>
      <c r="AC1212" s="22"/>
      <c r="AH1212" s="9"/>
      <c r="AJ1212" s="27"/>
      <c r="AK1212" s="84"/>
      <c r="AM1212" s="13"/>
      <c r="AP1212"/>
      <c r="AR1212"/>
      <c r="AV1212"/>
      <c r="AW1212"/>
      <c r="AX1212"/>
      <c r="AY1212"/>
      <c r="AZ1212"/>
      <c r="BC1212"/>
      <c r="BD1212"/>
      <c r="BG1212"/>
      <c r="BH1212"/>
      <c r="BI1212"/>
      <c r="BJ1212"/>
      <c r="BS1212"/>
      <c r="BU1212"/>
      <c r="BV1212"/>
      <c r="BX1212"/>
    </row>
    <row r="1213" spans="23:76" ht="15.75">
      <c r="W1213" s="495"/>
      <c r="X1213" s="495"/>
      <c r="Y1213" s="495"/>
      <c r="Z1213" s="451"/>
      <c r="AA1213" s="145"/>
      <c r="AB1213" s="223"/>
      <c r="AC1213" s="22"/>
      <c r="AH1213" s="9"/>
      <c r="AJ1213" s="27"/>
      <c r="AK1213" s="84"/>
      <c r="AM1213" s="13"/>
      <c r="AP1213"/>
      <c r="AR1213"/>
      <c r="AV1213"/>
      <c r="AW1213"/>
      <c r="AX1213"/>
      <c r="AY1213"/>
      <c r="AZ1213"/>
      <c r="BC1213"/>
      <c r="BD1213"/>
      <c r="BG1213"/>
      <c r="BH1213"/>
      <c r="BI1213"/>
      <c r="BJ1213"/>
      <c r="BS1213"/>
      <c r="BU1213"/>
      <c r="BV1213"/>
      <c r="BX1213"/>
    </row>
    <row r="1214" spans="23:76" ht="15.75">
      <c r="W1214" s="495"/>
      <c r="X1214" s="495"/>
      <c r="Y1214" s="495"/>
      <c r="Z1214" s="451"/>
      <c r="AA1214" s="145"/>
      <c r="AB1214" s="223"/>
      <c r="AC1214" s="22"/>
      <c r="AH1214" s="9"/>
      <c r="AJ1214" s="27"/>
      <c r="AK1214" s="84"/>
      <c r="AM1214" s="13"/>
      <c r="AP1214"/>
      <c r="AR1214"/>
      <c r="AV1214"/>
      <c r="AW1214"/>
      <c r="AX1214"/>
      <c r="AY1214"/>
      <c r="AZ1214"/>
      <c r="BC1214"/>
      <c r="BD1214"/>
      <c r="BG1214"/>
      <c r="BH1214"/>
      <c r="BI1214"/>
      <c r="BJ1214"/>
      <c r="BS1214"/>
      <c r="BU1214"/>
      <c r="BV1214"/>
      <c r="BX1214"/>
    </row>
    <row r="1215" spans="23:76" ht="15.75">
      <c r="W1215" s="495"/>
      <c r="X1215" s="495"/>
      <c r="Y1215" s="495"/>
      <c r="Z1215" s="451"/>
      <c r="AA1215" s="145"/>
      <c r="AB1215" s="223"/>
      <c r="AC1215" s="22"/>
      <c r="AH1215" s="9"/>
      <c r="AJ1215" s="27"/>
      <c r="AK1215" s="84"/>
      <c r="AM1215" s="13"/>
      <c r="AP1215"/>
      <c r="AR1215"/>
      <c r="AV1215"/>
      <c r="AW1215"/>
      <c r="AX1215"/>
      <c r="AY1215"/>
      <c r="AZ1215"/>
      <c r="BC1215"/>
      <c r="BD1215"/>
      <c r="BG1215"/>
      <c r="BH1215"/>
      <c r="BI1215"/>
      <c r="BJ1215"/>
      <c r="BS1215"/>
      <c r="BU1215"/>
      <c r="BV1215"/>
      <c r="BX1215"/>
    </row>
    <row r="1216" spans="23:76" ht="15.75">
      <c r="W1216" s="495"/>
      <c r="X1216" s="495"/>
      <c r="Y1216" s="495"/>
      <c r="Z1216" s="451"/>
      <c r="AA1216" s="145"/>
      <c r="AB1216" s="223"/>
      <c r="AC1216" s="22"/>
      <c r="AH1216" s="9"/>
      <c r="AJ1216" s="27"/>
      <c r="AK1216" s="84"/>
      <c r="AM1216" s="13"/>
      <c r="AP1216"/>
      <c r="AR1216"/>
      <c r="AV1216"/>
      <c r="AW1216"/>
      <c r="AX1216"/>
      <c r="AY1216"/>
      <c r="AZ1216"/>
      <c r="BC1216"/>
      <c r="BD1216"/>
      <c r="BG1216"/>
      <c r="BH1216"/>
      <c r="BI1216"/>
      <c r="BJ1216"/>
      <c r="BS1216"/>
      <c r="BU1216"/>
      <c r="BV1216"/>
      <c r="BX1216"/>
    </row>
    <row r="1217" spans="23:76" ht="15.75">
      <c r="W1217" s="495"/>
      <c r="X1217" s="495"/>
      <c r="Y1217" s="495"/>
      <c r="Z1217" s="451"/>
      <c r="AA1217" s="145"/>
      <c r="AB1217" s="223"/>
      <c r="AC1217" s="22"/>
      <c r="AH1217" s="9"/>
      <c r="AJ1217" s="27"/>
      <c r="AK1217" s="84"/>
      <c r="AM1217" s="13"/>
      <c r="AP1217"/>
      <c r="AR1217"/>
      <c r="AV1217"/>
      <c r="AW1217"/>
      <c r="AX1217"/>
      <c r="AY1217"/>
      <c r="AZ1217"/>
      <c r="BC1217"/>
      <c r="BD1217"/>
      <c r="BG1217"/>
      <c r="BH1217"/>
      <c r="BI1217"/>
      <c r="BJ1217"/>
      <c r="BS1217"/>
      <c r="BU1217"/>
      <c r="BV1217"/>
      <c r="BX1217"/>
    </row>
    <row r="1218" spans="23:76" ht="15.75">
      <c r="W1218" s="495"/>
      <c r="X1218" s="495"/>
      <c r="Y1218" s="495"/>
      <c r="Z1218" s="451"/>
      <c r="AA1218" s="145"/>
      <c r="AB1218" s="223"/>
      <c r="AC1218" s="22"/>
      <c r="AH1218" s="9"/>
      <c r="AJ1218" s="27"/>
      <c r="AK1218" s="84"/>
      <c r="AM1218" s="13"/>
      <c r="AP1218"/>
      <c r="AR1218"/>
      <c r="AV1218"/>
      <c r="AW1218"/>
      <c r="AX1218"/>
      <c r="AY1218"/>
      <c r="AZ1218"/>
      <c r="BC1218"/>
      <c r="BD1218"/>
      <c r="BG1218"/>
      <c r="BH1218"/>
      <c r="BI1218"/>
      <c r="BJ1218"/>
      <c r="BS1218"/>
      <c r="BU1218"/>
      <c r="BV1218"/>
      <c r="BX1218"/>
    </row>
    <row r="1219" spans="23:76" ht="15.75">
      <c r="W1219" s="495"/>
      <c r="X1219" s="495"/>
      <c r="Y1219" s="495"/>
      <c r="Z1219" s="451"/>
      <c r="AA1219" s="145"/>
      <c r="AB1219" s="223"/>
      <c r="AC1219" s="22"/>
      <c r="AH1219" s="9"/>
      <c r="AJ1219" s="27"/>
      <c r="AK1219" s="84"/>
      <c r="AM1219" s="13"/>
      <c r="AP1219"/>
      <c r="AR1219"/>
      <c r="AV1219"/>
      <c r="AW1219"/>
      <c r="AX1219"/>
      <c r="AY1219"/>
      <c r="AZ1219"/>
      <c r="BC1219"/>
      <c r="BD1219"/>
      <c r="BG1219"/>
      <c r="BH1219"/>
      <c r="BI1219"/>
      <c r="BJ1219"/>
      <c r="BS1219"/>
      <c r="BU1219"/>
      <c r="BV1219"/>
      <c r="BX1219"/>
    </row>
    <row r="1220" spans="23:76" ht="15.75">
      <c r="W1220" s="495"/>
      <c r="X1220" s="495"/>
      <c r="Y1220" s="495"/>
      <c r="Z1220" s="451"/>
      <c r="AA1220" s="145"/>
      <c r="AB1220" s="223"/>
      <c r="AC1220" s="22"/>
      <c r="AH1220" s="9"/>
      <c r="AJ1220" s="27"/>
      <c r="AK1220" s="84"/>
      <c r="AM1220" s="13"/>
      <c r="AP1220"/>
      <c r="AR1220"/>
      <c r="AV1220"/>
      <c r="AW1220"/>
      <c r="AX1220"/>
      <c r="AY1220"/>
      <c r="AZ1220"/>
      <c r="BC1220"/>
      <c r="BD1220"/>
      <c r="BG1220"/>
      <c r="BH1220"/>
      <c r="BI1220"/>
      <c r="BJ1220"/>
      <c r="BS1220"/>
      <c r="BU1220"/>
      <c r="BV1220"/>
      <c r="BX1220"/>
    </row>
    <row r="1221" spans="23:76" ht="15.75">
      <c r="W1221" s="495"/>
      <c r="X1221" s="495"/>
      <c r="Y1221" s="495"/>
      <c r="Z1221" s="451"/>
      <c r="AA1221" s="145"/>
      <c r="AB1221" s="223"/>
      <c r="AC1221" s="22"/>
      <c r="AH1221" s="9"/>
      <c r="AJ1221" s="27"/>
      <c r="AK1221" s="84"/>
      <c r="AM1221" s="13"/>
      <c r="AP1221"/>
      <c r="AR1221"/>
      <c r="AV1221"/>
      <c r="AW1221"/>
      <c r="AX1221"/>
      <c r="AY1221"/>
      <c r="AZ1221"/>
      <c r="BC1221"/>
      <c r="BD1221"/>
      <c r="BG1221"/>
      <c r="BH1221"/>
      <c r="BI1221"/>
      <c r="BJ1221"/>
      <c r="BS1221"/>
      <c r="BU1221"/>
      <c r="BV1221"/>
      <c r="BX1221"/>
    </row>
    <row r="1222" spans="23:76" ht="15.75">
      <c r="W1222" s="495"/>
      <c r="X1222" s="495"/>
      <c r="Y1222" s="495"/>
      <c r="Z1222" s="451"/>
      <c r="AA1222" s="145"/>
      <c r="AB1222" s="223"/>
      <c r="AC1222" s="22"/>
      <c r="AH1222" s="9"/>
      <c r="AJ1222" s="27"/>
      <c r="AK1222" s="84"/>
      <c r="AM1222" s="13"/>
      <c r="AP1222"/>
      <c r="AR1222"/>
      <c r="AV1222"/>
      <c r="AW1222"/>
      <c r="AX1222"/>
      <c r="AY1222"/>
      <c r="AZ1222"/>
      <c r="BC1222"/>
      <c r="BD1222"/>
      <c r="BG1222"/>
      <c r="BH1222"/>
      <c r="BI1222"/>
      <c r="BJ1222"/>
      <c r="BS1222"/>
      <c r="BU1222"/>
      <c r="BV1222"/>
      <c r="BX1222"/>
    </row>
    <row r="1223" spans="23:76" ht="15.75">
      <c r="W1223" s="495"/>
      <c r="X1223" s="495"/>
      <c r="Y1223" s="495"/>
      <c r="Z1223" s="451"/>
      <c r="AA1223" s="145"/>
      <c r="AB1223" s="223"/>
      <c r="AC1223" s="22"/>
      <c r="AH1223" s="9"/>
      <c r="AJ1223" s="27"/>
      <c r="AK1223" s="84"/>
      <c r="AM1223" s="13"/>
      <c r="AP1223"/>
      <c r="AR1223"/>
      <c r="AV1223"/>
      <c r="AW1223"/>
      <c r="AX1223"/>
      <c r="AY1223"/>
      <c r="AZ1223"/>
      <c r="BC1223"/>
      <c r="BD1223"/>
      <c r="BG1223"/>
      <c r="BH1223"/>
      <c r="BI1223"/>
      <c r="BJ1223"/>
      <c r="BS1223"/>
      <c r="BU1223"/>
      <c r="BV1223"/>
      <c r="BX1223"/>
    </row>
    <row r="1224" spans="23:76" ht="15.75">
      <c r="W1224" s="495"/>
      <c r="X1224" s="495"/>
      <c r="Y1224" s="495"/>
      <c r="Z1224" s="451"/>
      <c r="AA1224" s="145"/>
      <c r="AB1224" s="223"/>
      <c r="AC1224" s="22"/>
      <c r="AH1224" s="9"/>
      <c r="AJ1224" s="27"/>
      <c r="AK1224" s="84"/>
      <c r="AM1224" s="13"/>
      <c r="AP1224"/>
      <c r="AR1224"/>
      <c r="AV1224"/>
      <c r="AW1224"/>
      <c r="AX1224"/>
      <c r="AY1224"/>
      <c r="AZ1224"/>
      <c r="BC1224"/>
      <c r="BD1224"/>
      <c r="BG1224"/>
      <c r="BH1224"/>
      <c r="BI1224"/>
      <c r="BJ1224"/>
      <c r="BS1224"/>
      <c r="BU1224"/>
      <c r="BV1224"/>
      <c r="BX1224"/>
    </row>
    <row r="1225" spans="23:76" ht="15.75">
      <c r="W1225" s="495"/>
      <c r="X1225" s="495"/>
      <c r="Y1225" s="495"/>
      <c r="Z1225" s="451"/>
      <c r="AA1225" s="145"/>
      <c r="AB1225" s="223"/>
      <c r="AC1225" s="22"/>
      <c r="AH1225" s="9"/>
      <c r="AJ1225" s="27"/>
      <c r="AK1225" s="84"/>
      <c r="AM1225" s="13"/>
      <c r="AP1225"/>
      <c r="AR1225"/>
      <c r="AV1225"/>
      <c r="AW1225"/>
      <c r="AX1225"/>
      <c r="AY1225"/>
      <c r="AZ1225"/>
      <c r="BC1225"/>
      <c r="BD1225"/>
      <c r="BG1225"/>
      <c r="BH1225"/>
      <c r="BI1225"/>
      <c r="BJ1225"/>
      <c r="BS1225"/>
      <c r="BU1225"/>
      <c r="BV1225"/>
      <c r="BX1225"/>
    </row>
    <row r="1226" spans="23:76" ht="15.75">
      <c r="W1226" s="495"/>
      <c r="X1226" s="495"/>
      <c r="Y1226" s="495"/>
      <c r="Z1226" s="451"/>
      <c r="AA1226" s="145"/>
      <c r="AB1226" s="223"/>
      <c r="AC1226" s="22"/>
      <c r="AH1226" s="9"/>
      <c r="AJ1226" s="27"/>
      <c r="AK1226" s="84"/>
      <c r="AM1226" s="13"/>
      <c r="AP1226"/>
      <c r="AR1226"/>
      <c r="AV1226"/>
      <c r="AW1226"/>
      <c r="AX1226"/>
      <c r="AY1226"/>
      <c r="AZ1226"/>
      <c r="BC1226"/>
      <c r="BD1226"/>
      <c r="BG1226"/>
      <c r="BH1226"/>
      <c r="BI1226"/>
      <c r="BJ1226"/>
      <c r="BS1226"/>
      <c r="BU1226"/>
      <c r="BV1226"/>
      <c r="BX1226"/>
    </row>
    <row r="1227" spans="23:76" ht="15.75">
      <c r="W1227" s="495"/>
      <c r="X1227" s="495"/>
      <c r="Y1227" s="495"/>
      <c r="Z1227" s="451"/>
      <c r="AA1227" s="145"/>
      <c r="AB1227" s="223"/>
      <c r="AC1227" s="22"/>
      <c r="AH1227" s="9"/>
      <c r="AJ1227" s="27"/>
      <c r="AK1227" s="84"/>
      <c r="AM1227" s="13"/>
      <c r="AP1227"/>
      <c r="AR1227"/>
      <c r="AV1227"/>
      <c r="AW1227"/>
      <c r="AX1227"/>
      <c r="AY1227"/>
      <c r="AZ1227"/>
      <c r="BC1227"/>
      <c r="BD1227"/>
      <c r="BG1227"/>
      <c r="BH1227"/>
      <c r="BI1227"/>
      <c r="BJ1227"/>
      <c r="BS1227"/>
      <c r="BU1227"/>
      <c r="BV1227"/>
      <c r="BX1227"/>
    </row>
    <row r="1228" spans="23:76" ht="15.75">
      <c r="W1228" s="495"/>
      <c r="X1228" s="495"/>
      <c r="Y1228" s="495"/>
      <c r="Z1228" s="451"/>
      <c r="AA1228" s="145"/>
      <c r="AB1228" s="223"/>
      <c r="AC1228" s="22"/>
      <c r="AH1228" s="9"/>
      <c r="AJ1228" s="27"/>
      <c r="AK1228" s="84"/>
      <c r="AM1228" s="13"/>
      <c r="AP1228"/>
      <c r="AR1228"/>
      <c r="AV1228"/>
      <c r="AW1228"/>
      <c r="AX1228"/>
      <c r="AY1228"/>
      <c r="AZ1228"/>
      <c r="BC1228"/>
      <c r="BD1228"/>
      <c r="BG1228"/>
      <c r="BH1228"/>
      <c r="BI1228"/>
      <c r="BJ1228"/>
      <c r="BS1228"/>
      <c r="BU1228"/>
      <c r="BV1228"/>
      <c r="BX1228"/>
    </row>
    <row r="1229" spans="23:76" ht="15.75">
      <c r="W1229" s="495"/>
      <c r="X1229" s="495"/>
      <c r="Y1229" s="495"/>
      <c r="Z1229" s="451"/>
      <c r="AA1229" s="145"/>
      <c r="AB1229" s="223"/>
      <c r="AC1229" s="22"/>
      <c r="AH1229" s="9"/>
      <c r="AJ1229" s="27"/>
      <c r="AK1229" s="84"/>
      <c r="AM1229" s="13"/>
      <c r="AP1229"/>
      <c r="AR1229"/>
      <c r="AV1229"/>
      <c r="AW1229"/>
      <c r="AX1229"/>
      <c r="AY1229"/>
      <c r="AZ1229"/>
      <c r="BC1229"/>
      <c r="BD1229"/>
      <c r="BG1229"/>
      <c r="BH1229"/>
      <c r="BI1229"/>
      <c r="BJ1229"/>
      <c r="BS1229"/>
      <c r="BU1229"/>
      <c r="BV1229"/>
      <c r="BX1229"/>
    </row>
    <row r="1230" spans="23:76" ht="15.75">
      <c r="W1230" s="495"/>
      <c r="X1230" s="495"/>
      <c r="Y1230" s="495"/>
      <c r="Z1230" s="451"/>
      <c r="AA1230" s="145"/>
      <c r="AB1230" s="223"/>
      <c r="AC1230" s="22"/>
      <c r="AH1230" s="9"/>
      <c r="AJ1230" s="27"/>
      <c r="AK1230" s="84"/>
      <c r="AM1230" s="13"/>
      <c r="AP1230"/>
      <c r="AR1230"/>
      <c r="AV1230"/>
      <c r="AW1230"/>
      <c r="AX1230"/>
      <c r="AY1230"/>
      <c r="AZ1230"/>
      <c r="BC1230"/>
      <c r="BD1230"/>
      <c r="BG1230"/>
      <c r="BH1230"/>
      <c r="BI1230"/>
      <c r="BJ1230"/>
      <c r="BS1230"/>
      <c r="BU1230"/>
      <c r="BV1230"/>
      <c r="BX1230"/>
    </row>
    <row r="1231" spans="23:76" ht="15.75">
      <c r="W1231" s="495"/>
      <c r="X1231" s="495"/>
      <c r="Y1231" s="495"/>
      <c r="Z1231" s="451"/>
      <c r="AA1231" s="145"/>
      <c r="AB1231" s="223"/>
      <c r="AC1231" s="22"/>
      <c r="AH1231" s="9"/>
      <c r="AJ1231" s="27"/>
      <c r="AK1231" s="84"/>
      <c r="AM1231" s="13"/>
      <c r="AP1231"/>
      <c r="AR1231"/>
      <c r="AV1231"/>
      <c r="AW1231"/>
      <c r="AX1231"/>
      <c r="AY1231"/>
      <c r="AZ1231"/>
      <c r="BC1231"/>
      <c r="BD1231"/>
      <c r="BG1231"/>
      <c r="BH1231"/>
      <c r="BI1231"/>
      <c r="BJ1231"/>
      <c r="BS1231"/>
      <c r="BU1231"/>
      <c r="BV1231"/>
      <c r="BX1231"/>
    </row>
    <row r="1232" spans="23:76" ht="15.75">
      <c r="W1232" s="495"/>
      <c r="X1232" s="495"/>
      <c r="Y1232" s="495"/>
      <c r="Z1232" s="451"/>
      <c r="AA1232" s="145"/>
      <c r="AB1232" s="223"/>
      <c r="AC1232" s="22"/>
      <c r="AH1232" s="9"/>
      <c r="AJ1232" s="27"/>
      <c r="AK1232" s="84"/>
      <c r="AM1232" s="13"/>
      <c r="AP1232"/>
      <c r="AR1232"/>
      <c r="AV1232"/>
      <c r="AW1232"/>
      <c r="AX1232"/>
      <c r="AY1232"/>
      <c r="AZ1232"/>
      <c r="BC1232"/>
      <c r="BD1232"/>
      <c r="BG1232"/>
      <c r="BH1232"/>
      <c r="BI1232"/>
      <c r="BJ1232"/>
      <c r="BS1232"/>
      <c r="BU1232"/>
      <c r="BV1232"/>
      <c r="BX1232"/>
    </row>
    <row r="1233" spans="23:76" ht="15.75">
      <c r="W1233" s="495"/>
      <c r="X1233" s="495"/>
      <c r="Y1233" s="495"/>
      <c r="Z1233" s="451"/>
      <c r="AA1233" s="145"/>
      <c r="AB1233" s="223"/>
      <c r="AC1233" s="22"/>
      <c r="AH1233" s="9"/>
      <c r="AJ1233" s="27"/>
      <c r="AK1233" s="84"/>
      <c r="AM1233" s="13"/>
      <c r="AP1233"/>
      <c r="AR1233"/>
      <c r="AV1233"/>
      <c r="AW1233"/>
      <c r="AX1233"/>
      <c r="AY1233"/>
      <c r="AZ1233"/>
      <c r="BC1233"/>
      <c r="BD1233"/>
      <c r="BG1233"/>
      <c r="BH1233"/>
      <c r="BI1233"/>
      <c r="BJ1233"/>
      <c r="BS1233"/>
      <c r="BU1233"/>
      <c r="BV1233"/>
      <c r="BX1233"/>
    </row>
    <row r="1234" spans="23:76" ht="15.75">
      <c r="W1234" s="495"/>
      <c r="X1234" s="495"/>
      <c r="Y1234" s="495"/>
      <c r="Z1234" s="451"/>
      <c r="AA1234" s="145"/>
      <c r="AB1234" s="223"/>
      <c r="AC1234" s="22"/>
      <c r="AH1234" s="9"/>
      <c r="AJ1234" s="27"/>
      <c r="AK1234" s="84"/>
      <c r="AM1234" s="13"/>
      <c r="AP1234"/>
      <c r="AR1234"/>
      <c r="AV1234"/>
      <c r="AW1234"/>
      <c r="AX1234"/>
      <c r="AY1234"/>
      <c r="AZ1234"/>
      <c r="BC1234"/>
      <c r="BD1234"/>
      <c r="BG1234"/>
      <c r="BH1234"/>
      <c r="BI1234"/>
      <c r="BJ1234"/>
      <c r="BS1234"/>
      <c r="BU1234"/>
      <c r="BV1234"/>
      <c r="BX1234"/>
    </row>
    <row r="1235" spans="23:76" ht="15.75">
      <c r="W1235" s="495"/>
      <c r="X1235" s="495"/>
      <c r="Y1235" s="495"/>
      <c r="Z1235" s="451"/>
      <c r="AA1235" s="145"/>
      <c r="AB1235" s="223"/>
      <c r="AC1235" s="22"/>
      <c r="AH1235" s="9"/>
      <c r="AJ1235" s="27"/>
      <c r="AK1235" s="84"/>
      <c r="AM1235" s="13"/>
      <c r="AP1235"/>
      <c r="AR1235"/>
      <c r="AV1235"/>
      <c r="AW1235"/>
      <c r="AX1235"/>
      <c r="AY1235"/>
      <c r="AZ1235"/>
      <c r="BC1235"/>
      <c r="BD1235"/>
      <c r="BG1235"/>
      <c r="BH1235"/>
      <c r="BI1235"/>
      <c r="BJ1235"/>
      <c r="BS1235"/>
      <c r="BU1235"/>
      <c r="BV1235"/>
      <c r="BX1235"/>
    </row>
    <row r="1236" spans="23:76" ht="15.75">
      <c r="W1236" s="495"/>
      <c r="X1236" s="495"/>
      <c r="Y1236" s="495"/>
      <c r="Z1236" s="451"/>
      <c r="AA1236" s="145"/>
      <c r="AB1236" s="223"/>
      <c r="AC1236" s="22"/>
      <c r="AH1236" s="9"/>
      <c r="AJ1236" s="27"/>
      <c r="AK1236" s="84"/>
      <c r="AM1236" s="13"/>
      <c r="AP1236"/>
      <c r="AR1236"/>
      <c r="AV1236"/>
      <c r="AW1236"/>
      <c r="AX1236"/>
      <c r="AY1236"/>
      <c r="AZ1236"/>
      <c r="BC1236"/>
      <c r="BD1236"/>
      <c r="BG1236"/>
      <c r="BH1236"/>
      <c r="BI1236"/>
      <c r="BJ1236"/>
      <c r="BS1236"/>
      <c r="BU1236"/>
      <c r="BV1236"/>
      <c r="BX1236"/>
    </row>
    <row r="1237" spans="23:76" ht="15.75">
      <c r="W1237" s="495"/>
      <c r="X1237" s="495"/>
      <c r="Y1237" s="495"/>
      <c r="Z1237" s="451"/>
      <c r="AA1237" s="145"/>
      <c r="AB1237" s="223"/>
      <c r="AC1237" s="22"/>
      <c r="AH1237" s="9"/>
      <c r="AJ1237" s="27"/>
      <c r="AK1237" s="84"/>
      <c r="AM1237" s="13"/>
      <c r="AP1237"/>
      <c r="AR1237"/>
      <c r="AV1237"/>
      <c r="AW1237"/>
      <c r="AX1237"/>
      <c r="AY1237"/>
      <c r="AZ1237"/>
      <c r="BC1237"/>
      <c r="BD1237"/>
      <c r="BG1237"/>
      <c r="BH1237"/>
      <c r="BI1237"/>
      <c r="BJ1237"/>
      <c r="BS1237"/>
      <c r="BU1237"/>
      <c r="BV1237"/>
      <c r="BX1237"/>
    </row>
    <row r="1238" spans="23:76" ht="15.75">
      <c r="W1238" s="495"/>
      <c r="X1238" s="495"/>
      <c r="Y1238" s="495"/>
      <c r="Z1238" s="451"/>
      <c r="AA1238" s="145"/>
      <c r="AB1238" s="223"/>
      <c r="AC1238" s="22"/>
      <c r="AH1238" s="9"/>
      <c r="AJ1238" s="27"/>
      <c r="AK1238" s="84"/>
      <c r="AM1238" s="13"/>
      <c r="AP1238"/>
      <c r="AR1238"/>
      <c r="AV1238"/>
      <c r="AW1238"/>
      <c r="AX1238"/>
      <c r="AY1238"/>
      <c r="AZ1238"/>
      <c r="BC1238"/>
      <c r="BD1238"/>
      <c r="BG1238"/>
      <c r="BH1238"/>
      <c r="BI1238"/>
      <c r="BJ1238"/>
      <c r="BS1238"/>
      <c r="BU1238"/>
      <c r="BV1238"/>
      <c r="BX1238"/>
    </row>
    <row r="1239" spans="23:76" ht="15.75">
      <c r="W1239" s="495"/>
      <c r="X1239" s="495"/>
      <c r="Y1239" s="495"/>
      <c r="Z1239" s="451"/>
      <c r="AA1239" s="145"/>
      <c r="AB1239" s="223"/>
      <c r="AC1239" s="22"/>
      <c r="AH1239" s="9"/>
      <c r="AJ1239" s="27"/>
      <c r="AK1239" s="84"/>
      <c r="AM1239" s="13"/>
      <c r="AP1239"/>
      <c r="AR1239"/>
      <c r="AV1239"/>
      <c r="AW1239"/>
      <c r="AX1239"/>
      <c r="AY1239"/>
      <c r="AZ1239"/>
      <c r="BC1239"/>
      <c r="BD1239"/>
      <c r="BG1239"/>
      <c r="BH1239"/>
      <c r="BI1239"/>
      <c r="BJ1239"/>
      <c r="BS1239"/>
      <c r="BU1239"/>
      <c r="BV1239"/>
      <c r="BX1239"/>
    </row>
    <row r="1240" spans="23:76" ht="15.75">
      <c r="W1240" s="495"/>
      <c r="X1240" s="495"/>
      <c r="Y1240" s="495"/>
      <c r="Z1240" s="451"/>
      <c r="AA1240" s="145"/>
      <c r="AB1240" s="223"/>
      <c r="AC1240" s="22"/>
      <c r="AH1240" s="9"/>
      <c r="AJ1240" s="27"/>
      <c r="AK1240" s="84"/>
      <c r="AM1240" s="13"/>
      <c r="AP1240"/>
      <c r="AR1240"/>
      <c r="AV1240"/>
      <c r="AW1240"/>
      <c r="AX1240"/>
      <c r="AY1240"/>
      <c r="AZ1240"/>
      <c r="BC1240"/>
      <c r="BD1240"/>
      <c r="BG1240"/>
      <c r="BH1240"/>
      <c r="BI1240"/>
      <c r="BJ1240"/>
      <c r="BS1240"/>
      <c r="BU1240"/>
      <c r="BV1240"/>
      <c r="BX1240"/>
    </row>
    <row r="1241" spans="23:76" ht="15.75">
      <c r="W1241" s="495"/>
      <c r="X1241" s="495"/>
      <c r="Y1241" s="495"/>
      <c r="Z1241" s="451"/>
      <c r="AA1241" s="145"/>
      <c r="AB1241" s="223"/>
      <c r="AC1241" s="22"/>
      <c r="AH1241" s="9"/>
      <c r="AJ1241" s="27"/>
      <c r="AK1241" s="84"/>
      <c r="AM1241" s="13"/>
      <c r="AP1241"/>
      <c r="AR1241"/>
      <c r="AV1241"/>
      <c r="AW1241"/>
      <c r="AX1241"/>
      <c r="AY1241"/>
      <c r="AZ1241"/>
      <c r="BC1241"/>
      <c r="BD1241"/>
      <c r="BG1241"/>
      <c r="BH1241"/>
      <c r="BI1241"/>
      <c r="BJ1241"/>
      <c r="BS1241"/>
      <c r="BU1241"/>
      <c r="BV1241"/>
      <c r="BX1241"/>
    </row>
    <row r="1242" spans="23:76" ht="15.75">
      <c r="W1242" s="495"/>
      <c r="X1242" s="495"/>
      <c r="Y1242" s="495"/>
      <c r="Z1242" s="451"/>
      <c r="AA1242" s="145"/>
      <c r="AB1242" s="223"/>
      <c r="AC1242" s="22"/>
      <c r="AH1242" s="9"/>
      <c r="AJ1242" s="27"/>
      <c r="AK1242" s="84"/>
      <c r="AM1242" s="13"/>
      <c r="AP1242"/>
      <c r="AR1242"/>
      <c r="AV1242"/>
      <c r="AW1242"/>
      <c r="AX1242"/>
      <c r="AY1242"/>
      <c r="AZ1242"/>
      <c r="BC1242"/>
      <c r="BD1242"/>
      <c r="BG1242"/>
      <c r="BH1242"/>
      <c r="BI1242"/>
      <c r="BJ1242"/>
      <c r="BS1242"/>
      <c r="BU1242"/>
      <c r="BV1242"/>
      <c r="BX1242"/>
    </row>
    <row r="1243" spans="23:76" ht="15.75">
      <c r="W1243" s="495"/>
      <c r="X1243" s="495"/>
      <c r="Y1243" s="495"/>
      <c r="Z1243" s="451"/>
      <c r="AA1243" s="145"/>
      <c r="AB1243" s="223"/>
      <c r="AC1243" s="22"/>
      <c r="AH1243" s="9"/>
      <c r="AJ1243" s="27"/>
      <c r="AK1243" s="84"/>
      <c r="AM1243" s="13"/>
      <c r="AP1243"/>
      <c r="AR1243"/>
      <c r="AV1243"/>
      <c r="AW1243"/>
      <c r="AX1243"/>
      <c r="AY1243"/>
      <c r="AZ1243"/>
      <c r="BC1243"/>
      <c r="BD1243"/>
      <c r="BG1243"/>
      <c r="BH1243"/>
      <c r="BI1243"/>
      <c r="BJ1243"/>
      <c r="BS1243"/>
      <c r="BU1243"/>
      <c r="BV1243"/>
      <c r="BX1243"/>
    </row>
    <row r="1244" spans="23:76" ht="15.75">
      <c r="W1244" s="495"/>
      <c r="X1244" s="495"/>
      <c r="Y1244" s="495"/>
      <c r="Z1244" s="451"/>
      <c r="AA1244" s="145"/>
      <c r="AB1244" s="223"/>
      <c r="AC1244" s="22"/>
      <c r="AH1244" s="9"/>
      <c r="AJ1244" s="27"/>
      <c r="AK1244" s="84"/>
      <c r="AM1244" s="13"/>
      <c r="AP1244"/>
      <c r="AR1244"/>
      <c r="AV1244"/>
      <c r="AW1244"/>
      <c r="AX1244"/>
      <c r="AY1244"/>
      <c r="AZ1244"/>
      <c r="BC1244"/>
      <c r="BD1244"/>
      <c r="BG1244"/>
      <c r="BH1244"/>
      <c r="BI1244"/>
      <c r="BJ1244"/>
      <c r="BS1244"/>
      <c r="BU1244"/>
      <c r="BV1244"/>
      <c r="BX1244"/>
    </row>
    <row r="1245" spans="23:76" ht="15.75">
      <c r="W1245" s="495"/>
      <c r="X1245" s="495"/>
      <c r="Y1245" s="495"/>
      <c r="Z1245" s="451"/>
      <c r="AA1245" s="145"/>
      <c r="AB1245" s="223"/>
      <c r="AC1245" s="22"/>
      <c r="AH1245" s="9"/>
      <c r="AJ1245" s="27"/>
      <c r="AK1245" s="84"/>
      <c r="AM1245" s="13"/>
      <c r="AP1245"/>
      <c r="AR1245"/>
      <c r="AV1245"/>
      <c r="AW1245"/>
      <c r="AX1245"/>
      <c r="AY1245"/>
      <c r="AZ1245"/>
      <c r="BC1245"/>
      <c r="BD1245"/>
      <c r="BG1245"/>
      <c r="BH1245"/>
      <c r="BI1245"/>
      <c r="BJ1245"/>
      <c r="BS1245"/>
      <c r="BU1245"/>
      <c r="BV1245"/>
      <c r="BX1245"/>
    </row>
    <row r="1246" spans="23:76" ht="15.75">
      <c r="W1246" s="495"/>
      <c r="X1246" s="495"/>
      <c r="Y1246" s="495"/>
      <c r="Z1246" s="451"/>
      <c r="AA1246" s="145"/>
      <c r="AB1246" s="223"/>
      <c r="AC1246" s="22"/>
      <c r="AH1246" s="9"/>
      <c r="AJ1246" s="27"/>
      <c r="AK1246" s="84"/>
      <c r="AM1246" s="13"/>
      <c r="AP1246"/>
      <c r="AR1246"/>
      <c r="AV1246"/>
      <c r="AW1246"/>
      <c r="AX1246"/>
      <c r="AY1246"/>
      <c r="AZ1246"/>
      <c r="BC1246"/>
      <c r="BD1246"/>
      <c r="BG1246"/>
      <c r="BH1246"/>
      <c r="BI1246"/>
      <c r="BJ1246"/>
      <c r="BS1246"/>
      <c r="BU1246"/>
      <c r="BV1246"/>
      <c r="BX1246"/>
    </row>
    <row r="1247" spans="23:76" ht="15.75">
      <c r="W1247" s="495"/>
      <c r="X1247" s="495"/>
      <c r="Y1247" s="495"/>
      <c r="Z1247" s="451"/>
      <c r="AA1247" s="145"/>
      <c r="AB1247" s="223"/>
      <c r="AC1247" s="22"/>
      <c r="AH1247" s="9"/>
      <c r="AJ1247" s="27"/>
      <c r="AK1247" s="84"/>
      <c r="AM1247" s="13"/>
      <c r="AP1247"/>
      <c r="AR1247"/>
      <c r="AV1247"/>
      <c r="AW1247"/>
      <c r="AX1247"/>
      <c r="AY1247"/>
      <c r="AZ1247"/>
      <c r="BC1247"/>
      <c r="BD1247"/>
      <c r="BG1247"/>
      <c r="BH1247"/>
      <c r="BI1247"/>
      <c r="BJ1247"/>
      <c r="BS1247"/>
      <c r="BU1247"/>
      <c r="BV1247"/>
      <c r="BX1247"/>
    </row>
    <row r="1248" spans="23:76" ht="15.75">
      <c r="W1248" s="495"/>
      <c r="X1248" s="495"/>
      <c r="Y1248" s="495"/>
      <c r="Z1248" s="451"/>
      <c r="AA1248" s="145"/>
      <c r="AB1248" s="223"/>
      <c r="AC1248" s="22"/>
      <c r="AH1248" s="9"/>
      <c r="AJ1248" s="27"/>
      <c r="AK1248" s="84"/>
      <c r="AM1248" s="13"/>
      <c r="AP1248"/>
      <c r="AR1248"/>
      <c r="AV1248"/>
      <c r="AW1248"/>
      <c r="AX1248"/>
      <c r="AY1248"/>
      <c r="AZ1248"/>
      <c r="BC1248"/>
      <c r="BD1248"/>
      <c r="BG1248"/>
      <c r="BH1248"/>
      <c r="BI1248"/>
      <c r="BJ1248"/>
      <c r="BS1248"/>
      <c r="BU1248"/>
      <c r="BV1248"/>
      <c r="BX1248"/>
    </row>
    <row r="1249" spans="23:76" ht="15.75">
      <c r="W1249" s="495"/>
      <c r="X1249" s="495"/>
      <c r="Y1249" s="495"/>
      <c r="Z1249" s="451"/>
      <c r="AA1249" s="145"/>
      <c r="AB1249" s="223"/>
      <c r="AC1249" s="22"/>
      <c r="AH1249" s="9"/>
      <c r="AJ1249" s="27"/>
      <c r="AK1249" s="84"/>
      <c r="AM1249" s="13"/>
      <c r="AP1249"/>
      <c r="AR1249"/>
      <c r="AV1249"/>
      <c r="AW1249"/>
      <c r="AX1249"/>
      <c r="AY1249"/>
      <c r="AZ1249"/>
      <c r="BC1249"/>
      <c r="BD1249"/>
      <c r="BG1249"/>
      <c r="BH1249"/>
      <c r="BI1249"/>
      <c r="BJ1249"/>
      <c r="BS1249"/>
      <c r="BU1249"/>
      <c r="BV1249"/>
      <c r="BX1249"/>
    </row>
    <row r="1250" spans="23:76" ht="15.75">
      <c r="W1250" s="495"/>
      <c r="X1250" s="495"/>
      <c r="Y1250" s="495"/>
      <c r="Z1250" s="451"/>
      <c r="AA1250" s="145"/>
      <c r="AB1250" s="223"/>
      <c r="AC1250" s="22"/>
      <c r="AH1250" s="9"/>
      <c r="AJ1250" s="27"/>
      <c r="AK1250" s="84"/>
      <c r="AM1250" s="13"/>
      <c r="AP1250"/>
      <c r="AR1250"/>
      <c r="AV1250"/>
      <c r="AW1250"/>
      <c r="AX1250"/>
      <c r="AY1250"/>
      <c r="AZ1250"/>
      <c r="BC1250"/>
      <c r="BD1250"/>
      <c r="BG1250"/>
      <c r="BH1250"/>
      <c r="BI1250"/>
      <c r="BJ1250"/>
      <c r="BS1250"/>
      <c r="BU1250"/>
      <c r="BV1250"/>
      <c r="BX1250"/>
    </row>
    <row r="1251" spans="23:76" ht="15.75">
      <c r="W1251" s="495"/>
      <c r="X1251" s="495"/>
      <c r="Y1251" s="495"/>
      <c r="Z1251" s="451"/>
      <c r="AA1251" s="145"/>
      <c r="AB1251" s="223"/>
      <c r="AC1251" s="22"/>
      <c r="AH1251" s="9"/>
      <c r="AJ1251" s="27"/>
      <c r="AK1251" s="84"/>
      <c r="AM1251" s="13"/>
      <c r="AP1251"/>
      <c r="AR1251"/>
      <c r="AV1251"/>
      <c r="AW1251"/>
      <c r="AX1251"/>
      <c r="AY1251"/>
      <c r="AZ1251"/>
      <c r="BC1251"/>
      <c r="BD1251"/>
      <c r="BG1251"/>
      <c r="BH1251"/>
      <c r="BI1251"/>
      <c r="BJ1251"/>
      <c r="BS1251"/>
      <c r="BU1251"/>
      <c r="BV1251"/>
      <c r="BX1251"/>
    </row>
    <row r="1252" spans="23:76" ht="15.75">
      <c r="W1252" s="495"/>
      <c r="X1252" s="495"/>
      <c r="Y1252" s="495"/>
      <c r="Z1252" s="451"/>
      <c r="AA1252" s="145"/>
      <c r="AB1252" s="223"/>
      <c r="AC1252" s="22"/>
      <c r="AH1252" s="9"/>
      <c r="AJ1252" s="27"/>
      <c r="AK1252" s="84"/>
      <c r="AM1252" s="13"/>
      <c r="AP1252"/>
      <c r="AR1252"/>
      <c r="AV1252"/>
      <c r="AW1252"/>
      <c r="AX1252"/>
      <c r="AY1252"/>
      <c r="AZ1252"/>
      <c r="BC1252"/>
      <c r="BD1252"/>
      <c r="BG1252"/>
      <c r="BH1252"/>
      <c r="BI1252"/>
      <c r="BJ1252"/>
      <c r="BS1252"/>
      <c r="BU1252"/>
      <c r="BV1252"/>
      <c r="BX1252"/>
    </row>
    <row r="1253" spans="23:76" ht="15.75">
      <c r="W1253" s="495"/>
      <c r="X1253" s="495"/>
      <c r="Y1253" s="495"/>
      <c r="Z1253" s="451"/>
      <c r="AA1253" s="145"/>
      <c r="AB1253" s="223"/>
      <c r="AC1253" s="22"/>
      <c r="AH1253" s="9"/>
      <c r="AJ1253" s="27"/>
      <c r="AK1253" s="84"/>
      <c r="AM1253" s="13"/>
      <c r="AP1253"/>
      <c r="AR1253"/>
      <c r="AV1253"/>
      <c r="AW1253"/>
      <c r="AX1253"/>
      <c r="AY1253"/>
      <c r="AZ1253"/>
      <c r="BC1253"/>
      <c r="BD1253"/>
      <c r="BG1253"/>
      <c r="BH1253"/>
      <c r="BI1253"/>
      <c r="BJ1253"/>
      <c r="BS1253"/>
      <c r="BU1253"/>
      <c r="BV1253"/>
      <c r="BX1253"/>
    </row>
    <row r="1254" spans="23:76" ht="15.75">
      <c r="W1254" s="495"/>
      <c r="X1254" s="495"/>
      <c r="Y1254" s="495"/>
      <c r="Z1254" s="451"/>
      <c r="AA1254" s="145"/>
      <c r="AB1254" s="223"/>
      <c r="AC1254" s="22"/>
      <c r="AH1254" s="9"/>
      <c r="AJ1254" s="27"/>
      <c r="AK1254" s="84"/>
      <c r="AM1254" s="13"/>
      <c r="AP1254"/>
      <c r="AR1254"/>
      <c r="AV1254"/>
      <c r="AW1254"/>
      <c r="AX1254"/>
      <c r="AY1254"/>
      <c r="AZ1254"/>
      <c r="BC1254"/>
      <c r="BD1254"/>
      <c r="BG1254"/>
      <c r="BH1254"/>
      <c r="BI1254"/>
      <c r="BJ1254"/>
      <c r="BS1254"/>
      <c r="BU1254"/>
      <c r="BV1254"/>
      <c r="BX1254"/>
    </row>
    <row r="1255" spans="23:76" ht="15.75">
      <c r="W1255" s="495"/>
      <c r="X1255" s="495"/>
      <c r="Y1255" s="495"/>
      <c r="Z1255" s="451"/>
      <c r="AA1255" s="145"/>
      <c r="AB1255" s="223"/>
      <c r="AC1255" s="22"/>
      <c r="AH1255" s="9"/>
      <c r="AJ1255" s="27"/>
      <c r="AK1255" s="84"/>
      <c r="AM1255" s="13"/>
      <c r="AP1255"/>
      <c r="AR1255"/>
      <c r="AV1255"/>
      <c r="AW1255"/>
      <c r="AX1255"/>
      <c r="AY1255"/>
      <c r="AZ1255"/>
      <c r="BC1255"/>
      <c r="BD1255"/>
      <c r="BG1255"/>
      <c r="BH1255"/>
      <c r="BI1255"/>
      <c r="BJ1255"/>
      <c r="BS1255"/>
      <c r="BU1255"/>
      <c r="BV1255"/>
      <c r="BX1255"/>
    </row>
    <row r="1256" spans="23:76" ht="15.75">
      <c r="W1256" s="495"/>
      <c r="X1256" s="495"/>
      <c r="Y1256" s="495"/>
      <c r="Z1256" s="451"/>
      <c r="AA1256" s="145"/>
      <c r="AB1256" s="223"/>
      <c r="AC1256" s="22"/>
      <c r="AH1256" s="9"/>
      <c r="AJ1256" s="27"/>
      <c r="AK1256" s="84"/>
      <c r="AM1256" s="13"/>
      <c r="AP1256"/>
      <c r="AR1256"/>
      <c r="AV1256"/>
      <c r="AW1256"/>
      <c r="AX1256"/>
      <c r="AY1256"/>
      <c r="AZ1256"/>
      <c r="BC1256"/>
      <c r="BD1256"/>
      <c r="BG1256"/>
      <c r="BH1256"/>
      <c r="BI1256"/>
      <c r="BJ1256"/>
      <c r="BS1256"/>
      <c r="BU1256"/>
      <c r="BV1256"/>
      <c r="BX1256"/>
    </row>
    <row r="1257" spans="23:76" ht="15.75">
      <c r="W1257" s="495"/>
      <c r="X1257" s="495"/>
      <c r="Y1257" s="495"/>
      <c r="Z1257" s="451"/>
      <c r="AA1257" s="145"/>
      <c r="AB1257" s="223"/>
      <c r="AC1257" s="22"/>
      <c r="AH1257" s="9"/>
      <c r="AJ1257" s="27"/>
      <c r="AK1257" s="84"/>
      <c r="AM1257" s="13"/>
      <c r="AP1257"/>
      <c r="AR1257"/>
      <c r="AV1257"/>
      <c r="AW1257"/>
      <c r="AX1257"/>
      <c r="AY1257"/>
      <c r="AZ1257"/>
      <c r="BC1257"/>
      <c r="BD1257"/>
      <c r="BG1257"/>
      <c r="BH1257"/>
      <c r="BI1257"/>
      <c r="BJ1257"/>
      <c r="BS1257"/>
      <c r="BU1257"/>
      <c r="BV1257"/>
      <c r="BX1257"/>
    </row>
    <row r="1258" spans="23:76" ht="15.75">
      <c r="W1258" s="495"/>
      <c r="X1258" s="495"/>
      <c r="Y1258" s="495"/>
      <c r="Z1258" s="451"/>
      <c r="AA1258" s="145"/>
      <c r="AB1258" s="223"/>
      <c r="AC1258" s="22"/>
      <c r="AH1258" s="9"/>
      <c r="AJ1258" s="27"/>
      <c r="AK1258" s="84"/>
      <c r="AM1258" s="13"/>
      <c r="AP1258"/>
      <c r="AR1258"/>
      <c r="AV1258"/>
      <c r="AW1258"/>
      <c r="AX1258"/>
      <c r="AY1258"/>
      <c r="AZ1258"/>
      <c r="BC1258"/>
      <c r="BD1258"/>
      <c r="BG1258"/>
      <c r="BH1258"/>
      <c r="BI1258"/>
      <c r="BJ1258"/>
      <c r="BS1258"/>
      <c r="BU1258"/>
      <c r="BV1258"/>
      <c r="BX1258"/>
    </row>
    <row r="1259" spans="23:76" ht="15.75">
      <c r="W1259" s="495"/>
      <c r="X1259" s="495"/>
      <c r="Y1259" s="495"/>
      <c r="Z1259" s="451"/>
      <c r="AA1259" s="145"/>
      <c r="AB1259" s="223"/>
      <c r="AC1259" s="22"/>
      <c r="AH1259" s="9"/>
      <c r="AJ1259" s="27"/>
      <c r="AK1259" s="84"/>
      <c r="AM1259" s="13"/>
      <c r="AP1259"/>
      <c r="AR1259"/>
      <c r="AV1259"/>
      <c r="AW1259"/>
      <c r="AX1259"/>
      <c r="AY1259"/>
      <c r="AZ1259"/>
      <c r="BC1259"/>
      <c r="BD1259"/>
      <c r="BG1259"/>
      <c r="BH1259"/>
      <c r="BI1259"/>
      <c r="BJ1259"/>
      <c r="BS1259"/>
      <c r="BU1259"/>
      <c r="BV1259"/>
      <c r="BX1259"/>
    </row>
    <row r="1260" spans="23:76" ht="15.75">
      <c r="W1260" s="495"/>
      <c r="X1260" s="495"/>
      <c r="Y1260" s="495"/>
      <c r="Z1260" s="451"/>
      <c r="AA1260" s="145"/>
      <c r="AB1260" s="223"/>
      <c r="AC1260" s="22"/>
      <c r="AH1260" s="9"/>
      <c r="AJ1260" s="27"/>
      <c r="AK1260" s="84"/>
      <c r="AM1260" s="13"/>
      <c r="AP1260"/>
      <c r="AR1260"/>
      <c r="AV1260"/>
      <c r="AW1260"/>
      <c r="AX1260"/>
      <c r="AY1260"/>
      <c r="AZ1260"/>
      <c r="BC1260"/>
      <c r="BD1260"/>
      <c r="BG1260"/>
      <c r="BH1260"/>
      <c r="BI1260"/>
      <c r="BJ1260"/>
      <c r="BS1260"/>
      <c r="BU1260"/>
      <c r="BV1260"/>
      <c r="BX1260"/>
    </row>
    <row r="1261" spans="23:76" ht="15.75">
      <c r="W1261" s="495"/>
      <c r="X1261" s="495"/>
      <c r="Y1261" s="495"/>
      <c r="Z1261" s="451"/>
      <c r="AA1261" s="145"/>
      <c r="AB1261" s="223"/>
      <c r="AC1261" s="22"/>
      <c r="AH1261" s="9"/>
      <c r="AJ1261" s="27"/>
      <c r="AK1261" s="84"/>
      <c r="AM1261" s="13"/>
      <c r="AP1261"/>
      <c r="AR1261"/>
      <c r="AV1261"/>
      <c r="AW1261"/>
      <c r="AX1261"/>
      <c r="AY1261"/>
      <c r="AZ1261"/>
      <c r="BC1261"/>
      <c r="BD1261"/>
      <c r="BG1261"/>
      <c r="BH1261"/>
      <c r="BI1261"/>
      <c r="BJ1261"/>
      <c r="BS1261"/>
      <c r="BU1261"/>
      <c r="BV1261"/>
      <c r="BX1261"/>
    </row>
    <row r="1262" spans="23:76" ht="15.75">
      <c r="W1262" s="495"/>
      <c r="X1262" s="495"/>
      <c r="Y1262" s="495"/>
      <c r="Z1262" s="451"/>
      <c r="AA1262" s="145"/>
      <c r="AB1262" s="223"/>
      <c r="AC1262" s="22"/>
      <c r="AH1262" s="9"/>
      <c r="AJ1262" s="27"/>
      <c r="AK1262" s="84"/>
      <c r="AM1262" s="13"/>
      <c r="AP1262"/>
      <c r="AR1262"/>
      <c r="AV1262"/>
      <c r="AW1262"/>
      <c r="AX1262"/>
      <c r="AY1262"/>
      <c r="AZ1262"/>
      <c r="BC1262"/>
      <c r="BD1262"/>
      <c r="BG1262"/>
      <c r="BH1262"/>
      <c r="BI1262"/>
      <c r="BJ1262"/>
      <c r="BS1262"/>
      <c r="BU1262"/>
      <c r="BV1262"/>
      <c r="BX1262"/>
    </row>
    <row r="1263" spans="23:76" ht="15.75">
      <c r="W1263" s="495"/>
      <c r="X1263" s="495"/>
      <c r="Y1263" s="495"/>
      <c r="Z1263" s="451"/>
      <c r="AA1263" s="145"/>
      <c r="AB1263" s="223"/>
      <c r="AC1263" s="22"/>
      <c r="AH1263" s="9"/>
      <c r="AJ1263" s="27"/>
      <c r="AK1263" s="84"/>
      <c r="AM1263" s="13"/>
      <c r="AP1263"/>
      <c r="AR1263"/>
      <c r="AV1263"/>
      <c r="AW1263"/>
      <c r="AX1263"/>
      <c r="AY1263"/>
      <c r="AZ1263"/>
      <c r="BC1263"/>
      <c r="BD1263"/>
      <c r="BG1263"/>
      <c r="BH1263"/>
      <c r="BI1263"/>
      <c r="BJ1263"/>
      <c r="BS1263"/>
      <c r="BU1263"/>
      <c r="BV1263"/>
      <c r="BX1263"/>
    </row>
    <row r="1264" spans="23:76" ht="15.75">
      <c r="W1264" s="495"/>
      <c r="X1264" s="495"/>
      <c r="Y1264" s="495"/>
      <c r="Z1264" s="451"/>
      <c r="AA1264" s="145"/>
      <c r="AB1264" s="223"/>
      <c r="AC1264" s="22"/>
      <c r="AH1264" s="9"/>
      <c r="AJ1264" s="27"/>
      <c r="AK1264" s="84"/>
      <c r="AM1264" s="13"/>
      <c r="AP1264"/>
      <c r="AR1264"/>
      <c r="AV1264"/>
      <c r="AW1264"/>
      <c r="AX1264"/>
      <c r="AY1264"/>
      <c r="AZ1264"/>
      <c r="BC1264"/>
      <c r="BD1264"/>
      <c r="BG1264"/>
      <c r="BH1264"/>
      <c r="BI1264"/>
      <c r="BJ1264"/>
      <c r="BS1264"/>
      <c r="BU1264"/>
      <c r="BV1264"/>
      <c r="BX1264"/>
    </row>
    <row r="1265" spans="23:76" ht="15.75">
      <c r="W1265" s="495"/>
      <c r="X1265" s="495"/>
      <c r="Y1265" s="495"/>
      <c r="Z1265" s="451"/>
      <c r="AA1265" s="145"/>
      <c r="AB1265" s="223"/>
      <c r="AC1265" s="22"/>
      <c r="AH1265" s="9"/>
      <c r="AJ1265" s="27"/>
      <c r="AK1265" s="84"/>
      <c r="AM1265" s="13"/>
      <c r="AP1265"/>
      <c r="AR1265"/>
      <c r="AV1265"/>
      <c r="AW1265"/>
      <c r="AX1265"/>
      <c r="AY1265"/>
      <c r="AZ1265"/>
      <c r="BC1265"/>
      <c r="BD1265"/>
      <c r="BG1265"/>
      <c r="BH1265"/>
      <c r="BI1265"/>
      <c r="BJ1265"/>
      <c r="BS1265"/>
      <c r="BU1265"/>
      <c r="BV1265"/>
      <c r="BX1265"/>
    </row>
    <row r="1266" spans="23:76" ht="15.75">
      <c r="W1266" s="495"/>
      <c r="X1266" s="495"/>
      <c r="Y1266" s="495"/>
      <c r="Z1266" s="451"/>
      <c r="AA1266" s="145"/>
      <c r="AB1266" s="223"/>
      <c r="AC1266" s="22"/>
      <c r="AH1266" s="9"/>
      <c r="AJ1266" s="27"/>
      <c r="AK1266" s="84"/>
      <c r="AM1266" s="13"/>
      <c r="AP1266"/>
      <c r="AR1266"/>
      <c r="AV1266"/>
      <c r="AW1266"/>
      <c r="AX1266"/>
      <c r="AY1266"/>
      <c r="AZ1266"/>
      <c r="BC1266"/>
      <c r="BD1266"/>
      <c r="BG1266"/>
      <c r="BH1266"/>
      <c r="BI1266"/>
      <c r="BJ1266"/>
      <c r="BS1266"/>
      <c r="BU1266"/>
      <c r="BV1266"/>
      <c r="BX1266"/>
    </row>
    <row r="1267" spans="23:76" ht="15.75">
      <c r="W1267" s="495"/>
      <c r="X1267" s="495"/>
      <c r="Y1267" s="495"/>
      <c r="Z1267" s="451"/>
      <c r="AA1267" s="145"/>
      <c r="AB1267" s="223"/>
      <c r="AC1267" s="22"/>
      <c r="AH1267" s="9"/>
      <c r="AJ1267" s="27"/>
      <c r="AK1267" s="84"/>
      <c r="AM1267" s="13"/>
      <c r="AP1267"/>
      <c r="AR1267"/>
      <c r="AV1267"/>
      <c r="AW1267"/>
      <c r="AX1267"/>
      <c r="AY1267"/>
      <c r="AZ1267"/>
      <c r="BC1267"/>
      <c r="BD1267"/>
      <c r="BG1267"/>
      <c r="BH1267"/>
      <c r="BI1267"/>
      <c r="BJ1267"/>
      <c r="BS1267"/>
      <c r="BU1267"/>
      <c r="BV1267"/>
      <c r="BX1267"/>
    </row>
    <row r="1268" spans="23:76" ht="15.75">
      <c r="W1268" s="495"/>
      <c r="X1268" s="495"/>
      <c r="Y1268" s="495"/>
      <c r="Z1268" s="451"/>
      <c r="AA1268" s="145"/>
      <c r="AB1268" s="223"/>
      <c r="AC1268" s="22"/>
      <c r="AH1268" s="9"/>
      <c r="AJ1268" s="27"/>
      <c r="AK1268" s="84"/>
      <c r="AM1268" s="13"/>
      <c r="AP1268"/>
      <c r="AR1268"/>
      <c r="AV1268"/>
      <c r="AW1268"/>
      <c r="AX1268"/>
      <c r="AY1268"/>
      <c r="AZ1268"/>
      <c r="BC1268"/>
      <c r="BD1268"/>
      <c r="BG1268"/>
      <c r="BH1268"/>
      <c r="BI1268"/>
      <c r="BJ1268"/>
      <c r="BS1268"/>
      <c r="BU1268"/>
      <c r="BV1268"/>
      <c r="BX1268"/>
    </row>
    <row r="1269" spans="23:76" ht="15.75">
      <c r="W1269" s="495"/>
      <c r="X1269" s="495"/>
      <c r="Y1269" s="495"/>
      <c r="Z1269" s="451"/>
      <c r="AA1269" s="145"/>
      <c r="AB1269" s="223"/>
      <c r="AC1269" s="22"/>
      <c r="AH1269" s="9"/>
      <c r="AJ1269" s="27"/>
      <c r="AK1269" s="84"/>
      <c r="AM1269" s="13"/>
      <c r="AP1269"/>
      <c r="AR1269"/>
      <c r="AV1269"/>
      <c r="AW1269"/>
      <c r="AX1269"/>
      <c r="AY1269"/>
      <c r="AZ1269"/>
      <c r="BC1269"/>
      <c r="BD1269"/>
      <c r="BG1269"/>
      <c r="BH1269"/>
      <c r="BI1269"/>
      <c r="BJ1269"/>
      <c r="BS1269"/>
      <c r="BU1269"/>
      <c r="BV1269"/>
      <c r="BX1269"/>
    </row>
    <row r="1270" spans="23:76" ht="15.75">
      <c r="W1270" s="495"/>
      <c r="X1270" s="495"/>
      <c r="Y1270" s="495"/>
      <c r="Z1270" s="451"/>
      <c r="AA1270" s="145"/>
      <c r="AB1270" s="223"/>
      <c r="AC1270" s="22"/>
      <c r="AH1270" s="9"/>
      <c r="AJ1270" s="27"/>
      <c r="AK1270" s="84"/>
      <c r="AM1270" s="13"/>
      <c r="AP1270"/>
      <c r="AR1270"/>
      <c r="AV1270"/>
      <c r="AW1270"/>
      <c r="AX1270"/>
      <c r="AY1270"/>
      <c r="AZ1270"/>
      <c r="BC1270"/>
      <c r="BD1270"/>
      <c r="BG1270"/>
      <c r="BH1270"/>
      <c r="BI1270"/>
      <c r="BJ1270"/>
      <c r="BS1270"/>
      <c r="BU1270"/>
      <c r="BV1270"/>
      <c r="BX1270"/>
    </row>
    <row r="1271" spans="23:76" ht="15.75">
      <c r="W1271" s="495"/>
      <c r="X1271" s="495"/>
      <c r="Y1271" s="495"/>
      <c r="Z1271" s="451"/>
      <c r="AA1271" s="145"/>
      <c r="AB1271" s="223"/>
      <c r="AC1271" s="22"/>
      <c r="AH1271" s="9"/>
      <c r="AJ1271" s="27"/>
      <c r="AK1271" s="84"/>
      <c r="AM1271" s="13"/>
      <c r="AP1271"/>
      <c r="AR1271"/>
      <c r="AV1271"/>
      <c r="AW1271"/>
      <c r="AX1271"/>
      <c r="AY1271"/>
      <c r="AZ1271"/>
      <c r="BC1271"/>
      <c r="BD1271"/>
      <c r="BG1271"/>
      <c r="BH1271"/>
      <c r="BI1271"/>
      <c r="BJ1271"/>
      <c r="BS1271"/>
      <c r="BU1271"/>
      <c r="BV1271"/>
      <c r="BX1271"/>
    </row>
    <row r="1272" spans="23:76" ht="15.75">
      <c r="W1272" s="495"/>
      <c r="X1272" s="495"/>
      <c r="Y1272" s="495"/>
      <c r="Z1272" s="451"/>
      <c r="AA1272" s="145"/>
      <c r="AB1272" s="223"/>
      <c r="AC1272" s="22"/>
      <c r="AH1272" s="9"/>
      <c r="AJ1272" s="27"/>
      <c r="AK1272" s="84"/>
      <c r="AM1272" s="13"/>
      <c r="AP1272"/>
      <c r="AR1272"/>
      <c r="AV1272"/>
      <c r="AW1272"/>
      <c r="AX1272"/>
      <c r="AY1272"/>
      <c r="AZ1272"/>
      <c r="BC1272"/>
      <c r="BD1272"/>
      <c r="BG1272"/>
      <c r="BH1272"/>
      <c r="BI1272"/>
      <c r="BJ1272"/>
      <c r="BS1272"/>
      <c r="BU1272"/>
      <c r="BV1272"/>
      <c r="BX1272"/>
    </row>
    <row r="1273" spans="23:76" ht="15.75">
      <c r="W1273" s="495"/>
      <c r="X1273" s="495"/>
      <c r="Y1273" s="495"/>
      <c r="Z1273" s="451"/>
      <c r="AA1273" s="145"/>
      <c r="AB1273" s="223"/>
      <c r="AC1273" s="22"/>
      <c r="AH1273" s="9"/>
      <c r="AJ1273" s="27"/>
      <c r="AK1273" s="84"/>
      <c r="AM1273" s="13"/>
      <c r="AP1273"/>
      <c r="AR1273"/>
      <c r="AV1273"/>
      <c r="AW1273"/>
      <c r="AX1273"/>
      <c r="AY1273"/>
      <c r="AZ1273"/>
      <c r="BC1273"/>
      <c r="BD1273"/>
      <c r="BG1273"/>
      <c r="BH1273"/>
      <c r="BI1273"/>
      <c r="BJ1273"/>
      <c r="BS1273"/>
      <c r="BU1273"/>
      <c r="BV1273"/>
      <c r="BX1273"/>
    </row>
    <row r="1274" spans="23:76" ht="15.75">
      <c r="W1274" s="495"/>
      <c r="X1274" s="495"/>
      <c r="Y1274" s="495"/>
      <c r="Z1274" s="451"/>
      <c r="AA1274" s="145"/>
      <c r="AB1274" s="223"/>
      <c r="AC1274" s="22"/>
      <c r="AH1274" s="9"/>
      <c r="AJ1274" s="27"/>
      <c r="AK1274" s="84"/>
      <c r="AM1274" s="13"/>
      <c r="AP1274"/>
      <c r="AR1274"/>
      <c r="AV1274"/>
      <c r="AW1274"/>
      <c r="AX1274"/>
      <c r="AY1274"/>
      <c r="AZ1274"/>
      <c r="BC1274"/>
      <c r="BD1274"/>
      <c r="BG1274"/>
      <c r="BH1274"/>
      <c r="BI1274"/>
      <c r="BJ1274"/>
      <c r="BS1274"/>
      <c r="BU1274"/>
      <c r="BV1274"/>
      <c r="BX1274"/>
    </row>
    <row r="1275" spans="23:76" ht="15.75">
      <c r="W1275" s="495"/>
      <c r="X1275" s="495"/>
      <c r="Y1275" s="495"/>
      <c r="Z1275" s="451"/>
      <c r="AA1275" s="145"/>
      <c r="AB1275" s="223"/>
      <c r="AC1275" s="22"/>
      <c r="AH1275" s="9"/>
      <c r="AJ1275" s="27"/>
      <c r="AK1275" s="84"/>
      <c r="AM1275" s="13"/>
      <c r="AP1275"/>
      <c r="AR1275"/>
      <c r="AV1275"/>
      <c r="AW1275"/>
      <c r="AX1275"/>
      <c r="AY1275"/>
      <c r="AZ1275"/>
      <c r="BC1275"/>
      <c r="BD1275"/>
      <c r="BG1275"/>
      <c r="BH1275"/>
      <c r="BI1275"/>
      <c r="BJ1275"/>
      <c r="BS1275"/>
      <c r="BU1275"/>
      <c r="BV1275"/>
      <c r="BX1275"/>
    </row>
    <row r="1276" spans="23:76" ht="15.75">
      <c r="W1276" s="495"/>
      <c r="X1276" s="495"/>
      <c r="Y1276" s="495"/>
      <c r="Z1276" s="451"/>
      <c r="AA1276" s="145"/>
      <c r="AB1276" s="223"/>
      <c r="AC1276" s="22"/>
      <c r="AH1276" s="9"/>
      <c r="AJ1276" s="27"/>
      <c r="AK1276" s="84"/>
      <c r="AM1276" s="13"/>
      <c r="AP1276"/>
      <c r="AR1276"/>
      <c r="AV1276"/>
      <c r="AW1276"/>
      <c r="AX1276"/>
      <c r="AY1276"/>
      <c r="AZ1276"/>
      <c r="BC1276"/>
      <c r="BD1276"/>
      <c r="BG1276"/>
      <c r="BH1276"/>
      <c r="BI1276"/>
      <c r="BJ1276"/>
      <c r="BS1276"/>
      <c r="BU1276"/>
      <c r="BV1276"/>
      <c r="BX1276"/>
    </row>
    <row r="1277" spans="23:76" ht="15.75">
      <c r="W1277" s="495"/>
      <c r="X1277" s="495"/>
      <c r="Y1277" s="495"/>
      <c r="Z1277" s="451"/>
      <c r="AA1277" s="145"/>
      <c r="AB1277" s="223"/>
      <c r="AC1277" s="22"/>
      <c r="AH1277" s="9"/>
      <c r="AJ1277" s="27"/>
      <c r="AK1277" s="84"/>
      <c r="AM1277" s="13"/>
      <c r="AP1277"/>
      <c r="AR1277"/>
      <c r="AV1277"/>
      <c r="AW1277"/>
      <c r="AX1277"/>
      <c r="AY1277"/>
      <c r="AZ1277"/>
      <c r="BC1277"/>
      <c r="BD1277"/>
      <c r="BG1277"/>
      <c r="BH1277"/>
      <c r="BI1277"/>
      <c r="BJ1277"/>
      <c r="BS1277"/>
      <c r="BU1277"/>
      <c r="BV1277"/>
      <c r="BX1277"/>
    </row>
    <row r="1278" spans="23:76" ht="15.75">
      <c r="W1278" s="495"/>
      <c r="X1278" s="495"/>
      <c r="Y1278" s="495"/>
      <c r="Z1278" s="451"/>
      <c r="AA1278" s="145"/>
      <c r="AB1278" s="223"/>
      <c r="AC1278" s="22"/>
      <c r="AH1278" s="9"/>
      <c r="AJ1278" s="27"/>
      <c r="AK1278" s="84"/>
      <c r="AM1278" s="13"/>
      <c r="AP1278"/>
      <c r="AR1278"/>
      <c r="AV1278"/>
      <c r="AW1278"/>
      <c r="AX1278"/>
      <c r="AY1278"/>
      <c r="AZ1278"/>
      <c r="BC1278"/>
      <c r="BD1278"/>
      <c r="BG1278"/>
      <c r="BH1278"/>
      <c r="BI1278"/>
      <c r="BJ1278"/>
      <c r="BS1278"/>
      <c r="BU1278"/>
      <c r="BV1278"/>
      <c r="BX1278"/>
    </row>
    <row r="1279" spans="23:76" ht="15.75">
      <c r="W1279" s="495"/>
      <c r="X1279" s="495"/>
      <c r="Y1279" s="495"/>
      <c r="Z1279" s="451"/>
      <c r="AA1279" s="145"/>
      <c r="AB1279" s="223"/>
      <c r="AC1279" s="22"/>
      <c r="AH1279" s="9"/>
      <c r="AJ1279" s="27"/>
      <c r="AK1279" s="84"/>
      <c r="AM1279" s="13"/>
      <c r="AP1279"/>
      <c r="AR1279"/>
      <c r="AV1279"/>
      <c r="AW1279"/>
      <c r="AX1279"/>
      <c r="AY1279"/>
      <c r="AZ1279"/>
      <c r="BC1279"/>
      <c r="BD1279"/>
      <c r="BG1279"/>
      <c r="BH1279"/>
      <c r="BI1279"/>
      <c r="BJ1279"/>
      <c r="BS1279"/>
      <c r="BU1279"/>
      <c r="BV1279"/>
      <c r="BX1279"/>
    </row>
    <row r="1280" spans="23:76" ht="15.75">
      <c r="W1280" s="495"/>
      <c r="X1280" s="495"/>
      <c r="Y1280" s="495"/>
      <c r="Z1280" s="451"/>
      <c r="AA1280" s="145"/>
      <c r="AB1280" s="223"/>
      <c r="AC1280" s="22"/>
      <c r="AH1280" s="9"/>
      <c r="AJ1280" s="27"/>
      <c r="AK1280" s="84"/>
      <c r="AM1280" s="13"/>
      <c r="AP1280"/>
      <c r="AR1280"/>
      <c r="AV1280"/>
      <c r="AW1280"/>
      <c r="AX1280"/>
      <c r="AY1280"/>
      <c r="AZ1280"/>
      <c r="BC1280"/>
      <c r="BD1280"/>
      <c r="BG1280"/>
      <c r="BH1280"/>
      <c r="BI1280"/>
      <c r="BJ1280"/>
      <c r="BS1280"/>
      <c r="BU1280"/>
      <c r="BV1280"/>
      <c r="BX1280"/>
    </row>
    <row r="1281" spans="23:76" ht="15.75">
      <c r="W1281" s="495"/>
      <c r="X1281" s="495"/>
      <c r="Y1281" s="495"/>
      <c r="Z1281" s="451"/>
      <c r="AA1281" s="145"/>
      <c r="AB1281" s="223"/>
      <c r="AC1281" s="22"/>
      <c r="AH1281" s="9"/>
      <c r="AJ1281" s="27"/>
      <c r="AK1281" s="84"/>
      <c r="AM1281" s="13"/>
      <c r="AP1281"/>
      <c r="AR1281"/>
      <c r="AV1281"/>
      <c r="AW1281"/>
      <c r="AX1281"/>
      <c r="AY1281"/>
      <c r="AZ1281"/>
      <c r="BC1281"/>
      <c r="BD1281"/>
      <c r="BG1281"/>
      <c r="BH1281"/>
      <c r="BI1281"/>
      <c r="BJ1281"/>
      <c r="BS1281"/>
      <c r="BU1281"/>
      <c r="BV1281"/>
      <c r="BX1281"/>
    </row>
    <row r="1282" spans="23:76" ht="15.75">
      <c r="W1282" s="495"/>
      <c r="X1282" s="495"/>
      <c r="Y1282" s="495"/>
      <c r="Z1282" s="451"/>
      <c r="AA1282" s="145"/>
      <c r="AB1282" s="223"/>
      <c r="AC1282" s="22"/>
      <c r="AH1282" s="9"/>
      <c r="AJ1282" s="27"/>
      <c r="AK1282" s="84"/>
      <c r="AM1282" s="13"/>
      <c r="AP1282"/>
      <c r="AR1282"/>
      <c r="AV1282"/>
      <c r="AW1282"/>
      <c r="AX1282"/>
      <c r="AY1282"/>
      <c r="AZ1282"/>
      <c r="BC1282"/>
      <c r="BD1282"/>
      <c r="BG1282"/>
      <c r="BH1282"/>
      <c r="BI1282"/>
      <c r="BJ1282"/>
      <c r="BS1282"/>
      <c r="BU1282"/>
      <c r="BV1282"/>
      <c r="BX1282"/>
    </row>
    <row r="1283" spans="23:76" ht="15.75">
      <c r="W1283" s="495"/>
      <c r="X1283" s="495"/>
      <c r="Y1283" s="495"/>
      <c r="Z1283" s="451"/>
      <c r="AA1283" s="145"/>
      <c r="AB1283" s="223"/>
      <c r="AC1283" s="22"/>
      <c r="AH1283" s="9"/>
      <c r="AJ1283" s="27"/>
      <c r="AK1283" s="84"/>
      <c r="AM1283" s="13"/>
      <c r="AP1283"/>
      <c r="AR1283"/>
      <c r="AV1283"/>
      <c r="AW1283"/>
      <c r="AX1283"/>
      <c r="AY1283"/>
      <c r="AZ1283"/>
      <c r="BC1283"/>
      <c r="BD1283"/>
      <c r="BG1283"/>
      <c r="BH1283"/>
      <c r="BI1283"/>
      <c r="BJ1283"/>
      <c r="BS1283"/>
      <c r="BU1283"/>
      <c r="BV1283"/>
      <c r="BX1283"/>
    </row>
    <row r="1284" spans="23:76" ht="15.75">
      <c r="W1284" s="495"/>
      <c r="X1284" s="495"/>
      <c r="Y1284" s="495"/>
      <c r="Z1284" s="451"/>
      <c r="AA1284" s="145"/>
      <c r="AB1284" s="223"/>
      <c r="AC1284" s="22"/>
      <c r="AH1284" s="9"/>
      <c r="AJ1284" s="27"/>
      <c r="AK1284" s="84"/>
      <c r="AM1284" s="13"/>
      <c r="AP1284"/>
      <c r="AR1284"/>
      <c r="AV1284"/>
      <c r="AW1284"/>
      <c r="AX1284"/>
      <c r="AY1284"/>
      <c r="AZ1284"/>
      <c r="BC1284"/>
      <c r="BD1284"/>
      <c r="BG1284"/>
      <c r="BH1284"/>
      <c r="BI1284"/>
      <c r="BJ1284"/>
      <c r="BS1284"/>
      <c r="BU1284"/>
      <c r="BV1284"/>
      <c r="BX1284"/>
    </row>
    <row r="1285" spans="23:76" ht="15.75">
      <c r="W1285" s="495"/>
      <c r="X1285" s="495"/>
      <c r="Y1285" s="495"/>
      <c r="Z1285" s="451"/>
      <c r="AA1285" s="145"/>
      <c r="AB1285" s="223"/>
      <c r="AC1285" s="22"/>
      <c r="AH1285" s="9"/>
      <c r="AJ1285" s="27"/>
      <c r="AK1285" s="84"/>
      <c r="AM1285" s="13"/>
      <c r="AP1285"/>
      <c r="AR1285"/>
      <c r="AV1285"/>
      <c r="AW1285"/>
      <c r="AX1285"/>
      <c r="AY1285"/>
      <c r="AZ1285"/>
      <c r="BC1285"/>
      <c r="BD1285"/>
      <c r="BG1285"/>
      <c r="BH1285"/>
      <c r="BI1285"/>
      <c r="BJ1285"/>
      <c r="BS1285"/>
      <c r="BU1285"/>
      <c r="BV1285"/>
      <c r="BX1285"/>
    </row>
    <row r="1286" spans="23:76" ht="15.75">
      <c r="W1286" s="495"/>
      <c r="X1286" s="495"/>
      <c r="Y1286" s="495"/>
      <c r="Z1286" s="451"/>
      <c r="AA1286" s="145"/>
      <c r="AB1286" s="223"/>
      <c r="AC1286" s="22"/>
      <c r="AH1286" s="9"/>
      <c r="AJ1286" s="27"/>
      <c r="AK1286" s="84"/>
      <c r="AM1286" s="13"/>
      <c r="AP1286"/>
      <c r="AR1286"/>
      <c r="AV1286"/>
      <c r="AW1286"/>
      <c r="AX1286"/>
      <c r="AY1286"/>
      <c r="AZ1286"/>
      <c r="BC1286"/>
      <c r="BD1286"/>
      <c r="BG1286"/>
      <c r="BH1286"/>
      <c r="BI1286"/>
      <c r="BJ1286"/>
      <c r="BS1286"/>
      <c r="BU1286"/>
      <c r="BV1286"/>
      <c r="BX1286"/>
    </row>
    <row r="1287" spans="23:76" ht="15.75">
      <c r="W1287" s="495"/>
      <c r="X1287" s="495"/>
      <c r="Y1287" s="495"/>
      <c r="Z1287" s="451"/>
      <c r="AA1287" s="145"/>
      <c r="AB1287" s="223"/>
      <c r="AC1287" s="22"/>
      <c r="AH1287" s="9"/>
      <c r="AJ1287" s="27"/>
      <c r="AK1287" s="84"/>
      <c r="AM1287" s="13"/>
      <c r="AP1287"/>
      <c r="AR1287"/>
      <c r="AV1287"/>
      <c r="AW1287"/>
      <c r="AX1287"/>
      <c r="AY1287"/>
      <c r="AZ1287"/>
      <c r="BC1287"/>
      <c r="BD1287"/>
      <c r="BG1287"/>
      <c r="BH1287"/>
      <c r="BI1287"/>
      <c r="BJ1287"/>
      <c r="BS1287"/>
      <c r="BU1287"/>
      <c r="BV1287"/>
      <c r="BX1287"/>
    </row>
    <row r="1288" spans="23:76" ht="15.75">
      <c r="W1288" s="495"/>
      <c r="X1288" s="495"/>
      <c r="Y1288" s="495"/>
      <c r="Z1288" s="451"/>
      <c r="AA1288" s="145"/>
      <c r="AB1288" s="223"/>
      <c r="AC1288" s="22"/>
      <c r="AH1288" s="9"/>
      <c r="AJ1288" s="27"/>
      <c r="AK1288" s="84"/>
      <c r="AM1288" s="13"/>
      <c r="AP1288"/>
      <c r="AR1288"/>
      <c r="AV1288"/>
      <c r="AW1288"/>
      <c r="AX1288"/>
      <c r="AY1288"/>
      <c r="AZ1288"/>
      <c r="BC1288"/>
      <c r="BD1288"/>
      <c r="BG1288"/>
      <c r="BH1288"/>
      <c r="BI1288"/>
      <c r="BJ1288"/>
      <c r="BS1288"/>
      <c r="BU1288"/>
      <c r="BV1288"/>
      <c r="BX1288"/>
    </row>
    <row r="1289" spans="23:76" ht="15.75">
      <c r="W1289" s="495"/>
      <c r="X1289" s="495"/>
      <c r="Y1289" s="495"/>
      <c r="Z1289" s="451"/>
      <c r="AA1289" s="145"/>
      <c r="AB1289" s="223"/>
      <c r="AC1289" s="22"/>
      <c r="AH1289" s="9"/>
      <c r="AJ1289" s="27"/>
      <c r="AK1289" s="84"/>
      <c r="AM1289" s="13"/>
      <c r="AP1289"/>
      <c r="AR1289"/>
      <c r="AV1289"/>
      <c r="AW1289"/>
      <c r="AX1289"/>
      <c r="AY1289"/>
      <c r="AZ1289"/>
      <c r="BC1289"/>
      <c r="BD1289"/>
      <c r="BG1289"/>
      <c r="BH1289"/>
      <c r="BI1289"/>
      <c r="BJ1289"/>
      <c r="BS1289"/>
      <c r="BU1289"/>
      <c r="BV1289"/>
      <c r="BX1289"/>
    </row>
    <row r="1290" spans="23:76" ht="15.75">
      <c r="W1290" s="495"/>
      <c r="X1290" s="495"/>
      <c r="Y1290" s="495"/>
      <c r="Z1290" s="451"/>
      <c r="AA1290" s="145"/>
      <c r="AB1290" s="223"/>
      <c r="AC1290" s="22"/>
      <c r="AH1290" s="9"/>
      <c r="AJ1290" s="27"/>
      <c r="AK1290" s="84"/>
      <c r="AM1290" s="13"/>
      <c r="AP1290"/>
      <c r="AR1290"/>
      <c r="AV1290"/>
      <c r="AW1290"/>
      <c r="AX1290"/>
      <c r="AY1290"/>
      <c r="AZ1290"/>
      <c r="BC1290"/>
      <c r="BD1290"/>
      <c r="BG1290"/>
      <c r="BH1290"/>
      <c r="BI1290"/>
      <c r="BJ1290"/>
      <c r="BS1290"/>
      <c r="BU1290"/>
      <c r="BV1290"/>
      <c r="BX1290"/>
    </row>
    <row r="1291" spans="23:76" ht="15.75">
      <c r="W1291" s="495"/>
      <c r="X1291" s="495"/>
      <c r="Y1291" s="495"/>
      <c r="Z1291" s="451"/>
      <c r="AA1291" s="145"/>
      <c r="AB1291" s="223"/>
      <c r="AC1291" s="22"/>
      <c r="AH1291" s="9"/>
      <c r="AJ1291" s="27"/>
      <c r="AK1291" s="84"/>
      <c r="AM1291" s="13"/>
      <c r="AP1291"/>
      <c r="AR1291"/>
      <c r="AV1291"/>
      <c r="AW1291"/>
      <c r="AX1291"/>
      <c r="AY1291"/>
      <c r="AZ1291"/>
      <c r="BC1291"/>
      <c r="BD1291"/>
      <c r="BG1291"/>
      <c r="BH1291"/>
      <c r="BI1291"/>
      <c r="BJ1291"/>
      <c r="BS1291"/>
      <c r="BU1291"/>
      <c r="BV1291"/>
      <c r="BX1291"/>
    </row>
    <row r="1292" spans="23:76" ht="15.75">
      <c r="W1292" s="495"/>
      <c r="X1292" s="495"/>
      <c r="Y1292" s="495"/>
      <c r="Z1292" s="451"/>
      <c r="AA1292" s="145"/>
      <c r="AB1292" s="223"/>
      <c r="AC1292" s="22"/>
      <c r="AH1292" s="9"/>
      <c r="AJ1292" s="27"/>
      <c r="AK1292" s="84"/>
      <c r="AM1292" s="13"/>
      <c r="AP1292"/>
      <c r="AR1292"/>
      <c r="AV1292"/>
      <c r="AW1292"/>
      <c r="AX1292"/>
      <c r="AY1292"/>
      <c r="AZ1292"/>
      <c r="BC1292"/>
      <c r="BD1292"/>
      <c r="BG1292"/>
      <c r="BH1292"/>
      <c r="BI1292"/>
      <c r="BJ1292"/>
      <c r="BS1292"/>
      <c r="BU1292"/>
      <c r="BV1292"/>
      <c r="BX1292"/>
    </row>
    <row r="1293" spans="23:76" ht="15.75">
      <c r="W1293" s="495"/>
      <c r="X1293" s="495"/>
      <c r="Y1293" s="495"/>
      <c r="Z1293" s="451"/>
      <c r="AA1293" s="145"/>
      <c r="AB1293" s="223"/>
      <c r="AC1293" s="22"/>
      <c r="AH1293" s="9"/>
      <c r="AJ1293" s="27"/>
      <c r="AK1293" s="84"/>
      <c r="AM1293" s="13"/>
      <c r="AP1293"/>
      <c r="AR1293"/>
      <c r="AV1293"/>
      <c r="AW1293"/>
      <c r="AX1293"/>
      <c r="AY1293"/>
      <c r="AZ1293"/>
      <c r="BC1293"/>
      <c r="BD1293"/>
      <c r="BG1293"/>
      <c r="BH1293"/>
      <c r="BI1293"/>
      <c r="BJ1293"/>
      <c r="BS1293"/>
      <c r="BU1293"/>
      <c r="BV1293"/>
      <c r="BX1293"/>
    </row>
    <row r="1294" spans="23:76" ht="15.75">
      <c r="W1294" s="495"/>
      <c r="X1294" s="495"/>
      <c r="Y1294" s="495"/>
      <c r="Z1294" s="451"/>
      <c r="AA1294" s="145"/>
      <c r="AB1294" s="223"/>
      <c r="AC1294" s="22"/>
      <c r="AH1294" s="9"/>
      <c r="AJ1294" s="27"/>
      <c r="AK1294" s="84"/>
      <c r="AM1294" s="13"/>
      <c r="AP1294"/>
      <c r="AR1294"/>
      <c r="AV1294"/>
      <c r="AW1294"/>
      <c r="AX1294"/>
      <c r="AY1294"/>
      <c r="AZ1294"/>
      <c r="BC1294"/>
      <c r="BD1294"/>
      <c r="BG1294"/>
      <c r="BH1294"/>
      <c r="BI1294"/>
      <c r="BJ1294"/>
      <c r="BS1294"/>
      <c r="BU1294"/>
      <c r="BV1294"/>
      <c r="BX1294"/>
    </row>
    <row r="1295" spans="23:76" ht="15.75">
      <c r="W1295" s="495"/>
      <c r="X1295" s="495"/>
      <c r="Y1295" s="495"/>
      <c r="Z1295" s="451"/>
      <c r="AA1295" s="145"/>
      <c r="AB1295" s="223"/>
      <c r="AC1295" s="22"/>
      <c r="AH1295" s="9"/>
      <c r="AJ1295" s="27"/>
      <c r="AK1295" s="84"/>
      <c r="AM1295" s="13"/>
      <c r="AP1295"/>
      <c r="AR1295"/>
      <c r="AV1295"/>
      <c r="AW1295"/>
      <c r="AX1295"/>
      <c r="AY1295"/>
      <c r="AZ1295"/>
      <c r="BC1295"/>
      <c r="BD1295"/>
      <c r="BG1295"/>
      <c r="BH1295"/>
      <c r="BI1295"/>
      <c r="BJ1295"/>
      <c r="BS1295"/>
      <c r="BU1295"/>
      <c r="BV1295"/>
      <c r="BX1295"/>
    </row>
    <row r="1296" spans="23:76" ht="15.75">
      <c r="W1296" s="495"/>
      <c r="X1296" s="495"/>
      <c r="Y1296" s="495"/>
      <c r="Z1296" s="451"/>
      <c r="AA1296" s="145"/>
      <c r="AB1296" s="223"/>
      <c r="AC1296" s="22"/>
      <c r="AH1296" s="9"/>
      <c r="AJ1296" s="27"/>
      <c r="AK1296" s="84"/>
      <c r="AM1296" s="13"/>
      <c r="AP1296"/>
      <c r="AR1296"/>
      <c r="AV1296"/>
      <c r="AW1296"/>
      <c r="AX1296"/>
      <c r="AY1296"/>
      <c r="AZ1296"/>
      <c r="BC1296"/>
      <c r="BD1296"/>
      <c r="BG1296"/>
      <c r="BH1296"/>
      <c r="BI1296"/>
      <c r="BJ1296"/>
      <c r="BS1296"/>
      <c r="BU1296"/>
      <c r="BV1296"/>
      <c r="BX1296"/>
    </row>
    <row r="1297" spans="23:76" ht="15.75">
      <c r="W1297" s="495"/>
      <c r="X1297" s="495"/>
      <c r="Y1297" s="495"/>
      <c r="Z1297" s="451"/>
      <c r="AA1297" s="145"/>
      <c r="AB1297" s="223"/>
      <c r="AC1297" s="22"/>
      <c r="AH1297" s="9"/>
      <c r="AJ1297" s="27"/>
      <c r="AK1297" s="84"/>
      <c r="AM1297" s="13"/>
      <c r="AP1297"/>
      <c r="AR1297"/>
      <c r="AV1297"/>
      <c r="AW1297"/>
      <c r="AX1297"/>
      <c r="AY1297"/>
      <c r="AZ1297"/>
      <c r="BC1297"/>
      <c r="BD1297"/>
      <c r="BG1297"/>
      <c r="BH1297"/>
      <c r="BI1297"/>
      <c r="BJ1297"/>
      <c r="BS1297"/>
      <c r="BU1297"/>
      <c r="BV1297"/>
      <c r="BX1297"/>
    </row>
    <row r="1298" spans="23:76" ht="15.75">
      <c r="W1298" s="495"/>
      <c r="X1298" s="495"/>
      <c r="Y1298" s="495"/>
      <c r="Z1298" s="451"/>
      <c r="AA1298" s="145"/>
      <c r="AB1298" s="223"/>
      <c r="AC1298" s="22"/>
      <c r="AH1298" s="9"/>
      <c r="AJ1298" s="27"/>
      <c r="AK1298" s="84"/>
      <c r="AM1298" s="13"/>
      <c r="AP1298"/>
      <c r="AR1298"/>
      <c r="AV1298"/>
      <c r="AW1298"/>
      <c r="AX1298"/>
      <c r="AY1298"/>
      <c r="AZ1298"/>
      <c r="BC1298"/>
      <c r="BD1298"/>
      <c r="BG1298"/>
      <c r="BH1298"/>
      <c r="BI1298"/>
      <c r="BJ1298"/>
      <c r="BS1298"/>
      <c r="BU1298"/>
      <c r="BV1298"/>
      <c r="BX1298"/>
    </row>
    <row r="1299" spans="23:76" ht="15.75">
      <c r="W1299" s="495"/>
      <c r="X1299" s="495"/>
      <c r="Y1299" s="495"/>
      <c r="Z1299" s="451"/>
      <c r="AA1299" s="145"/>
      <c r="AB1299" s="223"/>
      <c r="AC1299" s="22"/>
      <c r="AH1299" s="9"/>
      <c r="AJ1299" s="27"/>
      <c r="AK1299" s="84"/>
      <c r="AM1299" s="13"/>
      <c r="AP1299"/>
      <c r="AR1299"/>
      <c r="AV1299"/>
      <c r="AW1299"/>
      <c r="AX1299"/>
      <c r="AY1299"/>
      <c r="AZ1299"/>
      <c r="BC1299"/>
      <c r="BD1299"/>
      <c r="BG1299"/>
      <c r="BH1299"/>
      <c r="BI1299"/>
      <c r="BJ1299"/>
      <c r="BS1299"/>
      <c r="BU1299"/>
      <c r="BV1299"/>
      <c r="BX1299"/>
    </row>
    <row r="1300" spans="23:76" ht="15.75">
      <c r="W1300" s="495"/>
      <c r="X1300" s="495"/>
      <c r="Y1300" s="495"/>
      <c r="Z1300" s="451"/>
      <c r="AA1300" s="145"/>
      <c r="AB1300" s="223"/>
      <c r="AC1300" s="22"/>
      <c r="AH1300" s="9"/>
      <c r="AJ1300" s="27"/>
      <c r="AK1300" s="84"/>
      <c r="AM1300" s="13"/>
      <c r="AP1300"/>
      <c r="AR1300"/>
      <c r="AV1300"/>
      <c r="AW1300"/>
      <c r="AX1300"/>
      <c r="AY1300"/>
      <c r="AZ1300"/>
      <c r="BC1300"/>
      <c r="BD1300"/>
      <c r="BG1300"/>
      <c r="BH1300"/>
      <c r="BI1300"/>
      <c r="BJ1300"/>
      <c r="BS1300"/>
      <c r="BU1300"/>
      <c r="BV1300"/>
      <c r="BX1300"/>
    </row>
    <row r="1301" spans="23:76" ht="15.75">
      <c r="W1301" s="495"/>
      <c r="X1301" s="495"/>
      <c r="Y1301" s="495"/>
      <c r="Z1301" s="451"/>
      <c r="AA1301" s="145"/>
      <c r="AB1301" s="223"/>
      <c r="AC1301" s="22"/>
      <c r="AH1301" s="9"/>
      <c r="AJ1301" s="27"/>
      <c r="AK1301" s="84"/>
      <c r="AM1301" s="13"/>
      <c r="AP1301"/>
      <c r="AR1301"/>
      <c r="AV1301"/>
      <c r="AW1301"/>
      <c r="AX1301"/>
      <c r="AY1301"/>
      <c r="AZ1301"/>
      <c r="BC1301"/>
      <c r="BD1301"/>
      <c r="BG1301"/>
      <c r="BH1301"/>
      <c r="BI1301"/>
      <c r="BJ1301"/>
      <c r="BS1301"/>
      <c r="BU1301"/>
      <c r="BV1301"/>
      <c r="BX1301"/>
    </row>
    <row r="1302" spans="23:76" ht="15.75">
      <c r="W1302" s="495"/>
      <c r="X1302" s="495"/>
      <c r="Y1302" s="495"/>
      <c r="Z1302" s="451"/>
      <c r="AA1302" s="145"/>
      <c r="AB1302" s="223"/>
      <c r="AC1302" s="22"/>
      <c r="AH1302" s="9"/>
      <c r="AJ1302" s="27"/>
      <c r="AK1302" s="84"/>
      <c r="AM1302" s="13"/>
      <c r="AP1302"/>
      <c r="AR1302"/>
      <c r="AV1302"/>
      <c r="AW1302"/>
      <c r="AX1302"/>
      <c r="AY1302"/>
      <c r="AZ1302"/>
      <c r="BC1302"/>
      <c r="BD1302"/>
      <c r="BG1302"/>
      <c r="BH1302"/>
      <c r="BI1302"/>
      <c r="BJ1302"/>
      <c r="BS1302"/>
      <c r="BU1302"/>
      <c r="BV1302"/>
      <c r="BX1302"/>
    </row>
    <row r="1303" spans="23:76" ht="15.75">
      <c r="W1303" s="495"/>
      <c r="X1303" s="495"/>
      <c r="Y1303" s="495"/>
      <c r="Z1303" s="451"/>
      <c r="AA1303" s="145"/>
      <c r="AB1303" s="223"/>
      <c r="AC1303" s="22"/>
      <c r="AH1303" s="9"/>
      <c r="AJ1303" s="27"/>
      <c r="AK1303" s="84"/>
      <c r="AM1303" s="13"/>
      <c r="AP1303"/>
      <c r="AR1303"/>
      <c r="AV1303"/>
      <c r="AW1303"/>
      <c r="AX1303"/>
      <c r="AY1303"/>
      <c r="AZ1303"/>
      <c r="BC1303"/>
      <c r="BD1303"/>
      <c r="BG1303"/>
      <c r="BH1303"/>
      <c r="BI1303"/>
      <c r="BJ1303"/>
      <c r="BS1303"/>
      <c r="BU1303"/>
      <c r="BV1303"/>
      <c r="BX1303"/>
    </row>
    <row r="1304" spans="23:76" ht="15.75">
      <c r="W1304" s="495"/>
      <c r="X1304" s="495"/>
      <c r="Y1304" s="495"/>
      <c r="Z1304" s="451"/>
      <c r="AA1304" s="145"/>
      <c r="AB1304" s="223"/>
      <c r="AC1304" s="22"/>
      <c r="AH1304" s="9"/>
      <c r="AJ1304" s="27"/>
      <c r="AK1304" s="84"/>
      <c r="AM1304" s="13"/>
      <c r="AP1304"/>
      <c r="AR1304"/>
      <c r="AV1304"/>
      <c r="AW1304"/>
      <c r="AX1304"/>
      <c r="AY1304"/>
      <c r="AZ1304"/>
      <c r="BC1304"/>
      <c r="BD1304"/>
      <c r="BG1304"/>
      <c r="BH1304"/>
      <c r="BI1304"/>
      <c r="BJ1304"/>
      <c r="BS1304"/>
      <c r="BU1304"/>
      <c r="BV1304"/>
      <c r="BX1304"/>
    </row>
    <row r="1305" spans="23:76" ht="15.75">
      <c r="W1305" s="495"/>
      <c r="X1305" s="495"/>
      <c r="Y1305" s="495"/>
      <c r="Z1305" s="451"/>
      <c r="AA1305" s="145"/>
      <c r="AB1305" s="223"/>
      <c r="AC1305" s="22"/>
      <c r="AH1305" s="9"/>
      <c r="AJ1305" s="27"/>
      <c r="AK1305" s="84"/>
      <c r="AM1305" s="13"/>
      <c r="AP1305"/>
      <c r="AR1305"/>
      <c r="AV1305"/>
      <c r="AW1305"/>
      <c r="AX1305"/>
      <c r="AY1305"/>
      <c r="AZ1305"/>
      <c r="BC1305"/>
      <c r="BD1305"/>
      <c r="BG1305"/>
      <c r="BH1305"/>
      <c r="BI1305"/>
      <c r="BJ1305"/>
      <c r="BS1305"/>
      <c r="BU1305"/>
      <c r="BV1305"/>
      <c r="BX1305"/>
    </row>
    <row r="1306" spans="23:76" ht="15.75">
      <c r="W1306" s="495"/>
      <c r="X1306" s="495"/>
      <c r="Y1306" s="495"/>
      <c r="Z1306" s="451"/>
      <c r="AA1306" s="145"/>
      <c r="AB1306" s="223"/>
      <c r="AC1306" s="22"/>
      <c r="AH1306" s="9"/>
      <c r="AJ1306" s="27"/>
      <c r="AK1306" s="84"/>
      <c r="AM1306" s="13"/>
      <c r="AP1306"/>
      <c r="AR1306"/>
      <c r="AV1306"/>
      <c r="AW1306"/>
      <c r="AX1306"/>
      <c r="AY1306"/>
      <c r="AZ1306"/>
      <c r="BC1306"/>
      <c r="BD1306"/>
      <c r="BG1306"/>
      <c r="BH1306"/>
      <c r="BI1306"/>
      <c r="BJ1306"/>
      <c r="BS1306"/>
      <c r="BU1306"/>
      <c r="BV1306"/>
      <c r="BX1306"/>
    </row>
    <row r="1307" spans="23:76" ht="15.75">
      <c r="W1307" s="495"/>
      <c r="X1307" s="495"/>
      <c r="Y1307" s="495"/>
      <c r="Z1307" s="451"/>
      <c r="AA1307" s="145"/>
      <c r="AB1307" s="223"/>
      <c r="AC1307" s="22"/>
      <c r="AH1307" s="9"/>
      <c r="AJ1307" s="27"/>
      <c r="AK1307" s="84"/>
      <c r="AM1307" s="13"/>
      <c r="AP1307"/>
      <c r="AR1307"/>
      <c r="AV1307"/>
      <c r="AW1307"/>
      <c r="AX1307"/>
      <c r="AY1307"/>
      <c r="AZ1307"/>
      <c r="BC1307"/>
      <c r="BD1307"/>
      <c r="BG1307"/>
      <c r="BH1307"/>
      <c r="BI1307"/>
      <c r="BJ1307"/>
      <c r="BS1307"/>
      <c r="BU1307"/>
      <c r="BV1307"/>
      <c r="BX1307"/>
    </row>
    <row r="1308" spans="23:76" ht="15.75">
      <c r="W1308" s="495"/>
      <c r="X1308" s="495"/>
      <c r="Y1308" s="495"/>
      <c r="Z1308" s="451"/>
      <c r="AA1308" s="145"/>
      <c r="AB1308" s="223"/>
      <c r="AC1308" s="22"/>
      <c r="AH1308" s="9"/>
      <c r="AJ1308" s="27"/>
      <c r="AK1308" s="84"/>
      <c r="AM1308" s="13"/>
      <c r="AP1308"/>
      <c r="AR1308"/>
      <c r="AV1308"/>
      <c r="AW1308"/>
      <c r="AX1308"/>
      <c r="AY1308"/>
      <c r="AZ1308"/>
      <c r="BC1308"/>
      <c r="BD1308"/>
      <c r="BG1308"/>
      <c r="BH1308"/>
      <c r="BI1308"/>
      <c r="BJ1308"/>
      <c r="BS1308"/>
      <c r="BU1308"/>
      <c r="BV1308"/>
      <c r="BX1308"/>
    </row>
    <row r="1309" spans="23:76" ht="15.75">
      <c r="W1309" s="495"/>
      <c r="X1309" s="495"/>
      <c r="Y1309" s="495"/>
      <c r="Z1309" s="451"/>
      <c r="AA1309" s="145"/>
      <c r="AB1309" s="223"/>
      <c r="AC1309" s="22"/>
      <c r="AH1309" s="9"/>
      <c r="AJ1309" s="27"/>
      <c r="AK1309" s="84"/>
      <c r="AM1309" s="13"/>
      <c r="AP1309"/>
      <c r="AR1309"/>
      <c r="AV1309"/>
      <c r="AW1309"/>
      <c r="AX1309"/>
      <c r="AY1309"/>
      <c r="AZ1309"/>
      <c r="BC1309"/>
      <c r="BD1309"/>
      <c r="BG1309"/>
      <c r="BH1309"/>
      <c r="BI1309"/>
      <c r="BJ1309"/>
      <c r="BS1309"/>
      <c r="BU1309"/>
      <c r="BV1309"/>
      <c r="BX1309"/>
    </row>
    <row r="1310" spans="23:76" ht="15.75">
      <c r="W1310" s="495"/>
      <c r="X1310" s="495"/>
      <c r="Y1310" s="495"/>
      <c r="Z1310" s="451"/>
      <c r="AA1310" s="145"/>
      <c r="AB1310" s="223"/>
      <c r="AC1310" s="22"/>
      <c r="AH1310" s="9"/>
      <c r="AJ1310" s="27"/>
      <c r="AK1310" s="84"/>
      <c r="AM1310" s="13"/>
      <c r="AP1310"/>
      <c r="AR1310"/>
      <c r="AV1310"/>
      <c r="AW1310"/>
      <c r="AX1310"/>
      <c r="AY1310"/>
      <c r="AZ1310"/>
      <c r="BC1310"/>
      <c r="BD1310"/>
      <c r="BG1310"/>
      <c r="BH1310"/>
      <c r="BI1310"/>
      <c r="BJ1310"/>
      <c r="BS1310"/>
      <c r="BU1310"/>
      <c r="BV1310"/>
      <c r="BX1310"/>
    </row>
    <row r="1311" spans="23:76" ht="15.75">
      <c r="W1311" s="495"/>
      <c r="X1311" s="495"/>
      <c r="Y1311" s="495"/>
      <c r="Z1311" s="451"/>
      <c r="AA1311" s="145"/>
      <c r="AB1311" s="223"/>
      <c r="AC1311" s="22"/>
      <c r="AH1311" s="9"/>
      <c r="AJ1311" s="27"/>
      <c r="AK1311" s="84"/>
      <c r="AM1311" s="13"/>
      <c r="AP1311"/>
      <c r="AR1311"/>
      <c r="AV1311"/>
      <c r="AW1311"/>
      <c r="AX1311"/>
      <c r="AY1311"/>
      <c r="AZ1311"/>
      <c r="BC1311"/>
      <c r="BD1311"/>
      <c r="BG1311"/>
      <c r="BH1311"/>
      <c r="BI1311"/>
      <c r="BJ1311"/>
      <c r="BS1311"/>
      <c r="BU1311"/>
      <c r="BV1311"/>
      <c r="BX1311"/>
    </row>
    <row r="1312" spans="23:76" ht="15.75">
      <c r="W1312" s="495"/>
      <c r="X1312" s="495"/>
      <c r="Y1312" s="495"/>
      <c r="Z1312" s="451"/>
      <c r="AA1312" s="145"/>
      <c r="AB1312" s="223"/>
      <c r="AC1312" s="22"/>
      <c r="AH1312" s="9"/>
      <c r="AJ1312" s="27"/>
      <c r="AK1312" s="84"/>
      <c r="AM1312" s="13"/>
      <c r="AP1312"/>
      <c r="AR1312"/>
      <c r="AV1312"/>
      <c r="AW1312"/>
      <c r="AX1312"/>
      <c r="AY1312"/>
      <c r="AZ1312"/>
      <c r="BC1312"/>
      <c r="BD1312"/>
      <c r="BG1312"/>
      <c r="BH1312"/>
      <c r="BI1312"/>
      <c r="BJ1312"/>
      <c r="BS1312"/>
      <c r="BU1312"/>
      <c r="BV1312"/>
      <c r="BX1312"/>
    </row>
    <row r="1313" spans="25:66" ht="15.75">
      <c r="Y1313" s="277"/>
      <c r="AA1313" s="267"/>
      <c r="AB1313" s="267"/>
      <c r="AD1313" s="302"/>
      <c r="AE1313" s="302"/>
      <c r="AF1313" s="302"/>
      <c r="AG1313" s="302"/>
      <c r="AH1313" s="302"/>
      <c r="AI1313" s="302"/>
      <c r="AJ1313" s="302"/>
      <c r="AK1313" s="302"/>
      <c r="AL1313" s="302"/>
      <c r="AM1313" s="302"/>
      <c r="AN1313" s="302"/>
      <c r="AO1313" s="302"/>
      <c r="AP1313" s="500"/>
      <c r="AQ1313" s="302"/>
      <c r="AR1313" s="500"/>
      <c r="AS1313" s="302"/>
      <c r="AT1313" s="302"/>
      <c r="AU1313" s="302"/>
      <c r="AV1313" s="500"/>
      <c r="AW1313" s="500"/>
      <c r="AX1313" s="501"/>
      <c r="AY1313" s="502"/>
      <c r="AZ1313" s="502"/>
      <c r="BA1313" s="302"/>
      <c r="BB1313" s="302"/>
      <c r="BC1313" s="500"/>
      <c r="BD1313" s="500"/>
      <c r="BE1313" s="302"/>
      <c r="BF1313" s="302"/>
      <c r="BG1313" s="500"/>
      <c r="BK1313" s="451"/>
      <c r="BL1313" s="145"/>
      <c r="BM1313" s="223"/>
      <c r="BN1313" s="22"/>
    </row>
    <row r="1314" spans="25:66" ht="15.75">
      <c r="Y1314" s="277"/>
      <c r="AA1314" s="267"/>
      <c r="AB1314" s="267"/>
      <c r="AD1314" s="302"/>
      <c r="AE1314" s="302"/>
      <c r="AF1314" s="302"/>
      <c r="AG1314" s="302"/>
      <c r="AH1314" s="302"/>
      <c r="AI1314" s="302"/>
      <c r="AJ1314" s="302"/>
      <c r="AK1314" s="302"/>
      <c r="AL1314" s="302"/>
      <c r="AM1314" s="302"/>
      <c r="AN1314" s="302"/>
      <c r="AO1314" s="302"/>
      <c r="AP1314" s="500"/>
      <c r="AQ1314" s="302"/>
      <c r="AR1314" s="500"/>
      <c r="AS1314" s="302"/>
      <c r="AT1314" s="302"/>
      <c r="AU1314" s="302"/>
      <c r="AV1314" s="500"/>
      <c r="AW1314" s="500"/>
      <c r="AX1314" s="501"/>
      <c r="AY1314" s="502"/>
      <c r="AZ1314" s="502"/>
      <c r="BA1314" s="302"/>
      <c r="BB1314" s="302"/>
      <c r="BC1314" s="500"/>
      <c r="BD1314" s="500"/>
      <c r="BE1314" s="302"/>
      <c r="BF1314" s="302"/>
      <c r="BG1314" s="500"/>
      <c r="BK1314" s="451"/>
      <c r="BL1314" s="145"/>
      <c r="BM1314" s="223"/>
      <c r="BN1314" s="22"/>
    </row>
    <row r="1315" spans="25:66" ht="15.75">
      <c r="Y1315" s="277"/>
      <c r="AA1315" s="267"/>
      <c r="AB1315" s="267"/>
      <c r="AD1315" s="302"/>
      <c r="AE1315" s="302"/>
      <c r="AF1315" s="302"/>
      <c r="AG1315" s="302"/>
      <c r="AH1315" s="302"/>
      <c r="AI1315" s="302"/>
      <c r="AJ1315" s="302"/>
      <c r="AK1315" s="302"/>
      <c r="AL1315" s="302"/>
      <c r="AM1315" s="302"/>
      <c r="AN1315" s="302"/>
      <c r="AO1315" s="302"/>
      <c r="AP1315" s="500"/>
      <c r="AQ1315" s="302"/>
      <c r="AR1315" s="500"/>
      <c r="AS1315" s="302"/>
      <c r="AT1315" s="302"/>
      <c r="AU1315" s="302"/>
      <c r="AV1315" s="500"/>
      <c r="AW1315" s="500"/>
      <c r="AX1315" s="501"/>
      <c r="AY1315" s="502"/>
      <c r="AZ1315" s="502"/>
      <c r="BA1315" s="302"/>
      <c r="BB1315" s="302"/>
      <c r="BC1315" s="500"/>
      <c r="BD1315" s="500"/>
      <c r="BE1315" s="302"/>
      <c r="BF1315" s="302"/>
      <c r="BG1315" s="500"/>
      <c r="BK1315" s="451"/>
      <c r="BL1315" s="145"/>
      <c r="BM1315" s="223"/>
      <c r="BN1315" s="22"/>
    </row>
    <row r="1316" spans="25:66" ht="15.75">
      <c r="Y1316" s="277"/>
      <c r="AA1316" s="267"/>
      <c r="AB1316" s="267"/>
      <c r="AD1316" s="302"/>
      <c r="AE1316" s="302"/>
      <c r="AF1316" s="302"/>
      <c r="AG1316" s="302"/>
      <c r="AH1316" s="302"/>
      <c r="AI1316" s="302"/>
      <c r="AJ1316" s="302"/>
      <c r="AK1316" s="302"/>
      <c r="AL1316" s="302"/>
      <c r="AM1316" s="302"/>
      <c r="AN1316" s="302"/>
      <c r="AO1316" s="302"/>
      <c r="AP1316" s="500"/>
      <c r="AQ1316" s="302"/>
      <c r="AR1316" s="500"/>
      <c r="AS1316" s="302"/>
      <c r="AT1316" s="302"/>
      <c r="AU1316" s="302"/>
      <c r="AV1316" s="500"/>
      <c r="AW1316" s="500"/>
      <c r="AX1316" s="501"/>
      <c r="AY1316" s="502"/>
      <c r="AZ1316" s="502"/>
      <c r="BA1316" s="302"/>
      <c r="BB1316" s="302"/>
      <c r="BC1316" s="500"/>
      <c r="BD1316" s="500"/>
      <c r="BE1316" s="302"/>
      <c r="BF1316" s="302"/>
      <c r="BG1316" s="500"/>
      <c r="BK1316" s="451"/>
      <c r="BL1316" s="145"/>
      <c r="BM1316" s="223"/>
      <c r="BN1316" s="22"/>
    </row>
    <row r="1317" spans="25:66" ht="15.75">
      <c r="Y1317" s="277"/>
      <c r="AA1317" s="267"/>
      <c r="AB1317" s="267"/>
      <c r="AD1317" s="302"/>
      <c r="AE1317" s="302"/>
      <c r="AF1317" s="302"/>
      <c r="AG1317" s="302"/>
      <c r="AH1317" s="302"/>
      <c r="AI1317" s="302"/>
      <c r="AJ1317" s="302"/>
      <c r="AK1317" s="302"/>
      <c r="AL1317" s="302"/>
      <c r="AM1317" s="302"/>
      <c r="AN1317" s="302"/>
      <c r="AO1317" s="302"/>
      <c r="AP1317" s="500"/>
      <c r="AQ1317" s="302"/>
      <c r="AR1317" s="500"/>
      <c r="AS1317" s="302"/>
      <c r="AT1317" s="302"/>
      <c r="AU1317" s="302"/>
      <c r="AV1317" s="500"/>
      <c r="AW1317" s="500"/>
      <c r="AX1317" s="501"/>
      <c r="AY1317" s="502"/>
      <c r="AZ1317" s="502"/>
      <c r="BA1317" s="302"/>
      <c r="BB1317" s="302"/>
      <c r="BC1317" s="500"/>
      <c r="BD1317" s="500"/>
      <c r="BE1317" s="302"/>
      <c r="BF1317" s="302"/>
      <c r="BG1317" s="500"/>
      <c r="BK1317" s="451"/>
      <c r="BL1317" s="145"/>
      <c r="BM1317" s="223"/>
      <c r="BN1317" s="22"/>
    </row>
    <row r="1318" spans="25:66" ht="15.75">
      <c r="Y1318" s="277"/>
      <c r="AA1318" s="267"/>
      <c r="AB1318" s="267"/>
      <c r="AD1318" s="302"/>
      <c r="AE1318" s="302"/>
      <c r="AF1318" s="302"/>
      <c r="AG1318" s="302"/>
      <c r="AH1318" s="302"/>
      <c r="AI1318" s="302"/>
      <c r="AJ1318" s="302"/>
      <c r="AK1318" s="302"/>
      <c r="AL1318" s="302"/>
      <c r="AM1318" s="302"/>
      <c r="AN1318" s="302"/>
      <c r="AO1318" s="302"/>
      <c r="AP1318" s="500"/>
      <c r="AQ1318" s="302"/>
      <c r="AR1318" s="500"/>
      <c r="AS1318" s="302"/>
      <c r="AT1318" s="302"/>
      <c r="AU1318" s="302"/>
      <c r="AV1318" s="500"/>
      <c r="AW1318" s="500"/>
      <c r="AX1318" s="501"/>
      <c r="AY1318" s="502"/>
      <c r="AZ1318" s="502"/>
      <c r="BA1318" s="302"/>
      <c r="BB1318" s="302"/>
      <c r="BC1318" s="500"/>
      <c r="BD1318" s="500"/>
      <c r="BE1318" s="302"/>
      <c r="BF1318" s="302"/>
      <c r="BG1318" s="500"/>
      <c r="BK1318" s="451"/>
      <c r="BL1318" s="145"/>
      <c r="BM1318" s="223"/>
      <c r="BN1318" s="22"/>
    </row>
    <row r="1319" spans="25:66" ht="15.75">
      <c r="Y1319" s="277"/>
      <c r="AA1319" s="267"/>
      <c r="AB1319" s="267"/>
      <c r="AD1319" s="302"/>
      <c r="AE1319" s="302"/>
      <c r="AF1319" s="302"/>
      <c r="AG1319" s="302"/>
      <c r="AH1319" s="302"/>
      <c r="AI1319" s="302"/>
      <c r="AJ1319" s="302"/>
      <c r="AK1319" s="302"/>
      <c r="AL1319" s="302"/>
      <c r="AM1319" s="302"/>
      <c r="AN1319" s="302"/>
      <c r="AO1319" s="302"/>
      <c r="AP1319" s="500"/>
      <c r="AQ1319" s="302"/>
      <c r="AR1319" s="500"/>
      <c r="AS1319" s="302"/>
      <c r="AT1319" s="302"/>
      <c r="AU1319" s="302"/>
      <c r="AV1319" s="500"/>
      <c r="AW1319" s="500"/>
      <c r="AX1319" s="501"/>
      <c r="AY1319" s="502"/>
      <c r="AZ1319" s="502"/>
      <c r="BA1319" s="302"/>
      <c r="BB1319" s="302"/>
      <c r="BC1319" s="500"/>
      <c r="BD1319" s="500"/>
      <c r="BE1319" s="302"/>
      <c r="BF1319" s="302"/>
      <c r="BG1319" s="500"/>
      <c r="BK1319" s="451"/>
      <c r="BL1319" s="145"/>
      <c r="BM1319" s="223"/>
      <c r="BN1319" s="22"/>
    </row>
    <row r="1320" spans="25:66" ht="15.75">
      <c r="Y1320" s="277"/>
      <c r="AA1320" s="267"/>
      <c r="AB1320" s="267"/>
      <c r="AD1320" s="302"/>
      <c r="AE1320" s="302"/>
      <c r="AF1320" s="302"/>
      <c r="AG1320" s="302"/>
      <c r="AH1320" s="302"/>
      <c r="AI1320" s="302"/>
      <c r="AJ1320" s="302"/>
      <c r="AK1320" s="302"/>
      <c r="AL1320" s="302"/>
      <c r="AM1320" s="302"/>
      <c r="AN1320" s="302"/>
      <c r="AO1320" s="302"/>
      <c r="AP1320" s="500"/>
      <c r="AQ1320" s="302"/>
      <c r="AR1320" s="500"/>
      <c r="AS1320" s="302"/>
      <c r="AT1320" s="302"/>
      <c r="AU1320" s="302"/>
      <c r="AV1320" s="500"/>
      <c r="AW1320" s="500"/>
      <c r="AX1320" s="501"/>
      <c r="AY1320" s="502"/>
      <c r="AZ1320" s="502"/>
      <c r="BA1320" s="302"/>
      <c r="BB1320" s="302"/>
      <c r="BC1320" s="500"/>
      <c r="BD1320" s="500"/>
      <c r="BE1320" s="302"/>
      <c r="BF1320" s="302"/>
      <c r="BG1320" s="500"/>
      <c r="BK1320" s="451"/>
      <c r="BL1320" s="145"/>
      <c r="BM1320" s="223"/>
      <c r="BN1320" s="22"/>
    </row>
    <row r="1321" spans="25:66" ht="15.75">
      <c r="Y1321" s="277"/>
      <c r="AA1321" s="267"/>
      <c r="AB1321" s="267"/>
      <c r="AD1321" s="302"/>
      <c r="AE1321" s="302"/>
      <c r="AF1321" s="302"/>
      <c r="AG1321" s="302"/>
      <c r="AH1321" s="302"/>
      <c r="AI1321" s="302"/>
      <c r="AJ1321" s="302"/>
      <c r="AK1321" s="302"/>
      <c r="AL1321" s="302"/>
      <c r="AM1321" s="302"/>
      <c r="AN1321" s="302"/>
      <c r="AO1321" s="302"/>
      <c r="AP1321" s="500"/>
      <c r="AQ1321" s="302"/>
      <c r="AR1321" s="500"/>
      <c r="AS1321" s="302"/>
      <c r="AT1321" s="302"/>
      <c r="AU1321" s="302"/>
      <c r="AV1321" s="500"/>
      <c r="AW1321" s="500"/>
      <c r="AX1321" s="501"/>
      <c r="AY1321" s="502"/>
      <c r="AZ1321" s="502"/>
      <c r="BA1321" s="302"/>
      <c r="BB1321" s="302"/>
      <c r="BC1321" s="500"/>
      <c r="BD1321" s="500"/>
      <c r="BE1321" s="302"/>
      <c r="BF1321" s="302"/>
      <c r="BG1321" s="500"/>
      <c r="BK1321" s="451"/>
      <c r="BL1321" s="145"/>
      <c r="BM1321" s="223"/>
      <c r="BN1321" s="22"/>
    </row>
    <row r="1322" spans="25:66" ht="15.75">
      <c r="AA1322" s="306"/>
      <c r="BK1322" s="451"/>
      <c r="BL1322" s="145"/>
      <c r="BM1322" s="223"/>
      <c r="BN1322" s="22"/>
    </row>
    <row r="1323" spans="25:66" ht="15.75">
      <c r="BK1323" s="451"/>
      <c r="BL1323" s="145"/>
      <c r="BM1323" s="223"/>
      <c r="BN1323" s="22"/>
    </row>
    <row r="1324" spans="25:66" ht="15.75">
      <c r="BK1324" s="451"/>
      <c r="BL1324" s="145"/>
      <c r="BM1324" s="223"/>
      <c r="BN1324" s="22"/>
    </row>
    <row r="1325" spans="25:66" ht="15.75">
      <c r="BK1325" s="451"/>
      <c r="BL1325" s="145"/>
      <c r="BM1325" s="223"/>
      <c r="BN1325" s="22"/>
    </row>
    <row r="1326" spans="25:66" ht="15.75">
      <c r="BK1326" s="451"/>
      <c r="BL1326" s="145"/>
      <c r="BM1326" s="223"/>
      <c r="BN1326" s="22"/>
    </row>
    <row r="1327" spans="25:66" ht="15.75">
      <c r="BK1327" s="451"/>
      <c r="BL1327" s="145"/>
      <c r="BM1327" s="223"/>
      <c r="BN1327" s="22"/>
    </row>
    <row r="1328" spans="25:66" ht="15.75">
      <c r="BK1328" s="451"/>
      <c r="BL1328" s="145"/>
      <c r="BM1328" s="223"/>
      <c r="BN1328" s="22"/>
    </row>
    <row r="1329" spans="63:66" ht="15.75">
      <c r="BK1329" s="451"/>
      <c r="BL1329" s="145"/>
      <c r="BM1329" s="223"/>
      <c r="BN1329" s="22"/>
    </row>
    <row r="1330" spans="63:66" ht="15.75">
      <c r="BK1330" s="451"/>
      <c r="BL1330" s="145"/>
      <c r="BM1330" s="223"/>
      <c r="BN1330" s="22"/>
    </row>
    <row r="1331" spans="63:66" ht="15.75">
      <c r="BK1331" s="451"/>
      <c r="BL1331" s="145"/>
      <c r="BM1331" s="223"/>
      <c r="BN1331" s="22"/>
    </row>
    <row r="1332" spans="63:66" ht="15.75">
      <c r="BK1332" s="451"/>
      <c r="BL1332" s="145"/>
      <c r="BM1332" s="223"/>
      <c r="BN1332" s="22"/>
    </row>
    <row r="1333" spans="63:66" ht="15.75">
      <c r="BK1333" s="451"/>
      <c r="BL1333" s="145"/>
      <c r="BM1333" s="223"/>
      <c r="BN1333" s="22"/>
    </row>
    <row r="1334" spans="63:66" ht="15.75">
      <c r="BK1334" s="451"/>
      <c r="BL1334" s="145"/>
      <c r="BM1334" s="223"/>
      <c r="BN1334" s="22"/>
    </row>
    <row r="1335" spans="63:66" ht="15.75">
      <c r="BK1335" s="451"/>
      <c r="BL1335" s="145"/>
      <c r="BM1335" s="223"/>
      <c r="BN1335" s="22"/>
    </row>
    <row r="1336" spans="63:66" ht="15.75">
      <c r="BK1336" s="451"/>
      <c r="BL1336" s="145"/>
      <c r="BM1336" s="223"/>
      <c r="BN1336" s="22"/>
    </row>
    <row r="1337" spans="63:66" ht="15.75">
      <c r="BK1337" s="451"/>
      <c r="BL1337" s="145"/>
      <c r="BM1337" s="223"/>
      <c r="BN1337" s="22"/>
    </row>
    <row r="1338" spans="63:66" ht="15.75">
      <c r="BK1338" s="451"/>
      <c r="BL1338" s="145"/>
      <c r="BM1338" s="223"/>
      <c r="BN1338" s="22"/>
    </row>
    <row r="1339" spans="63:66" ht="15.75">
      <c r="BK1339" s="451"/>
      <c r="BL1339" s="145"/>
      <c r="BM1339" s="223"/>
      <c r="BN1339" s="22"/>
    </row>
    <row r="1340" spans="63:66" ht="15.75">
      <c r="BK1340" s="451"/>
      <c r="BL1340" s="145"/>
      <c r="BM1340" s="223"/>
      <c r="BN1340" s="22"/>
    </row>
    <row r="1341" spans="63:66" ht="15.75">
      <c r="BK1341" s="451"/>
      <c r="BL1341" s="145"/>
      <c r="BM1341" s="223"/>
      <c r="BN1341" s="22"/>
    </row>
    <row r="1342" spans="63:66" ht="15.75">
      <c r="BK1342" s="451"/>
      <c r="BL1342" s="145"/>
      <c r="BM1342" s="223"/>
      <c r="BN1342" s="22"/>
    </row>
    <row r="1343" spans="63:66" ht="15.75">
      <c r="BK1343" s="451"/>
      <c r="BL1343" s="145"/>
      <c r="BM1343" s="223"/>
      <c r="BN1343" s="22"/>
    </row>
    <row r="1344" spans="63:66" ht="15.75">
      <c r="BK1344" s="451"/>
      <c r="BL1344" s="145"/>
      <c r="BM1344" s="223"/>
      <c r="BN1344" s="22"/>
    </row>
    <row r="1345" spans="63:66" ht="15.75">
      <c r="BK1345" s="451"/>
      <c r="BL1345" s="145"/>
      <c r="BM1345" s="223"/>
      <c r="BN1345" s="22"/>
    </row>
    <row r="1346" spans="63:66" ht="15.75">
      <c r="BK1346" s="451"/>
      <c r="BL1346" s="145"/>
      <c r="BM1346" s="223"/>
      <c r="BN1346" s="22"/>
    </row>
    <row r="1347" spans="63:66" ht="15.75">
      <c r="BK1347" s="451"/>
      <c r="BL1347" s="145"/>
      <c r="BM1347" s="223"/>
      <c r="BN1347" s="22"/>
    </row>
    <row r="1348" spans="63:66" ht="15.75">
      <c r="BK1348" s="451"/>
      <c r="BL1348" s="145"/>
      <c r="BM1348" s="223"/>
      <c r="BN1348" s="22"/>
    </row>
    <row r="1349" spans="63:66" ht="15.75">
      <c r="BK1349" s="451"/>
      <c r="BL1349" s="145"/>
      <c r="BM1349" s="223"/>
      <c r="BN1349" s="22"/>
    </row>
    <row r="1350" spans="63:66" ht="15.75">
      <c r="BK1350" s="451"/>
      <c r="BL1350" s="145"/>
      <c r="BM1350" s="223"/>
      <c r="BN1350" s="22"/>
    </row>
    <row r="1351" spans="63:66" ht="15.75">
      <c r="BK1351" s="451"/>
      <c r="BL1351" s="145"/>
      <c r="BM1351" s="223"/>
      <c r="BN1351" s="22"/>
    </row>
    <row r="1352" spans="63:66" ht="15.75">
      <c r="BK1352" s="451"/>
      <c r="BL1352" s="145"/>
      <c r="BM1352" s="223"/>
      <c r="BN1352" s="22"/>
    </row>
    <row r="1353" spans="63:66" ht="15.75">
      <c r="BK1353" s="451"/>
      <c r="BL1353" s="145"/>
      <c r="BM1353" s="223"/>
      <c r="BN1353" s="22"/>
    </row>
    <row r="1354" spans="63:66" ht="15.75">
      <c r="BK1354" s="451"/>
      <c r="BL1354" s="145"/>
      <c r="BM1354" s="223"/>
      <c r="BN1354" s="22"/>
    </row>
    <row r="1355" spans="63:66" ht="15.75">
      <c r="BK1355" s="451"/>
      <c r="BL1355" s="145"/>
      <c r="BM1355" s="223"/>
      <c r="BN1355" s="22"/>
    </row>
    <row r="1356" spans="63:66" ht="15.75">
      <c r="BK1356" s="451"/>
      <c r="BL1356" s="145"/>
      <c r="BM1356" s="223"/>
      <c r="BN1356" s="22"/>
    </row>
    <row r="1357" spans="63:66" ht="15.75">
      <c r="BK1357" s="451"/>
      <c r="BL1357" s="145"/>
      <c r="BM1357" s="223"/>
      <c r="BN1357" s="22"/>
    </row>
    <row r="1358" spans="63:66" ht="15.75">
      <c r="BK1358" s="451"/>
      <c r="BL1358" s="145"/>
      <c r="BM1358" s="223"/>
      <c r="BN1358" s="22"/>
    </row>
    <row r="1359" spans="63:66" ht="15.75">
      <c r="BK1359" s="451"/>
      <c r="BL1359" s="145"/>
      <c r="BM1359" s="223"/>
      <c r="BN1359" s="22"/>
    </row>
    <row r="1360" spans="63:66" ht="15.75">
      <c r="BK1360" s="451"/>
      <c r="BL1360" s="145"/>
      <c r="BM1360" s="223"/>
      <c r="BN1360" s="22"/>
    </row>
    <row r="1361" spans="63:66" ht="15.75">
      <c r="BK1361" s="451"/>
      <c r="BL1361" s="145"/>
      <c r="BM1361" s="223"/>
      <c r="BN1361" s="22"/>
    </row>
    <row r="1362" spans="63:66" ht="15.75">
      <c r="BK1362" s="451"/>
      <c r="BL1362" s="145"/>
      <c r="BM1362" s="223"/>
      <c r="BN1362" s="22"/>
    </row>
    <row r="1363" spans="63:66" ht="15.75">
      <c r="BK1363" s="451"/>
      <c r="BL1363" s="145"/>
      <c r="BM1363" s="223"/>
      <c r="BN1363" s="22"/>
    </row>
    <row r="1364" spans="63:66" ht="15.75">
      <c r="BK1364" s="451"/>
      <c r="BL1364" s="145"/>
      <c r="BM1364" s="223"/>
      <c r="BN1364" s="22"/>
    </row>
    <row r="1365" spans="63:66" ht="15.75">
      <c r="BK1365" s="451"/>
      <c r="BL1365" s="145"/>
      <c r="BM1365" s="223"/>
      <c r="BN1365" s="22"/>
    </row>
    <row r="1366" spans="63:66" ht="15.75">
      <c r="BK1366" s="451"/>
      <c r="BL1366" s="145"/>
      <c r="BM1366" s="223"/>
      <c r="BN1366" s="22"/>
    </row>
    <row r="1367" spans="63:66" ht="15.75">
      <c r="BK1367" s="451"/>
      <c r="BL1367" s="145"/>
      <c r="BM1367" s="223"/>
      <c r="BN1367" s="22"/>
    </row>
    <row r="1368" spans="63:66" ht="15.75">
      <c r="BK1368" s="451"/>
      <c r="BL1368" s="145"/>
      <c r="BM1368" s="223"/>
      <c r="BN1368" s="22"/>
    </row>
    <row r="1369" spans="63:66" ht="15.75">
      <c r="BK1369" s="451"/>
      <c r="BL1369" s="145"/>
      <c r="BM1369" s="223"/>
      <c r="BN1369" s="22"/>
    </row>
    <row r="1370" spans="63:66" ht="15.75">
      <c r="BK1370" s="451"/>
      <c r="BL1370" s="145"/>
      <c r="BM1370" s="223"/>
      <c r="BN1370" s="22"/>
    </row>
    <row r="1371" spans="63:66" ht="15.75">
      <c r="BK1371" s="451"/>
      <c r="BL1371" s="145"/>
      <c r="BM1371" s="223"/>
      <c r="BN1371" s="22"/>
    </row>
    <row r="1372" spans="63:66" ht="15.75">
      <c r="BK1372" s="451"/>
      <c r="BL1372" s="145"/>
      <c r="BM1372" s="223"/>
      <c r="BN1372" s="22"/>
    </row>
    <row r="1373" spans="63:66" ht="15.75">
      <c r="BK1373" s="451"/>
      <c r="BL1373" s="145"/>
      <c r="BM1373" s="223"/>
      <c r="BN1373" s="22"/>
    </row>
    <row r="1374" spans="63:66" ht="15.75">
      <c r="BK1374" s="451"/>
      <c r="BL1374" s="145"/>
      <c r="BM1374" s="223"/>
      <c r="BN1374" s="22"/>
    </row>
    <row r="1375" spans="63:66" ht="15.75">
      <c r="BK1375" s="451"/>
      <c r="BL1375" s="145"/>
      <c r="BM1375" s="223"/>
      <c r="BN1375" s="22"/>
    </row>
    <row r="1376" spans="63:66" ht="15.75">
      <c r="BK1376" s="451"/>
      <c r="BL1376" s="145"/>
      <c r="BM1376" s="223"/>
      <c r="BN1376" s="22"/>
    </row>
    <row r="1377" spans="63:76" ht="15.75">
      <c r="BK1377" s="451"/>
      <c r="BL1377" s="145"/>
      <c r="BM1377" s="223"/>
      <c r="BN1377" s="22"/>
    </row>
    <row r="1378" spans="63:76" ht="15.75">
      <c r="BK1378" s="451"/>
      <c r="BL1378" s="145"/>
      <c r="BM1378" s="223"/>
      <c r="BN1378" s="22"/>
      <c r="BS1378"/>
      <c r="BU1378"/>
      <c r="BV1378"/>
      <c r="BX1378"/>
    </row>
    <row r="1379" spans="63:76" ht="15.75">
      <c r="BK1379" s="451"/>
      <c r="BL1379" s="145"/>
      <c r="BM1379" s="223"/>
      <c r="BN1379" s="22"/>
      <c r="BS1379"/>
      <c r="BU1379"/>
      <c r="BV1379"/>
      <c r="BX1379"/>
    </row>
    <row r="1380" spans="63:76" ht="15.75">
      <c r="BK1380" s="451"/>
      <c r="BL1380" s="145"/>
      <c r="BM1380" s="223"/>
      <c r="BN1380" s="22"/>
      <c r="BS1380"/>
      <c r="BU1380"/>
      <c r="BV1380"/>
      <c r="BX1380"/>
    </row>
    <row r="1381" spans="63:76" ht="15.75">
      <c r="BK1381" s="451"/>
      <c r="BL1381" s="145"/>
      <c r="BM1381" s="223"/>
      <c r="BN1381" s="22"/>
      <c r="BS1381"/>
      <c r="BU1381"/>
      <c r="BV1381"/>
      <c r="BX1381"/>
    </row>
    <row r="1382" spans="63:76" ht="15.75">
      <c r="BK1382" s="451"/>
      <c r="BL1382" s="145"/>
      <c r="BM1382" s="223"/>
      <c r="BN1382" s="22"/>
      <c r="BS1382"/>
      <c r="BU1382"/>
      <c r="BV1382"/>
      <c r="BX1382"/>
    </row>
    <row r="1383" spans="63:76" ht="15.75">
      <c r="BK1383" s="451"/>
      <c r="BL1383" s="145"/>
      <c r="BM1383" s="223"/>
      <c r="BN1383" s="22"/>
      <c r="BS1383"/>
      <c r="BU1383"/>
      <c r="BV1383"/>
      <c r="BX1383"/>
    </row>
    <row r="1384" spans="63:76" ht="15.75">
      <c r="BK1384" s="451"/>
      <c r="BL1384" s="145"/>
      <c r="BM1384" s="223"/>
      <c r="BN1384" s="22"/>
      <c r="BS1384"/>
      <c r="BU1384"/>
      <c r="BV1384"/>
      <c r="BX1384"/>
    </row>
    <row r="1385" spans="63:76" ht="15.75">
      <c r="BK1385" s="451"/>
      <c r="BL1385" s="145"/>
      <c r="BM1385" s="223"/>
      <c r="BN1385" s="22"/>
      <c r="BS1385"/>
      <c r="BU1385"/>
      <c r="BV1385"/>
      <c r="BX1385"/>
    </row>
    <row r="1386" spans="63:76" ht="15.75">
      <c r="BK1386" s="451"/>
      <c r="BL1386" s="145"/>
      <c r="BM1386" s="223"/>
      <c r="BN1386" s="22"/>
      <c r="BS1386"/>
      <c r="BU1386"/>
      <c r="BV1386"/>
      <c r="BX1386"/>
    </row>
    <row r="1387" spans="63:76" ht="15.75">
      <c r="BK1387" s="451"/>
      <c r="BL1387" s="145"/>
      <c r="BM1387" s="223"/>
      <c r="BN1387" s="22"/>
      <c r="BS1387"/>
      <c r="BU1387"/>
      <c r="BV1387"/>
      <c r="BX1387"/>
    </row>
    <row r="1388" spans="63:76" ht="15.75">
      <c r="BK1388" s="451"/>
      <c r="BL1388" s="145"/>
      <c r="BM1388" s="223"/>
      <c r="BN1388" s="22"/>
      <c r="BS1388"/>
      <c r="BU1388"/>
      <c r="BV1388"/>
      <c r="BX1388"/>
    </row>
    <row r="1389" spans="63:76" ht="15.75">
      <c r="BK1389" s="451"/>
      <c r="BL1389" s="145"/>
      <c r="BM1389" s="223"/>
      <c r="BN1389" s="22"/>
      <c r="BS1389"/>
      <c r="BU1389"/>
      <c r="BV1389"/>
      <c r="BX1389"/>
    </row>
    <row r="1390" spans="63:76" ht="15.75">
      <c r="BK1390" s="451"/>
      <c r="BL1390" s="145"/>
      <c r="BM1390" s="223"/>
      <c r="BN1390" s="22"/>
      <c r="BS1390"/>
      <c r="BU1390"/>
      <c r="BV1390"/>
      <c r="BX1390"/>
    </row>
    <row r="1391" spans="63:76" ht="15.75">
      <c r="BK1391" s="451"/>
      <c r="BL1391" s="145"/>
      <c r="BM1391" s="223"/>
      <c r="BN1391" s="22"/>
      <c r="BS1391"/>
      <c r="BU1391"/>
      <c r="BV1391"/>
      <c r="BX1391"/>
    </row>
    <row r="1392" spans="63:76" ht="15.75">
      <c r="BK1392" s="451"/>
      <c r="BL1392" s="145"/>
      <c r="BM1392" s="223"/>
      <c r="BN1392" s="22"/>
      <c r="BS1392"/>
      <c r="BU1392"/>
      <c r="BV1392"/>
      <c r="BX1392"/>
    </row>
    <row r="1393" spans="63:76" ht="15.75">
      <c r="BK1393" s="451"/>
      <c r="BL1393" s="145"/>
      <c r="BM1393" s="223"/>
      <c r="BN1393" s="22"/>
      <c r="BS1393"/>
      <c r="BU1393"/>
      <c r="BV1393"/>
      <c r="BX1393"/>
    </row>
    <row r="1394" spans="63:76" ht="15.75">
      <c r="BK1394" s="451"/>
      <c r="BL1394" s="145"/>
      <c r="BM1394" s="223"/>
      <c r="BN1394" s="22"/>
      <c r="BS1394"/>
      <c r="BU1394"/>
      <c r="BV1394"/>
      <c r="BX1394"/>
    </row>
    <row r="1395" spans="63:76" ht="15.75">
      <c r="BK1395" s="451"/>
      <c r="BL1395" s="145"/>
      <c r="BM1395" s="223"/>
      <c r="BN1395" s="22"/>
      <c r="BS1395"/>
      <c r="BU1395"/>
      <c r="BV1395"/>
      <c r="BX1395"/>
    </row>
    <row r="1396" spans="63:76" ht="15.75">
      <c r="BK1396" s="451"/>
      <c r="BL1396" s="145"/>
      <c r="BM1396" s="223"/>
      <c r="BN1396" s="22"/>
      <c r="BS1396"/>
      <c r="BU1396"/>
      <c r="BV1396"/>
      <c r="BX1396"/>
    </row>
    <row r="1397" spans="63:76" ht="15.75">
      <c r="BK1397" s="451"/>
      <c r="BL1397" s="145"/>
      <c r="BM1397" s="223"/>
      <c r="BN1397" s="22"/>
      <c r="BS1397"/>
      <c r="BU1397"/>
      <c r="BV1397"/>
      <c r="BX1397"/>
    </row>
    <row r="1398" spans="63:76" ht="15.75">
      <c r="BK1398" s="451"/>
      <c r="BL1398" s="145"/>
      <c r="BM1398" s="223"/>
      <c r="BN1398" s="22"/>
      <c r="BS1398"/>
      <c r="BU1398"/>
      <c r="BV1398"/>
      <c r="BX1398"/>
    </row>
    <row r="1399" spans="63:76" ht="15.75">
      <c r="BK1399" s="451"/>
      <c r="BL1399" s="145"/>
      <c r="BM1399" s="223"/>
      <c r="BN1399" s="22"/>
      <c r="BS1399"/>
      <c r="BU1399"/>
      <c r="BV1399"/>
      <c r="BX1399"/>
    </row>
    <row r="1400" spans="63:76" ht="15.75">
      <c r="BK1400" s="451"/>
      <c r="BL1400" s="145"/>
      <c r="BM1400" s="223"/>
      <c r="BN1400" s="22"/>
      <c r="BS1400"/>
      <c r="BU1400"/>
      <c r="BV1400"/>
      <c r="BX1400"/>
    </row>
    <row r="1401" spans="63:76" ht="15.75">
      <c r="BK1401" s="451"/>
      <c r="BL1401" s="145"/>
      <c r="BM1401" s="223"/>
      <c r="BN1401" s="22"/>
    </row>
    <row r="1402" spans="63:76" ht="15.75">
      <c r="BK1402" s="451"/>
      <c r="BL1402" s="145"/>
      <c r="BM1402" s="223"/>
      <c r="BN1402" s="22"/>
    </row>
    <row r="1403" spans="63:76" ht="15.75">
      <c r="BK1403" s="451"/>
      <c r="BL1403" s="145"/>
      <c r="BM1403" s="223"/>
      <c r="BN1403" s="22"/>
    </row>
    <row r="1404" spans="63:76" ht="15.75">
      <c r="BK1404" s="451"/>
      <c r="BL1404" s="145"/>
      <c r="BM1404" s="223"/>
      <c r="BN1404" s="22"/>
    </row>
    <row r="1405" spans="63:76" ht="15.75">
      <c r="BK1405" s="451"/>
      <c r="BL1405" s="145"/>
      <c r="BM1405" s="223"/>
      <c r="BN1405" s="22"/>
    </row>
    <row r="1406" spans="63:76" ht="15.75">
      <c r="BK1406" s="451"/>
      <c r="BL1406" s="145"/>
      <c r="BM1406" s="223"/>
      <c r="BN1406" s="22"/>
    </row>
    <row r="1407" spans="63:76" ht="15.75">
      <c r="BK1407" s="451"/>
      <c r="BL1407" s="145"/>
      <c r="BM1407" s="223"/>
      <c r="BN1407" s="22"/>
    </row>
    <row r="1408" spans="63:76" ht="15.75">
      <c r="BK1408" s="451"/>
      <c r="BL1408" s="145"/>
      <c r="BM1408" s="223"/>
      <c r="BN1408" s="22"/>
    </row>
    <row r="1409" spans="63:66" ht="15.75">
      <c r="BK1409" s="451"/>
      <c r="BL1409" s="145"/>
      <c r="BM1409" s="223"/>
      <c r="BN1409" s="22"/>
    </row>
    <row r="1410" spans="63:66" ht="15.75">
      <c r="BK1410" s="451"/>
      <c r="BL1410" s="145"/>
      <c r="BM1410" s="223"/>
      <c r="BN1410" s="22"/>
    </row>
    <row r="1411" spans="63:66" ht="15.75">
      <c r="BK1411" s="451"/>
      <c r="BL1411" s="145"/>
      <c r="BM1411" s="223"/>
      <c r="BN1411" s="22"/>
    </row>
    <row r="1412" spans="63:66" ht="15.75">
      <c r="BK1412" s="451"/>
      <c r="BL1412" s="145"/>
      <c r="BM1412" s="223"/>
      <c r="BN1412" s="22"/>
    </row>
    <row r="1413" spans="63:66" ht="15.75">
      <c r="BK1413" s="451"/>
      <c r="BL1413" s="145"/>
      <c r="BM1413" s="223"/>
      <c r="BN1413" s="22"/>
    </row>
    <row r="1414" spans="63:66" ht="15.75">
      <c r="BK1414" s="451"/>
      <c r="BL1414" s="145"/>
      <c r="BM1414" s="223"/>
      <c r="BN1414" s="22"/>
    </row>
    <row r="1415" spans="63:66" ht="15.75">
      <c r="BK1415" s="451"/>
      <c r="BL1415" s="145"/>
      <c r="BM1415" s="223"/>
      <c r="BN1415" s="22"/>
    </row>
    <row r="1416" spans="63:66" ht="15.75">
      <c r="BK1416" s="451"/>
      <c r="BL1416" s="145"/>
      <c r="BM1416" s="223"/>
      <c r="BN1416" s="22"/>
    </row>
    <row r="1417" spans="63:66" ht="15.75">
      <c r="BK1417" s="451"/>
      <c r="BL1417" s="145"/>
      <c r="BM1417" s="223"/>
      <c r="BN1417" s="22"/>
    </row>
    <row r="1418" spans="63:66" ht="15.75">
      <c r="BK1418" s="451"/>
      <c r="BL1418" s="145"/>
      <c r="BM1418" s="223"/>
      <c r="BN1418" s="22"/>
    </row>
    <row r="1419" spans="63:66" ht="15.75">
      <c r="BK1419" s="451"/>
      <c r="BL1419" s="145"/>
      <c r="BM1419" s="223"/>
      <c r="BN1419" s="22"/>
    </row>
    <row r="1420" spans="63:66" ht="15.75">
      <c r="BK1420" s="17"/>
      <c r="BL1420" s="145"/>
      <c r="BM1420" s="223"/>
      <c r="BN1420" s="22"/>
    </row>
    <row r="1421" spans="63:66" ht="15.75">
      <c r="BK1421" s="17"/>
      <c r="BL1421" s="145"/>
      <c r="BM1421" s="223"/>
      <c r="BN1421" s="22"/>
    </row>
    <row r="1422" spans="63:66" ht="15.75">
      <c r="BK1422" s="17"/>
      <c r="BL1422" s="145"/>
      <c r="BM1422" s="223"/>
      <c r="BN1422" s="22"/>
    </row>
    <row r="1423" spans="63:66" ht="15.75">
      <c r="BK1423" s="17"/>
      <c r="BL1423" s="145"/>
      <c r="BM1423" s="223"/>
      <c r="BN1423" s="22"/>
    </row>
    <row r="1424" spans="63:66" ht="15.75">
      <c r="BK1424" s="17"/>
      <c r="BL1424" s="145"/>
      <c r="BM1424" s="223"/>
      <c r="BN1424" s="22"/>
    </row>
    <row r="1425" spans="63:66" ht="15.75">
      <c r="BK1425" s="17"/>
      <c r="BL1425" s="145"/>
      <c r="BM1425" s="223"/>
      <c r="BN1425" s="22"/>
    </row>
    <row r="1426" spans="63:66" ht="15.75">
      <c r="BK1426" s="17"/>
      <c r="BL1426" s="145"/>
      <c r="BM1426" s="223"/>
      <c r="BN1426" s="22"/>
    </row>
  </sheetData>
  <phoneticPr fontId="2" type="noConversion"/>
  <conditionalFormatting sqref="AA101 Z14">
    <cfRule type="cellIs" dxfId="95" priority="3" stopIfTrue="1" operator="greaterThan">
      <formula>0.5</formula>
    </cfRule>
    <cfRule type="cellIs" dxfId="94" priority="4" stopIfTrue="1" operator="lessThan">
      <formula>-0.1</formula>
    </cfRule>
  </conditionalFormatting>
  <conditionalFormatting sqref="AB55 Z15:Z277 BN1313:BN1426 AC278:AC1312">
    <cfRule type="cellIs" dxfId="93" priority="5" stopIfTrue="1" operator="greaterThan">
      <formula>0.3</formula>
    </cfRule>
    <cfRule type="cellIs" dxfId="92" priority="6" stopIfTrue="1" operator="lessThan">
      <formula>-0.15</formula>
    </cfRule>
  </conditionalFormatting>
  <conditionalFormatting sqref="X15:X277 BL1313:BL1426 AA278:AA1312">
    <cfRule type="cellIs" dxfId="91" priority="7" stopIfTrue="1" operator="greaterThan">
      <formula>0.19</formula>
    </cfRule>
  </conditionalFormatting>
  <conditionalFormatting sqref="BK1378:BK1400">
    <cfRule type="cellIs" dxfId="90" priority="2" operator="greaterThan">
      <formula>0.1</formula>
    </cfRule>
  </conditionalFormatting>
  <conditionalFormatting sqref="W278:Y286 AC1313:BG1321">
    <cfRule type="cellIs" dxfId="89" priority="1" operator="lessThan">
      <formula>0</formula>
    </cfRule>
  </conditionalFormatting>
  <pageMargins left="0.75" right="0.75" top="1" bottom="1" header="0.5" footer="0.5"/>
  <pageSetup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topLeftCell="A76" workbookViewId="0">
      <selection activeCell="A102" sqref="A102"/>
    </sheetView>
  </sheetViews>
  <sheetFormatPr defaultRowHeight="12.75"/>
  <cols>
    <col min="1" max="1" width="13.85546875" customWidth="1"/>
    <col min="2" max="2" width="12.85546875" bestFit="1" customWidth="1"/>
    <col min="3" max="3" width="16.7109375" bestFit="1" customWidth="1"/>
  </cols>
  <sheetData>
    <row r="1" spans="1:6">
      <c r="A1" s="491" t="s">
        <v>998</v>
      </c>
      <c r="B1" t="s">
        <v>839</v>
      </c>
      <c r="C1" t="s">
        <v>840</v>
      </c>
      <c r="D1" s="608" t="s">
        <v>841</v>
      </c>
    </row>
    <row r="2" spans="1:6">
      <c r="A2" s="492" t="s">
        <v>110</v>
      </c>
      <c r="B2" s="495">
        <v>6908.5730000000003</v>
      </c>
      <c r="C2" s="319">
        <v>72689.026999999987</v>
      </c>
      <c r="D2" s="76">
        <f>GETPIVOTDATA("Sum of Profit",$A$1,"Symbol",A2)/GETPIVOTDATA("Sum of CostBasis",$A$1,"Symbol",A2)</f>
        <v>9.5042859770292448E-2</v>
      </c>
      <c r="F2" t="s">
        <v>1032</v>
      </c>
    </row>
    <row r="3" spans="1:6">
      <c r="A3" s="492" t="s">
        <v>380</v>
      </c>
      <c r="B3" s="495">
        <v>-2436.85</v>
      </c>
      <c r="C3" s="319">
        <v>12212.849999999999</v>
      </c>
      <c r="D3" s="76">
        <f t="shared" ref="D3:D66" si="0">GETPIVOTDATA("Sum of Profit",$A$1,"Symbol",A3)/GETPIVOTDATA("Sum of CostBasis",$A$1,"Symbol",A3)</f>
        <v>-0.19953164085369102</v>
      </c>
      <c r="F3" s="609">
        <f>COUNTIF(B:B,"&gt;0")/COUNT(B:B)</f>
        <v>0.58273381294964033</v>
      </c>
    </row>
    <row r="4" spans="1:6">
      <c r="A4" s="492" t="s">
        <v>45</v>
      </c>
      <c r="B4" s="495">
        <v>207.33</v>
      </c>
      <c r="C4" s="319">
        <v>2295.9499999999998</v>
      </c>
      <c r="D4" s="76">
        <f t="shared" si="0"/>
        <v>9.0302489165704838E-2</v>
      </c>
    </row>
    <row r="5" spans="1:6">
      <c r="A5" s="492" t="s">
        <v>252</v>
      </c>
      <c r="B5" s="495">
        <v>32.6</v>
      </c>
      <c r="C5" s="319">
        <v>467.4</v>
      </c>
      <c r="D5" s="76">
        <f t="shared" si="0"/>
        <v>6.9747539580658977E-2</v>
      </c>
    </row>
    <row r="6" spans="1:6">
      <c r="A6" s="492" t="s">
        <v>57</v>
      </c>
      <c r="B6" s="495">
        <v>8745.5399999999991</v>
      </c>
      <c r="C6" s="319">
        <v>9527.4600000000009</v>
      </c>
      <c r="D6" s="76">
        <f t="shared" si="0"/>
        <v>0.91792985748562561</v>
      </c>
    </row>
    <row r="7" spans="1:6">
      <c r="A7" s="492" t="s">
        <v>382</v>
      </c>
      <c r="B7" s="495">
        <v>-4295.45</v>
      </c>
      <c r="C7" s="319">
        <v>4382.95</v>
      </c>
      <c r="D7" s="76">
        <f t="shared" si="0"/>
        <v>-0.98003627693676632</v>
      </c>
    </row>
    <row r="8" spans="1:6">
      <c r="A8" s="492" t="s">
        <v>127</v>
      </c>
      <c r="B8" s="495">
        <v>842.8</v>
      </c>
      <c r="C8" s="319">
        <v>3647.2</v>
      </c>
      <c r="D8" s="76">
        <f t="shared" si="0"/>
        <v>0.23108137749506472</v>
      </c>
    </row>
    <row r="9" spans="1:6">
      <c r="A9" s="492" t="s">
        <v>126</v>
      </c>
      <c r="B9" s="495">
        <v>540.30000000000018</v>
      </c>
      <c r="C9" s="319">
        <v>8049.7</v>
      </c>
      <c r="D9" s="76">
        <f t="shared" si="0"/>
        <v>6.7120513807968019E-2</v>
      </c>
    </row>
    <row r="10" spans="1:6">
      <c r="A10" s="492" t="s">
        <v>21</v>
      </c>
      <c r="B10" s="495">
        <v>1955</v>
      </c>
      <c r="C10" s="319">
        <v>1850</v>
      </c>
      <c r="D10" s="76">
        <f t="shared" si="0"/>
        <v>1.0567567567567568</v>
      </c>
    </row>
    <row r="11" spans="1:6">
      <c r="A11" s="492" t="s">
        <v>255</v>
      </c>
      <c r="B11" s="495">
        <v>-2139.9699999999998</v>
      </c>
      <c r="C11" s="319">
        <v>13259.970000000001</v>
      </c>
      <c r="D11" s="76">
        <f t="shared" si="0"/>
        <v>-0.16138573465852485</v>
      </c>
    </row>
    <row r="12" spans="1:6">
      <c r="A12" s="492" t="s">
        <v>400</v>
      </c>
      <c r="B12" s="495">
        <v>-540.45000000000005</v>
      </c>
      <c r="C12" s="319">
        <v>545.45000000000005</v>
      </c>
      <c r="D12" s="76">
        <f t="shared" si="0"/>
        <v>-0.99083325694380786</v>
      </c>
    </row>
    <row r="13" spans="1:6">
      <c r="A13" s="492" t="s">
        <v>894</v>
      </c>
      <c r="B13" s="495">
        <v>-3103.0999999999995</v>
      </c>
      <c r="C13" s="319">
        <v>4573.0999999999995</v>
      </c>
      <c r="D13" s="76">
        <f t="shared" si="0"/>
        <v>-0.67855502831777126</v>
      </c>
    </row>
    <row r="14" spans="1:6">
      <c r="A14" s="492" t="s">
        <v>738</v>
      </c>
      <c r="B14" s="495">
        <v>-230.255</v>
      </c>
      <c r="C14" s="319">
        <v>1563.4050000000002</v>
      </c>
      <c r="D14" s="76">
        <f t="shared" si="0"/>
        <v>-0.14727789664226479</v>
      </c>
    </row>
    <row r="15" spans="1:6">
      <c r="A15" s="492" t="s">
        <v>229</v>
      </c>
      <c r="B15" s="495">
        <v>126.6</v>
      </c>
      <c r="C15" s="319">
        <v>423.4</v>
      </c>
      <c r="D15" s="76">
        <f t="shared" si="0"/>
        <v>0.29900803023145961</v>
      </c>
    </row>
    <row r="16" spans="1:6">
      <c r="A16" s="492" t="s">
        <v>58</v>
      </c>
      <c r="B16" s="495">
        <v>2360.0500000000002</v>
      </c>
      <c r="C16" s="319">
        <v>9639.9500000000007</v>
      </c>
      <c r="D16" s="76">
        <f t="shared" si="0"/>
        <v>0.24481973454219161</v>
      </c>
    </row>
    <row r="17" spans="1:4">
      <c r="A17" s="492" t="s">
        <v>233</v>
      </c>
      <c r="B17" s="495">
        <v>-1049.7499999999998</v>
      </c>
      <c r="C17" s="319">
        <v>5054.75</v>
      </c>
      <c r="D17" s="76">
        <f t="shared" si="0"/>
        <v>-0.20767594836539885</v>
      </c>
    </row>
    <row r="18" spans="1:4">
      <c r="A18" s="492" t="s">
        <v>193</v>
      </c>
      <c r="B18" s="495">
        <v>-307.7</v>
      </c>
      <c r="C18" s="319">
        <v>308.7</v>
      </c>
      <c r="D18" s="76">
        <f t="shared" si="0"/>
        <v>-0.996760609005507</v>
      </c>
    </row>
    <row r="19" spans="1:4">
      <c r="A19" s="492" t="s">
        <v>41</v>
      </c>
      <c r="B19" s="495">
        <v>-971.55</v>
      </c>
      <c r="C19" s="319">
        <v>6421.55</v>
      </c>
      <c r="D19" s="76">
        <f t="shared" si="0"/>
        <v>-0.15129524803201719</v>
      </c>
    </row>
    <row r="20" spans="1:4">
      <c r="A20" s="492" t="s">
        <v>247</v>
      </c>
      <c r="B20" s="495">
        <v>-1388.9</v>
      </c>
      <c r="C20" s="319">
        <v>1818.9</v>
      </c>
      <c r="D20" s="76">
        <f t="shared" si="0"/>
        <v>-0.7635933806146572</v>
      </c>
    </row>
    <row r="21" spans="1:4">
      <c r="A21" s="492" t="s">
        <v>59</v>
      </c>
      <c r="B21" s="495">
        <v>388.05</v>
      </c>
      <c r="C21" s="319">
        <v>4462.95</v>
      </c>
      <c r="D21" s="76">
        <f t="shared" si="0"/>
        <v>8.6949215205189403E-2</v>
      </c>
    </row>
    <row r="22" spans="1:4">
      <c r="A22" s="492" t="s">
        <v>30</v>
      </c>
      <c r="B22" s="495">
        <v>-4141.8999999999996</v>
      </c>
      <c r="C22" s="319">
        <v>4821.8999999999996</v>
      </c>
      <c r="D22" s="76">
        <f t="shared" si="0"/>
        <v>-0.85897675190277689</v>
      </c>
    </row>
    <row r="23" spans="1:4">
      <c r="A23" s="492" t="s">
        <v>64</v>
      </c>
      <c r="B23" s="495">
        <v>47.6</v>
      </c>
      <c r="C23" s="319">
        <v>342.4</v>
      </c>
      <c r="D23" s="76">
        <f t="shared" si="0"/>
        <v>0.13901869158878505</v>
      </c>
    </row>
    <row r="24" spans="1:4">
      <c r="A24" s="492" t="s">
        <v>751</v>
      </c>
      <c r="B24" s="495">
        <v>-2807.95</v>
      </c>
      <c r="C24" s="319">
        <v>3607.95</v>
      </c>
      <c r="D24" s="76">
        <f t="shared" si="0"/>
        <v>-0.77826743718732239</v>
      </c>
    </row>
    <row r="25" spans="1:4">
      <c r="A25" s="492" t="s">
        <v>172</v>
      </c>
      <c r="B25" s="495">
        <v>242.05</v>
      </c>
      <c r="C25" s="319">
        <v>6757.95</v>
      </c>
      <c r="D25" s="76">
        <f t="shared" si="0"/>
        <v>3.5817074704607169E-2</v>
      </c>
    </row>
    <row r="26" spans="1:4">
      <c r="A26" s="492" t="s">
        <v>65</v>
      </c>
      <c r="B26" s="495">
        <v>822.66</v>
      </c>
      <c r="C26" s="319">
        <v>10017.34</v>
      </c>
      <c r="D26" s="76">
        <f t="shared" si="0"/>
        <v>8.2123597681620072E-2</v>
      </c>
    </row>
    <row r="27" spans="1:4">
      <c r="A27" s="492" t="s">
        <v>81</v>
      </c>
      <c r="B27" s="495">
        <v>-208.05</v>
      </c>
      <c r="C27" s="319">
        <v>334.55</v>
      </c>
      <c r="D27" s="76">
        <f t="shared" si="0"/>
        <v>-0.62188013749813187</v>
      </c>
    </row>
    <row r="28" spans="1:4">
      <c r="A28" s="492" t="s">
        <v>740</v>
      </c>
      <c r="B28" s="495">
        <v>82.600000000000023</v>
      </c>
      <c r="C28" s="319">
        <v>5237.3999999999996</v>
      </c>
      <c r="D28" s="76">
        <f t="shared" si="0"/>
        <v>1.577118417535419E-2</v>
      </c>
    </row>
    <row r="29" spans="1:4">
      <c r="A29" s="492" t="s">
        <v>161</v>
      </c>
      <c r="B29" s="495">
        <v>584.65000000000009</v>
      </c>
      <c r="C29" s="319">
        <v>7445.3499999999995</v>
      </c>
      <c r="D29" s="76">
        <f t="shared" si="0"/>
        <v>7.8525522641648832E-2</v>
      </c>
    </row>
    <row r="30" spans="1:4">
      <c r="A30" s="492" t="s">
        <v>106</v>
      </c>
      <c r="B30" s="495">
        <v>2822.1</v>
      </c>
      <c r="C30" s="319">
        <v>10415.9</v>
      </c>
      <c r="D30" s="76">
        <f t="shared" si="0"/>
        <v>0.27094154129743947</v>
      </c>
    </row>
    <row r="31" spans="1:4">
      <c r="A31" s="492" t="s">
        <v>105</v>
      </c>
      <c r="B31" s="495">
        <v>771.7</v>
      </c>
      <c r="C31" s="319">
        <v>1578.3000000000002</v>
      </c>
      <c r="D31" s="76">
        <f t="shared" si="0"/>
        <v>0.48894380029145279</v>
      </c>
    </row>
    <row r="32" spans="1:4">
      <c r="A32" s="492" t="s">
        <v>424</v>
      </c>
      <c r="B32" s="495">
        <v>221.1</v>
      </c>
      <c r="C32" s="319">
        <v>258.89999999999998</v>
      </c>
      <c r="D32" s="76">
        <f t="shared" si="0"/>
        <v>0.85399768250289687</v>
      </c>
    </row>
    <row r="33" spans="1:4">
      <c r="A33" s="492" t="s">
        <v>275</v>
      </c>
      <c r="B33" s="495">
        <v>601.6</v>
      </c>
      <c r="C33" s="319">
        <v>1723.4</v>
      </c>
      <c r="D33" s="76">
        <f t="shared" si="0"/>
        <v>0.34907740512939539</v>
      </c>
    </row>
    <row r="34" spans="1:4">
      <c r="A34" s="492" t="s">
        <v>82</v>
      </c>
      <c r="B34" s="495">
        <v>-2382.6967999999993</v>
      </c>
      <c r="C34" s="319">
        <v>10625.186800000003</v>
      </c>
      <c r="D34" s="76">
        <f t="shared" si="0"/>
        <v>-0.22424987389398165</v>
      </c>
    </row>
    <row r="35" spans="1:4">
      <c r="A35" s="492" t="s">
        <v>125</v>
      </c>
      <c r="B35" s="495">
        <v>-339.74999999999977</v>
      </c>
      <c r="C35" s="319">
        <v>9339.75</v>
      </c>
      <c r="D35" s="76">
        <f t="shared" si="0"/>
        <v>-3.6376776680317968E-2</v>
      </c>
    </row>
    <row r="36" spans="1:4">
      <c r="A36" s="492" t="s">
        <v>237</v>
      </c>
      <c r="B36" s="495">
        <v>291.76559999999989</v>
      </c>
      <c r="C36" s="319">
        <v>3997.2343999999998</v>
      </c>
      <c r="D36" s="76">
        <f t="shared" si="0"/>
        <v>7.2991866576551004E-2</v>
      </c>
    </row>
    <row r="37" spans="1:4">
      <c r="A37" s="492" t="s">
        <v>321</v>
      </c>
      <c r="B37" s="495">
        <v>-4294.1499999999996</v>
      </c>
      <c r="C37" s="319">
        <v>16274.15</v>
      </c>
      <c r="D37" s="76">
        <f t="shared" si="0"/>
        <v>-0.2638632432415825</v>
      </c>
    </row>
    <row r="38" spans="1:4">
      <c r="A38" s="492" t="s">
        <v>732</v>
      </c>
      <c r="B38" s="495">
        <v>-2922.45</v>
      </c>
      <c r="C38" s="319">
        <v>11152.45</v>
      </c>
      <c r="D38" s="76">
        <f t="shared" si="0"/>
        <v>-0.26204555949589547</v>
      </c>
    </row>
    <row r="39" spans="1:4">
      <c r="A39" s="492" t="s">
        <v>187</v>
      </c>
      <c r="B39" s="495">
        <v>1992.05</v>
      </c>
      <c r="C39" s="319">
        <v>12007.95</v>
      </c>
      <c r="D39" s="76">
        <f t="shared" si="0"/>
        <v>0.16589426171827829</v>
      </c>
    </row>
    <row r="40" spans="1:4">
      <c r="A40" s="492" t="s">
        <v>421</v>
      </c>
      <c r="B40" s="495">
        <v>462.59999999999997</v>
      </c>
      <c r="C40" s="319">
        <v>4437.3999999999996</v>
      </c>
      <c r="D40" s="76">
        <f t="shared" si="0"/>
        <v>0.1042502366250507</v>
      </c>
    </row>
    <row r="41" spans="1:4">
      <c r="A41" s="492" t="s">
        <v>423</v>
      </c>
      <c r="B41" s="495">
        <v>-1655.4499999999998</v>
      </c>
      <c r="C41" s="319">
        <v>11370.45</v>
      </c>
      <c r="D41" s="76">
        <f t="shared" si="0"/>
        <v>-0.14559230285520799</v>
      </c>
    </row>
    <row r="42" spans="1:4">
      <c r="A42" s="492" t="s">
        <v>48</v>
      </c>
      <c r="B42" s="495">
        <v>153.35000000000002</v>
      </c>
      <c r="C42" s="319">
        <v>3336.6499999999996</v>
      </c>
      <c r="D42" s="76">
        <f t="shared" si="0"/>
        <v>4.5959270525826816E-2</v>
      </c>
    </row>
    <row r="43" spans="1:4">
      <c r="A43" s="492" t="s">
        <v>378</v>
      </c>
      <c r="B43" s="495">
        <v>-31.399999999999977</v>
      </c>
      <c r="C43" s="319">
        <v>3951.3999999999996</v>
      </c>
      <c r="D43" s="76">
        <f t="shared" si="0"/>
        <v>-7.9465505896644181E-3</v>
      </c>
    </row>
    <row r="44" spans="1:4">
      <c r="A44" s="492" t="s">
        <v>62</v>
      </c>
      <c r="B44" s="495">
        <v>7017.9900000000016</v>
      </c>
      <c r="C44" s="319">
        <v>52141.450000000004</v>
      </c>
      <c r="D44" s="76">
        <f t="shared" si="0"/>
        <v>0.13459522126830001</v>
      </c>
    </row>
    <row r="45" spans="1:4">
      <c r="A45" s="492" t="s">
        <v>430</v>
      </c>
      <c r="B45" s="495">
        <v>-32.699999999999989</v>
      </c>
      <c r="C45" s="319">
        <v>846.69999999999993</v>
      </c>
      <c r="D45" s="76">
        <f t="shared" si="0"/>
        <v>-3.8620526750915311E-2</v>
      </c>
    </row>
    <row r="46" spans="1:4">
      <c r="A46" s="492" t="s">
        <v>259</v>
      </c>
      <c r="B46" s="495">
        <v>148.85</v>
      </c>
      <c r="C46" s="319">
        <v>3191.55</v>
      </c>
      <c r="D46" s="76">
        <f t="shared" si="0"/>
        <v>4.6638780529836596E-2</v>
      </c>
    </row>
    <row r="47" spans="1:4">
      <c r="A47" s="492" t="s">
        <v>241</v>
      </c>
      <c r="B47" s="495">
        <v>419.15</v>
      </c>
      <c r="C47" s="319">
        <v>29460.850000000002</v>
      </c>
      <c r="D47" s="76">
        <f t="shared" si="0"/>
        <v>1.4227355965628959E-2</v>
      </c>
    </row>
    <row r="48" spans="1:4">
      <c r="A48" s="492" t="s">
        <v>84</v>
      </c>
      <c r="B48" s="495">
        <v>1012.05</v>
      </c>
      <c r="C48" s="319">
        <v>4987.95</v>
      </c>
      <c r="D48" s="76">
        <f t="shared" si="0"/>
        <v>0.20289898655760383</v>
      </c>
    </row>
    <row r="49" spans="1:4">
      <c r="A49" s="492" t="s">
        <v>184</v>
      </c>
      <c r="B49" s="495">
        <v>390.05</v>
      </c>
      <c r="C49" s="319">
        <v>6248.7</v>
      </c>
      <c r="D49" s="76">
        <f t="shared" si="0"/>
        <v>6.2420983564581436E-2</v>
      </c>
    </row>
    <row r="50" spans="1:4">
      <c r="A50" s="492" t="s">
        <v>85</v>
      </c>
      <c r="B50" s="495">
        <v>352.05</v>
      </c>
      <c r="C50" s="319">
        <v>4282.95</v>
      </c>
      <c r="D50" s="76">
        <f t="shared" si="0"/>
        <v>8.219801772143033E-2</v>
      </c>
    </row>
    <row r="51" spans="1:4">
      <c r="A51" s="492" t="s">
        <v>86</v>
      </c>
      <c r="B51" s="495">
        <v>592.04999999999995</v>
      </c>
      <c r="C51" s="319">
        <v>4807.95</v>
      </c>
      <c r="D51" s="76">
        <f t="shared" si="0"/>
        <v>0.12313979970673572</v>
      </c>
    </row>
    <row r="52" spans="1:4">
      <c r="A52" s="492" t="s">
        <v>90</v>
      </c>
      <c r="B52" s="495">
        <v>973.98</v>
      </c>
      <c r="C52" s="319">
        <v>18196.02</v>
      </c>
      <c r="D52" s="76">
        <f t="shared" si="0"/>
        <v>5.3527089990008804E-2</v>
      </c>
    </row>
    <row r="53" spans="1:4">
      <c r="A53" s="492" t="s">
        <v>261</v>
      </c>
      <c r="B53" s="495">
        <v>2283.85</v>
      </c>
      <c r="C53" s="319">
        <v>17852.650000000001</v>
      </c>
      <c r="D53" s="76">
        <f t="shared" si="0"/>
        <v>0.12792778663111637</v>
      </c>
    </row>
    <row r="54" spans="1:4">
      <c r="A54" s="492" t="s">
        <v>190</v>
      </c>
      <c r="B54" s="495">
        <v>1373.662</v>
      </c>
      <c r="C54" s="319">
        <v>7766.3379999999997</v>
      </c>
      <c r="D54" s="76">
        <f t="shared" si="0"/>
        <v>0.17687383680699967</v>
      </c>
    </row>
    <row r="55" spans="1:4">
      <c r="A55" s="492" t="s">
        <v>142</v>
      </c>
      <c r="B55" s="495">
        <v>182.05</v>
      </c>
      <c r="C55" s="319">
        <v>9017.9500000000007</v>
      </c>
      <c r="D55" s="76">
        <f t="shared" si="0"/>
        <v>2.0187514900836666E-2</v>
      </c>
    </row>
    <row r="56" spans="1:4">
      <c r="A56" s="492" t="s">
        <v>438</v>
      </c>
      <c r="B56" s="495">
        <v>466.60000000000008</v>
      </c>
      <c r="C56" s="319">
        <v>6048.1999999999989</v>
      </c>
      <c r="D56" s="76">
        <f t="shared" si="0"/>
        <v>7.7146919744717463E-2</v>
      </c>
    </row>
    <row r="57" spans="1:4">
      <c r="A57" s="492" t="s">
        <v>94</v>
      </c>
      <c r="B57" s="495">
        <v>913.34999999999991</v>
      </c>
      <c r="C57" s="319">
        <v>5036.6499999999996</v>
      </c>
      <c r="D57" s="76">
        <f t="shared" si="0"/>
        <v>0.18134077214021224</v>
      </c>
    </row>
    <row r="58" spans="1:4">
      <c r="A58" s="492" t="s">
        <v>132</v>
      </c>
      <c r="B58" s="495">
        <v>1058.7</v>
      </c>
      <c r="C58" s="319">
        <v>2666.3</v>
      </c>
      <c r="D58" s="76">
        <f t="shared" si="0"/>
        <v>0.39706709672579976</v>
      </c>
    </row>
    <row r="59" spans="1:4">
      <c r="A59" s="492" t="s">
        <v>379</v>
      </c>
      <c r="B59" s="495">
        <v>-315.35000000000014</v>
      </c>
      <c r="C59" s="319">
        <v>4775.3499999999995</v>
      </c>
      <c r="D59" s="76">
        <f t="shared" si="0"/>
        <v>-6.6037044405122175E-2</v>
      </c>
    </row>
    <row r="60" spans="1:4">
      <c r="A60" s="492" t="s">
        <v>251</v>
      </c>
      <c r="B60" s="495">
        <v>-1480.9</v>
      </c>
      <c r="C60" s="319">
        <v>1800.9</v>
      </c>
      <c r="D60" s="76">
        <f t="shared" si="0"/>
        <v>-0.82231106668887777</v>
      </c>
    </row>
    <row r="61" spans="1:4">
      <c r="A61" s="492" t="s">
        <v>19</v>
      </c>
      <c r="B61" s="495">
        <v>546.70000000000005</v>
      </c>
      <c r="C61" s="319">
        <v>2433.3000000000002</v>
      </c>
      <c r="D61" s="76">
        <f t="shared" si="0"/>
        <v>0.22467431060699461</v>
      </c>
    </row>
    <row r="62" spans="1:4">
      <c r="A62" s="492" t="s">
        <v>87</v>
      </c>
      <c r="B62" s="495">
        <v>1642.05</v>
      </c>
      <c r="C62" s="319">
        <v>1107.95</v>
      </c>
      <c r="D62" s="76">
        <f t="shared" si="0"/>
        <v>1.4820614648675481</v>
      </c>
    </row>
    <row r="63" spans="1:4">
      <c r="A63" s="492" t="s">
        <v>250</v>
      </c>
      <c r="B63" s="495">
        <v>275.25</v>
      </c>
      <c r="C63" s="319">
        <v>1684.75</v>
      </c>
      <c r="D63" s="76">
        <f t="shared" si="0"/>
        <v>0.16337735569075532</v>
      </c>
    </row>
    <row r="64" spans="1:4">
      <c r="A64" s="492" t="s">
        <v>141</v>
      </c>
      <c r="B64" s="495">
        <v>-148.9</v>
      </c>
      <c r="C64" s="319">
        <v>668.9</v>
      </c>
      <c r="D64" s="76">
        <f t="shared" si="0"/>
        <v>-0.2226042756764838</v>
      </c>
    </row>
    <row r="65" spans="1:4">
      <c r="A65" s="492" t="s">
        <v>433</v>
      </c>
      <c r="B65" s="495">
        <v>111.9918</v>
      </c>
      <c r="C65" s="319">
        <v>1520.0082</v>
      </c>
      <c r="D65" s="76">
        <f t="shared" si="0"/>
        <v>7.3678418313795943E-2</v>
      </c>
    </row>
    <row r="66" spans="1:4">
      <c r="A66" s="492" t="s">
        <v>107</v>
      </c>
      <c r="B66" s="495">
        <v>-68.089999999999918</v>
      </c>
      <c r="C66" s="319">
        <v>13208.09</v>
      </c>
      <c r="D66" s="76">
        <f t="shared" si="0"/>
        <v>-5.155173836641022E-3</v>
      </c>
    </row>
    <row r="67" spans="1:4">
      <c r="A67" s="492" t="s">
        <v>88</v>
      </c>
      <c r="B67" s="495">
        <v>14.05</v>
      </c>
      <c r="C67" s="319">
        <v>41.7</v>
      </c>
      <c r="D67" s="76">
        <f t="shared" ref="D67:D130" si="1">GETPIVOTDATA("Sum of Profit",$A$1,"Symbol",A67)/GETPIVOTDATA("Sum of CostBasis",$A$1,"Symbol",A67)</f>
        <v>0.33693045563549162</v>
      </c>
    </row>
    <row r="68" spans="1:4">
      <c r="A68" s="492" t="s">
        <v>54</v>
      </c>
      <c r="B68" s="495">
        <v>10.4</v>
      </c>
      <c r="C68" s="319">
        <v>1689.6</v>
      </c>
      <c r="D68" s="76">
        <f t="shared" si="1"/>
        <v>6.1553030303030309E-3</v>
      </c>
    </row>
    <row r="69" spans="1:4">
      <c r="A69" s="492" t="s">
        <v>422</v>
      </c>
      <c r="B69" s="495">
        <v>408.09</v>
      </c>
      <c r="C69" s="319">
        <v>1968.95</v>
      </c>
      <c r="D69" s="76">
        <f t="shared" si="1"/>
        <v>0.20726275425988469</v>
      </c>
    </row>
    <row r="70" spans="1:4">
      <c r="A70" s="492" t="s">
        <v>271</v>
      </c>
      <c r="B70" s="495">
        <v>-50.530000000000015</v>
      </c>
      <c r="C70" s="319">
        <v>21107.83</v>
      </c>
      <c r="D70" s="76">
        <f t="shared" si="1"/>
        <v>-2.3938983779952755E-3</v>
      </c>
    </row>
    <row r="71" spans="1:4">
      <c r="A71" s="492" t="s">
        <v>44</v>
      </c>
      <c r="B71" s="495">
        <v>57.6</v>
      </c>
      <c r="C71" s="319">
        <v>292.39999999999998</v>
      </c>
      <c r="D71" s="76">
        <f t="shared" si="1"/>
        <v>0.19699042407660741</v>
      </c>
    </row>
    <row r="72" spans="1:4">
      <c r="A72" s="492" t="s">
        <v>152</v>
      </c>
      <c r="B72" s="495">
        <v>1343.528</v>
      </c>
      <c r="C72" s="319">
        <v>7996.8720000000003</v>
      </c>
      <c r="D72" s="76">
        <f t="shared" si="1"/>
        <v>0.16800669061603085</v>
      </c>
    </row>
    <row r="73" spans="1:4">
      <c r="A73" s="492" t="s">
        <v>290</v>
      </c>
      <c r="B73" s="495">
        <v>-819.90629999999999</v>
      </c>
      <c r="C73" s="319">
        <v>3354.3962999999999</v>
      </c>
      <c r="D73" s="76">
        <f t="shared" si="1"/>
        <v>-0.24442738027107888</v>
      </c>
    </row>
    <row r="74" spans="1:4">
      <c r="A74" s="492" t="s">
        <v>157</v>
      </c>
      <c r="B74" s="495">
        <v>146.50800000000001</v>
      </c>
      <c r="C74" s="319">
        <v>5016.942</v>
      </c>
      <c r="D74" s="76">
        <f t="shared" si="1"/>
        <v>2.9202649741615513E-2</v>
      </c>
    </row>
    <row r="75" spans="1:4">
      <c r="A75" s="492" t="s">
        <v>203</v>
      </c>
      <c r="B75" s="495">
        <v>2721.8811999999998</v>
      </c>
      <c r="C75" s="319">
        <v>15004.9388</v>
      </c>
      <c r="D75" s="76">
        <f t="shared" si="1"/>
        <v>0.18139902043452519</v>
      </c>
    </row>
    <row r="76" spans="1:4">
      <c r="A76" s="492" t="s">
        <v>92</v>
      </c>
      <c r="B76" s="495">
        <v>374.4</v>
      </c>
      <c r="C76" s="319">
        <v>9994.4</v>
      </c>
      <c r="D76" s="76">
        <f t="shared" si="1"/>
        <v>3.7460978147762745E-2</v>
      </c>
    </row>
    <row r="77" spans="1:4">
      <c r="A77" s="492" t="s">
        <v>158</v>
      </c>
      <c r="B77" s="495">
        <v>-251.22239999999999</v>
      </c>
      <c r="C77" s="319">
        <v>4992.6624000000002</v>
      </c>
      <c r="D77" s="76">
        <f t="shared" si="1"/>
        <v>-5.03183231455826E-2</v>
      </c>
    </row>
    <row r="78" spans="1:4">
      <c r="A78" s="492" t="s">
        <v>93</v>
      </c>
      <c r="B78" s="495">
        <v>-710.4</v>
      </c>
      <c r="C78" s="319">
        <v>10001.1</v>
      </c>
      <c r="D78" s="76">
        <f t="shared" si="1"/>
        <v>-7.1032186459489458E-2</v>
      </c>
    </row>
    <row r="79" spans="1:4">
      <c r="A79" s="492" t="s">
        <v>226</v>
      </c>
      <c r="B79" s="495">
        <v>128.37</v>
      </c>
      <c r="C79" s="319">
        <v>7787.01</v>
      </c>
      <c r="D79" s="76">
        <f t="shared" si="1"/>
        <v>1.6485146416917406E-2</v>
      </c>
    </row>
    <row r="80" spans="1:4">
      <c r="A80" s="492" t="s">
        <v>260</v>
      </c>
      <c r="B80" s="495">
        <v>2476.6</v>
      </c>
      <c r="C80" s="319">
        <v>1523.4</v>
      </c>
      <c r="D80" s="76">
        <f t="shared" si="1"/>
        <v>1.6257056583956937</v>
      </c>
    </row>
    <row r="81" spans="1:4">
      <c r="A81" s="492" t="s">
        <v>181</v>
      </c>
      <c r="B81" s="495">
        <v>232.6</v>
      </c>
      <c r="C81" s="319">
        <v>417.4</v>
      </c>
      <c r="D81" s="76">
        <f t="shared" si="1"/>
        <v>0.55725922376617154</v>
      </c>
    </row>
    <row r="82" spans="1:4">
      <c r="A82" s="492" t="s">
        <v>162</v>
      </c>
      <c r="B82" s="495">
        <v>-1474.9499999999996</v>
      </c>
      <c r="C82" s="319">
        <v>13847.949999999997</v>
      </c>
      <c r="D82" s="76">
        <f t="shared" si="1"/>
        <v>-0.106510349907387</v>
      </c>
    </row>
    <row r="83" spans="1:4">
      <c r="A83" s="492" t="s">
        <v>6</v>
      </c>
      <c r="B83" s="495">
        <v>273.35000000000036</v>
      </c>
      <c r="C83" s="319">
        <v>8726.6500000000015</v>
      </c>
      <c r="D83" s="76">
        <f t="shared" si="1"/>
        <v>3.1323589235273598E-2</v>
      </c>
    </row>
    <row r="84" spans="1:4">
      <c r="A84" s="492" t="s">
        <v>22</v>
      </c>
      <c r="B84" s="495">
        <v>3113.7000000000021</v>
      </c>
      <c r="C84" s="319">
        <v>6986.2999999999993</v>
      </c>
      <c r="D84" s="76">
        <f t="shared" si="1"/>
        <v>0.4456865579777568</v>
      </c>
    </row>
    <row r="85" spans="1:4">
      <c r="A85" s="492" t="s">
        <v>177</v>
      </c>
      <c r="B85" s="495">
        <v>736.16360000000009</v>
      </c>
      <c r="C85" s="319">
        <v>4869.8364000000001</v>
      </c>
      <c r="D85" s="76">
        <f t="shared" si="1"/>
        <v>0.15116803513152927</v>
      </c>
    </row>
    <row r="86" spans="1:4">
      <c r="A86" s="492" t="s">
        <v>108</v>
      </c>
      <c r="B86" s="495">
        <v>-1789.6499999999999</v>
      </c>
      <c r="C86" s="319">
        <v>10539.650000000001</v>
      </c>
      <c r="D86" s="76">
        <f t="shared" si="1"/>
        <v>-0.1698016537551057</v>
      </c>
    </row>
    <row r="87" spans="1:4">
      <c r="A87" s="492" t="s">
        <v>242</v>
      </c>
      <c r="B87" s="495">
        <v>-82.45</v>
      </c>
      <c r="C87" s="319">
        <v>257.95</v>
      </c>
      <c r="D87" s="76">
        <f t="shared" si="1"/>
        <v>-0.31963558829230476</v>
      </c>
    </row>
    <row r="88" spans="1:4">
      <c r="A88" s="492" t="s">
        <v>192</v>
      </c>
      <c r="B88" s="495">
        <v>477.74</v>
      </c>
      <c r="C88" s="319">
        <v>3891.2599999999998</v>
      </c>
      <c r="D88" s="76">
        <f t="shared" si="1"/>
        <v>0.12277257238015452</v>
      </c>
    </row>
    <row r="89" spans="1:4">
      <c r="A89" s="492" t="s">
        <v>857</v>
      </c>
      <c r="B89" s="495">
        <v>-994.4499999999997</v>
      </c>
      <c r="C89" s="319">
        <v>15474.450000000003</v>
      </c>
      <c r="D89" s="76">
        <f t="shared" si="1"/>
        <v>-6.4263996458678627E-2</v>
      </c>
    </row>
    <row r="90" spans="1:4">
      <c r="A90" s="492" t="s">
        <v>174</v>
      </c>
      <c r="B90" s="495">
        <v>188.35000000000002</v>
      </c>
      <c r="C90" s="319">
        <v>6811.65</v>
      </c>
      <c r="D90" s="76">
        <f t="shared" si="1"/>
        <v>2.7651156474569311E-2</v>
      </c>
    </row>
    <row r="91" spans="1:4">
      <c r="A91" s="492" t="s">
        <v>476</v>
      </c>
      <c r="B91" s="495">
        <v>-149.17379999999997</v>
      </c>
      <c r="C91" s="319">
        <v>6580.6837999999998</v>
      </c>
      <c r="D91" s="76">
        <f t="shared" si="1"/>
        <v>-2.2668434547789697E-2</v>
      </c>
    </row>
    <row r="92" spans="1:4">
      <c r="A92" s="492" t="s">
        <v>417</v>
      </c>
      <c r="B92" s="495">
        <v>-28.049999999999983</v>
      </c>
      <c r="C92" s="319">
        <v>1488.0500000000002</v>
      </c>
      <c r="D92" s="76">
        <f t="shared" si="1"/>
        <v>-1.8850173045260561E-2</v>
      </c>
    </row>
    <row r="93" spans="1:4">
      <c r="A93" s="492" t="s">
        <v>243</v>
      </c>
      <c r="B93" s="495">
        <v>277.05</v>
      </c>
      <c r="C93" s="319">
        <v>8572.9500000000007</v>
      </c>
      <c r="D93" s="76">
        <f t="shared" si="1"/>
        <v>3.2316763774430039E-2</v>
      </c>
    </row>
    <row r="94" spans="1:4">
      <c r="A94" s="492" t="s">
        <v>263</v>
      </c>
      <c r="B94" s="495">
        <v>-2368.1000000000004</v>
      </c>
      <c r="C94" s="319">
        <v>12546.299999999997</v>
      </c>
      <c r="D94" s="76">
        <f t="shared" si="1"/>
        <v>-0.1887488741700741</v>
      </c>
    </row>
    <row r="95" spans="1:4">
      <c r="A95" s="492" t="s">
        <v>240</v>
      </c>
      <c r="B95" s="495">
        <v>-2857.95</v>
      </c>
      <c r="C95" s="319">
        <v>4057.95</v>
      </c>
      <c r="D95" s="76">
        <f t="shared" si="1"/>
        <v>-0.70428418290023287</v>
      </c>
    </row>
    <row r="96" spans="1:4">
      <c r="A96" s="492" t="s">
        <v>283</v>
      </c>
      <c r="B96" s="495">
        <v>-1202.95</v>
      </c>
      <c r="C96" s="319">
        <v>1222.95</v>
      </c>
      <c r="D96" s="76">
        <f t="shared" si="1"/>
        <v>-0.9836461016394783</v>
      </c>
    </row>
    <row r="97" spans="1:4">
      <c r="A97" s="492" t="s">
        <v>264</v>
      </c>
      <c r="B97" s="495">
        <v>-144.90000000000009</v>
      </c>
      <c r="C97" s="319">
        <v>9132.06</v>
      </c>
      <c r="D97" s="76">
        <f t="shared" si="1"/>
        <v>-1.5867175642735605E-2</v>
      </c>
    </row>
    <row r="98" spans="1:4">
      <c r="A98" s="492" t="s">
        <v>26</v>
      </c>
      <c r="B98" s="495">
        <v>-3327.95</v>
      </c>
      <c r="C98" s="319">
        <v>6327.95</v>
      </c>
      <c r="D98" s="76">
        <f t="shared" si="1"/>
        <v>-0.52591281536674594</v>
      </c>
    </row>
    <row r="99" spans="1:4">
      <c r="A99" s="492" t="s">
        <v>60</v>
      </c>
      <c r="B99" s="495">
        <v>-2709.4971999999998</v>
      </c>
      <c r="C99" s="319">
        <v>3183.75</v>
      </c>
      <c r="D99" s="76">
        <f t="shared" si="1"/>
        <v>-0.85103956026698069</v>
      </c>
    </row>
    <row r="100" spans="1:4">
      <c r="A100" s="492" t="s">
        <v>441</v>
      </c>
      <c r="B100" s="495">
        <v>185.95</v>
      </c>
      <c r="C100" s="319">
        <v>4524.0499999999993</v>
      </c>
      <c r="D100" s="76">
        <f t="shared" si="1"/>
        <v>4.1102551916977051E-2</v>
      </c>
    </row>
    <row r="101" spans="1:4">
      <c r="A101" s="492" t="s">
        <v>429</v>
      </c>
      <c r="B101" s="495">
        <v>202</v>
      </c>
      <c r="C101" s="319">
        <v>7027.9999999999991</v>
      </c>
      <c r="D101" s="76">
        <f t="shared" si="1"/>
        <v>2.8742174160500858E-2</v>
      </c>
    </row>
    <row r="102" spans="1:4">
      <c r="A102" s="492" t="s">
        <v>435</v>
      </c>
      <c r="B102" s="495">
        <v>-4787.8999999999996</v>
      </c>
      <c r="C102" s="319">
        <v>6909.9</v>
      </c>
      <c r="D102" s="76">
        <f t="shared" si="1"/>
        <v>-0.69290438356560879</v>
      </c>
    </row>
    <row r="103" spans="1:4">
      <c r="A103" s="492" t="s">
        <v>23</v>
      </c>
      <c r="B103" s="495">
        <v>-1233.2</v>
      </c>
      <c r="C103" s="319">
        <v>7779.95</v>
      </c>
      <c r="D103" s="76">
        <f t="shared" si="1"/>
        <v>-0.15851001613120907</v>
      </c>
    </row>
    <row r="104" spans="1:4">
      <c r="A104" s="492" t="s">
        <v>414</v>
      </c>
      <c r="B104" s="495">
        <v>1216.22</v>
      </c>
      <c r="C104" s="319">
        <v>11983.779999999999</v>
      </c>
      <c r="D104" s="76">
        <f t="shared" si="1"/>
        <v>0.10148884575651423</v>
      </c>
    </row>
    <row r="105" spans="1:4">
      <c r="A105" s="492" t="s">
        <v>265</v>
      </c>
      <c r="B105" s="495">
        <v>1396.05</v>
      </c>
      <c r="C105" s="319">
        <v>9619.9500000000007</v>
      </c>
      <c r="D105" s="76">
        <f t="shared" si="1"/>
        <v>0.14512029688303993</v>
      </c>
    </row>
    <row r="106" spans="1:4">
      <c r="A106" s="492" t="s">
        <v>20</v>
      </c>
      <c r="B106" s="495">
        <v>-157.05000000000032</v>
      </c>
      <c r="C106" s="319">
        <v>13812.05</v>
      </c>
      <c r="D106" s="76">
        <f t="shared" si="1"/>
        <v>-1.1370506188436932E-2</v>
      </c>
    </row>
    <row r="107" spans="1:4">
      <c r="A107" s="492" t="s">
        <v>0</v>
      </c>
      <c r="B107" s="495">
        <v>82.6</v>
      </c>
      <c r="C107" s="319">
        <v>267.39999999999998</v>
      </c>
      <c r="D107" s="76">
        <f t="shared" si="1"/>
        <v>0.30890052356020942</v>
      </c>
    </row>
    <row r="108" spans="1:4">
      <c r="A108" s="492" t="s">
        <v>276</v>
      </c>
      <c r="B108" s="495">
        <v>180.30000000000007</v>
      </c>
      <c r="C108" s="319">
        <v>6200.7</v>
      </c>
      <c r="D108" s="76">
        <f t="shared" si="1"/>
        <v>2.9077362233296253E-2</v>
      </c>
    </row>
    <row r="109" spans="1:4">
      <c r="A109" s="492" t="s">
        <v>427</v>
      </c>
      <c r="B109" s="495">
        <v>559.65</v>
      </c>
      <c r="C109" s="319">
        <v>3150.35</v>
      </c>
      <c r="D109" s="76">
        <f t="shared" si="1"/>
        <v>0.17764692811909788</v>
      </c>
    </row>
    <row r="110" spans="1:4">
      <c r="A110" s="492" t="s">
        <v>130</v>
      </c>
      <c r="B110" s="495">
        <v>-410.1025000000003</v>
      </c>
      <c r="C110" s="319">
        <v>9839.0724999999984</v>
      </c>
      <c r="D110" s="76">
        <f t="shared" si="1"/>
        <v>-4.1681012107594527E-2</v>
      </c>
    </row>
    <row r="111" spans="1:4">
      <c r="A111" s="492" t="s">
        <v>235</v>
      </c>
      <c r="B111" s="495">
        <v>176.6</v>
      </c>
      <c r="C111" s="319">
        <v>2273.4</v>
      </c>
      <c r="D111" s="76">
        <f t="shared" si="1"/>
        <v>7.7681006422099047E-2</v>
      </c>
    </row>
    <row r="112" spans="1:4">
      <c r="A112" s="492" t="s">
        <v>439</v>
      </c>
      <c r="B112" s="495">
        <v>26.6</v>
      </c>
      <c r="C112" s="319">
        <v>1223.4000000000001</v>
      </c>
      <c r="D112" s="76">
        <f t="shared" si="1"/>
        <v>2.1742684322380253E-2</v>
      </c>
    </row>
    <row r="113" spans="1:4">
      <c r="A113" s="492" t="s">
        <v>272</v>
      </c>
      <c r="B113" s="495">
        <v>-366.45</v>
      </c>
      <c r="C113" s="319">
        <v>8881.4500000000007</v>
      </c>
      <c r="D113" s="76">
        <f t="shared" si="1"/>
        <v>-4.1260154591874071E-2</v>
      </c>
    </row>
    <row r="114" spans="1:4">
      <c r="A114" s="492" t="s">
        <v>24</v>
      </c>
      <c r="B114" s="495">
        <v>-263.64999999999998</v>
      </c>
      <c r="C114" s="319">
        <v>3283.6499999999996</v>
      </c>
      <c r="D114" s="76">
        <f t="shared" si="1"/>
        <v>-8.029174851156487E-2</v>
      </c>
    </row>
    <row r="115" spans="1:4">
      <c r="A115" s="492" t="s">
        <v>419</v>
      </c>
      <c r="B115" s="495">
        <v>-3887.95</v>
      </c>
      <c r="C115" s="319">
        <v>4007.95</v>
      </c>
      <c r="D115" s="76">
        <f t="shared" si="1"/>
        <v>-0.97005950673037333</v>
      </c>
    </row>
    <row r="116" spans="1:4">
      <c r="A116" s="492" t="s">
        <v>372</v>
      </c>
      <c r="B116" s="495">
        <v>-2014.4</v>
      </c>
      <c r="C116" s="319">
        <v>24170.800000000003</v>
      </c>
      <c r="D116" s="76">
        <f t="shared" si="1"/>
        <v>-8.334022870571102E-2</v>
      </c>
    </row>
    <row r="117" spans="1:4">
      <c r="A117" s="492" t="s">
        <v>975</v>
      </c>
      <c r="B117" s="495">
        <v>-1108.9000000000001</v>
      </c>
      <c r="C117" s="319">
        <v>1298.9000000000001</v>
      </c>
      <c r="D117" s="76">
        <f t="shared" si="1"/>
        <v>-0.85372238047578719</v>
      </c>
    </row>
    <row r="118" spans="1:4">
      <c r="A118" s="492" t="s">
        <v>426</v>
      </c>
      <c r="B118" s="495">
        <v>523.29999999999995</v>
      </c>
      <c r="C118" s="319">
        <v>986.69999999999993</v>
      </c>
      <c r="D118" s="76">
        <f t="shared" si="1"/>
        <v>0.53035370426674777</v>
      </c>
    </row>
    <row r="119" spans="1:4">
      <c r="A119" s="492" t="s">
        <v>377</v>
      </c>
      <c r="B119" s="495">
        <v>-4158.7999999999993</v>
      </c>
      <c r="C119" s="319">
        <v>12598.8</v>
      </c>
      <c r="D119" s="76">
        <f t="shared" si="1"/>
        <v>-0.33009492967584209</v>
      </c>
    </row>
    <row r="120" spans="1:4">
      <c r="A120" s="492" t="s">
        <v>693</v>
      </c>
      <c r="B120" s="495">
        <v>361.1</v>
      </c>
      <c r="C120" s="319">
        <v>358.9</v>
      </c>
      <c r="D120" s="76">
        <f t="shared" si="1"/>
        <v>1.0061298411813877</v>
      </c>
    </row>
    <row r="121" spans="1:4">
      <c r="A121" s="492" t="s">
        <v>434</v>
      </c>
      <c r="B121" s="495">
        <v>192.05</v>
      </c>
      <c r="C121" s="319">
        <v>1557.95</v>
      </c>
      <c r="D121" s="76">
        <f t="shared" si="1"/>
        <v>0.12327096505022626</v>
      </c>
    </row>
    <row r="122" spans="1:4">
      <c r="A122" s="492" t="s">
        <v>63</v>
      </c>
      <c r="B122" s="495">
        <v>57.6</v>
      </c>
      <c r="C122" s="319">
        <v>342.4</v>
      </c>
      <c r="D122" s="76">
        <f t="shared" si="1"/>
        <v>0.16822429906542058</v>
      </c>
    </row>
    <row r="123" spans="1:4">
      <c r="A123" s="492" t="s">
        <v>420</v>
      </c>
      <c r="B123" s="495">
        <v>342.05</v>
      </c>
      <c r="C123" s="319">
        <v>3307.95</v>
      </c>
      <c r="D123" s="76">
        <f t="shared" si="1"/>
        <v>0.10340240934717877</v>
      </c>
    </row>
    <row r="124" spans="1:4">
      <c r="A124" s="492" t="s">
        <v>109</v>
      </c>
      <c r="B124" s="495">
        <v>-1256.3999999999999</v>
      </c>
      <c r="C124" s="319">
        <v>5116.3999999999996</v>
      </c>
      <c r="D124" s="76">
        <f t="shared" si="1"/>
        <v>-0.24556328668595104</v>
      </c>
    </row>
    <row r="125" spans="1:4">
      <c r="A125" s="492" t="s">
        <v>9</v>
      </c>
      <c r="B125" s="495">
        <v>32.6</v>
      </c>
      <c r="C125" s="319">
        <v>367.4</v>
      </c>
      <c r="D125" s="76">
        <f t="shared" si="1"/>
        <v>8.8731627653783354E-2</v>
      </c>
    </row>
    <row r="126" spans="1:4">
      <c r="A126" s="492" t="s">
        <v>138</v>
      </c>
      <c r="B126" s="495">
        <v>116.3</v>
      </c>
      <c r="C126" s="319">
        <v>8.6999999999999993</v>
      </c>
      <c r="D126" s="76">
        <f t="shared" si="1"/>
        <v>13.367816091954024</v>
      </c>
    </row>
    <row r="127" spans="1:4">
      <c r="A127" s="492" t="s">
        <v>383</v>
      </c>
      <c r="B127" s="495">
        <v>-1290.75</v>
      </c>
      <c r="C127" s="319">
        <v>1387.95</v>
      </c>
      <c r="D127" s="76">
        <f t="shared" si="1"/>
        <v>-0.92996865881335777</v>
      </c>
    </row>
    <row r="128" spans="1:4">
      <c r="A128" s="492" t="s">
        <v>256</v>
      </c>
      <c r="B128" s="495">
        <v>-1706.7</v>
      </c>
      <c r="C128" s="319">
        <v>1711.7</v>
      </c>
      <c r="D128" s="76">
        <f t="shared" si="1"/>
        <v>-0.99707892738213477</v>
      </c>
    </row>
    <row r="129" spans="1:4">
      <c r="A129" s="492" t="s">
        <v>10</v>
      </c>
      <c r="B129" s="495">
        <v>-395.9704999999999</v>
      </c>
      <c r="C129" s="319">
        <v>11309.970500000001</v>
      </c>
      <c r="D129" s="76">
        <f t="shared" si="1"/>
        <v>-3.5010745607161387E-2</v>
      </c>
    </row>
    <row r="130" spans="1:4">
      <c r="A130" s="492" t="s">
        <v>66</v>
      </c>
      <c r="B130" s="495">
        <v>-5799.14</v>
      </c>
      <c r="C130" s="319">
        <v>17474.140000000003</v>
      </c>
      <c r="D130" s="76">
        <f t="shared" si="1"/>
        <v>-0.33186983737110948</v>
      </c>
    </row>
    <row r="131" spans="1:4">
      <c r="A131" s="492" t="s">
        <v>139</v>
      </c>
      <c r="B131" s="495">
        <v>1347.6</v>
      </c>
      <c r="C131" s="319">
        <v>8515.9</v>
      </c>
      <c r="D131" s="76">
        <f t="shared" ref="D131:D139" si="2">GETPIVOTDATA("Sum of Profit",$A$1,"Symbol",A131)/GETPIVOTDATA("Sum of CostBasis",$A$1,"Symbol",A131)</f>
        <v>0.158245164926784</v>
      </c>
    </row>
    <row r="132" spans="1:4">
      <c r="A132" s="492" t="s">
        <v>8</v>
      </c>
      <c r="B132" s="495">
        <v>1869.7673000000002</v>
      </c>
      <c r="C132" s="319">
        <v>34202.2327</v>
      </c>
      <c r="D132" s="76">
        <f t="shared" si="2"/>
        <v>5.4667989554962597E-2</v>
      </c>
    </row>
    <row r="133" spans="1:4">
      <c r="A133" s="492" t="s">
        <v>986</v>
      </c>
      <c r="B133" s="495">
        <v>65.350000000000023</v>
      </c>
      <c r="C133" s="319">
        <v>3234.6499999999996</v>
      </c>
      <c r="D133" s="76">
        <f t="shared" si="2"/>
        <v>2.0203113165257455E-2</v>
      </c>
    </row>
    <row r="134" spans="1:4">
      <c r="A134" s="492" t="s">
        <v>245</v>
      </c>
      <c r="B134" s="495">
        <v>2668.2499999999995</v>
      </c>
      <c r="C134" s="319">
        <v>3131.75</v>
      </c>
      <c r="D134" s="76">
        <f t="shared" si="2"/>
        <v>0.8519996806897101</v>
      </c>
    </row>
    <row r="135" spans="1:4">
      <c r="A135" s="492" t="s">
        <v>474</v>
      </c>
      <c r="B135" s="495">
        <v>-103.4</v>
      </c>
      <c r="C135" s="319">
        <v>132.4</v>
      </c>
      <c r="D135" s="76">
        <f t="shared" si="2"/>
        <v>-0.7809667673716012</v>
      </c>
    </row>
    <row r="136" spans="1:4">
      <c r="A136" s="492" t="s">
        <v>257</v>
      </c>
      <c r="B136" s="495">
        <v>96.150000000000034</v>
      </c>
      <c r="C136" s="319">
        <v>8955.8500000000022</v>
      </c>
      <c r="D136" s="76">
        <f t="shared" si="2"/>
        <v>1.0735999374710386E-2</v>
      </c>
    </row>
    <row r="137" spans="1:4">
      <c r="A137" s="492" t="s">
        <v>178</v>
      </c>
      <c r="B137" s="495">
        <v>-108.34999999999997</v>
      </c>
      <c r="C137" s="319">
        <v>11918.35</v>
      </c>
      <c r="D137" s="76">
        <f t="shared" si="2"/>
        <v>-9.0910235057705107E-3</v>
      </c>
    </row>
    <row r="138" spans="1:4">
      <c r="A138" s="492" t="s">
        <v>140</v>
      </c>
      <c r="B138" s="495">
        <v>571.8899999999993</v>
      </c>
      <c r="C138" s="319">
        <v>10568.109999999999</v>
      </c>
      <c r="D138" s="76">
        <f t="shared" si="2"/>
        <v>5.4114690327787977E-2</v>
      </c>
    </row>
    <row r="139" spans="1:4">
      <c r="A139" s="492" t="s">
        <v>428</v>
      </c>
      <c r="B139" s="495">
        <v>81.350000000000009</v>
      </c>
      <c r="C139" s="319">
        <v>4418.6499999999996</v>
      </c>
      <c r="D139" s="76">
        <f t="shared" si="2"/>
        <v>1.841060052278411E-2</v>
      </c>
    </row>
    <row r="140" spans="1:4">
      <c r="A140" s="492" t="s">
        <v>838</v>
      </c>
      <c r="B140" s="319">
        <v>-9010.2040000000015</v>
      </c>
      <c r="C140" s="319">
        <v>985549.62680000032</v>
      </c>
      <c r="D140" s="76" t="e">
        <f>GETPIVOTDATA("Sum of Profit",$A$1,"Symbol",A140)/GETPIVOTDATA("Sum of CostBasis",$A$1,"Symbol",A140)</f>
        <v>#REF!</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E30" sqref="E30"/>
    </sheetView>
  </sheetViews>
  <sheetFormatPr defaultRowHeight="12.75"/>
  <cols>
    <col min="1" max="1" width="16.5703125" bestFit="1" customWidth="1"/>
    <col min="2" max="2" width="11" bestFit="1" customWidth="1"/>
    <col min="3" max="3" width="16" bestFit="1" customWidth="1"/>
    <col min="4" max="4" width="15.7109375" bestFit="1" customWidth="1"/>
    <col min="5" max="5" width="11.85546875" bestFit="1" customWidth="1"/>
    <col min="6" max="6" width="8.140625" bestFit="1" customWidth="1"/>
    <col min="7" max="7" width="14.28515625" bestFit="1" customWidth="1"/>
    <col min="8" max="8" width="9.5703125" bestFit="1" customWidth="1"/>
    <col min="9" max="9" width="11.42578125" bestFit="1" customWidth="1"/>
    <col min="10" max="10" width="11.5703125" bestFit="1" customWidth="1"/>
    <col min="11" max="11" width="7.140625" bestFit="1" customWidth="1"/>
    <col min="12" max="12" width="21.85546875" bestFit="1" customWidth="1"/>
  </cols>
  <sheetData>
    <row r="1" spans="1:12">
      <c r="A1" t="s">
        <v>208</v>
      </c>
      <c r="B1" t="s">
        <v>281</v>
      </c>
      <c r="C1" t="s">
        <v>517</v>
      </c>
      <c r="D1" t="s">
        <v>518</v>
      </c>
      <c r="E1" t="s">
        <v>282</v>
      </c>
      <c r="F1" t="s">
        <v>122</v>
      </c>
      <c r="G1" t="s">
        <v>102</v>
      </c>
      <c r="H1" t="s">
        <v>313</v>
      </c>
      <c r="I1" t="s">
        <v>95</v>
      </c>
      <c r="J1" t="s">
        <v>280</v>
      </c>
      <c r="K1" t="s">
        <v>519</v>
      </c>
      <c r="L1" t="s">
        <v>520</v>
      </c>
    </row>
    <row r="2" spans="1:12">
      <c r="A2" t="s">
        <v>1045</v>
      </c>
      <c r="B2" s="57">
        <v>42201</v>
      </c>
      <c r="C2">
        <v>0.01</v>
      </c>
      <c r="D2" s="57">
        <v>42121</v>
      </c>
      <c r="E2">
        <v>798.7</v>
      </c>
      <c r="F2" s="358">
        <v>-798.69</v>
      </c>
      <c r="G2">
        <v>38.700000000000003</v>
      </c>
      <c r="H2">
        <v>100</v>
      </c>
      <c r="I2">
        <v>7.6</v>
      </c>
      <c r="J2">
        <v>1E-4</v>
      </c>
      <c r="K2" t="s">
        <v>508</v>
      </c>
      <c r="L2" t="s">
        <v>1024</v>
      </c>
    </row>
    <row r="3" spans="1:12">
      <c r="A3" t="s">
        <v>1037</v>
      </c>
      <c r="B3" s="57">
        <v>42153</v>
      </c>
      <c r="C3">
        <v>1200</v>
      </c>
      <c r="D3" s="57">
        <v>41133</v>
      </c>
      <c r="E3">
        <v>2607.9499999999998</v>
      </c>
      <c r="F3" s="358">
        <v>-1407.95</v>
      </c>
      <c r="G3">
        <v>7.95</v>
      </c>
      <c r="H3">
        <v>40</v>
      </c>
      <c r="I3">
        <v>65</v>
      </c>
      <c r="J3">
        <v>30</v>
      </c>
      <c r="K3" t="s">
        <v>145</v>
      </c>
      <c r="L3" t="s">
        <v>424</v>
      </c>
    </row>
    <row r="4" spans="1:12">
      <c r="A4" t="s">
        <v>1046</v>
      </c>
      <c r="B4" s="57">
        <v>42202</v>
      </c>
      <c r="C4">
        <v>6710</v>
      </c>
      <c r="D4" s="57">
        <v>41816</v>
      </c>
      <c r="E4">
        <v>5807.95</v>
      </c>
      <c r="F4" s="358">
        <v>902.05</v>
      </c>
      <c r="G4">
        <v>7.95</v>
      </c>
      <c r="H4">
        <v>10</v>
      </c>
      <c r="I4">
        <v>580</v>
      </c>
      <c r="J4">
        <v>671</v>
      </c>
      <c r="K4" t="s">
        <v>145</v>
      </c>
      <c r="L4" t="s">
        <v>62</v>
      </c>
    </row>
    <row r="5" spans="1:12">
      <c r="A5" t="s">
        <v>979</v>
      </c>
      <c r="B5" s="57">
        <v>42048</v>
      </c>
      <c r="C5">
        <v>1600</v>
      </c>
      <c r="D5" s="57">
        <v>41568</v>
      </c>
      <c r="E5">
        <v>1321.55</v>
      </c>
      <c r="F5" s="358">
        <v>278.45</v>
      </c>
      <c r="G5">
        <v>7.95</v>
      </c>
      <c r="H5">
        <v>100</v>
      </c>
      <c r="I5">
        <v>13.135999999999999</v>
      </c>
      <c r="J5">
        <v>16</v>
      </c>
      <c r="K5" t="s">
        <v>145</v>
      </c>
      <c r="L5" t="s">
        <v>250</v>
      </c>
    </row>
    <row r="6" spans="1:12">
      <c r="A6" t="s">
        <v>1021</v>
      </c>
      <c r="B6" s="57">
        <v>42118</v>
      </c>
      <c r="C6">
        <v>4000</v>
      </c>
      <c r="D6" s="57">
        <v>42082</v>
      </c>
      <c r="E6">
        <v>1523.4</v>
      </c>
      <c r="F6" s="598">
        <v>2476.6</v>
      </c>
      <c r="G6">
        <v>23.4</v>
      </c>
      <c r="H6">
        <v>500</v>
      </c>
      <c r="I6">
        <v>3</v>
      </c>
      <c r="J6">
        <v>8</v>
      </c>
      <c r="K6" t="s">
        <v>278</v>
      </c>
      <c r="L6" t="s">
        <v>1016</v>
      </c>
    </row>
    <row r="7" spans="1:12">
      <c r="A7" t="s">
        <v>1047</v>
      </c>
      <c r="B7" s="57">
        <v>42202</v>
      </c>
      <c r="C7">
        <v>30</v>
      </c>
      <c r="D7" s="57">
        <v>42145</v>
      </c>
      <c r="E7">
        <v>318.89999999999998</v>
      </c>
      <c r="F7" s="598">
        <v>-288.89999999999998</v>
      </c>
      <c r="G7">
        <v>24.9</v>
      </c>
      <c r="H7">
        <v>600</v>
      </c>
      <c r="I7">
        <v>0.49</v>
      </c>
      <c r="J7">
        <v>0.05</v>
      </c>
      <c r="K7" t="s">
        <v>278</v>
      </c>
      <c r="L7" t="s">
        <v>1035</v>
      </c>
    </row>
    <row r="8" spans="1:12">
      <c r="A8" t="s">
        <v>1022</v>
      </c>
      <c r="B8" s="57">
        <v>42027</v>
      </c>
      <c r="C8">
        <v>1061</v>
      </c>
      <c r="D8" s="57">
        <v>41066</v>
      </c>
      <c r="E8">
        <v>3207.95</v>
      </c>
      <c r="F8" s="598">
        <v>-2146.9499999999998</v>
      </c>
      <c r="G8">
        <v>7.95</v>
      </c>
      <c r="H8">
        <v>50</v>
      </c>
      <c r="I8">
        <v>64</v>
      </c>
      <c r="J8">
        <v>21.22</v>
      </c>
      <c r="K8" t="s">
        <v>145</v>
      </c>
      <c r="L8" t="s">
        <v>435</v>
      </c>
    </row>
    <row r="9" spans="1:12">
      <c r="A9" t="s">
        <v>1022</v>
      </c>
      <c r="B9" s="57">
        <v>42027</v>
      </c>
      <c r="C9">
        <v>1061</v>
      </c>
      <c r="D9" s="57">
        <v>40855</v>
      </c>
      <c r="E9">
        <v>3701.95</v>
      </c>
      <c r="F9" s="598">
        <v>-2640.95</v>
      </c>
      <c r="G9">
        <v>7.95</v>
      </c>
      <c r="H9">
        <v>50</v>
      </c>
      <c r="I9">
        <v>73.88</v>
      </c>
      <c r="J9">
        <v>21.22</v>
      </c>
      <c r="K9" t="s">
        <v>145</v>
      </c>
      <c r="L9" t="s">
        <v>435</v>
      </c>
    </row>
    <row r="10" spans="1:12">
      <c r="A10" t="s">
        <v>1039</v>
      </c>
      <c r="B10" s="57">
        <v>42192</v>
      </c>
      <c r="C10">
        <v>800</v>
      </c>
      <c r="D10" s="57">
        <v>40927</v>
      </c>
      <c r="E10">
        <v>5959.95</v>
      </c>
      <c r="F10" s="598">
        <v>-5159.95</v>
      </c>
      <c r="G10">
        <v>7.95</v>
      </c>
      <c r="H10">
        <v>25</v>
      </c>
      <c r="I10">
        <v>238.08</v>
      </c>
      <c r="J10">
        <v>32</v>
      </c>
      <c r="K10" t="s">
        <v>145</v>
      </c>
      <c r="L10" t="s">
        <v>491</v>
      </c>
    </row>
    <row r="11" spans="1:12">
      <c r="A11" t="s">
        <v>1033</v>
      </c>
      <c r="B11" s="57">
        <v>42125</v>
      </c>
      <c r="C11">
        <v>1</v>
      </c>
      <c r="D11" s="57">
        <v>42086</v>
      </c>
      <c r="E11">
        <v>268.7</v>
      </c>
      <c r="F11" s="598">
        <v>-267.7</v>
      </c>
      <c r="G11">
        <v>8.6999999999999993</v>
      </c>
      <c r="H11">
        <v>100</v>
      </c>
      <c r="I11">
        <v>2.6</v>
      </c>
      <c r="J11">
        <v>0.01</v>
      </c>
      <c r="K11" t="s">
        <v>403</v>
      </c>
      <c r="L11" t="s">
        <v>1018</v>
      </c>
    </row>
    <row r="12" spans="1:12">
      <c r="A12" t="s">
        <v>1040</v>
      </c>
      <c r="B12" s="57">
        <v>42191</v>
      </c>
      <c r="C12">
        <v>250.5</v>
      </c>
      <c r="D12" s="57">
        <v>40877</v>
      </c>
      <c r="E12">
        <v>2998.95</v>
      </c>
      <c r="F12" s="598">
        <v>-2748.45</v>
      </c>
      <c r="G12">
        <v>7.95</v>
      </c>
      <c r="H12">
        <v>25</v>
      </c>
      <c r="I12">
        <v>119.64</v>
      </c>
      <c r="J12">
        <v>10.02</v>
      </c>
      <c r="K12" t="s">
        <v>145</v>
      </c>
      <c r="L12" t="s">
        <v>426</v>
      </c>
    </row>
    <row r="13" spans="1:12">
      <c r="A13" t="s">
        <v>1040</v>
      </c>
      <c r="B13" s="57">
        <v>42191</v>
      </c>
      <c r="C13">
        <v>250.5</v>
      </c>
      <c r="D13" s="57">
        <v>41092</v>
      </c>
      <c r="E13">
        <v>1801.95</v>
      </c>
      <c r="F13" s="598">
        <v>-1551.45</v>
      </c>
      <c r="G13">
        <v>7.95</v>
      </c>
      <c r="H13">
        <v>25</v>
      </c>
      <c r="I13">
        <v>71.760000000000005</v>
      </c>
      <c r="J13">
        <v>10.02</v>
      </c>
      <c r="K13" t="s">
        <v>145</v>
      </c>
      <c r="L13" t="s">
        <v>426</v>
      </c>
    </row>
    <row r="14" spans="1:12">
      <c r="A14" t="s">
        <v>1038</v>
      </c>
      <c r="B14" s="57">
        <v>42174</v>
      </c>
      <c r="C14">
        <v>1</v>
      </c>
      <c r="D14" s="57">
        <v>40644</v>
      </c>
      <c r="E14">
        <v>10007.950000000001</v>
      </c>
      <c r="F14" s="598">
        <v>-10006.950000000001</v>
      </c>
      <c r="G14">
        <v>7.95</v>
      </c>
      <c r="H14">
        <v>1000</v>
      </c>
      <c r="I14">
        <v>10</v>
      </c>
      <c r="J14">
        <v>1E-3</v>
      </c>
      <c r="K14" t="s">
        <v>145</v>
      </c>
      <c r="L14" t="s">
        <v>897</v>
      </c>
    </row>
    <row r="15" spans="1:12">
      <c r="B15" s="57"/>
      <c r="D15" s="57"/>
      <c r="F15" s="598">
        <f>SUBTOTAL(109,Table_USStocks.accdb3[Profit])</f>
        <v>-23360.840000000004</v>
      </c>
    </row>
    <row r="16" spans="1:12" ht="13.5" thickBot="1"/>
    <row r="17" spans="5:6" ht="13.5" thickBot="1">
      <c r="E17" t="s">
        <v>1023</v>
      </c>
      <c r="F17" s="440">
        <f>COUNTIF(Table_USStocks.accdb3[Profit],"&gt;0")/COUNT(Table_USStocks.accdb3[Profit])</f>
        <v>0.23076923076923078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workbookViewId="0">
      <selection activeCell="H36" sqref="H36"/>
    </sheetView>
  </sheetViews>
  <sheetFormatPr defaultRowHeight="12.75"/>
  <cols>
    <col min="1" max="1" width="19.7109375" customWidth="1"/>
    <col min="2" max="2" width="11" customWidth="1"/>
    <col min="3" max="3" width="16" bestFit="1" customWidth="1"/>
    <col min="4" max="4" width="15.7109375" bestFit="1" customWidth="1"/>
    <col min="5" max="5" width="11.85546875" bestFit="1" customWidth="1"/>
    <col min="6" max="6" width="8.140625" bestFit="1" customWidth="1"/>
    <col min="7" max="7" width="14.28515625" bestFit="1" customWidth="1"/>
    <col min="8" max="8" width="9.5703125" bestFit="1" customWidth="1"/>
    <col min="9" max="9" width="11.42578125" bestFit="1" customWidth="1"/>
    <col min="10" max="10" width="11.5703125" bestFit="1" customWidth="1"/>
    <col min="11" max="11" width="7.140625" bestFit="1" customWidth="1"/>
    <col min="12" max="12" width="22.5703125" bestFit="1" customWidth="1"/>
  </cols>
  <sheetData>
    <row r="1" spans="1:12">
      <c r="A1" t="s">
        <v>208</v>
      </c>
      <c r="B1" t="s">
        <v>281</v>
      </c>
      <c r="C1" t="s">
        <v>517</v>
      </c>
      <c r="D1" t="s">
        <v>518</v>
      </c>
      <c r="E1" t="s">
        <v>282</v>
      </c>
      <c r="F1" t="s">
        <v>122</v>
      </c>
      <c r="G1" t="s">
        <v>102</v>
      </c>
      <c r="H1" t="s">
        <v>313</v>
      </c>
      <c r="I1" t="s">
        <v>95</v>
      </c>
      <c r="J1" t="s">
        <v>280</v>
      </c>
      <c r="K1" t="s">
        <v>519</v>
      </c>
      <c r="L1" t="s">
        <v>520</v>
      </c>
    </row>
    <row r="2" spans="1:12">
      <c r="A2" t="s">
        <v>1004</v>
      </c>
      <c r="B2" s="57">
        <v>41754</v>
      </c>
      <c r="C2">
        <v>11400</v>
      </c>
      <c r="D2" s="57">
        <v>41493</v>
      </c>
      <c r="E2">
        <v>9255.2279999999992</v>
      </c>
      <c r="F2" s="563">
        <v>2144.7719999999999</v>
      </c>
      <c r="G2">
        <v>7.95</v>
      </c>
      <c r="H2">
        <v>20</v>
      </c>
      <c r="I2">
        <v>462.3639</v>
      </c>
      <c r="J2">
        <v>570</v>
      </c>
      <c r="K2" t="s">
        <v>145</v>
      </c>
      <c r="L2" t="s">
        <v>110</v>
      </c>
    </row>
    <row r="3" spans="1:12">
      <c r="A3" t="s">
        <v>989</v>
      </c>
      <c r="B3" s="57">
        <v>41648</v>
      </c>
      <c r="C3">
        <v>0.6</v>
      </c>
      <c r="D3" s="57">
        <v>41933</v>
      </c>
      <c r="E3">
        <v>1197.5999999999999</v>
      </c>
      <c r="F3" s="563">
        <v>-1197</v>
      </c>
      <c r="G3">
        <v>16.8</v>
      </c>
      <c r="H3">
        <v>60</v>
      </c>
      <c r="I3">
        <v>19.68</v>
      </c>
      <c r="J3">
        <v>0.01</v>
      </c>
      <c r="K3" t="s">
        <v>278</v>
      </c>
      <c r="L3" t="s">
        <v>919</v>
      </c>
    </row>
    <row r="4" spans="1:12">
      <c r="A4" t="s">
        <v>988</v>
      </c>
      <c r="B4" s="57">
        <v>41656</v>
      </c>
      <c r="C4">
        <v>126</v>
      </c>
      <c r="D4" s="57">
        <v>41568</v>
      </c>
      <c r="E4">
        <v>803.7</v>
      </c>
      <c r="F4" s="563">
        <v>-677.7</v>
      </c>
      <c r="G4">
        <v>16.5</v>
      </c>
      <c r="H4">
        <v>40</v>
      </c>
      <c r="I4">
        <v>19.68</v>
      </c>
      <c r="J4">
        <v>3.15</v>
      </c>
      <c r="K4" t="s">
        <v>278</v>
      </c>
      <c r="L4" t="s">
        <v>919</v>
      </c>
    </row>
    <row r="5" spans="1:12">
      <c r="A5" t="s">
        <v>546</v>
      </c>
      <c r="B5" s="57">
        <v>41885</v>
      </c>
      <c r="C5">
        <v>975</v>
      </c>
      <c r="D5" s="57">
        <v>41827</v>
      </c>
      <c r="E5">
        <v>817.4</v>
      </c>
      <c r="F5" s="563">
        <v>157.6</v>
      </c>
      <c r="G5">
        <v>17.399999999999999</v>
      </c>
      <c r="H5">
        <v>100</v>
      </c>
      <c r="I5">
        <v>8</v>
      </c>
      <c r="J5">
        <v>9.75</v>
      </c>
      <c r="K5" t="s">
        <v>278</v>
      </c>
      <c r="L5" t="s">
        <v>1009</v>
      </c>
    </row>
    <row r="6" spans="1:12">
      <c r="A6" t="s">
        <v>989</v>
      </c>
      <c r="B6" s="57">
        <v>41764</v>
      </c>
      <c r="C6">
        <v>36000</v>
      </c>
      <c r="D6" s="57">
        <v>41648</v>
      </c>
      <c r="E6">
        <v>32407.95</v>
      </c>
      <c r="F6" s="563">
        <v>3592.05</v>
      </c>
      <c r="G6">
        <v>7.95</v>
      </c>
      <c r="H6">
        <v>60</v>
      </c>
      <c r="I6">
        <v>540</v>
      </c>
      <c r="J6">
        <v>600</v>
      </c>
      <c r="K6" t="s">
        <v>145</v>
      </c>
      <c r="L6" t="s">
        <v>110</v>
      </c>
    </row>
    <row r="7" spans="1:12">
      <c r="A7" t="s">
        <v>989</v>
      </c>
      <c r="B7" s="57">
        <v>41684</v>
      </c>
      <c r="C7">
        <v>318</v>
      </c>
      <c r="D7" s="57">
        <v>41674</v>
      </c>
      <c r="E7">
        <v>2125.8000000000002</v>
      </c>
      <c r="F7" s="563">
        <v>-1807.8</v>
      </c>
      <c r="G7">
        <v>16.8</v>
      </c>
      <c r="H7">
        <v>60</v>
      </c>
      <c r="I7">
        <v>35.15</v>
      </c>
      <c r="J7">
        <v>5.3</v>
      </c>
      <c r="K7" t="s">
        <v>15</v>
      </c>
      <c r="L7" t="s">
        <v>999</v>
      </c>
    </row>
    <row r="8" spans="1:12" ht="13.5" thickBot="1">
      <c r="A8" t="s">
        <v>926</v>
      </c>
      <c r="B8" s="57">
        <v>41795</v>
      </c>
      <c r="C8">
        <v>240</v>
      </c>
      <c r="D8" s="57">
        <v>41765</v>
      </c>
      <c r="E8">
        <v>18.899999999999999</v>
      </c>
      <c r="F8" s="358">
        <v>221.1</v>
      </c>
      <c r="G8">
        <v>18.899999999999999</v>
      </c>
      <c r="H8">
        <v>200</v>
      </c>
      <c r="I8">
        <v>0</v>
      </c>
      <c r="J8">
        <v>1.2</v>
      </c>
      <c r="K8" t="s">
        <v>15</v>
      </c>
      <c r="L8" t="s">
        <v>1005</v>
      </c>
    </row>
    <row r="9" spans="1:12">
      <c r="A9" s="21" t="s">
        <v>926</v>
      </c>
      <c r="B9" s="262">
        <v>41795</v>
      </c>
      <c r="C9" s="21">
        <v>6800</v>
      </c>
      <c r="D9" s="262">
        <v>41557</v>
      </c>
      <c r="E9" s="572">
        <v>6583.89</v>
      </c>
      <c r="F9" s="573">
        <v>216.11</v>
      </c>
      <c r="G9" s="21">
        <v>7.95</v>
      </c>
      <c r="H9" s="21">
        <v>200</v>
      </c>
      <c r="I9" s="21">
        <v>32.8797</v>
      </c>
      <c r="J9" s="21">
        <v>34</v>
      </c>
      <c r="K9" s="21" t="s">
        <v>145</v>
      </c>
      <c r="L9" s="21" t="s">
        <v>65</v>
      </c>
    </row>
    <row r="10" spans="1:12">
      <c r="A10" t="s">
        <v>850</v>
      </c>
      <c r="B10" s="57">
        <v>41897</v>
      </c>
      <c r="C10">
        <v>4200</v>
      </c>
      <c r="D10" s="57">
        <v>41537</v>
      </c>
      <c r="E10">
        <v>6295.95</v>
      </c>
      <c r="F10" s="358">
        <v>-2095.9499999999998</v>
      </c>
      <c r="G10">
        <v>7.95</v>
      </c>
      <c r="H10">
        <v>200</v>
      </c>
      <c r="I10">
        <v>31.44</v>
      </c>
      <c r="J10">
        <v>21</v>
      </c>
      <c r="K10" t="s">
        <v>145</v>
      </c>
      <c r="L10" t="s">
        <v>423</v>
      </c>
    </row>
    <row r="11" spans="1:12">
      <c r="A11" t="s">
        <v>917</v>
      </c>
      <c r="B11" s="57">
        <v>41674</v>
      </c>
      <c r="C11">
        <v>400</v>
      </c>
      <c r="D11" s="57">
        <v>41639</v>
      </c>
      <c r="E11">
        <v>218.9</v>
      </c>
      <c r="F11" s="358">
        <v>181.1</v>
      </c>
      <c r="G11">
        <v>18.899999999999999</v>
      </c>
      <c r="H11">
        <v>200</v>
      </c>
      <c r="I11">
        <v>1</v>
      </c>
      <c r="J11">
        <v>2</v>
      </c>
      <c r="K11" t="s">
        <v>15</v>
      </c>
      <c r="L11" t="s">
        <v>984</v>
      </c>
    </row>
    <row r="12" spans="1:12">
      <c r="A12" t="s">
        <v>914</v>
      </c>
      <c r="B12" s="57">
        <v>41657</v>
      </c>
      <c r="C12">
        <v>1000</v>
      </c>
      <c r="D12" s="57">
        <v>41634</v>
      </c>
      <c r="E12">
        <v>17.399999999999999</v>
      </c>
      <c r="F12" s="358">
        <v>982.6</v>
      </c>
      <c r="G12">
        <v>17.399999999999999</v>
      </c>
      <c r="H12">
        <v>100</v>
      </c>
      <c r="I12">
        <v>0</v>
      </c>
      <c r="J12">
        <v>10</v>
      </c>
      <c r="K12" t="s">
        <v>15</v>
      </c>
      <c r="L12" t="s">
        <v>985</v>
      </c>
    </row>
    <row r="13" spans="1:12">
      <c r="A13" t="s">
        <v>914</v>
      </c>
      <c r="B13" s="57">
        <v>41657</v>
      </c>
      <c r="C13">
        <v>17500</v>
      </c>
      <c r="D13" s="57">
        <v>41556</v>
      </c>
      <c r="E13">
        <v>18161.2</v>
      </c>
      <c r="F13" s="358">
        <v>-661.2</v>
      </c>
      <c r="G13">
        <v>7.95</v>
      </c>
      <c r="H13">
        <v>100</v>
      </c>
      <c r="I13">
        <v>181.5325</v>
      </c>
      <c r="J13">
        <v>175</v>
      </c>
      <c r="K13" t="s">
        <v>145</v>
      </c>
      <c r="L13" t="s">
        <v>90</v>
      </c>
    </row>
    <row r="14" spans="1:12">
      <c r="A14" t="s">
        <v>582</v>
      </c>
      <c r="B14" s="57">
        <v>41723</v>
      </c>
      <c r="C14">
        <v>200</v>
      </c>
      <c r="D14" s="57">
        <v>41710</v>
      </c>
      <c r="E14">
        <v>29.45</v>
      </c>
      <c r="F14" s="358">
        <v>170.55</v>
      </c>
      <c r="G14">
        <v>29.45</v>
      </c>
      <c r="H14">
        <v>200</v>
      </c>
      <c r="I14">
        <v>0</v>
      </c>
      <c r="J14">
        <v>1</v>
      </c>
      <c r="K14" t="s">
        <v>404</v>
      </c>
      <c r="L14" t="s">
        <v>1001</v>
      </c>
    </row>
    <row r="15" spans="1:12">
      <c r="A15" t="s">
        <v>582</v>
      </c>
      <c r="B15" s="57">
        <v>41723</v>
      </c>
      <c r="C15">
        <v>3200</v>
      </c>
      <c r="D15" s="57">
        <v>41561</v>
      </c>
      <c r="E15">
        <v>3051.95</v>
      </c>
      <c r="F15" s="358">
        <v>148.05000000000001</v>
      </c>
      <c r="G15">
        <v>7.95</v>
      </c>
      <c r="H15">
        <v>200</v>
      </c>
      <c r="I15">
        <v>15.22</v>
      </c>
      <c r="J15">
        <v>16</v>
      </c>
      <c r="K15" t="s">
        <v>145</v>
      </c>
      <c r="L15" t="s">
        <v>438</v>
      </c>
    </row>
    <row r="16" spans="1:12">
      <c r="A16" t="s">
        <v>979</v>
      </c>
      <c r="B16" s="57">
        <v>41656</v>
      </c>
      <c r="C16">
        <v>160</v>
      </c>
      <c r="D16" s="57">
        <v>41631</v>
      </c>
      <c r="E16">
        <v>67.400000000000006</v>
      </c>
      <c r="F16" s="358">
        <v>92.6</v>
      </c>
      <c r="G16">
        <v>17.399999999999999</v>
      </c>
      <c r="H16">
        <v>100</v>
      </c>
      <c r="I16">
        <v>0.5</v>
      </c>
      <c r="J16">
        <v>1.6</v>
      </c>
      <c r="K16" t="s">
        <v>15</v>
      </c>
      <c r="L16" t="s">
        <v>981</v>
      </c>
    </row>
    <row r="17" spans="1:12">
      <c r="A17" t="s">
        <v>979</v>
      </c>
      <c r="B17" s="57">
        <v>41719</v>
      </c>
      <c r="C17">
        <v>120</v>
      </c>
      <c r="D17" s="57">
        <v>41667</v>
      </c>
      <c r="E17">
        <v>183.4</v>
      </c>
      <c r="F17" s="358">
        <v>-63.4</v>
      </c>
      <c r="G17">
        <v>17.399999999999999</v>
      </c>
      <c r="H17">
        <v>100</v>
      </c>
      <c r="I17">
        <v>1.66</v>
      </c>
      <c r="J17">
        <v>1.2</v>
      </c>
      <c r="K17" t="s">
        <v>15</v>
      </c>
      <c r="L17" t="s">
        <v>994</v>
      </c>
    </row>
    <row r="18" spans="1:12">
      <c r="A18" t="s">
        <v>995</v>
      </c>
      <c r="B18" s="57">
        <v>41666</v>
      </c>
      <c r="C18">
        <v>5163.45</v>
      </c>
      <c r="D18" s="57">
        <v>40102</v>
      </c>
      <c r="E18">
        <v>5016.942</v>
      </c>
      <c r="F18" s="358">
        <v>146.50800000000001</v>
      </c>
      <c r="G18">
        <v>0</v>
      </c>
      <c r="H18">
        <v>145</v>
      </c>
      <c r="I18">
        <v>34.599600000000002</v>
      </c>
      <c r="J18">
        <v>35.61</v>
      </c>
      <c r="K18" t="s">
        <v>320</v>
      </c>
      <c r="L18" t="s">
        <v>157</v>
      </c>
    </row>
    <row r="19" spans="1:12">
      <c r="A19" t="s">
        <v>996</v>
      </c>
      <c r="B19" s="57">
        <v>41667</v>
      </c>
      <c r="C19">
        <v>3573</v>
      </c>
      <c r="D19" s="57">
        <v>41662</v>
      </c>
      <c r="E19">
        <v>3490.95</v>
      </c>
      <c r="F19" s="358">
        <v>82.05</v>
      </c>
      <c r="G19">
        <v>7.95</v>
      </c>
      <c r="H19">
        <v>9</v>
      </c>
      <c r="I19">
        <v>387</v>
      </c>
      <c r="J19">
        <v>397</v>
      </c>
      <c r="K19" t="s">
        <v>145</v>
      </c>
      <c r="L19" t="s">
        <v>162</v>
      </c>
    </row>
    <row r="20" spans="1:12">
      <c r="A20" t="s">
        <v>980</v>
      </c>
      <c r="B20" s="57">
        <v>41719</v>
      </c>
      <c r="C20">
        <v>260</v>
      </c>
      <c r="D20" s="57">
        <v>41683</v>
      </c>
      <c r="E20">
        <v>29.45</v>
      </c>
      <c r="F20" s="358">
        <v>230.55</v>
      </c>
      <c r="G20">
        <v>29.45</v>
      </c>
      <c r="H20">
        <v>200</v>
      </c>
      <c r="I20">
        <v>0</v>
      </c>
      <c r="J20">
        <v>1.3</v>
      </c>
      <c r="K20" t="s">
        <v>404</v>
      </c>
      <c r="L20" t="s">
        <v>997</v>
      </c>
    </row>
    <row r="21" spans="1:12">
      <c r="A21" t="s">
        <v>980</v>
      </c>
      <c r="B21" s="57">
        <v>41719</v>
      </c>
      <c r="C21">
        <v>1600</v>
      </c>
      <c r="D21" s="57">
        <v>41569</v>
      </c>
      <c r="E21">
        <v>1775.95</v>
      </c>
      <c r="F21" s="358">
        <v>-175.95</v>
      </c>
      <c r="G21">
        <v>7.95</v>
      </c>
      <c r="H21">
        <v>200</v>
      </c>
      <c r="I21">
        <v>8.84</v>
      </c>
      <c r="J21">
        <v>8</v>
      </c>
      <c r="K21" t="s">
        <v>145</v>
      </c>
      <c r="L21" t="s">
        <v>272</v>
      </c>
    </row>
    <row r="22" spans="1:12">
      <c r="A22" t="s">
        <v>980</v>
      </c>
      <c r="B22" s="57">
        <v>41663</v>
      </c>
      <c r="C22">
        <v>300</v>
      </c>
      <c r="D22" s="57">
        <v>41631</v>
      </c>
      <c r="E22">
        <v>418.9</v>
      </c>
      <c r="F22" s="358">
        <v>-118.9</v>
      </c>
      <c r="G22">
        <v>18.899999999999999</v>
      </c>
      <c r="H22">
        <v>200</v>
      </c>
      <c r="I22">
        <v>2</v>
      </c>
      <c r="J22">
        <v>1.5</v>
      </c>
      <c r="K22" t="s">
        <v>15</v>
      </c>
      <c r="L22" t="s">
        <v>982</v>
      </c>
    </row>
    <row r="23" spans="1:12">
      <c r="A23" t="s">
        <v>1002</v>
      </c>
      <c r="B23" s="57">
        <v>41719</v>
      </c>
      <c r="C23">
        <v>220</v>
      </c>
      <c r="D23" s="57">
        <v>41667</v>
      </c>
      <c r="E23">
        <v>28.7</v>
      </c>
      <c r="F23" s="358">
        <v>191.3</v>
      </c>
      <c r="G23">
        <v>28.7</v>
      </c>
      <c r="H23">
        <v>100</v>
      </c>
      <c r="I23">
        <v>0</v>
      </c>
      <c r="J23">
        <v>2.2000000000000002</v>
      </c>
      <c r="K23" t="s">
        <v>404</v>
      </c>
      <c r="L23" t="s">
        <v>993</v>
      </c>
    </row>
    <row r="24" spans="1:12">
      <c r="A24" t="s">
        <v>1002</v>
      </c>
      <c r="B24" s="57">
        <v>41719</v>
      </c>
      <c r="C24">
        <v>2800</v>
      </c>
      <c r="D24" s="57">
        <v>41607</v>
      </c>
      <c r="E24">
        <v>3254.95</v>
      </c>
      <c r="F24" s="358">
        <v>-454.95</v>
      </c>
      <c r="G24">
        <v>7.95</v>
      </c>
      <c r="H24">
        <v>100</v>
      </c>
      <c r="I24">
        <v>32.47</v>
      </c>
      <c r="J24">
        <v>28</v>
      </c>
      <c r="K24" t="s">
        <v>145</v>
      </c>
      <c r="L24" t="s">
        <v>24</v>
      </c>
    </row>
    <row r="25" spans="1:12">
      <c r="A25" t="s">
        <v>1010</v>
      </c>
      <c r="B25" s="57">
        <v>41920</v>
      </c>
      <c r="C25">
        <v>1300</v>
      </c>
      <c r="D25" s="57">
        <v>40927</v>
      </c>
      <c r="E25">
        <v>3439.95</v>
      </c>
      <c r="F25" s="358">
        <v>-2139.9499999999998</v>
      </c>
      <c r="G25">
        <v>7.95</v>
      </c>
      <c r="H25">
        <v>25</v>
      </c>
      <c r="I25">
        <v>137.28</v>
      </c>
      <c r="J25">
        <v>52</v>
      </c>
      <c r="K25" t="s">
        <v>145</v>
      </c>
      <c r="L25" t="s">
        <v>372</v>
      </c>
    </row>
    <row r="26" spans="1:12">
      <c r="A26" t="s">
        <v>1010</v>
      </c>
      <c r="B26" s="57">
        <v>41920</v>
      </c>
      <c r="C26">
        <v>1300</v>
      </c>
      <c r="D26" s="57">
        <v>41089</v>
      </c>
      <c r="E26">
        <v>3057.95</v>
      </c>
      <c r="F26" s="358">
        <v>-1757.95</v>
      </c>
      <c r="G26">
        <v>7.95</v>
      </c>
      <c r="H26">
        <v>25</v>
      </c>
      <c r="I26">
        <v>122</v>
      </c>
      <c r="J26">
        <v>52</v>
      </c>
      <c r="K26" t="s">
        <v>145</v>
      </c>
      <c r="L26" t="s">
        <v>372</v>
      </c>
    </row>
    <row r="27" spans="1:12">
      <c r="A27" t="s">
        <v>1008</v>
      </c>
      <c r="B27" s="57">
        <v>41810</v>
      </c>
      <c r="C27">
        <v>190</v>
      </c>
      <c r="D27" s="57">
        <v>41607</v>
      </c>
      <c r="E27">
        <v>1298.9000000000001</v>
      </c>
      <c r="F27" s="358">
        <v>-1108.9000000000001</v>
      </c>
      <c r="G27">
        <v>18.899999999999999</v>
      </c>
      <c r="H27">
        <v>200</v>
      </c>
      <c r="I27">
        <v>6.4</v>
      </c>
      <c r="J27">
        <v>0.95</v>
      </c>
      <c r="K27" t="s">
        <v>258</v>
      </c>
      <c r="L27" t="s">
        <v>974</v>
      </c>
    </row>
    <row r="28" spans="1:12">
      <c r="A28" t="s">
        <v>1003</v>
      </c>
      <c r="B28" s="57">
        <v>41748</v>
      </c>
      <c r="C28">
        <v>2000</v>
      </c>
      <c r="D28" s="57">
        <v>40808</v>
      </c>
      <c r="E28">
        <v>5007.95</v>
      </c>
      <c r="F28" s="358">
        <v>-3007.95</v>
      </c>
      <c r="G28">
        <v>7.95</v>
      </c>
      <c r="H28">
        <v>50</v>
      </c>
      <c r="I28">
        <v>100</v>
      </c>
      <c r="J28">
        <v>40</v>
      </c>
      <c r="K28" t="s">
        <v>145</v>
      </c>
      <c r="L28" t="s">
        <v>377</v>
      </c>
    </row>
    <row r="29" spans="1:12">
      <c r="A29" t="s">
        <v>1003</v>
      </c>
      <c r="B29" s="57">
        <v>41748</v>
      </c>
      <c r="C29">
        <v>2000</v>
      </c>
      <c r="D29" s="57">
        <v>41003</v>
      </c>
      <c r="E29">
        <v>4182.95</v>
      </c>
      <c r="F29" s="358">
        <v>-2182.9499999999998</v>
      </c>
      <c r="G29">
        <v>7.95</v>
      </c>
      <c r="H29">
        <v>50</v>
      </c>
      <c r="I29">
        <v>83.5</v>
      </c>
      <c r="J29">
        <v>40</v>
      </c>
      <c r="K29" t="s">
        <v>145</v>
      </c>
      <c r="L29" t="s">
        <v>377</v>
      </c>
    </row>
    <row r="30" spans="1:12">
      <c r="A30" t="s">
        <v>727</v>
      </c>
      <c r="B30" s="57">
        <v>41748</v>
      </c>
      <c r="C30">
        <v>600</v>
      </c>
      <c r="D30" s="57">
        <v>41662</v>
      </c>
      <c r="E30">
        <v>28.7</v>
      </c>
      <c r="F30" s="578">
        <v>571.29999999999995</v>
      </c>
      <c r="G30">
        <v>28.7</v>
      </c>
      <c r="H30">
        <v>100</v>
      </c>
      <c r="I30">
        <v>0</v>
      </c>
      <c r="J30">
        <v>6</v>
      </c>
      <c r="K30" t="s">
        <v>404</v>
      </c>
      <c r="L30" t="s">
        <v>990</v>
      </c>
    </row>
    <row r="31" spans="1:12">
      <c r="A31" t="s">
        <v>628</v>
      </c>
      <c r="B31" s="57">
        <v>41656</v>
      </c>
      <c r="C31">
        <v>125</v>
      </c>
      <c r="D31" s="57">
        <v>41635</v>
      </c>
      <c r="E31">
        <v>17.399999999999999</v>
      </c>
      <c r="F31" s="578">
        <v>107.6</v>
      </c>
      <c r="G31">
        <v>17.399999999999999</v>
      </c>
      <c r="H31">
        <v>100</v>
      </c>
      <c r="I31">
        <v>0</v>
      </c>
      <c r="J31">
        <v>1.25</v>
      </c>
      <c r="K31" t="s">
        <v>15</v>
      </c>
      <c r="L31" t="s">
        <v>983</v>
      </c>
    </row>
    <row r="32" spans="1:12">
      <c r="A32" t="s">
        <v>1011</v>
      </c>
      <c r="B32" s="57">
        <v>41992</v>
      </c>
      <c r="C32">
        <v>8686</v>
      </c>
      <c r="D32" s="57">
        <v>41637</v>
      </c>
      <c r="E32">
        <v>8150.2871999999998</v>
      </c>
      <c r="F32" s="580">
        <v>535.71280000000002</v>
      </c>
      <c r="G32">
        <v>7.95</v>
      </c>
      <c r="H32">
        <v>101</v>
      </c>
      <c r="I32">
        <v>80.617199999999997</v>
      </c>
      <c r="J32">
        <v>86</v>
      </c>
      <c r="K32" t="s">
        <v>145</v>
      </c>
      <c r="L32" t="s">
        <v>8</v>
      </c>
    </row>
    <row r="33" spans="1:12">
      <c r="A33" t="s">
        <v>1000</v>
      </c>
      <c r="B33" s="57">
        <v>41704</v>
      </c>
      <c r="C33">
        <v>3000</v>
      </c>
      <c r="D33" s="57">
        <v>41645</v>
      </c>
      <c r="E33">
        <v>3205.95</v>
      </c>
      <c r="F33" s="580">
        <v>-205.95</v>
      </c>
      <c r="G33">
        <v>7.95</v>
      </c>
      <c r="H33">
        <v>100</v>
      </c>
      <c r="I33">
        <v>31.98</v>
      </c>
      <c r="J33">
        <v>30</v>
      </c>
      <c r="K33" t="s">
        <v>145</v>
      </c>
      <c r="L33" t="s">
        <v>986</v>
      </c>
    </row>
    <row r="34" spans="1:12">
      <c r="A34" t="s">
        <v>1000</v>
      </c>
      <c r="B34" s="57">
        <v>41704</v>
      </c>
      <c r="C34">
        <v>300</v>
      </c>
      <c r="D34" s="57">
        <v>41648</v>
      </c>
      <c r="E34">
        <v>28.7</v>
      </c>
      <c r="F34" s="580">
        <v>271.3</v>
      </c>
      <c r="G34">
        <v>28.7</v>
      </c>
      <c r="H34">
        <v>100</v>
      </c>
      <c r="I34">
        <v>0</v>
      </c>
      <c r="J34">
        <v>3</v>
      </c>
      <c r="K34" t="s">
        <v>404</v>
      </c>
      <c r="L34" t="s">
        <v>987</v>
      </c>
    </row>
    <row r="35" spans="1:12" ht="13.5" thickBot="1">
      <c r="B35" s="57"/>
      <c r="D35" s="57"/>
      <c r="F35" s="598">
        <f>SUBTOTAL(109,Table_USStocks.accdb8[Profit])</f>
        <v>-7613.6472000000003</v>
      </c>
    </row>
    <row r="36" spans="1:12" ht="13.5" thickBot="1">
      <c r="E36" s="437" t="s">
        <v>753</v>
      </c>
      <c r="F36" s="440">
        <f>COUNTIF(Table_USStocks.accdb8[Profit],"&gt;0")/COUNT(Table_USStocks.accdb8[Profit])</f>
        <v>0.54545454545454541</v>
      </c>
    </row>
    <row r="45" spans="1:12">
      <c r="A45" s="491" t="s">
        <v>998</v>
      </c>
      <c r="B45" t="s">
        <v>839</v>
      </c>
    </row>
    <row r="46" spans="1:12">
      <c r="A46" s="492" t="s">
        <v>919</v>
      </c>
      <c r="B46" s="236">
        <v>-1874.7</v>
      </c>
    </row>
    <row r="47" spans="1:12">
      <c r="A47" s="492" t="s">
        <v>984</v>
      </c>
      <c r="B47" s="236">
        <v>181.1</v>
      </c>
    </row>
    <row r="48" spans="1:12">
      <c r="A48" s="492" t="s">
        <v>90</v>
      </c>
      <c r="B48" s="236">
        <v>-661.2</v>
      </c>
    </row>
    <row r="49" spans="1:2">
      <c r="A49" s="492" t="s">
        <v>985</v>
      </c>
      <c r="B49" s="236">
        <v>982.6</v>
      </c>
    </row>
    <row r="50" spans="1:2">
      <c r="A50" s="492" t="s">
        <v>981</v>
      </c>
      <c r="B50" s="236">
        <v>92.6</v>
      </c>
    </row>
    <row r="51" spans="1:2">
      <c r="A51" s="492" t="s">
        <v>157</v>
      </c>
      <c r="B51" s="236">
        <v>146.50800000000001</v>
      </c>
    </row>
    <row r="52" spans="1:2">
      <c r="A52" s="492" t="s">
        <v>162</v>
      </c>
      <c r="B52" s="236">
        <v>82.05</v>
      </c>
    </row>
    <row r="53" spans="1:2">
      <c r="A53" s="492" t="s">
        <v>982</v>
      </c>
      <c r="B53" s="236">
        <v>-118.9</v>
      </c>
    </row>
    <row r="54" spans="1:2">
      <c r="A54" s="492" t="s">
        <v>983</v>
      </c>
      <c r="B54" s="236">
        <v>107.6</v>
      </c>
    </row>
    <row r="55" spans="1:2">
      <c r="A55" s="492" t="s">
        <v>110</v>
      </c>
      <c r="B55" s="236">
        <v>5736.8220000000001</v>
      </c>
    </row>
    <row r="56" spans="1:2">
      <c r="A56" s="492" t="s">
        <v>1009</v>
      </c>
      <c r="B56" s="236">
        <v>157.6</v>
      </c>
    </row>
    <row r="57" spans="1:2">
      <c r="A57" s="492" t="s">
        <v>999</v>
      </c>
      <c r="B57" s="236">
        <v>-1807.8</v>
      </c>
    </row>
    <row r="58" spans="1:2">
      <c r="A58" s="492" t="s">
        <v>1005</v>
      </c>
      <c r="B58" s="236">
        <v>221.1</v>
      </c>
    </row>
    <row r="59" spans="1:2">
      <c r="A59" s="492" t="s">
        <v>65</v>
      </c>
      <c r="B59" s="236">
        <v>216.11</v>
      </c>
    </row>
    <row r="60" spans="1:2">
      <c r="A60" s="492" t="s">
        <v>423</v>
      </c>
      <c r="B60" s="236">
        <v>-2095.9499999999998</v>
      </c>
    </row>
    <row r="61" spans="1:2">
      <c r="A61" s="492" t="s">
        <v>1001</v>
      </c>
      <c r="B61" s="236">
        <v>170.55</v>
      </c>
    </row>
    <row r="62" spans="1:2">
      <c r="A62" s="492" t="s">
        <v>438</v>
      </c>
      <c r="B62" s="236">
        <v>148.05000000000001</v>
      </c>
    </row>
    <row r="63" spans="1:2">
      <c r="A63" s="492" t="s">
        <v>994</v>
      </c>
      <c r="B63" s="236">
        <v>-63.4</v>
      </c>
    </row>
    <row r="64" spans="1:2">
      <c r="A64" s="492" t="s">
        <v>997</v>
      </c>
      <c r="B64" s="236">
        <v>230.55</v>
      </c>
    </row>
    <row r="65" spans="1:2">
      <c r="A65" s="492" t="s">
        <v>272</v>
      </c>
      <c r="B65" s="236">
        <v>-175.95</v>
      </c>
    </row>
    <row r="66" spans="1:2">
      <c r="A66" s="492" t="s">
        <v>993</v>
      </c>
      <c r="B66" s="236">
        <v>191.3</v>
      </c>
    </row>
    <row r="67" spans="1:2">
      <c r="A67" s="492" t="s">
        <v>24</v>
      </c>
      <c r="B67" s="236">
        <v>-454.95</v>
      </c>
    </row>
    <row r="68" spans="1:2">
      <c r="A68" s="492" t="s">
        <v>372</v>
      </c>
      <c r="B68" s="236">
        <v>-3897.8999999999996</v>
      </c>
    </row>
    <row r="69" spans="1:2">
      <c r="A69" s="492" t="s">
        <v>974</v>
      </c>
      <c r="B69" s="236">
        <v>-1108.9000000000001</v>
      </c>
    </row>
    <row r="70" spans="1:2">
      <c r="A70" s="492" t="s">
        <v>377</v>
      </c>
      <c r="B70" s="236">
        <v>-5190.8999999999996</v>
      </c>
    </row>
    <row r="71" spans="1:2">
      <c r="A71" s="492" t="s">
        <v>990</v>
      </c>
      <c r="B71" s="236">
        <v>571.29999999999995</v>
      </c>
    </row>
    <row r="72" spans="1:2">
      <c r="A72" s="492" t="s">
        <v>8</v>
      </c>
      <c r="B72" s="236">
        <v>535.71280000000002</v>
      </c>
    </row>
    <row r="73" spans="1:2">
      <c r="A73" s="492" t="s">
        <v>986</v>
      </c>
      <c r="B73" s="236">
        <v>-205.95</v>
      </c>
    </row>
    <row r="74" spans="1:2">
      <c r="A74" s="492" t="s">
        <v>987</v>
      </c>
      <c r="B74" s="236">
        <v>271.3</v>
      </c>
    </row>
    <row r="75" spans="1:2">
      <c r="A75" s="492" t="s">
        <v>838</v>
      </c>
      <c r="B75" s="236">
        <v>-7613.6472000000003</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3"/>
  <sheetViews>
    <sheetView zoomScale="90" zoomScaleNormal="90" workbookViewId="0">
      <selection activeCell="A9" sqref="A9"/>
    </sheetView>
  </sheetViews>
  <sheetFormatPr defaultRowHeight="12.75"/>
  <cols>
    <col min="1" max="1" width="16.42578125" bestFit="1" customWidth="1"/>
    <col min="2" max="2" width="11.140625" bestFit="1" customWidth="1"/>
    <col min="3" max="3" width="16.28515625" bestFit="1" customWidth="1"/>
    <col min="4" max="4" width="15.85546875" bestFit="1" customWidth="1"/>
    <col min="5" max="5" width="12.85546875" bestFit="1" customWidth="1"/>
    <col min="6" max="6" width="8.5703125" bestFit="1" customWidth="1"/>
    <col min="7" max="7" width="14.85546875" bestFit="1" customWidth="1"/>
    <col min="8" max="8" width="10.140625" bestFit="1" customWidth="1"/>
    <col min="9" max="10" width="11.7109375" bestFit="1" customWidth="1"/>
    <col min="11" max="11" width="7.42578125" bestFit="1" customWidth="1"/>
    <col min="12" max="12" width="24.140625" bestFit="1" customWidth="1"/>
  </cols>
  <sheetData>
    <row r="2" spans="1:12">
      <c r="A2" t="s">
        <v>208</v>
      </c>
      <c r="B2" t="s">
        <v>281</v>
      </c>
      <c r="C2" t="s">
        <v>517</v>
      </c>
      <c r="D2" t="s">
        <v>518</v>
      </c>
      <c r="E2" t="s">
        <v>282</v>
      </c>
      <c r="F2" t="s">
        <v>122</v>
      </c>
      <c r="G2" t="s">
        <v>102</v>
      </c>
      <c r="H2" t="s">
        <v>313</v>
      </c>
      <c r="I2" t="s">
        <v>95</v>
      </c>
      <c r="J2" t="s">
        <v>280</v>
      </c>
      <c r="K2" t="s">
        <v>519</v>
      </c>
      <c r="L2" t="s">
        <v>520</v>
      </c>
    </row>
    <row r="3" spans="1:12">
      <c r="A3" t="s">
        <v>917</v>
      </c>
      <c r="B3" s="57">
        <v>41629</v>
      </c>
      <c r="C3">
        <v>250</v>
      </c>
      <c r="D3" s="57">
        <v>41585</v>
      </c>
      <c r="E3">
        <v>548.9</v>
      </c>
      <c r="F3" s="439">
        <v>-298.89999999999998</v>
      </c>
      <c r="G3">
        <v>18.899999999999999</v>
      </c>
      <c r="H3">
        <v>200</v>
      </c>
      <c r="I3">
        <v>2.65</v>
      </c>
      <c r="J3">
        <v>1.25</v>
      </c>
      <c r="K3" t="s">
        <v>15</v>
      </c>
      <c r="L3" t="s">
        <v>924</v>
      </c>
    </row>
    <row r="4" spans="1:12">
      <c r="A4" t="s">
        <v>979</v>
      </c>
      <c r="B4" s="57">
        <v>41629</v>
      </c>
      <c r="C4">
        <v>80</v>
      </c>
      <c r="D4" s="57">
        <v>41628</v>
      </c>
      <c r="E4">
        <v>112.4</v>
      </c>
      <c r="F4" s="439">
        <v>-32.4</v>
      </c>
      <c r="G4">
        <v>17.399999999999999</v>
      </c>
      <c r="H4">
        <v>100</v>
      </c>
      <c r="I4">
        <v>0.95</v>
      </c>
      <c r="J4">
        <v>0.8</v>
      </c>
      <c r="K4" t="s">
        <v>15</v>
      </c>
      <c r="L4" t="s">
        <v>978</v>
      </c>
    </row>
    <row r="5" spans="1:12">
      <c r="A5" t="s">
        <v>980</v>
      </c>
      <c r="B5" s="57">
        <v>41629</v>
      </c>
      <c r="C5">
        <v>180</v>
      </c>
      <c r="D5" s="57">
        <v>41607</v>
      </c>
      <c r="E5">
        <v>218.9</v>
      </c>
      <c r="F5" s="439">
        <v>-38.9</v>
      </c>
      <c r="G5">
        <v>18.899999999999999</v>
      </c>
      <c r="H5">
        <v>200</v>
      </c>
      <c r="I5">
        <v>1</v>
      </c>
      <c r="J5">
        <v>0.9</v>
      </c>
      <c r="K5" t="s">
        <v>15</v>
      </c>
      <c r="L5" t="s">
        <v>972</v>
      </c>
    </row>
    <row r="6" spans="1:12">
      <c r="A6" t="s">
        <v>914</v>
      </c>
      <c r="B6" s="57">
        <v>41607</v>
      </c>
      <c r="C6">
        <v>270</v>
      </c>
      <c r="D6" s="57">
        <v>41585</v>
      </c>
      <c r="E6">
        <v>8.7100000000000009</v>
      </c>
      <c r="F6" s="439">
        <v>261.29000000000002</v>
      </c>
      <c r="G6">
        <v>8.6999999999999993</v>
      </c>
      <c r="H6">
        <v>100</v>
      </c>
      <c r="I6">
        <v>1E-4</v>
      </c>
      <c r="J6">
        <v>2.7</v>
      </c>
      <c r="K6" t="s">
        <v>403</v>
      </c>
      <c r="L6" t="s">
        <v>925</v>
      </c>
    </row>
    <row r="7" spans="1:12">
      <c r="A7" t="s">
        <v>723</v>
      </c>
      <c r="B7" s="57">
        <v>41592</v>
      </c>
      <c r="C7">
        <v>130</v>
      </c>
      <c r="D7" s="57">
        <v>41576</v>
      </c>
      <c r="E7">
        <v>29.45</v>
      </c>
      <c r="F7" s="439">
        <v>100.55</v>
      </c>
      <c r="G7">
        <v>29.45</v>
      </c>
      <c r="H7">
        <v>200</v>
      </c>
      <c r="I7">
        <v>0</v>
      </c>
      <c r="J7">
        <v>0.65</v>
      </c>
      <c r="K7" t="s">
        <v>404</v>
      </c>
      <c r="L7" t="s">
        <v>923</v>
      </c>
    </row>
    <row r="8" spans="1:12">
      <c r="A8" t="s">
        <v>723</v>
      </c>
      <c r="B8" s="57">
        <v>41592</v>
      </c>
      <c r="C8">
        <v>1600</v>
      </c>
      <c r="D8" s="57">
        <v>41561</v>
      </c>
      <c r="E8">
        <v>1708.93</v>
      </c>
      <c r="F8" s="439">
        <v>-108.93</v>
      </c>
      <c r="G8">
        <v>7.95</v>
      </c>
      <c r="H8">
        <v>200</v>
      </c>
      <c r="I8">
        <v>8.5048999999999992</v>
      </c>
      <c r="J8">
        <v>8</v>
      </c>
      <c r="K8" t="s">
        <v>145</v>
      </c>
      <c r="L8" t="s">
        <v>10</v>
      </c>
    </row>
    <row r="9" spans="1:12">
      <c r="A9" t="s">
        <v>628</v>
      </c>
      <c r="B9" s="57">
        <v>41591</v>
      </c>
      <c r="C9">
        <v>80</v>
      </c>
      <c r="D9" s="57">
        <v>41586</v>
      </c>
      <c r="E9">
        <v>32.4</v>
      </c>
      <c r="F9" s="439">
        <v>47.6</v>
      </c>
      <c r="G9">
        <v>17.399999999999999</v>
      </c>
      <c r="H9">
        <v>100</v>
      </c>
      <c r="I9">
        <v>0.15</v>
      </c>
      <c r="J9">
        <v>0.8</v>
      </c>
      <c r="K9" t="s">
        <v>15</v>
      </c>
      <c r="L9" t="s">
        <v>927</v>
      </c>
    </row>
    <row r="10" spans="1:12">
      <c r="A10" t="s">
        <v>926</v>
      </c>
      <c r="B10" s="57">
        <v>41585</v>
      </c>
      <c r="C10">
        <v>330</v>
      </c>
      <c r="D10" s="57">
        <v>41558</v>
      </c>
      <c r="E10">
        <v>88.9</v>
      </c>
      <c r="F10" s="439">
        <v>241.1</v>
      </c>
      <c r="G10">
        <v>18.899999999999999</v>
      </c>
      <c r="H10">
        <v>200</v>
      </c>
      <c r="I10">
        <v>0.35</v>
      </c>
      <c r="J10">
        <v>1.65</v>
      </c>
      <c r="K10" t="s">
        <v>15</v>
      </c>
      <c r="L10" t="s">
        <v>903</v>
      </c>
    </row>
    <row r="11" spans="1:12">
      <c r="A11" t="s">
        <v>918</v>
      </c>
      <c r="B11" s="57">
        <v>41582</v>
      </c>
      <c r="C11">
        <v>600</v>
      </c>
      <c r="D11" s="57">
        <v>41569</v>
      </c>
      <c r="E11">
        <v>318.89999999999998</v>
      </c>
      <c r="F11" s="439">
        <v>281.10000000000002</v>
      </c>
      <c r="G11">
        <v>18.899999999999999</v>
      </c>
      <c r="H11">
        <v>200</v>
      </c>
      <c r="I11">
        <v>1.5</v>
      </c>
      <c r="J11">
        <v>3</v>
      </c>
      <c r="K11" t="s">
        <v>15</v>
      </c>
      <c r="L11" t="s">
        <v>921</v>
      </c>
    </row>
    <row r="12" spans="1:12">
      <c r="A12" t="s">
        <v>600</v>
      </c>
      <c r="B12" s="57">
        <v>41566</v>
      </c>
      <c r="C12">
        <v>200</v>
      </c>
      <c r="D12" s="57">
        <v>41480</v>
      </c>
      <c r="E12">
        <v>29.45</v>
      </c>
      <c r="F12" s="439">
        <v>170.55</v>
      </c>
      <c r="G12">
        <v>29.45</v>
      </c>
      <c r="H12">
        <v>200</v>
      </c>
      <c r="I12">
        <v>0</v>
      </c>
      <c r="J12">
        <v>1</v>
      </c>
      <c r="K12" t="s">
        <v>404</v>
      </c>
      <c r="L12" t="s">
        <v>898</v>
      </c>
    </row>
    <row r="13" spans="1:12">
      <c r="A13" t="s">
        <v>920</v>
      </c>
      <c r="B13" s="57">
        <v>41566</v>
      </c>
      <c r="C13">
        <v>2856</v>
      </c>
      <c r="D13" s="57">
        <v>40858</v>
      </c>
      <c r="E13">
        <v>2976.9863999999998</v>
      </c>
      <c r="F13" s="439">
        <v>-120.9864</v>
      </c>
      <c r="G13">
        <v>7.95</v>
      </c>
      <c r="H13">
        <v>204</v>
      </c>
      <c r="I13">
        <v>14.5541</v>
      </c>
      <c r="J13">
        <v>14</v>
      </c>
      <c r="K13" t="s">
        <v>145</v>
      </c>
      <c r="L13" t="s">
        <v>177</v>
      </c>
    </row>
    <row r="14" spans="1:12">
      <c r="A14" t="s">
        <v>918</v>
      </c>
      <c r="B14" s="57">
        <v>41565</v>
      </c>
      <c r="C14">
        <v>360</v>
      </c>
      <c r="D14" s="57">
        <v>41549</v>
      </c>
      <c r="E14">
        <v>278.89999999999998</v>
      </c>
      <c r="F14" s="439">
        <v>81.099999999999994</v>
      </c>
      <c r="G14">
        <v>18.899999999999999</v>
      </c>
      <c r="H14">
        <v>200</v>
      </c>
      <c r="I14">
        <v>1.3</v>
      </c>
      <c r="J14">
        <v>1.8</v>
      </c>
      <c r="K14" t="s">
        <v>15</v>
      </c>
      <c r="L14" t="s">
        <v>902</v>
      </c>
    </row>
    <row r="15" spans="1:12">
      <c r="A15" t="s">
        <v>917</v>
      </c>
      <c r="B15" s="57">
        <v>41565</v>
      </c>
      <c r="C15">
        <v>164</v>
      </c>
      <c r="D15" s="57">
        <v>41549</v>
      </c>
      <c r="E15">
        <v>78.900000000000006</v>
      </c>
      <c r="F15" s="439">
        <v>85.1</v>
      </c>
      <c r="G15">
        <v>18.899999999999999</v>
      </c>
      <c r="H15">
        <v>200</v>
      </c>
      <c r="I15">
        <v>0.3</v>
      </c>
      <c r="J15">
        <v>0.82</v>
      </c>
      <c r="K15" t="s">
        <v>15</v>
      </c>
      <c r="L15" t="s">
        <v>901</v>
      </c>
    </row>
    <row r="16" spans="1:12">
      <c r="A16" t="s">
        <v>914</v>
      </c>
      <c r="B16" s="57">
        <v>41565</v>
      </c>
      <c r="C16">
        <v>400</v>
      </c>
      <c r="D16" s="57">
        <v>41561</v>
      </c>
      <c r="E16">
        <v>8.7100000000000009</v>
      </c>
      <c r="F16" s="439">
        <v>391.29</v>
      </c>
      <c r="G16">
        <v>8.6999999999999993</v>
      </c>
      <c r="H16">
        <v>100</v>
      </c>
      <c r="I16">
        <v>1E-4</v>
      </c>
      <c r="J16">
        <v>4</v>
      </c>
      <c r="K16" t="s">
        <v>403</v>
      </c>
      <c r="L16" t="s">
        <v>904</v>
      </c>
    </row>
    <row r="17" spans="1:12">
      <c r="A17" t="s">
        <v>915</v>
      </c>
      <c r="B17" s="57">
        <v>41564</v>
      </c>
      <c r="C17">
        <v>9344.2999999999993</v>
      </c>
      <c r="D17" s="57">
        <v>41551</v>
      </c>
      <c r="E17">
        <v>9274.83</v>
      </c>
      <c r="F17" s="439">
        <v>69.47</v>
      </c>
      <c r="G17">
        <v>7.95</v>
      </c>
      <c r="H17">
        <v>98</v>
      </c>
      <c r="I17">
        <v>94.56</v>
      </c>
      <c r="J17">
        <v>95.35</v>
      </c>
      <c r="K17" t="s">
        <v>145</v>
      </c>
      <c r="L17" t="s">
        <v>271</v>
      </c>
    </row>
    <row r="18" spans="1:12">
      <c r="A18" t="s">
        <v>547</v>
      </c>
      <c r="B18" s="57">
        <v>41563</v>
      </c>
      <c r="C18">
        <v>5010</v>
      </c>
      <c r="D18" s="57">
        <v>41540</v>
      </c>
      <c r="E18">
        <v>4929.75</v>
      </c>
      <c r="F18" s="439">
        <v>80.25</v>
      </c>
      <c r="G18">
        <v>7.95</v>
      </c>
      <c r="H18">
        <v>10</v>
      </c>
      <c r="I18">
        <v>492.18</v>
      </c>
      <c r="J18">
        <v>501</v>
      </c>
      <c r="K18" t="s">
        <v>145</v>
      </c>
      <c r="L18" t="s">
        <v>110</v>
      </c>
    </row>
    <row r="19" spans="1:12">
      <c r="A19" t="s">
        <v>547</v>
      </c>
      <c r="B19" s="57">
        <v>41526</v>
      </c>
      <c r="C19">
        <v>5060.5</v>
      </c>
      <c r="D19" s="57">
        <v>41514</v>
      </c>
      <c r="E19">
        <v>4942.1490000000003</v>
      </c>
      <c r="F19" s="439">
        <v>118.351</v>
      </c>
      <c r="G19">
        <v>7.95</v>
      </c>
      <c r="H19">
        <v>10</v>
      </c>
      <c r="I19">
        <v>493.41989999999998</v>
      </c>
      <c r="J19">
        <v>506.05</v>
      </c>
      <c r="K19" t="s">
        <v>145</v>
      </c>
      <c r="L19" t="s">
        <v>110</v>
      </c>
    </row>
    <row r="20" spans="1:12">
      <c r="A20" t="s">
        <v>577</v>
      </c>
      <c r="B20" s="57">
        <v>41447</v>
      </c>
      <c r="C20">
        <v>0.1</v>
      </c>
      <c r="D20" s="57">
        <v>41277</v>
      </c>
      <c r="E20">
        <v>4908.7</v>
      </c>
      <c r="F20" s="439">
        <v>-4908.6000000000004</v>
      </c>
      <c r="G20">
        <v>8.6999999999999993</v>
      </c>
      <c r="H20">
        <v>100</v>
      </c>
      <c r="I20">
        <v>49</v>
      </c>
      <c r="J20">
        <v>1E-3</v>
      </c>
      <c r="K20" t="s">
        <v>233</v>
      </c>
      <c r="L20" t="s">
        <v>891</v>
      </c>
    </row>
    <row r="21" spans="1:12">
      <c r="A21" t="s">
        <v>916</v>
      </c>
      <c r="B21" s="57">
        <v>41409</v>
      </c>
      <c r="C21">
        <v>204</v>
      </c>
      <c r="D21" s="57">
        <v>41018</v>
      </c>
      <c r="E21">
        <v>197.95</v>
      </c>
      <c r="F21" s="439">
        <v>6.05</v>
      </c>
      <c r="G21">
        <v>7.95</v>
      </c>
      <c r="H21">
        <v>2</v>
      </c>
      <c r="I21">
        <v>95</v>
      </c>
      <c r="J21">
        <v>102</v>
      </c>
      <c r="K21" t="s">
        <v>145</v>
      </c>
      <c r="L21" t="s">
        <v>271</v>
      </c>
    </row>
    <row r="22" spans="1:12">
      <c r="A22" t="s">
        <v>908</v>
      </c>
      <c r="B22" s="57">
        <v>41352</v>
      </c>
      <c r="C22">
        <v>170</v>
      </c>
      <c r="D22" s="57">
        <v>41345</v>
      </c>
      <c r="E22">
        <v>28.7</v>
      </c>
      <c r="F22" s="439">
        <v>141.30000000000001</v>
      </c>
      <c r="G22">
        <v>28.7</v>
      </c>
      <c r="H22">
        <v>100</v>
      </c>
      <c r="I22">
        <v>0</v>
      </c>
      <c r="J22">
        <v>1.7</v>
      </c>
      <c r="K22" t="s">
        <v>404</v>
      </c>
      <c r="L22" t="s">
        <v>896</v>
      </c>
    </row>
    <row r="23" spans="1:12">
      <c r="A23" t="s">
        <v>909</v>
      </c>
      <c r="B23" s="57">
        <v>41352</v>
      </c>
      <c r="C23">
        <v>650</v>
      </c>
      <c r="D23" s="57">
        <v>40085</v>
      </c>
      <c r="E23">
        <v>3361.45</v>
      </c>
      <c r="F23" s="439">
        <v>-2711.45</v>
      </c>
      <c r="G23">
        <v>7.95</v>
      </c>
      <c r="H23">
        <v>50</v>
      </c>
      <c r="I23">
        <v>67.069999999999993</v>
      </c>
      <c r="J23">
        <v>13</v>
      </c>
      <c r="K23" t="s">
        <v>145</v>
      </c>
      <c r="L23" t="s">
        <v>894</v>
      </c>
    </row>
    <row r="24" spans="1:12">
      <c r="A24" t="s">
        <v>909</v>
      </c>
      <c r="B24" s="57">
        <v>41352</v>
      </c>
      <c r="C24">
        <v>650</v>
      </c>
      <c r="D24" s="57">
        <v>40801</v>
      </c>
      <c r="E24">
        <v>1182.95</v>
      </c>
      <c r="F24" s="439">
        <v>-532.95000000000005</v>
      </c>
      <c r="G24">
        <v>7.95</v>
      </c>
      <c r="H24">
        <v>50</v>
      </c>
      <c r="I24">
        <v>23.5</v>
      </c>
      <c r="J24">
        <v>13</v>
      </c>
      <c r="K24" t="s">
        <v>145</v>
      </c>
      <c r="L24" t="s">
        <v>894</v>
      </c>
    </row>
    <row r="25" spans="1:12">
      <c r="A25" t="s">
        <v>911</v>
      </c>
      <c r="B25" s="57">
        <v>41349</v>
      </c>
      <c r="C25">
        <v>1</v>
      </c>
      <c r="D25" s="57">
        <v>41243</v>
      </c>
      <c r="E25">
        <v>308.7</v>
      </c>
      <c r="F25" s="439">
        <v>-307.7</v>
      </c>
      <c r="G25">
        <v>8.6999999999999993</v>
      </c>
      <c r="H25">
        <v>100</v>
      </c>
      <c r="I25">
        <v>3</v>
      </c>
      <c r="J25">
        <v>0.01</v>
      </c>
      <c r="K25" t="s">
        <v>233</v>
      </c>
      <c r="L25" t="s">
        <v>873</v>
      </c>
    </row>
    <row r="26" spans="1:12">
      <c r="A26" t="s">
        <v>726</v>
      </c>
      <c r="B26" s="57">
        <v>41332</v>
      </c>
      <c r="C26">
        <v>200</v>
      </c>
      <c r="D26" s="57">
        <v>41330</v>
      </c>
      <c r="E26">
        <v>28.7</v>
      </c>
      <c r="F26" s="563">
        <v>171.3</v>
      </c>
      <c r="G26">
        <v>28.7</v>
      </c>
      <c r="H26">
        <v>100</v>
      </c>
      <c r="I26">
        <v>0</v>
      </c>
      <c r="J26">
        <v>2</v>
      </c>
      <c r="K26" t="s">
        <v>404</v>
      </c>
      <c r="L26" t="s">
        <v>895</v>
      </c>
    </row>
    <row r="27" spans="1:12">
      <c r="A27" t="s">
        <v>726</v>
      </c>
      <c r="B27" s="57">
        <v>41332</v>
      </c>
      <c r="C27">
        <v>9250</v>
      </c>
      <c r="D27" s="57">
        <v>41018</v>
      </c>
      <c r="E27">
        <v>9507.9500000000007</v>
      </c>
      <c r="F27" s="563">
        <v>-257.95</v>
      </c>
      <c r="G27">
        <v>7.95</v>
      </c>
      <c r="H27">
        <v>100</v>
      </c>
      <c r="I27">
        <v>95</v>
      </c>
      <c r="J27">
        <v>92.5</v>
      </c>
      <c r="K27" t="s">
        <v>145</v>
      </c>
      <c r="L27" t="s">
        <v>271</v>
      </c>
    </row>
    <row r="28" spans="1:12">
      <c r="A28" t="s">
        <v>907</v>
      </c>
      <c r="B28" s="57">
        <v>41320</v>
      </c>
      <c r="C28">
        <v>750</v>
      </c>
      <c r="D28" s="57">
        <v>40162</v>
      </c>
      <c r="E28">
        <v>1155.45</v>
      </c>
      <c r="F28" s="563">
        <v>-405.45</v>
      </c>
      <c r="G28">
        <v>7.95</v>
      </c>
      <c r="H28">
        <v>75</v>
      </c>
      <c r="I28">
        <v>15.3</v>
      </c>
      <c r="J28">
        <v>10</v>
      </c>
      <c r="K28" t="s">
        <v>145</v>
      </c>
      <c r="L28" t="s">
        <v>255</v>
      </c>
    </row>
    <row r="29" spans="1:12">
      <c r="A29" t="s">
        <v>906</v>
      </c>
      <c r="B29" s="57">
        <v>41320</v>
      </c>
      <c r="C29">
        <v>250</v>
      </c>
      <c r="D29" s="57">
        <v>41032</v>
      </c>
      <c r="E29">
        <v>207.95</v>
      </c>
      <c r="F29" s="563">
        <v>42.05</v>
      </c>
      <c r="G29">
        <v>7.95</v>
      </c>
      <c r="H29">
        <v>25</v>
      </c>
      <c r="I29">
        <v>8</v>
      </c>
      <c r="J29">
        <v>10</v>
      </c>
      <c r="K29" t="s">
        <v>145</v>
      </c>
      <c r="L29" t="s">
        <v>255</v>
      </c>
    </row>
    <row r="30" spans="1:12">
      <c r="A30" t="s">
        <v>697</v>
      </c>
      <c r="B30" s="57">
        <v>41320</v>
      </c>
      <c r="C30">
        <v>150</v>
      </c>
      <c r="D30" s="57">
        <v>41270</v>
      </c>
      <c r="E30">
        <v>17.399999999999999</v>
      </c>
      <c r="F30" s="563">
        <v>132.6</v>
      </c>
      <c r="G30">
        <v>17.399999999999999</v>
      </c>
      <c r="H30">
        <v>100</v>
      </c>
      <c r="I30">
        <v>0</v>
      </c>
      <c r="J30">
        <v>1.5</v>
      </c>
      <c r="K30" t="s">
        <v>15</v>
      </c>
      <c r="L30" t="s">
        <v>887</v>
      </c>
    </row>
    <row r="31" spans="1:12">
      <c r="A31" t="s">
        <v>912</v>
      </c>
      <c r="B31" s="57">
        <v>41320</v>
      </c>
      <c r="C31">
        <v>250</v>
      </c>
      <c r="D31" s="57">
        <v>41278</v>
      </c>
      <c r="E31">
        <v>28.7</v>
      </c>
      <c r="F31" s="563">
        <v>221.3</v>
      </c>
      <c r="G31">
        <v>28.7</v>
      </c>
      <c r="H31">
        <v>100</v>
      </c>
      <c r="I31">
        <v>0</v>
      </c>
      <c r="J31">
        <v>2.5</v>
      </c>
      <c r="K31" t="s">
        <v>404</v>
      </c>
      <c r="L31" t="s">
        <v>892</v>
      </c>
    </row>
    <row r="32" spans="1:12">
      <c r="A32" t="s">
        <v>912</v>
      </c>
      <c r="B32" s="57">
        <v>41320</v>
      </c>
      <c r="C32">
        <v>6750</v>
      </c>
      <c r="D32" s="57">
        <v>41274</v>
      </c>
      <c r="E32">
        <v>6782.95</v>
      </c>
      <c r="F32" s="563">
        <v>-32.950000000000003</v>
      </c>
      <c r="G32">
        <v>7.95</v>
      </c>
      <c r="H32">
        <v>100</v>
      </c>
      <c r="I32">
        <v>67.75</v>
      </c>
      <c r="J32">
        <v>67.5</v>
      </c>
      <c r="K32" t="s">
        <v>145</v>
      </c>
      <c r="L32" t="s">
        <v>174</v>
      </c>
    </row>
    <row r="33" spans="1:12">
      <c r="A33" t="s">
        <v>629</v>
      </c>
      <c r="B33" s="57">
        <v>41312</v>
      </c>
      <c r="C33">
        <v>750</v>
      </c>
      <c r="D33" s="57">
        <v>41260</v>
      </c>
      <c r="E33">
        <v>530.9</v>
      </c>
      <c r="F33" s="566">
        <v>219.1</v>
      </c>
      <c r="G33">
        <v>30.9</v>
      </c>
      <c r="H33">
        <v>1000</v>
      </c>
      <c r="I33">
        <v>0.5</v>
      </c>
      <c r="J33">
        <v>0.75</v>
      </c>
      <c r="K33" t="s">
        <v>15</v>
      </c>
      <c r="L33" t="s">
        <v>878</v>
      </c>
    </row>
    <row r="34" spans="1:12">
      <c r="A34" t="s">
        <v>913</v>
      </c>
      <c r="B34" s="57">
        <v>41299</v>
      </c>
      <c r="C34">
        <v>350</v>
      </c>
      <c r="D34" s="57">
        <v>41248</v>
      </c>
      <c r="E34">
        <v>267.39999999999998</v>
      </c>
      <c r="F34" s="566">
        <v>82.6</v>
      </c>
      <c r="G34">
        <v>17.399999999999999</v>
      </c>
      <c r="H34">
        <v>100</v>
      </c>
      <c r="I34">
        <v>2.5</v>
      </c>
      <c r="J34">
        <v>3.5</v>
      </c>
      <c r="K34" t="s">
        <v>278</v>
      </c>
      <c r="L34" t="s">
        <v>877</v>
      </c>
    </row>
    <row r="35" spans="1:12">
      <c r="A35" t="s">
        <v>554</v>
      </c>
      <c r="B35" s="57">
        <v>41294</v>
      </c>
      <c r="C35">
        <v>3800</v>
      </c>
      <c r="D35" s="57">
        <v>40787</v>
      </c>
      <c r="E35">
        <v>3907.95</v>
      </c>
      <c r="F35" s="566">
        <v>-107.95</v>
      </c>
      <c r="G35">
        <v>7.95</v>
      </c>
      <c r="H35">
        <v>200</v>
      </c>
      <c r="I35">
        <v>19.5</v>
      </c>
      <c r="J35">
        <v>19</v>
      </c>
      <c r="K35" t="s">
        <v>145</v>
      </c>
      <c r="L35" t="s">
        <v>126</v>
      </c>
    </row>
    <row r="36" spans="1:12">
      <c r="A36" t="s">
        <v>554</v>
      </c>
      <c r="B36" s="57">
        <v>41294</v>
      </c>
      <c r="C36">
        <v>400</v>
      </c>
      <c r="D36" s="57">
        <v>41247</v>
      </c>
      <c r="E36">
        <v>29.45</v>
      </c>
      <c r="F36" s="566">
        <v>370.55</v>
      </c>
      <c r="G36">
        <v>29.45</v>
      </c>
      <c r="H36">
        <v>200</v>
      </c>
      <c r="I36">
        <v>0</v>
      </c>
      <c r="J36">
        <v>2</v>
      </c>
      <c r="K36" t="s">
        <v>404</v>
      </c>
      <c r="L36" t="s">
        <v>875</v>
      </c>
    </row>
    <row r="37" spans="1:12">
      <c r="A37" t="s">
        <v>726</v>
      </c>
      <c r="B37" s="57">
        <v>41292</v>
      </c>
      <c r="C37">
        <v>275</v>
      </c>
      <c r="D37" s="57">
        <v>41276</v>
      </c>
      <c r="E37">
        <v>491.4</v>
      </c>
      <c r="F37" s="566">
        <v>-216.4</v>
      </c>
      <c r="G37">
        <v>17.399999999999999</v>
      </c>
      <c r="H37">
        <v>100</v>
      </c>
      <c r="I37">
        <v>4.74</v>
      </c>
      <c r="J37">
        <v>2.75</v>
      </c>
      <c r="K37" t="s">
        <v>15</v>
      </c>
      <c r="L37" t="s">
        <v>893</v>
      </c>
    </row>
    <row r="38" spans="1:12">
      <c r="A38" t="s">
        <v>910</v>
      </c>
      <c r="B38" s="57">
        <v>41278</v>
      </c>
      <c r="C38">
        <v>1008.15</v>
      </c>
      <c r="D38" s="57">
        <v>40785</v>
      </c>
      <c r="E38">
        <v>1515.0050000000001</v>
      </c>
      <c r="F38" s="358">
        <v>-506.85500000000002</v>
      </c>
      <c r="G38">
        <v>7.95</v>
      </c>
      <c r="H38">
        <v>517</v>
      </c>
      <c r="I38">
        <v>2.915</v>
      </c>
      <c r="J38">
        <v>1.95</v>
      </c>
      <c r="K38" t="s">
        <v>145</v>
      </c>
      <c r="L38" t="s">
        <v>738</v>
      </c>
    </row>
    <row r="39" spans="1:12">
      <c r="A39" t="s">
        <v>605</v>
      </c>
      <c r="B39" s="57">
        <v>41278</v>
      </c>
      <c r="C39">
        <v>148</v>
      </c>
      <c r="D39" s="57">
        <v>41242</v>
      </c>
      <c r="E39">
        <v>67.400000000000006</v>
      </c>
      <c r="F39" s="358">
        <v>80.599999999999994</v>
      </c>
      <c r="G39">
        <v>17.399999999999999</v>
      </c>
      <c r="H39">
        <v>100</v>
      </c>
      <c r="I39">
        <v>0.5</v>
      </c>
      <c r="J39">
        <v>1.48</v>
      </c>
      <c r="K39" t="s">
        <v>15</v>
      </c>
      <c r="L39" t="s">
        <v>872</v>
      </c>
    </row>
    <row r="40" spans="1:12">
      <c r="A40" t="s">
        <v>607</v>
      </c>
      <c r="B40" s="57">
        <v>41276</v>
      </c>
      <c r="C40">
        <v>1007.25</v>
      </c>
      <c r="D40" s="57">
        <v>40848</v>
      </c>
      <c r="E40">
        <v>2257.9499999999998</v>
      </c>
      <c r="F40" s="358">
        <v>-1250.7</v>
      </c>
      <c r="G40">
        <v>7.95</v>
      </c>
      <c r="H40">
        <v>500</v>
      </c>
      <c r="I40">
        <v>4.5</v>
      </c>
      <c r="J40">
        <v>2.0145</v>
      </c>
      <c r="K40" t="s">
        <v>145</v>
      </c>
      <c r="L40" t="s">
        <v>23</v>
      </c>
    </row>
    <row r="41" spans="1:12">
      <c r="A41" t="s">
        <v>608</v>
      </c>
      <c r="B41" s="57">
        <v>41276</v>
      </c>
      <c r="C41">
        <v>2014.5</v>
      </c>
      <c r="D41" s="57">
        <v>40762</v>
      </c>
      <c r="E41">
        <v>4417.95</v>
      </c>
      <c r="F41" s="358">
        <v>-2403.4499999999998</v>
      </c>
      <c r="G41">
        <v>7.95</v>
      </c>
      <c r="H41">
        <v>1000</v>
      </c>
      <c r="I41">
        <v>4.41</v>
      </c>
      <c r="J41">
        <v>2.0145</v>
      </c>
      <c r="K41" t="s">
        <v>145</v>
      </c>
      <c r="L41" t="s">
        <v>23</v>
      </c>
    </row>
    <row r="42" spans="1:12" ht="13.5" thickBot="1">
      <c r="B42" s="57"/>
      <c r="D42" s="57"/>
      <c r="F42" s="598">
        <f>SUBTOTAL(109,Table_USStocks.accdb5[Profit])</f>
        <v>-10847.320399999997</v>
      </c>
    </row>
    <row r="43" spans="1:12" ht="13.5" thickBot="1">
      <c r="E43" s="437" t="s">
        <v>753</v>
      </c>
      <c r="F43" s="440">
        <f>COUNTIF(Table_USStocks.accdb5[Profit],"&gt;0")/COUNT(Table_USStocks.accdb5[Profit])</f>
        <v>0.5641025641025641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9"/>
  <sheetViews>
    <sheetView topLeftCell="A52" zoomScale="90" zoomScaleNormal="90" workbookViewId="0">
      <selection activeCell="A75" sqref="A75"/>
    </sheetView>
  </sheetViews>
  <sheetFormatPr defaultRowHeight="12.75"/>
  <cols>
    <col min="1" max="1" width="21.140625" bestFit="1" customWidth="1"/>
    <col min="2" max="2" width="11.140625" bestFit="1" customWidth="1"/>
    <col min="3" max="3" width="16.28515625" bestFit="1" customWidth="1"/>
    <col min="4" max="4" width="15.85546875" bestFit="1" customWidth="1"/>
    <col min="5" max="5" width="12.85546875" bestFit="1" customWidth="1"/>
    <col min="6" max="6" width="8.5703125" bestFit="1" customWidth="1"/>
    <col min="7" max="7" width="14.85546875" bestFit="1" customWidth="1"/>
    <col min="8" max="8" width="10.140625" bestFit="1" customWidth="1"/>
    <col min="9" max="10" width="11.7109375" bestFit="1" customWidth="1"/>
    <col min="11" max="11" width="7.42578125" bestFit="1" customWidth="1"/>
    <col min="12" max="12" width="24.42578125" bestFit="1" customWidth="1"/>
  </cols>
  <sheetData>
    <row r="1" spans="1:12">
      <c r="A1" t="s">
        <v>208</v>
      </c>
      <c r="B1" t="s">
        <v>281</v>
      </c>
      <c r="C1" t="s">
        <v>517</v>
      </c>
      <c r="D1" t="s">
        <v>518</v>
      </c>
      <c r="E1" t="s">
        <v>282</v>
      </c>
      <c r="F1" t="s">
        <v>122</v>
      </c>
      <c r="G1" t="s">
        <v>102</v>
      </c>
      <c r="H1" t="s">
        <v>313</v>
      </c>
      <c r="I1" t="s">
        <v>95</v>
      </c>
      <c r="J1" t="s">
        <v>280</v>
      </c>
      <c r="K1" t="s">
        <v>519</v>
      </c>
      <c r="L1" t="s">
        <v>520</v>
      </c>
    </row>
    <row r="2" spans="1:12">
      <c r="A2" t="s">
        <v>720</v>
      </c>
      <c r="B2" s="57">
        <v>40911</v>
      </c>
      <c r="C2">
        <v>1250</v>
      </c>
      <c r="D2" s="57">
        <v>40906</v>
      </c>
      <c r="E2">
        <v>1223.4000000000001</v>
      </c>
      <c r="F2" s="439">
        <v>26.6</v>
      </c>
      <c r="G2">
        <v>23.4</v>
      </c>
      <c r="H2">
        <v>500</v>
      </c>
      <c r="I2">
        <v>2.4</v>
      </c>
      <c r="J2">
        <v>2.5</v>
      </c>
      <c r="K2" t="s">
        <v>258</v>
      </c>
      <c r="L2" t="s">
        <v>477</v>
      </c>
    </row>
    <row r="3" spans="1:12">
      <c r="A3" t="s">
        <v>721</v>
      </c>
      <c r="B3" s="57">
        <v>40919</v>
      </c>
      <c r="C3">
        <v>1750</v>
      </c>
      <c r="D3" s="57">
        <v>40891</v>
      </c>
      <c r="E3">
        <v>1557.95</v>
      </c>
      <c r="F3" s="474">
        <v>192.05</v>
      </c>
      <c r="G3">
        <v>7.95</v>
      </c>
      <c r="H3">
        <v>50</v>
      </c>
      <c r="I3">
        <v>31</v>
      </c>
      <c r="J3">
        <v>35</v>
      </c>
      <c r="K3" t="s">
        <v>145</v>
      </c>
      <c r="L3" t="s">
        <v>434</v>
      </c>
    </row>
    <row r="4" spans="1:12">
      <c r="A4" t="s">
        <v>706</v>
      </c>
      <c r="B4" s="57">
        <v>40925</v>
      </c>
      <c r="C4">
        <v>1632</v>
      </c>
      <c r="D4" s="57">
        <v>40869</v>
      </c>
      <c r="E4">
        <v>1520.0082</v>
      </c>
      <c r="F4" s="358">
        <v>111.9918</v>
      </c>
      <c r="G4">
        <v>7.95</v>
      </c>
      <c r="H4">
        <v>102</v>
      </c>
      <c r="I4">
        <v>14.8241</v>
      </c>
      <c r="J4">
        <v>16</v>
      </c>
      <c r="K4" t="s">
        <v>145</v>
      </c>
      <c r="L4" t="s">
        <v>433</v>
      </c>
    </row>
    <row r="5" spans="1:12">
      <c r="A5" t="s">
        <v>628</v>
      </c>
      <c r="B5" s="57">
        <v>40925</v>
      </c>
      <c r="C5">
        <v>1700</v>
      </c>
      <c r="D5" s="57">
        <v>40898</v>
      </c>
      <c r="E5">
        <v>1392.4</v>
      </c>
      <c r="F5" s="439">
        <v>307.60000000000002</v>
      </c>
      <c r="G5">
        <v>17.399999999999999</v>
      </c>
      <c r="H5">
        <v>100</v>
      </c>
      <c r="I5">
        <v>13.75</v>
      </c>
      <c r="J5">
        <v>17</v>
      </c>
      <c r="K5" t="s">
        <v>15</v>
      </c>
      <c r="L5" t="s">
        <v>466</v>
      </c>
    </row>
    <row r="6" spans="1:12">
      <c r="A6" t="s">
        <v>628</v>
      </c>
      <c r="B6" s="57">
        <v>40927</v>
      </c>
      <c r="C6">
        <v>125</v>
      </c>
      <c r="D6" s="57">
        <v>40798</v>
      </c>
      <c r="E6">
        <v>1607.4</v>
      </c>
      <c r="F6" s="358">
        <v>-1482.4</v>
      </c>
      <c r="G6">
        <v>17.399999999999999</v>
      </c>
      <c r="H6">
        <v>100</v>
      </c>
      <c r="I6">
        <v>15.9</v>
      </c>
      <c r="J6">
        <v>1.25</v>
      </c>
      <c r="K6" t="s">
        <v>278</v>
      </c>
      <c r="L6" t="s">
        <v>357</v>
      </c>
    </row>
    <row r="7" spans="1:12">
      <c r="A7" t="s">
        <v>701</v>
      </c>
      <c r="B7" s="57">
        <v>40928</v>
      </c>
      <c r="C7">
        <v>700</v>
      </c>
      <c r="D7" s="57">
        <v>40906</v>
      </c>
      <c r="E7">
        <v>1027.4000000000001</v>
      </c>
      <c r="F7" s="439">
        <v>-327.39999999999998</v>
      </c>
      <c r="G7">
        <v>17.399999999999999</v>
      </c>
      <c r="H7">
        <v>100</v>
      </c>
      <c r="I7">
        <v>10.1</v>
      </c>
      <c r="J7">
        <v>7</v>
      </c>
      <c r="K7" t="s">
        <v>15</v>
      </c>
      <c r="L7" t="s">
        <v>478</v>
      </c>
    </row>
    <row r="8" spans="1:12">
      <c r="A8" t="s">
        <v>600</v>
      </c>
      <c r="B8" s="57">
        <v>40928</v>
      </c>
      <c r="C8">
        <v>400</v>
      </c>
      <c r="D8" s="57">
        <v>40900</v>
      </c>
      <c r="E8">
        <v>368.9</v>
      </c>
      <c r="F8" s="439">
        <v>31.1</v>
      </c>
      <c r="G8">
        <v>18.899999999999999</v>
      </c>
      <c r="H8">
        <v>200</v>
      </c>
      <c r="I8">
        <v>1.75</v>
      </c>
      <c r="J8">
        <v>2</v>
      </c>
      <c r="K8" t="s">
        <v>15</v>
      </c>
      <c r="L8" t="s">
        <v>471</v>
      </c>
    </row>
    <row r="9" spans="1:12">
      <c r="A9" t="s">
        <v>885</v>
      </c>
      <c r="B9" s="57">
        <v>40928</v>
      </c>
      <c r="C9">
        <v>200</v>
      </c>
      <c r="D9" s="57">
        <v>40877</v>
      </c>
      <c r="E9">
        <v>347.4</v>
      </c>
      <c r="F9" s="483">
        <v>-147.4</v>
      </c>
      <c r="G9">
        <v>17.399999999999999</v>
      </c>
      <c r="H9">
        <v>100</v>
      </c>
      <c r="I9">
        <v>3.3</v>
      </c>
      <c r="J9">
        <v>2</v>
      </c>
      <c r="K9" t="s">
        <v>15</v>
      </c>
      <c r="L9" t="s">
        <v>882</v>
      </c>
    </row>
    <row r="10" spans="1:12">
      <c r="A10" t="s">
        <v>605</v>
      </c>
      <c r="B10" s="57">
        <v>40928</v>
      </c>
      <c r="C10">
        <v>900</v>
      </c>
      <c r="D10" s="57">
        <v>40878</v>
      </c>
      <c r="E10">
        <v>817.4</v>
      </c>
      <c r="F10" s="439">
        <v>82.6</v>
      </c>
      <c r="G10">
        <v>17.399999999999999</v>
      </c>
      <c r="H10">
        <v>100</v>
      </c>
      <c r="I10">
        <v>8</v>
      </c>
      <c r="J10">
        <v>9</v>
      </c>
      <c r="K10" t="s">
        <v>15</v>
      </c>
      <c r="L10" t="s">
        <v>457</v>
      </c>
    </row>
    <row r="11" spans="1:12">
      <c r="A11" t="s">
        <v>618</v>
      </c>
      <c r="B11" s="57">
        <v>40928</v>
      </c>
      <c r="C11">
        <v>500</v>
      </c>
      <c r="D11" s="57">
        <v>40899</v>
      </c>
      <c r="E11">
        <v>1073.4000000000001</v>
      </c>
      <c r="F11" s="439">
        <v>-573.4</v>
      </c>
      <c r="G11">
        <v>23.4</v>
      </c>
      <c r="H11">
        <v>500</v>
      </c>
      <c r="I11">
        <v>2.1</v>
      </c>
      <c r="J11">
        <v>1</v>
      </c>
      <c r="K11" t="s">
        <v>15</v>
      </c>
      <c r="L11" t="s">
        <v>469</v>
      </c>
    </row>
    <row r="12" spans="1:12">
      <c r="A12" t="s">
        <v>566</v>
      </c>
      <c r="B12" s="57">
        <v>40930</v>
      </c>
      <c r="C12">
        <v>7250</v>
      </c>
      <c r="D12" s="57">
        <v>40872</v>
      </c>
      <c r="E12">
        <v>7407.95</v>
      </c>
      <c r="F12" s="439">
        <v>-157.94999999999999</v>
      </c>
      <c r="G12">
        <v>7.95</v>
      </c>
      <c r="H12">
        <v>100</v>
      </c>
      <c r="I12">
        <v>74</v>
      </c>
      <c r="J12">
        <v>72.5</v>
      </c>
      <c r="K12" t="s">
        <v>145</v>
      </c>
      <c r="L12" t="s">
        <v>161</v>
      </c>
    </row>
    <row r="13" spans="1:12">
      <c r="A13" t="s">
        <v>566</v>
      </c>
      <c r="B13" s="57">
        <v>40930</v>
      </c>
      <c r="C13">
        <v>450</v>
      </c>
      <c r="D13" s="57">
        <v>40897</v>
      </c>
      <c r="E13">
        <v>28.7</v>
      </c>
      <c r="F13" s="439">
        <v>421.3</v>
      </c>
      <c r="G13">
        <v>28.7</v>
      </c>
      <c r="H13">
        <v>100</v>
      </c>
      <c r="I13">
        <v>0</v>
      </c>
      <c r="J13">
        <v>4.5</v>
      </c>
      <c r="K13" t="s">
        <v>404</v>
      </c>
      <c r="L13" t="s">
        <v>465</v>
      </c>
    </row>
    <row r="14" spans="1:12">
      <c r="A14" t="s">
        <v>723</v>
      </c>
      <c r="B14" s="57">
        <v>40930</v>
      </c>
      <c r="C14">
        <v>160</v>
      </c>
      <c r="D14" s="57">
        <v>40897</v>
      </c>
      <c r="E14">
        <v>29.45</v>
      </c>
      <c r="F14" s="358">
        <v>130.55000000000001</v>
      </c>
      <c r="G14">
        <v>29.45</v>
      </c>
      <c r="H14">
        <v>200</v>
      </c>
      <c r="I14">
        <v>0</v>
      </c>
      <c r="J14">
        <v>0.8</v>
      </c>
      <c r="K14" t="s">
        <v>404</v>
      </c>
      <c r="L14" t="s">
        <v>464</v>
      </c>
    </row>
    <row r="15" spans="1:12">
      <c r="A15" t="s">
        <v>723</v>
      </c>
      <c r="B15" s="57">
        <v>40930</v>
      </c>
      <c r="C15">
        <v>2200</v>
      </c>
      <c r="D15" s="57">
        <v>40804</v>
      </c>
      <c r="E15">
        <v>2515.0500000000002</v>
      </c>
      <c r="F15" s="358">
        <v>-315.05</v>
      </c>
      <c r="G15">
        <v>7.95</v>
      </c>
      <c r="H15">
        <v>200</v>
      </c>
      <c r="I15">
        <v>12.535500000000001</v>
      </c>
      <c r="J15">
        <v>11</v>
      </c>
      <c r="K15" t="s">
        <v>145</v>
      </c>
      <c r="L15" t="s">
        <v>10</v>
      </c>
    </row>
    <row r="16" spans="1:12">
      <c r="A16" t="s">
        <v>724</v>
      </c>
      <c r="B16" s="57">
        <v>40930</v>
      </c>
      <c r="C16">
        <v>2</v>
      </c>
      <c r="D16" s="57">
        <v>40764</v>
      </c>
      <c r="E16">
        <v>462.95</v>
      </c>
      <c r="F16" s="358">
        <v>-460.95</v>
      </c>
      <c r="G16">
        <v>22.95</v>
      </c>
      <c r="H16">
        <v>2000</v>
      </c>
      <c r="I16">
        <v>0.22</v>
      </c>
      <c r="J16">
        <v>1E-3</v>
      </c>
      <c r="K16" t="s">
        <v>405</v>
      </c>
      <c r="L16" t="s">
        <v>362</v>
      </c>
    </row>
    <row r="17" spans="1:12">
      <c r="A17" t="s">
        <v>725</v>
      </c>
      <c r="B17" s="57">
        <v>40930</v>
      </c>
      <c r="C17">
        <v>110</v>
      </c>
      <c r="D17" s="57">
        <v>40898</v>
      </c>
      <c r="E17">
        <v>8.6999999999999993</v>
      </c>
      <c r="F17" s="499">
        <v>101.3</v>
      </c>
      <c r="G17">
        <v>8.6999999999999993</v>
      </c>
      <c r="H17">
        <v>100</v>
      </c>
      <c r="I17">
        <v>0</v>
      </c>
      <c r="J17">
        <v>1.1000000000000001</v>
      </c>
      <c r="K17" t="s">
        <v>403</v>
      </c>
      <c r="L17" t="s">
        <v>467</v>
      </c>
    </row>
    <row r="18" spans="1:12">
      <c r="A18" t="s">
        <v>708</v>
      </c>
      <c r="B18" s="57">
        <v>40935</v>
      </c>
      <c r="C18">
        <v>9340.4</v>
      </c>
      <c r="D18" s="57">
        <v>40189</v>
      </c>
      <c r="E18">
        <v>7996.8720000000003</v>
      </c>
      <c r="F18" s="439">
        <v>1343.528</v>
      </c>
      <c r="G18">
        <v>0</v>
      </c>
      <c r="H18">
        <v>760</v>
      </c>
      <c r="I18">
        <v>10.5222</v>
      </c>
      <c r="J18">
        <v>12.29</v>
      </c>
      <c r="K18" t="s">
        <v>320</v>
      </c>
      <c r="L18" t="s">
        <v>152</v>
      </c>
    </row>
    <row r="19" spans="1:12">
      <c r="A19" t="s">
        <v>699</v>
      </c>
      <c r="B19" s="57">
        <v>40942</v>
      </c>
      <c r="C19">
        <v>126.5</v>
      </c>
      <c r="D19" s="57">
        <v>40164</v>
      </c>
      <c r="E19">
        <v>334.55</v>
      </c>
      <c r="F19" s="439">
        <v>-208.05</v>
      </c>
      <c r="G19">
        <v>7.95</v>
      </c>
      <c r="H19">
        <v>115</v>
      </c>
      <c r="I19">
        <v>2.84</v>
      </c>
      <c r="J19">
        <v>1.1000000000000001</v>
      </c>
      <c r="K19" t="s">
        <v>145</v>
      </c>
      <c r="L19" t="s">
        <v>81</v>
      </c>
    </row>
    <row r="20" spans="1:12">
      <c r="A20" t="s">
        <v>695</v>
      </c>
      <c r="B20" s="57">
        <v>40947</v>
      </c>
      <c r="C20">
        <v>2503.2800000000002</v>
      </c>
      <c r="D20" s="57">
        <v>40819</v>
      </c>
      <c r="E20">
        <v>2295.9499999999998</v>
      </c>
      <c r="F20" s="439">
        <v>207.33</v>
      </c>
      <c r="G20">
        <v>7.95</v>
      </c>
      <c r="H20">
        <v>104</v>
      </c>
      <c r="I20">
        <v>22</v>
      </c>
      <c r="J20">
        <v>24.07</v>
      </c>
      <c r="K20" t="s">
        <v>145</v>
      </c>
      <c r="L20" t="s">
        <v>45</v>
      </c>
    </row>
    <row r="21" spans="1:12">
      <c r="A21" t="s">
        <v>628</v>
      </c>
      <c r="B21" s="57">
        <v>40949</v>
      </c>
      <c r="C21">
        <v>1150</v>
      </c>
      <c r="D21" s="57">
        <v>40925</v>
      </c>
      <c r="E21">
        <v>2117.4</v>
      </c>
      <c r="F21" s="490">
        <v>-967.4</v>
      </c>
      <c r="G21">
        <v>17.399999999999999</v>
      </c>
      <c r="H21">
        <v>100</v>
      </c>
      <c r="I21">
        <v>21</v>
      </c>
      <c r="J21">
        <v>11.5</v>
      </c>
      <c r="K21" t="s">
        <v>15</v>
      </c>
      <c r="L21" t="s">
        <v>490</v>
      </c>
    </row>
    <row r="22" spans="1:12">
      <c r="A22" t="s">
        <v>549</v>
      </c>
      <c r="B22" s="57">
        <v>40954</v>
      </c>
      <c r="C22">
        <v>350</v>
      </c>
      <c r="D22" s="57">
        <v>40906</v>
      </c>
      <c r="E22">
        <v>1117.4000000000001</v>
      </c>
      <c r="F22" s="439">
        <v>-767.4</v>
      </c>
      <c r="G22">
        <v>17.399999999999999</v>
      </c>
      <c r="H22">
        <v>100</v>
      </c>
      <c r="I22">
        <v>11</v>
      </c>
      <c r="J22">
        <v>3.5</v>
      </c>
      <c r="K22" t="s">
        <v>15</v>
      </c>
      <c r="L22" t="s">
        <v>479</v>
      </c>
    </row>
    <row r="23" spans="1:12">
      <c r="A23" t="s">
        <v>557</v>
      </c>
      <c r="B23" s="57">
        <v>40956</v>
      </c>
      <c r="C23">
        <v>1050</v>
      </c>
      <c r="D23" s="57">
        <v>40899</v>
      </c>
      <c r="E23">
        <v>33.200000000000003</v>
      </c>
      <c r="F23" s="439">
        <v>1016.8</v>
      </c>
      <c r="G23">
        <v>33.200000000000003</v>
      </c>
      <c r="H23">
        <v>700</v>
      </c>
      <c r="I23">
        <v>0</v>
      </c>
      <c r="J23">
        <v>1.5</v>
      </c>
      <c r="K23" t="s">
        <v>404</v>
      </c>
      <c r="L23" t="s">
        <v>470</v>
      </c>
    </row>
    <row r="24" spans="1:12">
      <c r="A24" t="s">
        <v>557</v>
      </c>
      <c r="B24" s="57">
        <v>40956</v>
      </c>
      <c r="C24">
        <v>2800</v>
      </c>
      <c r="D24" s="57">
        <v>40779</v>
      </c>
      <c r="E24">
        <v>5325.22</v>
      </c>
      <c r="F24" s="439">
        <v>-2525.2199999999998</v>
      </c>
      <c r="G24">
        <v>7.95</v>
      </c>
      <c r="H24">
        <v>700</v>
      </c>
      <c r="I24">
        <v>7.5960999999999999</v>
      </c>
      <c r="J24">
        <v>4</v>
      </c>
      <c r="K24" t="s">
        <v>145</v>
      </c>
      <c r="L24" t="s">
        <v>255</v>
      </c>
    </row>
    <row r="25" spans="1:12">
      <c r="A25" t="s">
        <v>582</v>
      </c>
      <c r="B25" s="57">
        <v>40956</v>
      </c>
      <c r="C25">
        <v>2400</v>
      </c>
      <c r="D25" s="57">
        <v>40861</v>
      </c>
      <c r="E25">
        <v>2807.95</v>
      </c>
      <c r="F25" s="439">
        <v>-407.95</v>
      </c>
      <c r="G25">
        <v>7.95</v>
      </c>
      <c r="H25">
        <v>200</v>
      </c>
      <c r="I25">
        <v>14</v>
      </c>
      <c r="J25">
        <v>12</v>
      </c>
      <c r="K25" t="s">
        <v>145</v>
      </c>
      <c r="L25" t="s">
        <v>438</v>
      </c>
    </row>
    <row r="26" spans="1:12">
      <c r="A26" t="s">
        <v>582</v>
      </c>
      <c r="B26" s="57">
        <v>40956</v>
      </c>
      <c r="C26">
        <v>450</v>
      </c>
      <c r="D26" s="57">
        <v>40911</v>
      </c>
      <c r="E26">
        <v>29.45</v>
      </c>
      <c r="F26" s="439">
        <v>420.55</v>
      </c>
      <c r="G26">
        <v>29.45</v>
      </c>
      <c r="H26">
        <v>200</v>
      </c>
      <c r="I26">
        <v>0</v>
      </c>
      <c r="J26">
        <v>2.25</v>
      </c>
      <c r="K26" t="s">
        <v>404</v>
      </c>
      <c r="L26" t="s">
        <v>483</v>
      </c>
    </row>
    <row r="27" spans="1:12">
      <c r="A27" t="s">
        <v>705</v>
      </c>
      <c r="B27" s="57">
        <v>40956</v>
      </c>
      <c r="C27">
        <v>4900</v>
      </c>
      <c r="D27" s="57">
        <v>40199</v>
      </c>
      <c r="E27">
        <v>5007.95</v>
      </c>
      <c r="F27" s="439">
        <v>-107.95</v>
      </c>
      <c r="G27">
        <v>7.95</v>
      </c>
      <c r="H27">
        <v>100</v>
      </c>
      <c r="I27">
        <v>50</v>
      </c>
      <c r="J27">
        <v>49</v>
      </c>
      <c r="K27" t="s">
        <v>145</v>
      </c>
      <c r="L27" t="s">
        <v>94</v>
      </c>
    </row>
    <row r="28" spans="1:12">
      <c r="A28" t="s">
        <v>705</v>
      </c>
      <c r="B28" s="57">
        <v>40956</v>
      </c>
      <c r="C28">
        <v>1050</v>
      </c>
      <c r="D28" s="57">
        <v>40918</v>
      </c>
      <c r="E28">
        <v>28.7</v>
      </c>
      <c r="F28" s="439">
        <v>1021.3</v>
      </c>
      <c r="G28">
        <v>28.7</v>
      </c>
      <c r="H28">
        <v>100</v>
      </c>
      <c r="I28">
        <v>0</v>
      </c>
      <c r="J28">
        <v>10.5</v>
      </c>
      <c r="K28" t="s">
        <v>404</v>
      </c>
      <c r="L28" t="s">
        <v>485</v>
      </c>
    </row>
    <row r="29" spans="1:12">
      <c r="A29" t="s">
        <v>709</v>
      </c>
      <c r="B29" s="57">
        <v>40956</v>
      </c>
      <c r="C29">
        <v>2785.86</v>
      </c>
      <c r="D29" s="57">
        <v>40701</v>
      </c>
      <c r="E29">
        <v>2768.85</v>
      </c>
      <c r="F29" s="439">
        <v>17.010000000000002</v>
      </c>
      <c r="G29">
        <v>0</v>
      </c>
      <c r="H29">
        <v>63</v>
      </c>
      <c r="I29">
        <v>43.95</v>
      </c>
      <c r="J29">
        <v>44.22</v>
      </c>
      <c r="K29" t="s">
        <v>320</v>
      </c>
      <c r="L29" t="s">
        <v>226</v>
      </c>
    </row>
    <row r="30" spans="1:12">
      <c r="A30" t="s">
        <v>710</v>
      </c>
      <c r="B30" s="57">
        <v>40956</v>
      </c>
      <c r="C30">
        <v>5129.5200000000004</v>
      </c>
      <c r="D30" s="57">
        <v>40619</v>
      </c>
      <c r="E30">
        <v>5018.16</v>
      </c>
      <c r="F30" s="439">
        <v>111.36</v>
      </c>
      <c r="G30">
        <v>0</v>
      </c>
      <c r="H30">
        <v>116</v>
      </c>
      <c r="I30">
        <v>43.26</v>
      </c>
      <c r="J30">
        <v>44.22</v>
      </c>
      <c r="K30" t="s">
        <v>320</v>
      </c>
      <c r="L30" t="s">
        <v>226</v>
      </c>
    </row>
    <row r="31" spans="1:12">
      <c r="A31" t="s">
        <v>715</v>
      </c>
      <c r="B31" s="57">
        <v>40956</v>
      </c>
      <c r="C31">
        <v>600</v>
      </c>
      <c r="D31" s="57">
        <v>40925</v>
      </c>
      <c r="E31">
        <v>19.2</v>
      </c>
      <c r="F31" s="439">
        <v>580.79999999999995</v>
      </c>
      <c r="G31">
        <v>19.2</v>
      </c>
      <c r="H31">
        <v>1500</v>
      </c>
      <c r="I31">
        <v>0</v>
      </c>
      <c r="J31">
        <v>0.4</v>
      </c>
      <c r="K31" t="s">
        <v>403</v>
      </c>
      <c r="L31" t="s">
        <v>489</v>
      </c>
    </row>
    <row r="32" spans="1:12">
      <c r="A32" t="s">
        <v>718</v>
      </c>
      <c r="B32" s="57">
        <v>40956</v>
      </c>
      <c r="C32">
        <v>36</v>
      </c>
      <c r="D32" s="57">
        <v>40757</v>
      </c>
      <c r="E32">
        <v>52.552500000000002</v>
      </c>
      <c r="F32" s="439">
        <v>-16.552499999999998</v>
      </c>
      <c r="G32">
        <v>7.95</v>
      </c>
      <c r="H32">
        <v>3</v>
      </c>
      <c r="I32">
        <v>14.8675</v>
      </c>
      <c r="J32">
        <v>12</v>
      </c>
      <c r="K32" t="s">
        <v>145</v>
      </c>
      <c r="L32" t="s">
        <v>130</v>
      </c>
    </row>
    <row r="33" spans="1:12">
      <c r="A33" t="s">
        <v>719</v>
      </c>
      <c r="B33" s="57">
        <v>40956</v>
      </c>
      <c r="C33">
        <v>1164</v>
      </c>
      <c r="D33" s="57">
        <v>40847</v>
      </c>
      <c r="E33">
        <v>1220.45</v>
      </c>
      <c r="F33" s="439">
        <v>-56.45</v>
      </c>
      <c r="G33">
        <v>7.95</v>
      </c>
      <c r="H33">
        <v>97</v>
      </c>
      <c r="I33">
        <v>12.5</v>
      </c>
      <c r="J33">
        <v>12</v>
      </c>
      <c r="K33" t="s">
        <v>145</v>
      </c>
      <c r="L33" t="s">
        <v>130</v>
      </c>
    </row>
    <row r="34" spans="1:12">
      <c r="A34" t="s">
        <v>614</v>
      </c>
      <c r="B34" s="57">
        <v>40956</v>
      </c>
      <c r="C34">
        <v>150</v>
      </c>
      <c r="D34" s="57">
        <v>40877</v>
      </c>
      <c r="E34">
        <v>28.7</v>
      </c>
      <c r="F34" s="503">
        <v>121.3</v>
      </c>
      <c r="G34">
        <v>28.7</v>
      </c>
      <c r="H34">
        <v>100</v>
      </c>
      <c r="I34">
        <v>0</v>
      </c>
      <c r="J34">
        <v>1.5</v>
      </c>
      <c r="K34" t="s">
        <v>404</v>
      </c>
      <c r="L34" t="s">
        <v>451</v>
      </c>
    </row>
    <row r="35" spans="1:12">
      <c r="A35" t="s">
        <v>634</v>
      </c>
      <c r="B35" s="57">
        <v>40956</v>
      </c>
      <c r="C35">
        <v>450</v>
      </c>
      <c r="D35" s="57">
        <v>40918</v>
      </c>
      <c r="E35">
        <v>119.4</v>
      </c>
      <c r="F35" s="439">
        <v>330.6</v>
      </c>
      <c r="G35">
        <v>29.4</v>
      </c>
      <c r="H35">
        <v>900</v>
      </c>
      <c r="I35">
        <v>0.1</v>
      </c>
      <c r="J35">
        <v>0.5</v>
      </c>
      <c r="K35" t="s">
        <v>15</v>
      </c>
      <c r="L35" t="s">
        <v>486</v>
      </c>
    </row>
    <row r="36" spans="1:12">
      <c r="A36" t="s">
        <v>716</v>
      </c>
      <c r="B36" s="57">
        <v>40962</v>
      </c>
      <c r="C36">
        <v>160</v>
      </c>
      <c r="D36" s="57">
        <v>40808</v>
      </c>
      <c r="E36">
        <v>868.9</v>
      </c>
      <c r="F36" s="439">
        <v>-708.9</v>
      </c>
      <c r="G36">
        <v>18.899999999999999</v>
      </c>
      <c r="H36">
        <v>200</v>
      </c>
      <c r="I36">
        <v>4.25</v>
      </c>
      <c r="J36">
        <v>0.8</v>
      </c>
      <c r="K36" t="s">
        <v>278</v>
      </c>
      <c r="L36" t="s">
        <v>391</v>
      </c>
    </row>
    <row r="37" spans="1:12">
      <c r="A37" t="s">
        <v>570</v>
      </c>
      <c r="B37" s="57">
        <v>40963</v>
      </c>
      <c r="C37">
        <v>125</v>
      </c>
      <c r="D37" s="57">
        <v>40911</v>
      </c>
      <c r="E37">
        <v>17.399999999999999</v>
      </c>
      <c r="F37" s="439">
        <v>107.6</v>
      </c>
      <c r="G37">
        <v>17.399999999999999</v>
      </c>
      <c r="H37">
        <v>100</v>
      </c>
      <c r="I37">
        <v>0</v>
      </c>
      <c r="J37">
        <v>1.25</v>
      </c>
      <c r="K37" t="s">
        <v>15</v>
      </c>
      <c r="L37" t="s">
        <v>484</v>
      </c>
    </row>
    <row r="38" spans="1:12">
      <c r="A38" t="s">
        <v>570</v>
      </c>
      <c r="B38" s="57">
        <v>40963</v>
      </c>
      <c r="C38">
        <v>400</v>
      </c>
      <c r="D38" s="57">
        <v>40858</v>
      </c>
      <c r="E38">
        <v>682.95</v>
      </c>
      <c r="F38" s="439">
        <v>-282.95</v>
      </c>
      <c r="G38">
        <v>7.95</v>
      </c>
      <c r="H38">
        <v>100</v>
      </c>
      <c r="I38">
        <v>6.75</v>
      </c>
      <c r="J38">
        <v>4</v>
      </c>
      <c r="K38" t="s">
        <v>145</v>
      </c>
      <c r="L38" t="s">
        <v>82</v>
      </c>
    </row>
    <row r="39" spans="1:12">
      <c r="A39" t="s">
        <v>701</v>
      </c>
      <c r="B39" s="57">
        <v>40966</v>
      </c>
      <c r="C39">
        <v>300</v>
      </c>
      <c r="D39" s="57">
        <v>40933</v>
      </c>
      <c r="E39">
        <v>627.4</v>
      </c>
      <c r="F39" s="439">
        <v>-327.39999999999998</v>
      </c>
      <c r="G39">
        <v>17.399999999999999</v>
      </c>
      <c r="H39">
        <v>100</v>
      </c>
      <c r="I39">
        <v>6.1</v>
      </c>
      <c r="J39">
        <v>3</v>
      </c>
      <c r="K39" t="s">
        <v>15</v>
      </c>
      <c r="L39" t="s">
        <v>494</v>
      </c>
    </row>
    <row r="40" spans="1:12">
      <c r="A40" t="s">
        <v>605</v>
      </c>
      <c r="B40" s="57">
        <v>40966</v>
      </c>
      <c r="C40">
        <v>200</v>
      </c>
      <c r="D40" s="57">
        <v>40934</v>
      </c>
      <c r="E40">
        <v>77.400000000000006</v>
      </c>
      <c r="F40" s="439">
        <v>122.6</v>
      </c>
      <c r="G40">
        <v>17.399999999999999</v>
      </c>
      <c r="H40">
        <v>100</v>
      </c>
      <c r="I40">
        <v>0.6</v>
      </c>
      <c r="J40">
        <v>2</v>
      </c>
      <c r="K40" t="s">
        <v>15</v>
      </c>
      <c r="L40" t="s">
        <v>496</v>
      </c>
    </row>
    <row r="41" spans="1:12">
      <c r="A41" t="s">
        <v>549</v>
      </c>
      <c r="B41" s="57">
        <v>40968</v>
      </c>
      <c r="C41">
        <v>340</v>
      </c>
      <c r="D41" s="57">
        <v>40960</v>
      </c>
      <c r="E41">
        <v>267.39999999999998</v>
      </c>
      <c r="F41" s="439">
        <v>72.599999999999994</v>
      </c>
      <c r="G41">
        <v>17.399999999999999</v>
      </c>
      <c r="H41">
        <v>100</v>
      </c>
      <c r="I41">
        <v>2.5</v>
      </c>
      <c r="J41">
        <v>3.4</v>
      </c>
      <c r="K41" t="s">
        <v>15</v>
      </c>
      <c r="L41" t="s">
        <v>500</v>
      </c>
    </row>
    <row r="42" spans="1:12">
      <c r="A42" t="s">
        <v>696</v>
      </c>
      <c r="B42" s="57">
        <v>40968</v>
      </c>
      <c r="C42">
        <v>500</v>
      </c>
      <c r="D42" s="57">
        <v>40962</v>
      </c>
      <c r="E42">
        <v>467.4</v>
      </c>
      <c r="F42" s="439">
        <v>32.6</v>
      </c>
      <c r="G42">
        <v>17.399999999999999</v>
      </c>
      <c r="H42">
        <v>100</v>
      </c>
      <c r="I42">
        <v>4.5</v>
      </c>
      <c r="J42">
        <v>5</v>
      </c>
      <c r="K42" t="s">
        <v>258</v>
      </c>
      <c r="L42" t="s">
        <v>504</v>
      </c>
    </row>
    <row r="43" spans="1:12">
      <c r="A43" t="s">
        <v>701</v>
      </c>
      <c r="B43" s="57">
        <v>40970</v>
      </c>
      <c r="C43">
        <v>950</v>
      </c>
      <c r="D43" s="57">
        <v>40961</v>
      </c>
      <c r="E43">
        <v>767.4</v>
      </c>
      <c r="F43" s="439">
        <v>182.6</v>
      </c>
      <c r="G43">
        <v>17.399999999999999</v>
      </c>
      <c r="H43">
        <v>100</v>
      </c>
      <c r="I43">
        <v>7.5</v>
      </c>
      <c r="J43">
        <v>9.5</v>
      </c>
      <c r="K43" t="s">
        <v>15</v>
      </c>
      <c r="L43" t="s">
        <v>501</v>
      </c>
    </row>
    <row r="44" spans="1:12">
      <c r="A44" t="s">
        <v>618</v>
      </c>
      <c r="B44" s="57">
        <v>40973</v>
      </c>
      <c r="C44">
        <v>500</v>
      </c>
      <c r="D44" s="57">
        <v>40945</v>
      </c>
      <c r="E44">
        <v>273.39999999999998</v>
      </c>
      <c r="F44" s="439">
        <v>226.6</v>
      </c>
      <c r="G44">
        <v>23.4</v>
      </c>
      <c r="H44">
        <v>500</v>
      </c>
      <c r="I44">
        <v>0.5</v>
      </c>
      <c r="J44">
        <v>1</v>
      </c>
      <c r="K44" t="s">
        <v>15</v>
      </c>
      <c r="L44" t="s">
        <v>506</v>
      </c>
    </row>
    <row r="45" spans="1:12">
      <c r="A45" t="s">
        <v>562</v>
      </c>
      <c r="B45" s="57">
        <v>40974</v>
      </c>
      <c r="C45">
        <v>750</v>
      </c>
      <c r="D45" s="57">
        <v>40877</v>
      </c>
      <c r="E45">
        <v>248.4</v>
      </c>
      <c r="F45" s="439">
        <v>501.6</v>
      </c>
      <c r="G45">
        <v>23.4</v>
      </c>
      <c r="H45">
        <v>500</v>
      </c>
      <c r="I45">
        <v>0.45</v>
      </c>
      <c r="J45">
        <v>1.5</v>
      </c>
      <c r="K45" t="s">
        <v>15</v>
      </c>
      <c r="L45" t="s">
        <v>450</v>
      </c>
    </row>
    <row r="46" spans="1:12">
      <c r="A46" t="s">
        <v>714</v>
      </c>
      <c r="B46" s="57">
        <v>40974</v>
      </c>
      <c r="C46">
        <v>210</v>
      </c>
      <c r="D46" s="57">
        <v>40905</v>
      </c>
      <c r="E46">
        <v>207.4</v>
      </c>
      <c r="F46" s="358">
        <v>2.6</v>
      </c>
      <c r="G46">
        <v>17.399999999999999</v>
      </c>
      <c r="H46">
        <v>100</v>
      </c>
      <c r="I46">
        <v>1.9</v>
      </c>
      <c r="J46">
        <v>2.1</v>
      </c>
      <c r="K46" t="s">
        <v>15</v>
      </c>
      <c r="L46" t="s">
        <v>475</v>
      </c>
    </row>
    <row r="47" spans="1:12">
      <c r="A47" t="s">
        <v>628</v>
      </c>
      <c r="B47" s="57">
        <v>40974</v>
      </c>
      <c r="C47">
        <v>550</v>
      </c>
      <c r="D47" s="57">
        <v>40963</v>
      </c>
      <c r="E47">
        <v>100.4</v>
      </c>
      <c r="F47" s="439">
        <v>449.6</v>
      </c>
      <c r="G47">
        <v>17.399999999999999</v>
      </c>
      <c r="H47">
        <v>100</v>
      </c>
      <c r="I47">
        <v>0.83</v>
      </c>
      <c r="J47">
        <v>5.5</v>
      </c>
      <c r="K47" t="s">
        <v>15</v>
      </c>
      <c r="L47" t="s">
        <v>505</v>
      </c>
    </row>
    <row r="48" spans="1:12">
      <c r="A48" t="s">
        <v>629</v>
      </c>
      <c r="B48" s="57">
        <v>40975</v>
      </c>
      <c r="C48">
        <v>550</v>
      </c>
      <c r="D48" s="57">
        <v>40878</v>
      </c>
      <c r="E48">
        <v>330.9</v>
      </c>
      <c r="F48" s="498">
        <v>219.1</v>
      </c>
      <c r="G48">
        <v>30.9</v>
      </c>
      <c r="H48">
        <v>1000</v>
      </c>
      <c r="I48">
        <v>0.3</v>
      </c>
      <c r="J48">
        <v>0.55000000000000004</v>
      </c>
      <c r="K48" t="s">
        <v>15</v>
      </c>
      <c r="L48" t="s">
        <v>460</v>
      </c>
    </row>
    <row r="49" spans="1:12">
      <c r="A49" t="s">
        <v>711</v>
      </c>
      <c r="B49" s="57">
        <v>40980</v>
      </c>
      <c r="C49">
        <v>650</v>
      </c>
      <c r="D49" s="57">
        <v>40962</v>
      </c>
      <c r="E49">
        <v>417.4</v>
      </c>
      <c r="F49" s="439">
        <v>232.6</v>
      </c>
      <c r="G49">
        <v>17.399999999999999</v>
      </c>
      <c r="H49">
        <v>100</v>
      </c>
      <c r="I49">
        <v>4</v>
      </c>
      <c r="J49">
        <v>6.5</v>
      </c>
      <c r="K49" t="s">
        <v>258</v>
      </c>
      <c r="L49" t="s">
        <v>503</v>
      </c>
    </row>
    <row r="50" spans="1:12">
      <c r="A50" t="s">
        <v>716</v>
      </c>
      <c r="B50" s="57">
        <v>40980</v>
      </c>
      <c r="C50">
        <v>2</v>
      </c>
      <c r="D50" s="57">
        <v>40814</v>
      </c>
      <c r="E50">
        <v>829.45</v>
      </c>
      <c r="F50" s="439">
        <v>-827.45</v>
      </c>
      <c r="G50">
        <v>39.450000000000003</v>
      </c>
      <c r="H50">
        <v>200</v>
      </c>
      <c r="I50">
        <v>3.95</v>
      </c>
      <c r="J50">
        <v>0.01</v>
      </c>
      <c r="K50" t="s">
        <v>508</v>
      </c>
      <c r="L50" t="s">
        <v>392</v>
      </c>
    </row>
    <row r="51" spans="1:12">
      <c r="A51" t="s">
        <v>701</v>
      </c>
      <c r="B51" s="57">
        <v>40983</v>
      </c>
      <c r="C51">
        <v>550</v>
      </c>
      <c r="D51" s="57">
        <v>40976</v>
      </c>
      <c r="E51">
        <v>417.4</v>
      </c>
      <c r="F51" s="439">
        <v>132.6</v>
      </c>
      <c r="G51">
        <v>17.399999999999999</v>
      </c>
      <c r="H51">
        <v>100</v>
      </c>
      <c r="I51">
        <v>4</v>
      </c>
      <c r="J51">
        <v>5.5</v>
      </c>
      <c r="K51" t="s">
        <v>15</v>
      </c>
      <c r="L51" t="s">
        <v>507</v>
      </c>
    </row>
    <row r="52" spans="1:12">
      <c r="A52" t="s">
        <v>703</v>
      </c>
      <c r="B52" s="57">
        <v>40983</v>
      </c>
      <c r="C52">
        <v>1851.5</v>
      </c>
      <c r="D52" s="57">
        <v>39973</v>
      </c>
      <c r="E52">
        <v>1581.95</v>
      </c>
      <c r="F52" s="439">
        <v>269.55</v>
      </c>
      <c r="G52">
        <v>7.95</v>
      </c>
      <c r="H52">
        <v>50</v>
      </c>
      <c r="I52">
        <v>31.48</v>
      </c>
      <c r="J52">
        <v>37.03</v>
      </c>
      <c r="K52" t="s">
        <v>145</v>
      </c>
      <c r="L52" t="s">
        <v>261</v>
      </c>
    </row>
    <row r="53" spans="1:12">
      <c r="A53" t="s">
        <v>704</v>
      </c>
      <c r="B53" s="57">
        <v>40983</v>
      </c>
      <c r="C53">
        <v>144.80000000000001</v>
      </c>
      <c r="D53" s="57">
        <v>40861</v>
      </c>
      <c r="E53">
        <v>119.95</v>
      </c>
      <c r="F53" s="439">
        <v>24.85</v>
      </c>
      <c r="G53">
        <v>7.95</v>
      </c>
      <c r="H53">
        <v>8</v>
      </c>
      <c r="I53">
        <v>14</v>
      </c>
      <c r="J53">
        <v>18.100000000000001</v>
      </c>
      <c r="K53" t="s">
        <v>145</v>
      </c>
      <c r="L53" t="s">
        <v>438</v>
      </c>
    </row>
    <row r="54" spans="1:12">
      <c r="A54" t="s">
        <v>595</v>
      </c>
      <c r="B54" s="57">
        <v>40984</v>
      </c>
      <c r="C54">
        <v>1000</v>
      </c>
      <c r="D54" s="57">
        <v>40885</v>
      </c>
      <c r="E54">
        <v>57.4</v>
      </c>
      <c r="F54" s="439">
        <v>942.6</v>
      </c>
      <c r="G54">
        <v>28.7</v>
      </c>
      <c r="H54">
        <v>100</v>
      </c>
      <c r="I54">
        <v>0.28699999999999998</v>
      </c>
      <c r="J54">
        <v>10</v>
      </c>
      <c r="K54" t="s">
        <v>404</v>
      </c>
      <c r="L54" t="s">
        <v>462</v>
      </c>
    </row>
    <row r="55" spans="1:12">
      <c r="A55" t="s">
        <v>712</v>
      </c>
      <c r="B55" s="57">
        <v>40984</v>
      </c>
      <c r="C55">
        <v>3750</v>
      </c>
      <c r="D55" s="57">
        <v>40808</v>
      </c>
      <c r="E55">
        <v>6432.95</v>
      </c>
      <c r="F55" s="439">
        <v>-2682.95</v>
      </c>
      <c r="G55">
        <v>7.95</v>
      </c>
      <c r="H55">
        <v>50</v>
      </c>
      <c r="I55">
        <v>128.5</v>
      </c>
      <c r="J55">
        <v>75</v>
      </c>
      <c r="K55" t="s">
        <v>145</v>
      </c>
      <c r="L55" t="s">
        <v>162</v>
      </c>
    </row>
    <row r="56" spans="1:12">
      <c r="A56" t="s">
        <v>712</v>
      </c>
      <c r="B56" s="57">
        <v>40984</v>
      </c>
      <c r="C56">
        <v>3750</v>
      </c>
      <c r="D56" s="57">
        <v>40841</v>
      </c>
      <c r="E56">
        <v>3857.95</v>
      </c>
      <c r="F56" s="439">
        <v>-107.95</v>
      </c>
      <c r="G56">
        <v>7.95</v>
      </c>
      <c r="H56">
        <v>50</v>
      </c>
      <c r="I56">
        <v>77</v>
      </c>
      <c r="J56">
        <v>75</v>
      </c>
      <c r="K56" t="s">
        <v>145</v>
      </c>
      <c r="L56" t="s">
        <v>162</v>
      </c>
    </row>
    <row r="57" spans="1:12">
      <c r="A57" t="s">
        <v>618</v>
      </c>
      <c r="B57" s="57">
        <v>40984</v>
      </c>
      <c r="C57">
        <v>250</v>
      </c>
      <c r="D57" s="57">
        <v>40982</v>
      </c>
      <c r="E57">
        <v>23.4</v>
      </c>
      <c r="F57" s="439">
        <v>226.6</v>
      </c>
      <c r="G57">
        <v>23.4</v>
      </c>
      <c r="H57">
        <v>500</v>
      </c>
      <c r="I57">
        <v>0</v>
      </c>
      <c r="J57">
        <v>0.5</v>
      </c>
      <c r="K57" t="s">
        <v>15</v>
      </c>
      <c r="L57" t="s">
        <v>510</v>
      </c>
    </row>
    <row r="58" spans="1:12">
      <c r="A58" t="s">
        <v>618</v>
      </c>
      <c r="B58" s="57">
        <v>40984</v>
      </c>
      <c r="C58">
        <v>3000</v>
      </c>
      <c r="D58" s="57">
        <v>40742</v>
      </c>
      <c r="E58">
        <v>4757.95</v>
      </c>
      <c r="F58" s="439">
        <v>-1757.95</v>
      </c>
      <c r="G58">
        <v>7.95</v>
      </c>
      <c r="H58">
        <v>500</v>
      </c>
      <c r="I58">
        <v>9.5</v>
      </c>
      <c r="J58">
        <v>6</v>
      </c>
      <c r="K58" t="s">
        <v>145</v>
      </c>
      <c r="L58" t="s">
        <v>272</v>
      </c>
    </row>
    <row r="59" spans="1:12">
      <c r="A59" t="s">
        <v>701</v>
      </c>
      <c r="B59" s="57">
        <v>40997</v>
      </c>
      <c r="C59">
        <v>720</v>
      </c>
      <c r="D59" s="57">
        <v>40984</v>
      </c>
      <c r="E59">
        <v>217.4</v>
      </c>
      <c r="F59" s="439">
        <v>502.6</v>
      </c>
      <c r="G59">
        <v>17.399999999999999</v>
      </c>
      <c r="H59">
        <v>100</v>
      </c>
      <c r="I59">
        <v>2</v>
      </c>
      <c r="J59">
        <v>7.2</v>
      </c>
      <c r="K59" t="s">
        <v>15</v>
      </c>
      <c r="L59" t="s">
        <v>515</v>
      </c>
    </row>
    <row r="60" spans="1:12">
      <c r="A60" t="s">
        <v>562</v>
      </c>
      <c r="B60" s="57">
        <v>41009</v>
      </c>
      <c r="C60">
        <v>600</v>
      </c>
      <c r="D60" s="57">
        <v>40983</v>
      </c>
      <c r="E60">
        <v>223.4</v>
      </c>
      <c r="F60" s="439">
        <v>376.6</v>
      </c>
      <c r="G60">
        <v>23.4</v>
      </c>
      <c r="H60">
        <v>500</v>
      </c>
      <c r="I60">
        <v>0.4</v>
      </c>
      <c r="J60">
        <v>1.2</v>
      </c>
      <c r="K60" t="s">
        <v>15</v>
      </c>
      <c r="L60" t="s">
        <v>511</v>
      </c>
    </row>
    <row r="61" spans="1:12">
      <c r="A61" t="s">
        <v>702</v>
      </c>
      <c r="B61" s="57">
        <v>41009</v>
      </c>
      <c r="C61">
        <v>215</v>
      </c>
      <c r="D61" s="57">
        <v>41007</v>
      </c>
      <c r="E61">
        <v>29.7</v>
      </c>
      <c r="F61" s="439">
        <v>185.3</v>
      </c>
      <c r="G61">
        <v>28.7</v>
      </c>
      <c r="H61">
        <v>100</v>
      </c>
      <c r="I61">
        <v>0.01</v>
      </c>
      <c r="J61">
        <v>2.15</v>
      </c>
      <c r="K61" t="s">
        <v>404</v>
      </c>
      <c r="L61" t="s">
        <v>655</v>
      </c>
    </row>
    <row r="62" spans="1:12">
      <c r="A62" t="s">
        <v>702</v>
      </c>
      <c r="B62" s="57">
        <v>41009</v>
      </c>
      <c r="C62">
        <v>1900</v>
      </c>
      <c r="D62" s="57">
        <v>40858</v>
      </c>
      <c r="E62">
        <v>1700.95</v>
      </c>
      <c r="F62" s="439">
        <v>199.05</v>
      </c>
      <c r="G62">
        <v>7.95</v>
      </c>
      <c r="H62">
        <v>100</v>
      </c>
      <c r="I62">
        <v>16.93</v>
      </c>
      <c r="J62">
        <v>19</v>
      </c>
      <c r="K62" t="s">
        <v>145</v>
      </c>
      <c r="L62" t="s">
        <v>423</v>
      </c>
    </row>
    <row r="63" spans="1:12">
      <c r="A63" t="s">
        <v>701</v>
      </c>
      <c r="B63" s="57">
        <v>41015</v>
      </c>
      <c r="C63">
        <v>350</v>
      </c>
      <c r="D63" s="57">
        <v>41002</v>
      </c>
      <c r="E63">
        <v>42.4</v>
      </c>
      <c r="F63" s="439">
        <v>307.60000000000002</v>
      </c>
      <c r="G63">
        <v>17.399999999999999</v>
      </c>
      <c r="H63">
        <v>100</v>
      </c>
      <c r="I63">
        <v>0.25</v>
      </c>
      <c r="J63">
        <v>3.5</v>
      </c>
      <c r="K63" t="s">
        <v>15</v>
      </c>
      <c r="L63" t="s">
        <v>654</v>
      </c>
    </row>
    <row r="64" spans="1:12">
      <c r="A64" t="s">
        <v>554</v>
      </c>
      <c r="B64" s="57">
        <v>41019</v>
      </c>
      <c r="C64">
        <v>1500</v>
      </c>
      <c r="D64" s="57">
        <v>40919</v>
      </c>
      <c r="E64">
        <v>1658.9</v>
      </c>
      <c r="F64" s="439">
        <v>-158.9</v>
      </c>
      <c r="G64">
        <v>18.899999999999999</v>
      </c>
      <c r="H64">
        <v>200</v>
      </c>
      <c r="I64">
        <v>8.1999999999999993</v>
      </c>
      <c r="J64">
        <v>7.5</v>
      </c>
      <c r="K64" t="s">
        <v>15</v>
      </c>
      <c r="L64" t="s">
        <v>487</v>
      </c>
    </row>
    <row r="65" spans="1:12">
      <c r="A65" t="s">
        <v>697</v>
      </c>
      <c r="B65" s="57">
        <v>41019</v>
      </c>
      <c r="C65">
        <v>50</v>
      </c>
      <c r="D65" s="57">
        <v>40911</v>
      </c>
      <c r="E65">
        <v>267.39999999999998</v>
      </c>
      <c r="F65" s="358">
        <v>-217.4</v>
      </c>
      <c r="G65">
        <v>17.399999999999999</v>
      </c>
      <c r="H65">
        <v>100</v>
      </c>
      <c r="I65">
        <v>2.5</v>
      </c>
      <c r="J65">
        <v>0.5</v>
      </c>
      <c r="K65" t="s">
        <v>15</v>
      </c>
      <c r="L65" t="s">
        <v>482</v>
      </c>
    </row>
    <row r="66" spans="1:12">
      <c r="A66" t="s">
        <v>598</v>
      </c>
      <c r="B66" s="57">
        <v>41019</v>
      </c>
      <c r="C66">
        <v>1000</v>
      </c>
      <c r="D66" s="57">
        <v>40911</v>
      </c>
      <c r="E66">
        <v>685.9</v>
      </c>
      <c r="F66" s="499">
        <v>314.10000000000002</v>
      </c>
      <c r="G66">
        <v>45.9</v>
      </c>
      <c r="H66">
        <v>2000</v>
      </c>
      <c r="I66">
        <v>0.32</v>
      </c>
      <c r="J66">
        <v>0.5</v>
      </c>
      <c r="K66" t="s">
        <v>15</v>
      </c>
      <c r="L66" t="s">
        <v>481</v>
      </c>
    </row>
    <row r="67" spans="1:12">
      <c r="A67" t="s">
        <v>628</v>
      </c>
      <c r="B67" s="57">
        <v>41019</v>
      </c>
      <c r="C67">
        <v>665</v>
      </c>
      <c r="D67" s="57">
        <v>40983</v>
      </c>
      <c r="E67">
        <v>1017.4</v>
      </c>
      <c r="F67" s="439">
        <v>-352.4</v>
      </c>
      <c r="G67">
        <v>17.399999999999999</v>
      </c>
      <c r="H67">
        <v>100</v>
      </c>
      <c r="I67">
        <v>10</v>
      </c>
      <c r="J67">
        <v>6.65</v>
      </c>
      <c r="K67" t="s">
        <v>15</v>
      </c>
      <c r="L67" t="s">
        <v>513</v>
      </c>
    </row>
    <row r="68" spans="1:12">
      <c r="A68" t="s">
        <v>725</v>
      </c>
      <c r="B68" s="57">
        <v>41019</v>
      </c>
      <c r="C68">
        <v>50</v>
      </c>
      <c r="D68" s="57">
        <v>40984</v>
      </c>
      <c r="E68">
        <v>79.400000000000006</v>
      </c>
      <c r="F68" s="439">
        <v>-29.4</v>
      </c>
      <c r="G68">
        <v>17.399999999999999</v>
      </c>
      <c r="H68">
        <v>100</v>
      </c>
      <c r="I68">
        <v>0.62</v>
      </c>
      <c r="J68">
        <v>0.5</v>
      </c>
      <c r="K68" t="s">
        <v>15</v>
      </c>
      <c r="L68" t="s">
        <v>514</v>
      </c>
    </row>
    <row r="69" spans="1:12">
      <c r="A69" t="s">
        <v>546</v>
      </c>
      <c r="B69" s="57">
        <v>41021</v>
      </c>
      <c r="C69">
        <v>1</v>
      </c>
      <c r="D69" s="57">
        <v>40900</v>
      </c>
      <c r="E69">
        <v>2758.7</v>
      </c>
      <c r="F69" s="439">
        <v>-2757.7</v>
      </c>
      <c r="G69">
        <v>8.6999999999999993</v>
      </c>
      <c r="H69">
        <v>100</v>
      </c>
      <c r="I69">
        <v>27.5</v>
      </c>
      <c r="J69">
        <v>0.01</v>
      </c>
      <c r="K69" t="s">
        <v>233</v>
      </c>
      <c r="L69" t="s">
        <v>472</v>
      </c>
    </row>
    <row r="70" spans="1:12">
      <c r="A70" t="s">
        <v>713</v>
      </c>
      <c r="B70" s="57">
        <v>41021</v>
      </c>
      <c r="C70">
        <v>1350</v>
      </c>
      <c r="D70" s="57">
        <v>40925</v>
      </c>
      <c r="E70">
        <v>29.7</v>
      </c>
      <c r="F70" s="439">
        <v>1320.3</v>
      </c>
      <c r="G70">
        <v>28.7</v>
      </c>
      <c r="H70">
        <v>100</v>
      </c>
      <c r="I70">
        <v>0.01</v>
      </c>
      <c r="J70">
        <v>13.5</v>
      </c>
      <c r="K70" t="s">
        <v>404</v>
      </c>
      <c r="L70" t="s">
        <v>488</v>
      </c>
    </row>
    <row r="71" spans="1:12">
      <c r="A71" t="s">
        <v>713</v>
      </c>
      <c r="B71" s="57">
        <v>41021</v>
      </c>
      <c r="C71">
        <v>5000</v>
      </c>
      <c r="D71" s="57">
        <v>40913</v>
      </c>
      <c r="E71">
        <v>6478.33</v>
      </c>
      <c r="F71" s="439">
        <v>-1478.33</v>
      </c>
      <c r="G71">
        <v>7.95</v>
      </c>
      <c r="H71">
        <v>100</v>
      </c>
      <c r="I71">
        <v>64.703800000000001</v>
      </c>
      <c r="J71">
        <v>50</v>
      </c>
      <c r="K71" t="s">
        <v>145</v>
      </c>
      <c r="L71" t="s">
        <v>476</v>
      </c>
    </row>
    <row r="72" spans="1:12">
      <c r="A72" t="s">
        <v>717</v>
      </c>
      <c r="B72" s="57">
        <v>41021</v>
      </c>
      <c r="C72">
        <v>3</v>
      </c>
      <c r="D72" s="57">
        <v>40808</v>
      </c>
      <c r="E72">
        <v>1285.2</v>
      </c>
      <c r="F72" s="439">
        <v>-1282.2</v>
      </c>
      <c r="G72">
        <v>10.199999999999999</v>
      </c>
      <c r="H72">
        <v>300</v>
      </c>
      <c r="I72">
        <v>4.25</v>
      </c>
      <c r="J72">
        <v>0.01</v>
      </c>
      <c r="K72" t="s">
        <v>405</v>
      </c>
      <c r="L72" t="s">
        <v>391</v>
      </c>
    </row>
    <row r="73" spans="1:12">
      <c r="A73" t="s">
        <v>722</v>
      </c>
      <c r="B73" s="57">
        <v>41021</v>
      </c>
      <c r="C73">
        <v>5</v>
      </c>
      <c r="D73" s="57">
        <v>40900</v>
      </c>
      <c r="E73">
        <v>1711.7</v>
      </c>
      <c r="F73" s="358">
        <v>-1706.7</v>
      </c>
      <c r="G73">
        <v>11.7</v>
      </c>
      <c r="H73">
        <v>500</v>
      </c>
      <c r="I73">
        <v>3.4</v>
      </c>
      <c r="J73">
        <v>0.01</v>
      </c>
      <c r="K73" t="s">
        <v>233</v>
      </c>
      <c r="L73" t="s">
        <v>473</v>
      </c>
    </row>
    <row r="74" spans="1:12">
      <c r="A74" t="s">
        <v>698</v>
      </c>
      <c r="B74" s="57">
        <v>41022</v>
      </c>
      <c r="C74">
        <v>390</v>
      </c>
      <c r="D74" s="57">
        <v>40962</v>
      </c>
      <c r="E74">
        <v>342.4</v>
      </c>
      <c r="F74" s="439">
        <v>47.6</v>
      </c>
      <c r="G74">
        <v>17.399999999999999</v>
      </c>
      <c r="H74">
        <v>100</v>
      </c>
      <c r="I74">
        <v>3.25</v>
      </c>
      <c r="J74">
        <v>3.9</v>
      </c>
      <c r="K74" t="s">
        <v>258</v>
      </c>
      <c r="L74" t="s">
        <v>502</v>
      </c>
    </row>
    <row r="75" spans="1:12">
      <c r="A75" t="s">
        <v>571</v>
      </c>
      <c r="B75" s="57">
        <v>41022</v>
      </c>
      <c r="C75">
        <v>2500</v>
      </c>
      <c r="D75" s="57">
        <v>40878</v>
      </c>
      <c r="E75">
        <v>2030.9</v>
      </c>
      <c r="F75" s="439">
        <v>469.1</v>
      </c>
      <c r="G75">
        <v>30.9</v>
      </c>
      <c r="H75">
        <v>1000</v>
      </c>
      <c r="I75">
        <v>2</v>
      </c>
      <c r="J75">
        <v>2.5</v>
      </c>
      <c r="K75" t="s">
        <v>15</v>
      </c>
      <c r="L75" t="s">
        <v>459</v>
      </c>
    </row>
    <row r="76" spans="1:12">
      <c r="A76" t="s">
        <v>549</v>
      </c>
      <c r="B76" s="57">
        <v>41029</v>
      </c>
      <c r="C76">
        <v>500</v>
      </c>
      <c r="D76" s="57">
        <v>41016</v>
      </c>
      <c r="E76">
        <v>217.4</v>
      </c>
      <c r="F76" s="439">
        <v>282.60000000000002</v>
      </c>
      <c r="G76">
        <v>17.399999999999999</v>
      </c>
      <c r="H76">
        <v>100</v>
      </c>
      <c r="I76">
        <v>2</v>
      </c>
      <c r="J76">
        <v>5</v>
      </c>
      <c r="K76" t="s">
        <v>15</v>
      </c>
      <c r="L76" t="s">
        <v>682</v>
      </c>
    </row>
    <row r="77" spans="1:12">
      <c r="A77" t="s">
        <v>700</v>
      </c>
      <c r="B77" s="57">
        <v>41030</v>
      </c>
      <c r="C77">
        <v>7.49</v>
      </c>
      <c r="D77" s="57">
        <v>40190</v>
      </c>
      <c r="E77">
        <v>16.0868</v>
      </c>
      <c r="F77" s="439">
        <v>-8.5968</v>
      </c>
      <c r="G77">
        <v>7.95</v>
      </c>
      <c r="H77">
        <v>1</v>
      </c>
      <c r="I77">
        <v>8.1367999999999991</v>
      </c>
      <c r="J77">
        <v>7.49</v>
      </c>
      <c r="K77" t="s">
        <v>145</v>
      </c>
      <c r="L77" t="s">
        <v>82</v>
      </c>
    </row>
    <row r="78" spans="1:12">
      <c r="A78" t="s">
        <v>707</v>
      </c>
      <c r="B78" s="57">
        <v>41032</v>
      </c>
      <c r="C78">
        <v>350</v>
      </c>
      <c r="D78" s="57">
        <v>41016</v>
      </c>
      <c r="E78">
        <v>292.39999999999998</v>
      </c>
      <c r="F78" s="439">
        <v>57.6</v>
      </c>
      <c r="G78">
        <v>17.399999999999999</v>
      </c>
      <c r="H78">
        <v>100</v>
      </c>
      <c r="I78">
        <v>2.75</v>
      </c>
      <c r="J78">
        <v>3.5</v>
      </c>
      <c r="K78" t="s">
        <v>258</v>
      </c>
      <c r="L78" t="s">
        <v>683</v>
      </c>
    </row>
    <row r="79" spans="1:12">
      <c r="A79" t="s">
        <v>554</v>
      </c>
      <c r="B79" s="57">
        <v>41033</v>
      </c>
      <c r="C79">
        <v>600</v>
      </c>
      <c r="D79" s="57">
        <v>41024</v>
      </c>
      <c r="E79">
        <v>198.9</v>
      </c>
      <c r="F79" s="439">
        <v>401.1</v>
      </c>
      <c r="G79">
        <v>18.899999999999999</v>
      </c>
      <c r="H79">
        <v>200</v>
      </c>
      <c r="I79">
        <v>0.9</v>
      </c>
      <c r="J79">
        <v>3</v>
      </c>
      <c r="K79" t="s">
        <v>15</v>
      </c>
      <c r="L79" t="s">
        <v>687</v>
      </c>
    </row>
    <row r="80" spans="1:12">
      <c r="A80" t="s">
        <v>701</v>
      </c>
      <c r="B80" s="57">
        <v>41033</v>
      </c>
      <c r="C80">
        <v>500</v>
      </c>
      <c r="D80" s="57">
        <v>41017</v>
      </c>
      <c r="E80">
        <v>317.39999999999998</v>
      </c>
      <c r="F80" s="439">
        <v>182.6</v>
      </c>
      <c r="G80">
        <v>17.399999999999999</v>
      </c>
      <c r="H80">
        <v>100</v>
      </c>
      <c r="I80">
        <v>3</v>
      </c>
      <c r="J80">
        <v>5</v>
      </c>
      <c r="K80" t="s">
        <v>15</v>
      </c>
      <c r="L80" t="s">
        <v>684</v>
      </c>
    </row>
    <row r="81" spans="1:12">
      <c r="A81" t="s">
        <v>726</v>
      </c>
      <c r="B81" s="57">
        <v>41033</v>
      </c>
      <c r="C81">
        <v>300</v>
      </c>
      <c r="D81" s="57">
        <v>41029</v>
      </c>
      <c r="E81">
        <v>217.4</v>
      </c>
      <c r="F81" s="439">
        <v>82.6</v>
      </c>
      <c r="G81">
        <v>17.399999999999999</v>
      </c>
      <c r="H81">
        <v>100</v>
      </c>
      <c r="I81">
        <v>2</v>
      </c>
      <c r="J81">
        <v>3</v>
      </c>
      <c r="K81" t="s">
        <v>15</v>
      </c>
      <c r="L81" t="s">
        <v>692</v>
      </c>
    </row>
    <row r="82" spans="1:12">
      <c r="A82" t="s">
        <v>728</v>
      </c>
      <c r="B82" s="57">
        <v>41033</v>
      </c>
      <c r="C82">
        <v>81.510000000000005</v>
      </c>
      <c r="D82" s="57">
        <v>40913</v>
      </c>
      <c r="E82">
        <v>72.653800000000004</v>
      </c>
      <c r="F82" s="439">
        <v>8.8561999999999994</v>
      </c>
      <c r="G82">
        <v>7.95</v>
      </c>
      <c r="H82">
        <v>1</v>
      </c>
      <c r="I82">
        <v>64.703800000000001</v>
      </c>
      <c r="J82">
        <v>81.510000000000005</v>
      </c>
      <c r="K82" t="s">
        <v>145</v>
      </c>
      <c r="L82" t="s">
        <v>476</v>
      </c>
    </row>
    <row r="83" spans="1:12">
      <c r="A83" t="s">
        <v>605</v>
      </c>
      <c r="B83" s="57">
        <v>41033</v>
      </c>
      <c r="C83">
        <v>110</v>
      </c>
      <c r="D83" s="57">
        <v>40983</v>
      </c>
      <c r="E83">
        <v>27.4</v>
      </c>
      <c r="F83" s="439">
        <v>82.6</v>
      </c>
      <c r="G83">
        <v>17.399999999999999</v>
      </c>
      <c r="H83">
        <v>100</v>
      </c>
      <c r="I83">
        <v>0.1</v>
      </c>
      <c r="J83">
        <v>1.1000000000000001</v>
      </c>
      <c r="K83" t="s">
        <v>15</v>
      </c>
      <c r="L83" t="s">
        <v>512</v>
      </c>
    </row>
    <row r="84" spans="1:12">
      <c r="A84" t="s">
        <v>727</v>
      </c>
      <c r="B84" s="57">
        <v>41036</v>
      </c>
      <c r="C84">
        <v>700</v>
      </c>
      <c r="D84" s="57">
        <v>41026</v>
      </c>
      <c r="E84">
        <v>397.4</v>
      </c>
      <c r="F84" s="439">
        <v>302.60000000000002</v>
      </c>
      <c r="G84">
        <v>17.399999999999999</v>
      </c>
      <c r="H84">
        <v>100</v>
      </c>
      <c r="I84">
        <v>3.8</v>
      </c>
      <c r="J84">
        <v>7</v>
      </c>
      <c r="K84" t="s">
        <v>15</v>
      </c>
      <c r="L84" t="s">
        <v>689</v>
      </c>
    </row>
    <row r="85" spans="1:12">
      <c r="A85" t="s">
        <v>715</v>
      </c>
      <c r="B85" s="57">
        <v>41043</v>
      </c>
      <c r="C85">
        <v>1500</v>
      </c>
      <c r="D85" s="57">
        <v>41019</v>
      </c>
      <c r="E85">
        <v>788.4</v>
      </c>
      <c r="F85" s="439">
        <v>711.6</v>
      </c>
      <c r="G85">
        <v>38.4</v>
      </c>
      <c r="H85">
        <v>1500</v>
      </c>
      <c r="I85">
        <v>0.5</v>
      </c>
      <c r="J85">
        <v>1</v>
      </c>
      <c r="K85" t="s">
        <v>15</v>
      </c>
      <c r="L85" t="s">
        <v>686</v>
      </c>
    </row>
    <row r="86" spans="1:12">
      <c r="A86" t="s">
        <v>885</v>
      </c>
      <c r="B86" s="57">
        <v>41044</v>
      </c>
      <c r="C86">
        <v>610</v>
      </c>
      <c r="D86" s="57">
        <v>40935</v>
      </c>
      <c r="E86">
        <v>337.4</v>
      </c>
      <c r="F86" s="358">
        <v>272.60000000000002</v>
      </c>
      <c r="G86">
        <v>17.399999999999999</v>
      </c>
      <c r="H86">
        <v>100</v>
      </c>
      <c r="I86">
        <v>3.2</v>
      </c>
      <c r="J86">
        <v>6.1</v>
      </c>
      <c r="K86" t="s">
        <v>15</v>
      </c>
      <c r="L86" t="s">
        <v>883</v>
      </c>
    </row>
    <row r="87" spans="1:12">
      <c r="A87" t="s">
        <v>600</v>
      </c>
      <c r="B87" s="57">
        <v>41047</v>
      </c>
      <c r="C87">
        <v>260</v>
      </c>
      <c r="D87" s="57">
        <v>40931</v>
      </c>
      <c r="E87">
        <v>38.9</v>
      </c>
      <c r="F87" s="439">
        <v>221.1</v>
      </c>
      <c r="G87">
        <v>18.899999999999999</v>
      </c>
      <c r="H87">
        <v>200</v>
      </c>
      <c r="I87">
        <v>0.1</v>
      </c>
      <c r="J87">
        <v>1.3</v>
      </c>
      <c r="K87" t="s">
        <v>15</v>
      </c>
      <c r="L87" t="s">
        <v>492</v>
      </c>
    </row>
    <row r="88" spans="1:12">
      <c r="A88" t="s">
        <v>623</v>
      </c>
      <c r="B88" s="57">
        <v>41047</v>
      </c>
      <c r="C88">
        <v>800</v>
      </c>
      <c r="D88" s="57">
        <v>40911</v>
      </c>
      <c r="E88">
        <v>481.9</v>
      </c>
      <c r="F88" s="358">
        <v>318.10000000000002</v>
      </c>
      <c r="G88">
        <v>21.9</v>
      </c>
      <c r="H88">
        <v>400</v>
      </c>
      <c r="I88">
        <v>1.1499999999999999</v>
      </c>
      <c r="J88">
        <v>2</v>
      </c>
      <c r="K88" t="s">
        <v>15</v>
      </c>
      <c r="L88" t="s">
        <v>480</v>
      </c>
    </row>
    <row r="89" spans="1:12">
      <c r="A89" t="s">
        <v>733</v>
      </c>
      <c r="B89" s="57">
        <v>41049</v>
      </c>
      <c r="C89">
        <v>130</v>
      </c>
      <c r="D89" s="57">
        <v>40933</v>
      </c>
      <c r="E89">
        <v>8.6999999999999993</v>
      </c>
      <c r="F89" s="358">
        <v>121.3</v>
      </c>
      <c r="G89">
        <v>8.6999999999999993</v>
      </c>
      <c r="H89">
        <v>100</v>
      </c>
      <c r="I89">
        <v>0</v>
      </c>
      <c r="J89">
        <v>1.3</v>
      </c>
      <c r="K89" t="s">
        <v>403</v>
      </c>
      <c r="L89" t="s">
        <v>495</v>
      </c>
    </row>
    <row r="90" spans="1:12">
      <c r="A90" t="s">
        <v>733</v>
      </c>
      <c r="B90" s="57">
        <v>41049</v>
      </c>
      <c r="C90">
        <v>50</v>
      </c>
      <c r="D90" s="57">
        <v>41016</v>
      </c>
      <c r="E90">
        <v>8.6999999999999993</v>
      </c>
      <c r="F90" s="358">
        <v>41.3</v>
      </c>
      <c r="G90">
        <v>8.6999999999999993</v>
      </c>
      <c r="H90">
        <v>100</v>
      </c>
      <c r="I90">
        <v>0</v>
      </c>
      <c r="J90">
        <v>0.5</v>
      </c>
      <c r="K90" t="s">
        <v>403</v>
      </c>
      <c r="L90" t="s">
        <v>495</v>
      </c>
    </row>
    <row r="91" spans="1:12">
      <c r="A91" t="s">
        <v>701</v>
      </c>
      <c r="B91" s="57">
        <v>41061</v>
      </c>
      <c r="C91">
        <v>450</v>
      </c>
      <c r="D91" s="57">
        <v>41051</v>
      </c>
      <c r="E91">
        <v>117.4</v>
      </c>
      <c r="F91" s="439">
        <v>332.6</v>
      </c>
      <c r="G91">
        <v>17.399999999999999</v>
      </c>
      <c r="H91">
        <v>100</v>
      </c>
      <c r="I91">
        <v>1</v>
      </c>
      <c r="J91">
        <v>4.5</v>
      </c>
      <c r="K91" t="s">
        <v>15</v>
      </c>
      <c r="L91" t="s">
        <v>734</v>
      </c>
    </row>
    <row r="92" spans="1:12">
      <c r="A92" t="s">
        <v>742</v>
      </c>
      <c r="B92" s="57">
        <v>41061</v>
      </c>
      <c r="C92">
        <v>2430</v>
      </c>
      <c r="D92" s="57">
        <v>40933</v>
      </c>
      <c r="E92">
        <v>2317.4</v>
      </c>
      <c r="F92" s="439">
        <v>112.6</v>
      </c>
      <c r="G92">
        <v>17.399999999999999</v>
      </c>
      <c r="H92">
        <v>100</v>
      </c>
      <c r="I92">
        <v>23</v>
      </c>
      <c r="J92">
        <v>24.3</v>
      </c>
      <c r="K92" t="s">
        <v>258</v>
      </c>
      <c r="L92" t="s">
        <v>493</v>
      </c>
    </row>
    <row r="93" spans="1:12">
      <c r="A93" t="s">
        <v>605</v>
      </c>
      <c r="B93" s="57">
        <v>41071</v>
      </c>
      <c r="C93">
        <v>170</v>
      </c>
      <c r="D93" s="57">
        <v>41046</v>
      </c>
      <c r="E93">
        <v>67.400000000000006</v>
      </c>
      <c r="F93" s="439">
        <v>102.6</v>
      </c>
      <c r="G93">
        <v>17.399999999999999</v>
      </c>
      <c r="H93">
        <v>100</v>
      </c>
      <c r="I93">
        <v>0.5</v>
      </c>
      <c r="J93">
        <v>1.7</v>
      </c>
      <c r="K93" t="s">
        <v>15</v>
      </c>
      <c r="L93" t="s">
        <v>731</v>
      </c>
    </row>
    <row r="94" spans="1:12">
      <c r="A94" t="s">
        <v>629</v>
      </c>
      <c r="B94" s="57">
        <v>41074</v>
      </c>
      <c r="C94">
        <v>750</v>
      </c>
      <c r="D94" s="57">
        <v>40987</v>
      </c>
      <c r="E94">
        <v>430.9</v>
      </c>
      <c r="F94" s="498">
        <v>319.10000000000002</v>
      </c>
      <c r="G94">
        <v>30.9</v>
      </c>
      <c r="H94">
        <v>1000</v>
      </c>
      <c r="I94">
        <v>0.4</v>
      </c>
      <c r="J94">
        <v>0.75</v>
      </c>
      <c r="K94" t="s">
        <v>15</v>
      </c>
      <c r="L94" t="s">
        <v>516</v>
      </c>
    </row>
    <row r="95" spans="1:12">
      <c r="A95" t="s">
        <v>754</v>
      </c>
      <c r="B95" s="57">
        <v>41075</v>
      </c>
      <c r="C95">
        <v>4200</v>
      </c>
      <c r="D95" s="57">
        <v>41046</v>
      </c>
      <c r="E95">
        <v>4407.95</v>
      </c>
      <c r="F95" s="439">
        <v>-207.95</v>
      </c>
      <c r="G95">
        <v>7.95</v>
      </c>
      <c r="H95">
        <v>200</v>
      </c>
      <c r="I95">
        <v>22</v>
      </c>
      <c r="J95">
        <v>21</v>
      </c>
      <c r="K95" t="s">
        <v>145</v>
      </c>
      <c r="L95" t="s">
        <v>421</v>
      </c>
    </row>
    <row r="96" spans="1:12">
      <c r="A96" t="s">
        <v>754</v>
      </c>
      <c r="B96" s="57">
        <v>41075</v>
      </c>
      <c r="C96">
        <v>700</v>
      </c>
      <c r="D96" s="57">
        <v>41058</v>
      </c>
      <c r="E96">
        <v>29.45</v>
      </c>
      <c r="F96" s="439">
        <v>670.55</v>
      </c>
      <c r="G96">
        <v>29.45</v>
      </c>
      <c r="H96">
        <v>200</v>
      </c>
      <c r="I96">
        <v>0</v>
      </c>
      <c r="J96">
        <v>3.5</v>
      </c>
      <c r="K96" t="s">
        <v>404</v>
      </c>
      <c r="L96" t="s">
        <v>737</v>
      </c>
    </row>
    <row r="97" spans="1:12">
      <c r="A97" t="s">
        <v>714</v>
      </c>
      <c r="B97" s="57">
        <v>41075</v>
      </c>
      <c r="C97">
        <v>1000</v>
      </c>
      <c r="D97" s="57">
        <v>40872</v>
      </c>
      <c r="E97">
        <v>1251.95</v>
      </c>
      <c r="F97" s="439">
        <v>-251.95</v>
      </c>
      <c r="G97">
        <v>7.95</v>
      </c>
      <c r="H97">
        <v>100</v>
      </c>
      <c r="I97">
        <v>12.44</v>
      </c>
      <c r="J97">
        <v>10</v>
      </c>
      <c r="K97" t="s">
        <v>145</v>
      </c>
      <c r="L97" t="s">
        <v>417</v>
      </c>
    </row>
    <row r="98" spans="1:12">
      <c r="A98" t="s">
        <v>714</v>
      </c>
      <c r="B98" s="57">
        <v>41075</v>
      </c>
      <c r="C98">
        <v>250</v>
      </c>
      <c r="D98" s="57">
        <v>40982</v>
      </c>
      <c r="E98">
        <v>28.7</v>
      </c>
      <c r="F98" s="439">
        <v>221.3</v>
      </c>
      <c r="G98">
        <v>28.7</v>
      </c>
      <c r="H98">
        <v>100</v>
      </c>
      <c r="I98">
        <v>0</v>
      </c>
      <c r="J98">
        <v>2.5</v>
      </c>
      <c r="K98" t="s">
        <v>404</v>
      </c>
      <c r="L98" t="s">
        <v>509</v>
      </c>
    </row>
    <row r="99" spans="1:12">
      <c r="A99" t="s">
        <v>755</v>
      </c>
      <c r="B99" s="57">
        <v>41075</v>
      </c>
      <c r="C99">
        <v>10.97</v>
      </c>
      <c r="D99" s="57">
        <v>40847</v>
      </c>
      <c r="E99">
        <v>20.45</v>
      </c>
      <c r="F99" s="358">
        <v>-9.48</v>
      </c>
      <c r="G99">
        <v>7.95</v>
      </c>
      <c r="H99">
        <v>1</v>
      </c>
      <c r="I99">
        <v>12.5</v>
      </c>
      <c r="J99">
        <v>10.97</v>
      </c>
      <c r="K99" t="s">
        <v>145</v>
      </c>
      <c r="L99" t="s">
        <v>130</v>
      </c>
    </row>
    <row r="100" spans="1:12">
      <c r="A100" t="s">
        <v>619</v>
      </c>
      <c r="B100" s="57">
        <v>41075</v>
      </c>
      <c r="C100">
        <v>200</v>
      </c>
      <c r="D100" s="57">
        <v>41046</v>
      </c>
      <c r="E100">
        <v>8.6999999999999993</v>
      </c>
      <c r="F100" s="439">
        <v>191.3</v>
      </c>
      <c r="G100">
        <v>8.6999999999999993</v>
      </c>
      <c r="H100">
        <v>100</v>
      </c>
      <c r="I100">
        <v>0</v>
      </c>
      <c r="J100">
        <v>2</v>
      </c>
      <c r="K100" t="s">
        <v>403</v>
      </c>
      <c r="L100" t="s">
        <v>730</v>
      </c>
    </row>
    <row r="101" spans="1:12">
      <c r="A101" t="s">
        <v>628</v>
      </c>
      <c r="B101" s="57">
        <v>41075</v>
      </c>
      <c r="C101">
        <v>500</v>
      </c>
      <c r="D101" s="57">
        <v>41024</v>
      </c>
      <c r="E101">
        <v>8.6999999999999993</v>
      </c>
      <c r="F101" s="439">
        <v>491.3</v>
      </c>
      <c r="G101">
        <v>8.6999999999999993</v>
      </c>
      <c r="H101">
        <v>100</v>
      </c>
      <c r="I101">
        <v>0</v>
      </c>
      <c r="J101">
        <v>5</v>
      </c>
      <c r="K101" t="s">
        <v>403</v>
      </c>
      <c r="L101" t="s">
        <v>688</v>
      </c>
    </row>
    <row r="102" spans="1:12">
      <c r="A102" t="s">
        <v>761</v>
      </c>
      <c r="B102" s="57">
        <v>41082</v>
      </c>
      <c r="C102">
        <v>325</v>
      </c>
      <c r="D102" s="57">
        <v>40911</v>
      </c>
      <c r="E102">
        <v>48.4</v>
      </c>
      <c r="F102" s="439">
        <v>276.60000000000002</v>
      </c>
      <c r="G102">
        <v>23.4</v>
      </c>
      <c r="H102">
        <v>500</v>
      </c>
      <c r="I102">
        <v>0.05</v>
      </c>
      <c r="J102">
        <v>0.65</v>
      </c>
      <c r="K102" t="s">
        <v>15</v>
      </c>
      <c r="L102" t="s">
        <v>739</v>
      </c>
    </row>
    <row r="103" spans="1:12">
      <c r="A103" t="s">
        <v>725</v>
      </c>
      <c r="B103" s="57">
        <v>41085</v>
      </c>
      <c r="C103">
        <v>220</v>
      </c>
      <c r="D103" s="57">
        <v>41079</v>
      </c>
      <c r="E103">
        <v>217.4</v>
      </c>
      <c r="F103" s="358">
        <v>2.6</v>
      </c>
      <c r="G103">
        <v>17.399999999999999</v>
      </c>
      <c r="H103">
        <v>100</v>
      </c>
      <c r="I103">
        <v>2</v>
      </c>
      <c r="J103">
        <v>2.2000000000000002</v>
      </c>
      <c r="K103" t="s">
        <v>15</v>
      </c>
      <c r="L103" t="s">
        <v>758</v>
      </c>
    </row>
    <row r="104" spans="1:12">
      <c r="A104" t="s">
        <v>549</v>
      </c>
      <c r="B104" s="57">
        <v>41087</v>
      </c>
      <c r="C104">
        <v>500</v>
      </c>
      <c r="D104" s="57">
        <v>41073</v>
      </c>
      <c r="E104">
        <v>117.4</v>
      </c>
      <c r="F104" s="439">
        <v>382.6</v>
      </c>
      <c r="G104">
        <v>17.399999999999999</v>
      </c>
      <c r="H104">
        <v>100</v>
      </c>
      <c r="I104">
        <v>1</v>
      </c>
      <c r="J104">
        <v>5</v>
      </c>
      <c r="K104" t="s">
        <v>15</v>
      </c>
      <c r="L104" t="s">
        <v>748</v>
      </c>
    </row>
    <row r="105" spans="1:12">
      <c r="A105" t="s">
        <v>727</v>
      </c>
      <c r="B105" s="57">
        <v>41088</v>
      </c>
      <c r="C105">
        <v>460</v>
      </c>
      <c r="D105" s="57">
        <v>41061</v>
      </c>
      <c r="E105">
        <v>92.4</v>
      </c>
      <c r="F105" s="439">
        <v>367.6</v>
      </c>
      <c r="G105">
        <v>17.399999999999999</v>
      </c>
      <c r="H105">
        <v>100</v>
      </c>
      <c r="I105">
        <v>0.75</v>
      </c>
      <c r="J105">
        <v>4.5999999999999996</v>
      </c>
      <c r="K105" t="s">
        <v>15</v>
      </c>
      <c r="L105" t="s">
        <v>741</v>
      </c>
    </row>
    <row r="106" spans="1:12">
      <c r="A106" t="s">
        <v>764</v>
      </c>
      <c r="B106" s="57">
        <v>41088</v>
      </c>
      <c r="C106">
        <v>864</v>
      </c>
      <c r="D106" s="57">
        <v>41009</v>
      </c>
      <c r="E106">
        <v>1087.95</v>
      </c>
      <c r="F106" s="489">
        <v>-223.95</v>
      </c>
      <c r="G106">
        <v>7.95</v>
      </c>
      <c r="H106">
        <v>96</v>
      </c>
      <c r="I106">
        <v>11.25</v>
      </c>
      <c r="J106">
        <v>9</v>
      </c>
      <c r="K106" t="s">
        <v>145</v>
      </c>
      <c r="L106" t="s">
        <v>10</v>
      </c>
    </row>
    <row r="107" spans="1:12">
      <c r="A107" t="s">
        <v>723</v>
      </c>
      <c r="B107" s="57">
        <v>41088</v>
      </c>
      <c r="C107">
        <v>120</v>
      </c>
      <c r="D107" s="57">
        <v>41078</v>
      </c>
      <c r="E107">
        <v>29.45</v>
      </c>
      <c r="F107" s="489">
        <v>90.55</v>
      </c>
      <c r="G107">
        <v>29.45</v>
      </c>
      <c r="H107">
        <v>200</v>
      </c>
      <c r="I107">
        <v>0</v>
      </c>
      <c r="J107">
        <v>0.6</v>
      </c>
      <c r="K107" t="s">
        <v>404</v>
      </c>
      <c r="L107" t="s">
        <v>756</v>
      </c>
    </row>
    <row r="108" spans="1:12">
      <c r="A108" t="s">
        <v>766</v>
      </c>
      <c r="B108" s="57">
        <v>41088</v>
      </c>
      <c r="C108">
        <v>846</v>
      </c>
      <c r="D108" s="57">
        <v>40913</v>
      </c>
      <c r="E108">
        <v>947.95</v>
      </c>
      <c r="F108" s="358">
        <v>-101.95</v>
      </c>
      <c r="G108">
        <v>7.95</v>
      </c>
      <c r="H108">
        <v>94</v>
      </c>
      <c r="I108">
        <v>10</v>
      </c>
      <c r="J108">
        <v>9</v>
      </c>
      <c r="K108" t="s">
        <v>145</v>
      </c>
      <c r="L108" t="s">
        <v>10</v>
      </c>
    </row>
    <row r="109" spans="1:12">
      <c r="A109" t="s">
        <v>765</v>
      </c>
      <c r="B109" s="57">
        <v>41088</v>
      </c>
      <c r="C109">
        <v>99</v>
      </c>
      <c r="D109" s="57">
        <v>40804</v>
      </c>
      <c r="E109">
        <v>145.84049999999999</v>
      </c>
      <c r="F109" s="358">
        <v>-46.840499999999999</v>
      </c>
      <c r="G109">
        <v>7.95</v>
      </c>
      <c r="H109">
        <v>11</v>
      </c>
      <c r="I109">
        <v>12.535500000000001</v>
      </c>
      <c r="J109">
        <v>9</v>
      </c>
      <c r="K109" t="s">
        <v>145</v>
      </c>
      <c r="L109" t="s">
        <v>10</v>
      </c>
    </row>
    <row r="110" spans="1:12">
      <c r="A110" t="s">
        <v>769</v>
      </c>
      <c r="B110" s="57">
        <v>41089</v>
      </c>
      <c r="C110">
        <v>500</v>
      </c>
      <c r="D110" s="57">
        <v>41067</v>
      </c>
      <c r="E110">
        <v>878.9</v>
      </c>
      <c r="F110" s="439">
        <v>-378.9</v>
      </c>
      <c r="G110">
        <v>18.899999999999999</v>
      </c>
      <c r="H110">
        <v>200</v>
      </c>
      <c r="I110">
        <v>4.3</v>
      </c>
      <c r="J110">
        <v>2.5</v>
      </c>
      <c r="K110" t="s">
        <v>15</v>
      </c>
      <c r="L110" t="s">
        <v>744</v>
      </c>
    </row>
    <row r="111" spans="1:12">
      <c r="A111" t="s">
        <v>571</v>
      </c>
      <c r="B111" s="57">
        <v>41092</v>
      </c>
      <c r="C111">
        <v>3000</v>
      </c>
      <c r="D111" s="57">
        <v>40645</v>
      </c>
      <c r="E111">
        <v>7257.95</v>
      </c>
      <c r="F111" s="439">
        <v>-4257.95</v>
      </c>
      <c r="G111">
        <v>7.95</v>
      </c>
      <c r="H111">
        <v>1000</v>
      </c>
      <c r="I111">
        <v>7.25</v>
      </c>
      <c r="J111">
        <v>3</v>
      </c>
      <c r="K111" t="s">
        <v>145</v>
      </c>
      <c r="L111" t="s">
        <v>125</v>
      </c>
    </row>
    <row r="112" spans="1:12">
      <c r="A112" t="s">
        <v>571</v>
      </c>
      <c r="B112" s="57">
        <v>41092</v>
      </c>
      <c r="C112">
        <v>1250</v>
      </c>
      <c r="D112" s="57">
        <v>41067</v>
      </c>
      <c r="E112">
        <v>35.450000000000003</v>
      </c>
      <c r="F112" s="439">
        <v>1214.55</v>
      </c>
      <c r="G112">
        <v>35.450000000000003</v>
      </c>
      <c r="H112">
        <v>1000</v>
      </c>
      <c r="I112">
        <v>0</v>
      </c>
      <c r="J112">
        <v>1.25</v>
      </c>
      <c r="K112" t="s">
        <v>404</v>
      </c>
      <c r="L112" t="s">
        <v>745</v>
      </c>
    </row>
    <row r="113" spans="1:12">
      <c r="A113" t="s">
        <v>605</v>
      </c>
      <c r="B113" s="57">
        <v>41092</v>
      </c>
      <c r="C113">
        <v>235</v>
      </c>
      <c r="D113" s="57">
        <v>41078</v>
      </c>
      <c r="E113">
        <v>37.4</v>
      </c>
      <c r="F113" s="439">
        <v>197.6</v>
      </c>
      <c r="G113">
        <v>17.399999999999999</v>
      </c>
      <c r="H113">
        <v>100</v>
      </c>
      <c r="I113">
        <v>0.2</v>
      </c>
      <c r="J113">
        <v>2.35</v>
      </c>
      <c r="K113" t="s">
        <v>15</v>
      </c>
      <c r="L113" t="s">
        <v>757</v>
      </c>
    </row>
    <row r="114" spans="1:12">
      <c r="A114" t="s">
        <v>619</v>
      </c>
      <c r="B114" s="57">
        <v>41092</v>
      </c>
      <c r="C114">
        <v>300</v>
      </c>
      <c r="D114" s="57">
        <v>41086</v>
      </c>
      <c r="E114">
        <v>117.4</v>
      </c>
      <c r="F114" s="439">
        <v>182.6</v>
      </c>
      <c r="G114">
        <v>17.399999999999999</v>
      </c>
      <c r="H114">
        <v>100</v>
      </c>
      <c r="I114">
        <v>1</v>
      </c>
      <c r="J114">
        <v>3</v>
      </c>
      <c r="K114" t="s">
        <v>15</v>
      </c>
      <c r="L114" t="s">
        <v>762</v>
      </c>
    </row>
    <row r="115" spans="1:12">
      <c r="A115" t="s">
        <v>772</v>
      </c>
      <c r="B115" s="57">
        <v>41093</v>
      </c>
      <c r="C115">
        <v>9290.7000000000007</v>
      </c>
      <c r="D115" s="57">
        <v>40618</v>
      </c>
      <c r="E115">
        <v>10001.1</v>
      </c>
      <c r="F115" s="439">
        <v>-710.4</v>
      </c>
      <c r="G115">
        <v>0</v>
      </c>
      <c r="H115">
        <v>1110</v>
      </c>
      <c r="I115">
        <v>9.01</v>
      </c>
      <c r="J115">
        <v>8.3699999999999992</v>
      </c>
      <c r="K115" t="s">
        <v>320</v>
      </c>
      <c r="L115" t="s">
        <v>93</v>
      </c>
    </row>
    <row r="116" spans="1:12">
      <c r="A116" t="s">
        <v>773</v>
      </c>
      <c r="B116" s="57">
        <v>41095</v>
      </c>
      <c r="C116">
        <v>700</v>
      </c>
      <c r="D116" s="57">
        <v>40632</v>
      </c>
      <c r="E116">
        <v>1757.95</v>
      </c>
      <c r="F116" s="439">
        <v>-1057.95</v>
      </c>
      <c r="G116">
        <v>7.95</v>
      </c>
      <c r="H116">
        <v>700</v>
      </c>
      <c r="I116">
        <v>2.5</v>
      </c>
      <c r="J116">
        <v>1</v>
      </c>
      <c r="K116" t="s">
        <v>145</v>
      </c>
      <c r="L116" t="s">
        <v>22</v>
      </c>
    </row>
    <row r="117" spans="1:12">
      <c r="A117" t="s">
        <v>773</v>
      </c>
      <c r="B117" s="57">
        <v>41095</v>
      </c>
      <c r="C117">
        <v>280</v>
      </c>
      <c r="D117" s="57">
        <v>41029</v>
      </c>
      <c r="E117">
        <v>26.4</v>
      </c>
      <c r="F117" s="439">
        <v>253.6</v>
      </c>
      <c r="G117">
        <v>26.4</v>
      </c>
      <c r="H117">
        <v>700</v>
      </c>
      <c r="I117">
        <v>0</v>
      </c>
      <c r="J117">
        <v>0.4</v>
      </c>
      <c r="K117" t="s">
        <v>15</v>
      </c>
      <c r="L117" t="s">
        <v>691</v>
      </c>
    </row>
    <row r="118" spans="1:12">
      <c r="A118" t="s">
        <v>554</v>
      </c>
      <c r="B118" s="57">
        <v>41096</v>
      </c>
      <c r="C118">
        <v>500</v>
      </c>
      <c r="D118" s="57">
        <v>41071</v>
      </c>
      <c r="E118">
        <v>418.9</v>
      </c>
      <c r="F118" s="439">
        <v>81.099999999999994</v>
      </c>
      <c r="G118">
        <v>18.899999999999999</v>
      </c>
      <c r="H118">
        <v>200</v>
      </c>
      <c r="I118">
        <v>2</v>
      </c>
      <c r="J118">
        <v>2.5</v>
      </c>
      <c r="K118" t="s">
        <v>15</v>
      </c>
      <c r="L118" t="s">
        <v>747</v>
      </c>
    </row>
    <row r="119" spans="1:12">
      <c r="A119" t="s">
        <v>774</v>
      </c>
      <c r="B119" s="57">
        <v>41096</v>
      </c>
      <c r="C119">
        <v>720</v>
      </c>
      <c r="D119" s="57">
        <v>41031</v>
      </c>
      <c r="E119">
        <v>358.9</v>
      </c>
      <c r="F119" s="474">
        <v>361.1</v>
      </c>
      <c r="G119">
        <v>18.899999999999999</v>
      </c>
      <c r="H119">
        <v>200</v>
      </c>
      <c r="I119">
        <v>1.7</v>
      </c>
      <c r="J119">
        <v>3.6</v>
      </c>
      <c r="K119" t="s">
        <v>278</v>
      </c>
      <c r="L119" t="s">
        <v>694</v>
      </c>
    </row>
    <row r="120" spans="1:12">
      <c r="A120" t="s">
        <v>634</v>
      </c>
      <c r="B120" s="57">
        <v>41102</v>
      </c>
      <c r="C120">
        <v>900</v>
      </c>
      <c r="D120" s="57">
        <v>41039</v>
      </c>
      <c r="E120">
        <v>614.4</v>
      </c>
      <c r="F120" s="503">
        <v>285.60000000000002</v>
      </c>
      <c r="G120">
        <v>29.4</v>
      </c>
      <c r="H120">
        <v>900</v>
      </c>
      <c r="I120">
        <v>0.65</v>
      </c>
      <c r="J120">
        <v>1</v>
      </c>
      <c r="K120" t="s">
        <v>15</v>
      </c>
      <c r="L120" t="s">
        <v>729</v>
      </c>
    </row>
    <row r="121" spans="1:12">
      <c r="A121" t="s">
        <v>776</v>
      </c>
      <c r="B121" s="57">
        <v>41103</v>
      </c>
      <c r="C121">
        <v>320</v>
      </c>
      <c r="D121" s="57">
        <v>41068</v>
      </c>
      <c r="E121">
        <v>29.45</v>
      </c>
      <c r="F121" s="439">
        <v>290.55</v>
      </c>
      <c r="G121">
        <v>29.45</v>
      </c>
      <c r="H121">
        <v>200</v>
      </c>
      <c r="I121">
        <v>0</v>
      </c>
      <c r="J121">
        <v>1.6</v>
      </c>
      <c r="K121" t="s">
        <v>404</v>
      </c>
      <c r="L121" t="s">
        <v>746</v>
      </c>
    </row>
    <row r="122" spans="1:12">
      <c r="A122" t="s">
        <v>776</v>
      </c>
      <c r="B122" s="57">
        <v>41103</v>
      </c>
      <c r="C122">
        <v>5000</v>
      </c>
      <c r="D122" s="57">
        <v>41059</v>
      </c>
      <c r="E122">
        <v>5207.95</v>
      </c>
      <c r="F122" s="439">
        <v>-207.95</v>
      </c>
      <c r="G122">
        <v>7.95</v>
      </c>
      <c r="H122">
        <v>200</v>
      </c>
      <c r="I122">
        <v>26</v>
      </c>
      <c r="J122">
        <v>25</v>
      </c>
      <c r="K122" t="s">
        <v>145</v>
      </c>
      <c r="L122" t="s">
        <v>740</v>
      </c>
    </row>
    <row r="123" spans="1:12">
      <c r="A123" t="s">
        <v>777</v>
      </c>
      <c r="B123" s="57">
        <v>41103</v>
      </c>
      <c r="C123">
        <v>520</v>
      </c>
      <c r="D123" s="57">
        <v>41029</v>
      </c>
      <c r="E123">
        <v>35.4</v>
      </c>
      <c r="F123" s="439">
        <v>484.6</v>
      </c>
      <c r="G123">
        <v>35.4</v>
      </c>
      <c r="H123">
        <v>1300</v>
      </c>
      <c r="I123">
        <v>0</v>
      </c>
      <c r="J123">
        <v>0.4</v>
      </c>
      <c r="K123" t="s">
        <v>15</v>
      </c>
      <c r="L123" t="s">
        <v>691</v>
      </c>
    </row>
    <row r="124" spans="1:12">
      <c r="A124" t="s">
        <v>777</v>
      </c>
      <c r="B124" s="57">
        <v>41103</v>
      </c>
      <c r="C124">
        <v>1300</v>
      </c>
      <c r="D124" s="57">
        <v>40632</v>
      </c>
      <c r="E124">
        <v>3257.95</v>
      </c>
      <c r="F124" s="439">
        <v>-1957.95</v>
      </c>
      <c r="G124">
        <v>7.95</v>
      </c>
      <c r="H124">
        <v>1300</v>
      </c>
      <c r="I124">
        <v>2.5</v>
      </c>
      <c r="J124">
        <v>1</v>
      </c>
      <c r="K124" t="s">
        <v>145</v>
      </c>
      <c r="L124" t="s">
        <v>22</v>
      </c>
    </row>
    <row r="125" spans="1:12">
      <c r="A125" t="s">
        <v>726</v>
      </c>
      <c r="B125" s="57">
        <v>41106</v>
      </c>
      <c r="C125">
        <v>450</v>
      </c>
      <c r="D125" s="57">
        <v>41066</v>
      </c>
      <c r="E125">
        <v>717.4</v>
      </c>
      <c r="F125" s="439">
        <v>-267.39999999999998</v>
      </c>
      <c r="G125">
        <v>17.399999999999999</v>
      </c>
      <c r="H125">
        <v>100</v>
      </c>
      <c r="I125">
        <v>7</v>
      </c>
      <c r="J125">
        <v>4.5</v>
      </c>
      <c r="K125" t="s">
        <v>15</v>
      </c>
      <c r="L125" t="s">
        <v>743</v>
      </c>
    </row>
    <row r="126" spans="1:12">
      <c r="A126" t="s">
        <v>628</v>
      </c>
      <c r="B126" s="57">
        <v>41106</v>
      </c>
      <c r="C126">
        <v>750</v>
      </c>
      <c r="D126" s="57">
        <v>41087</v>
      </c>
      <c r="E126">
        <v>217.4</v>
      </c>
      <c r="F126" s="494">
        <v>532.6</v>
      </c>
      <c r="G126">
        <v>17.399999999999999</v>
      </c>
      <c r="H126">
        <v>100</v>
      </c>
      <c r="I126">
        <v>2</v>
      </c>
      <c r="J126">
        <v>7.5</v>
      </c>
      <c r="K126" t="s">
        <v>15</v>
      </c>
      <c r="L126" t="s">
        <v>763</v>
      </c>
    </row>
    <row r="127" spans="1:12">
      <c r="A127" t="s">
        <v>600</v>
      </c>
      <c r="B127" s="57">
        <v>41107</v>
      </c>
      <c r="C127">
        <v>230</v>
      </c>
      <c r="D127" s="57">
        <v>41058</v>
      </c>
      <c r="E127">
        <v>118.9</v>
      </c>
      <c r="F127" s="439">
        <v>111.1</v>
      </c>
      <c r="G127">
        <v>18.899999999999999</v>
      </c>
      <c r="H127">
        <v>200</v>
      </c>
      <c r="I127">
        <v>0.5</v>
      </c>
      <c r="J127">
        <v>1.1499999999999999</v>
      </c>
      <c r="K127" t="s">
        <v>15</v>
      </c>
      <c r="L127" t="s">
        <v>736</v>
      </c>
    </row>
    <row r="128" spans="1:12">
      <c r="A128" t="s">
        <v>779</v>
      </c>
      <c r="B128" s="57">
        <v>41107</v>
      </c>
      <c r="C128">
        <v>500</v>
      </c>
      <c r="D128" s="57">
        <v>41102</v>
      </c>
      <c r="E128">
        <v>348.9</v>
      </c>
      <c r="F128" s="439">
        <v>151.1</v>
      </c>
      <c r="G128">
        <v>18.899999999999999</v>
      </c>
      <c r="H128">
        <v>200</v>
      </c>
      <c r="I128">
        <v>1.65</v>
      </c>
      <c r="J128">
        <v>2.5</v>
      </c>
      <c r="K128" t="s">
        <v>15</v>
      </c>
      <c r="L128" t="s">
        <v>775</v>
      </c>
    </row>
    <row r="129" spans="1:12">
      <c r="A129" t="s">
        <v>784</v>
      </c>
      <c r="B129" s="57">
        <v>41109</v>
      </c>
      <c r="C129">
        <v>300</v>
      </c>
      <c r="D129" s="57">
        <v>41058</v>
      </c>
      <c r="E129">
        <v>298.89999999999998</v>
      </c>
      <c r="F129" s="439">
        <v>1.1000000000000001</v>
      </c>
      <c r="G129">
        <v>18.899999999999999</v>
      </c>
      <c r="H129">
        <v>200</v>
      </c>
      <c r="I129">
        <v>1.4</v>
      </c>
      <c r="J129">
        <v>1.5</v>
      </c>
      <c r="K129" t="s">
        <v>15</v>
      </c>
      <c r="L129" t="s">
        <v>735</v>
      </c>
    </row>
    <row r="130" spans="1:12">
      <c r="A130" t="s">
        <v>562</v>
      </c>
      <c r="B130" s="57">
        <v>41110</v>
      </c>
      <c r="C130">
        <v>200</v>
      </c>
      <c r="D130" s="57">
        <v>41073</v>
      </c>
      <c r="E130">
        <v>31.7</v>
      </c>
      <c r="F130" s="439">
        <v>168.3</v>
      </c>
      <c r="G130">
        <v>31.7</v>
      </c>
      <c r="H130">
        <v>500</v>
      </c>
      <c r="I130">
        <v>0</v>
      </c>
      <c r="J130">
        <v>0.4</v>
      </c>
      <c r="K130" t="s">
        <v>404</v>
      </c>
      <c r="L130" t="s">
        <v>749</v>
      </c>
    </row>
    <row r="131" spans="1:12">
      <c r="A131" t="s">
        <v>562</v>
      </c>
      <c r="B131" s="57">
        <v>41110</v>
      </c>
      <c r="C131">
        <v>2500</v>
      </c>
      <c r="D131" s="57">
        <v>40758</v>
      </c>
      <c r="E131">
        <v>4632.95</v>
      </c>
      <c r="F131" s="498">
        <v>-2132.9499999999998</v>
      </c>
      <c r="G131">
        <v>7.95</v>
      </c>
      <c r="H131">
        <v>500</v>
      </c>
      <c r="I131">
        <v>9.25</v>
      </c>
      <c r="J131">
        <v>5</v>
      </c>
      <c r="K131" t="s">
        <v>145</v>
      </c>
      <c r="L131" t="s">
        <v>41</v>
      </c>
    </row>
    <row r="132" spans="1:12">
      <c r="A132" t="s">
        <v>701</v>
      </c>
      <c r="B132" s="57">
        <v>41110</v>
      </c>
      <c r="C132">
        <v>450</v>
      </c>
      <c r="D132" s="57">
        <v>41075</v>
      </c>
      <c r="E132">
        <v>827.4</v>
      </c>
      <c r="F132" s="439">
        <v>-377.4</v>
      </c>
      <c r="G132">
        <v>17.399999999999999</v>
      </c>
      <c r="H132">
        <v>100</v>
      </c>
      <c r="I132">
        <v>8.1</v>
      </c>
      <c r="J132">
        <v>4.5</v>
      </c>
      <c r="K132" t="s">
        <v>15</v>
      </c>
      <c r="L132" t="s">
        <v>787</v>
      </c>
    </row>
    <row r="133" spans="1:12">
      <c r="A133" t="s">
        <v>785</v>
      </c>
      <c r="B133" s="57">
        <v>41110</v>
      </c>
      <c r="C133">
        <v>29</v>
      </c>
      <c r="D133" s="57">
        <v>41075</v>
      </c>
      <c r="E133">
        <v>132.4</v>
      </c>
      <c r="F133" s="439">
        <v>-103.4</v>
      </c>
      <c r="G133">
        <v>17.399999999999999</v>
      </c>
      <c r="H133">
        <v>100</v>
      </c>
      <c r="I133">
        <v>1.1499999999999999</v>
      </c>
      <c r="J133">
        <v>0.28999999999999998</v>
      </c>
      <c r="K133" t="s">
        <v>258</v>
      </c>
      <c r="L133" t="s">
        <v>752</v>
      </c>
    </row>
    <row r="134" spans="1:12">
      <c r="A134" t="s">
        <v>726</v>
      </c>
      <c r="B134" s="57">
        <v>41113</v>
      </c>
      <c r="C134">
        <v>535</v>
      </c>
      <c r="D134" s="57">
        <v>41107</v>
      </c>
      <c r="E134">
        <v>317.39999999999998</v>
      </c>
      <c r="F134" s="439">
        <v>217.6</v>
      </c>
      <c r="G134">
        <v>17.399999999999999</v>
      </c>
      <c r="H134">
        <v>100</v>
      </c>
      <c r="I134">
        <v>3</v>
      </c>
      <c r="J134">
        <v>5.35</v>
      </c>
      <c r="K134" t="s">
        <v>15</v>
      </c>
      <c r="L134" t="s">
        <v>778</v>
      </c>
    </row>
    <row r="135" spans="1:12">
      <c r="A135" t="s">
        <v>549</v>
      </c>
      <c r="B135" s="57">
        <v>41114</v>
      </c>
      <c r="C135">
        <v>600</v>
      </c>
      <c r="D135" s="57">
        <v>41089</v>
      </c>
      <c r="E135">
        <v>317.39999999999998</v>
      </c>
      <c r="F135" s="439">
        <v>282.60000000000002</v>
      </c>
      <c r="G135">
        <v>17.399999999999999</v>
      </c>
      <c r="H135">
        <v>100</v>
      </c>
      <c r="I135">
        <v>3</v>
      </c>
      <c r="J135">
        <v>6</v>
      </c>
      <c r="K135" t="s">
        <v>15</v>
      </c>
      <c r="L135" t="s">
        <v>768</v>
      </c>
    </row>
    <row r="136" spans="1:12">
      <c r="A136" t="s">
        <v>769</v>
      </c>
      <c r="B136" s="57">
        <v>41114</v>
      </c>
      <c r="C136">
        <v>1100</v>
      </c>
      <c r="D136" s="57">
        <v>41089</v>
      </c>
      <c r="E136">
        <v>618.9</v>
      </c>
      <c r="F136" s="358">
        <v>481.1</v>
      </c>
      <c r="G136">
        <v>18.899999999999999</v>
      </c>
      <c r="H136">
        <v>200</v>
      </c>
      <c r="I136">
        <v>3</v>
      </c>
      <c r="J136">
        <v>5.5</v>
      </c>
      <c r="K136" t="s">
        <v>15</v>
      </c>
      <c r="L136" t="s">
        <v>767</v>
      </c>
    </row>
    <row r="137" spans="1:12">
      <c r="A137" t="s">
        <v>725</v>
      </c>
      <c r="B137" s="57">
        <v>41114</v>
      </c>
      <c r="C137">
        <v>110</v>
      </c>
      <c r="D137" s="57">
        <v>41089</v>
      </c>
      <c r="E137">
        <v>92.4</v>
      </c>
      <c r="F137" s="439">
        <v>17.600000000000001</v>
      </c>
      <c r="G137">
        <v>17.399999999999999</v>
      </c>
      <c r="H137">
        <v>100</v>
      </c>
      <c r="I137">
        <v>0.75</v>
      </c>
      <c r="J137">
        <v>1.1000000000000001</v>
      </c>
      <c r="K137" t="s">
        <v>15</v>
      </c>
      <c r="L137" t="s">
        <v>770</v>
      </c>
    </row>
    <row r="138" spans="1:12">
      <c r="A138" t="s">
        <v>791</v>
      </c>
      <c r="B138" s="57">
        <v>41115</v>
      </c>
      <c r="C138">
        <v>400</v>
      </c>
      <c r="D138" s="57">
        <v>41108</v>
      </c>
      <c r="E138">
        <v>342.4</v>
      </c>
      <c r="F138" s="358">
        <v>57.6</v>
      </c>
      <c r="G138">
        <v>17.399999999999999</v>
      </c>
      <c r="H138">
        <v>100</v>
      </c>
      <c r="I138">
        <v>3.25</v>
      </c>
      <c r="J138">
        <v>4</v>
      </c>
      <c r="K138" t="s">
        <v>258</v>
      </c>
      <c r="L138" t="s">
        <v>782</v>
      </c>
    </row>
    <row r="139" spans="1:12">
      <c r="A139" t="s">
        <v>796</v>
      </c>
      <c r="B139" s="57">
        <v>41117</v>
      </c>
      <c r="C139">
        <v>510</v>
      </c>
      <c r="D139" s="57">
        <v>41113</v>
      </c>
      <c r="E139">
        <v>292.39999999999998</v>
      </c>
      <c r="F139" s="439">
        <v>217.6</v>
      </c>
      <c r="G139">
        <v>17.399999999999999</v>
      </c>
      <c r="H139">
        <v>100</v>
      </c>
      <c r="I139">
        <v>2.75</v>
      </c>
      <c r="J139">
        <v>5.0999999999999996</v>
      </c>
      <c r="K139" t="s">
        <v>15</v>
      </c>
      <c r="L139" t="s">
        <v>786</v>
      </c>
    </row>
    <row r="140" spans="1:12">
      <c r="A140" t="s">
        <v>779</v>
      </c>
      <c r="B140" s="57">
        <v>41117</v>
      </c>
      <c r="C140">
        <v>300</v>
      </c>
      <c r="D140" s="57">
        <v>41114</v>
      </c>
      <c r="E140">
        <v>178.9</v>
      </c>
      <c r="F140" s="439">
        <v>121.1</v>
      </c>
      <c r="G140">
        <v>18.899999999999999</v>
      </c>
      <c r="H140">
        <v>200</v>
      </c>
      <c r="I140">
        <v>0.8</v>
      </c>
      <c r="J140">
        <v>1.5</v>
      </c>
      <c r="K140" t="s">
        <v>15</v>
      </c>
      <c r="L140" t="s">
        <v>788</v>
      </c>
    </row>
    <row r="141" spans="1:12">
      <c r="A141" t="s">
        <v>697</v>
      </c>
      <c r="B141" s="57">
        <v>41123</v>
      </c>
      <c r="C141">
        <v>150</v>
      </c>
      <c r="D141" s="57">
        <v>41058</v>
      </c>
      <c r="E141">
        <v>132.4</v>
      </c>
      <c r="F141" s="439">
        <v>17.600000000000001</v>
      </c>
      <c r="G141">
        <v>17.399999999999999</v>
      </c>
      <c r="H141">
        <v>100</v>
      </c>
      <c r="I141">
        <v>1.1499999999999999</v>
      </c>
      <c r="J141">
        <v>1.5</v>
      </c>
      <c r="K141" t="s">
        <v>15</v>
      </c>
      <c r="L141" t="s">
        <v>735</v>
      </c>
    </row>
    <row r="142" spans="1:12">
      <c r="A142" t="s">
        <v>800</v>
      </c>
      <c r="B142" s="57">
        <v>41123</v>
      </c>
      <c r="C142">
        <v>350</v>
      </c>
      <c r="D142" s="57">
        <v>41117</v>
      </c>
      <c r="E142">
        <v>327.39999999999998</v>
      </c>
      <c r="F142" s="439">
        <v>22.6</v>
      </c>
      <c r="G142">
        <v>17.399999999999999</v>
      </c>
      <c r="H142">
        <v>100</v>
      </c>
      <c r="I142">
        <v>3.1</v>
      </c>
      <c r="J142">
        <v>3.5</v>
      </c>
      <c r="K142" t="s">
        <v>258</v>
      </c>
      <c r="L142" t="s">
        <v>792</v>
      </c>
    </row>
    <row r="143" spans="1:12">
      <c r="A143" t="s">
        <v>779</v>
      </c>
      <c r="B143" s="57">
        <v>41124</v>
      </c>
      <c r="C143">
        <v>710</v>
      </c>
      <c r="D143" s="57">
        <v>41123</v>
      </c>
      <c r="E143">
        <v>458.9</v>
      </c>
      <c r="F143" s="358">
        <v>251.1</v>
      </c>
      <c r="G143">
        <v>18.899999999999999</v>
      </c>
      <c r="H143">
        <v>200</v>
      </c>
      <c r="I143">
        <v>2.2000000000000002</v>
      </c>
      <c r="J143">
        <v>3.55</v>
      </c>
      <c r="K143" t="s">
        <v>15</v>
      </c>
      <c r="L143" t="s">
        <v>798</v>
      </c>
    </row>
    <row r="144" spans="1:12">
      <c r="A144" t="s">
        <v>629</v>
      </c>
      <c r="B144" s="57">
        <v>41124</v>
      </c>
      <c r="C144">
        <v>750</v>
      </c>
      <c r="D144" s="57">
        <v>41079</v>
      </c>
      <c r="E144">
        <v>430.9</v>
      </c>
      <c r="F144" s="439">
        <v>319.10000000000002</v>
      </c>
      <c r="G144">
        <v>30.9</v>
      </c>
      <c r="H144">
        <v>1000</v>
      </c>
      <c r="I144">
        <v>0.4</v>
      </c>
      <c r="J144">
        <v>0.75</v>
      </c>
      <c r="K144" t="s">
        <v>15</v>
      </c>
      <c r="L144" t="s">
        <v>759</v>
      </c>
    </row>
    <row r="145" spans="1:12">
      <c r="A145" t="s">
        <v>885</v>
      </c>
      <c r="B145" s="57">
        <v>41131</v>
      </c>
      <c r="C145">
        <v>140</v>
      </c>
      <c r="D145" s="57">
        <v>41050</v>
      </c>
      <c r="E145">
        <v>37.4</v>
      </c>
      <c r="F145" s="482">
        <v>102.6</v>
      </c>
      <c r="G145">
        <v>17.399999999999999</v>
      </c>
      <c r="H145">
        <v>100</v>
      </c>
      <c r="I145">
        <v>0.2</v>
      </c>
      <c r="J145">
        <v>1.4</v>
      </c>
      <c r="K145" t="s">
        <v>15</v>
      </c>
      <c r="L145" t="s">
        <v>884</v>
      </c>
    </row>
    <row r="146" spans="1:12">
      <c r="A146" t="s">
        <v>716</v>
      </c>
      <c r="B146" s="57">
        <v>41133</v>
      </c>
      <c r="C146">
        <v>340</v>
      </c>
      <c r="D146" s="57">
        <v>41116</v>
      </c>
      <c r="E146">
        <v>318.89999999999998</v>
      </c>
      <c r="F146" s="474">
        <v>21.1</v>
      </c>
      <c r="G146">
        <v>18.899999999999999</v>
      </c>
      <c r="H146">
        <v>200</v>
      </c>
      <c r="I146">
        <v>1.5</v>
      </c>
      <c r="J146">
        <v>1.7</v>
      </c>
      <c r="K146" t="s">
        <v>15</v>
      </c>
      <c r="L146" t="s">
        <v>789</v>
      </c>
    </row>
    <row r="147" spans="1:12">
      <c r="A147" t="s">
        <v>727</v>
      </c>
      <c r="B147" s="57">
        <v>41133</v>
      </c>
      <c r="C147">
        <v>650</v>
      </c>
      <c r="D147" s="57">
        <v>41093</v>
      </c>
      <c r="E147">
        <v>467.4</v>
      </c>
      <c r="F147" s="439">
        <v>182.6</v>
      </c>
      <c r="G147">
        <v>17.399999999999999</v>
      </c>
      <c r="H147">
        <v>100</v>
      </c>
      <c r="I147">
        <v>4.5</v>
      </c>
      <c r="J147">
        <v>6.5</v>
      </c>
      <c r="K147" t="s">
        <v>15</v>
      </c>
      <c r="L147" t="s">
        <v>771</v>
      </c>
    </row>
    <row r="148" spans="1:12">
      <c r="A148" t="s">
        <v>628</v>
      </c>
      <c r="B148" s="57">
        <v>41136</v>
      </c>
      <c r="C148">
        <v>350</v>
      </c>
      <c r="D148" s="57">
        <v>41109</v>
      </c>
      <c r="E148">
        <v>117.4</v>
      </c>
      <c r="F148" s="358">
        <v>232.6</v>
      </c>
      <c r="G148">
        <v>17.399999999999999</v>
      </c>
      <c r="H148">
        <v>100</v>
      </c>
      <c r="I148">
        <v>1</v>
      </c>
      <c r="J148">
        <v>3.5</v>
      </c>
      <c r="K148" t="s">
        <v>15</v>
      </c>
      <c r="L148" t="s">
        <v>783</v>
      </c>
    </row>
    <row r="149" spans="1:12">
      <c r="A149" t="s">
        <v>810</v>
      </c>
      <c r="B149" s="57">
        <v>41139</v>
      </c>
      <c r="C149">
        <v>2400</v>
      </c>
      <c r="D149" s="57">
        <v>41101</v>
      </c>
      <c r="E149">
        <v>2443.9499999999998</v>
      </c>
      <c r="F149" s="439">
        <v>-43.95</v>
      </c>
      <c r="G149">
        <v>7.95</v>
      </c>
      <c r="H149">
        <v>200</v>
      </c>
      <c r="I149">
        <v>12.18</v>
      </c>
      <c r="J149">
        <v>12</v>
      </c>
      <c r="K149" t="s">
        <v>145</v>
      </c>
      <c r="L149" t="s">
        <v>130</v>
      </c>
    </row>
    <row r="150" spans="1:12">
      <c r="A150" t="s">
        <v>810</v>
      </c>
      <c r="B150" s="57">
        <v>41139</v>
      </c>
      <c r="C150">
        <v>180</v>
      </c>
      <c r="D150" s="57">
        <v>41108</v>
      </c>
      <c r="E150">
        <v>18.899999999999999</v>
      </c>
      <c r="F150" s="439">
        <v>161.1</v>
      </c>
      <c r="G150">
        <v>18.899999999999999</v>
      </c>
      <c r="H150">
        <v>200</v>
      </c>
      <c r="I150">
        <v>0</v>
      </c>
      <c r="J150">
        <v>0.9</v>
      </c>
      <c r="K150" t="s">
        <v>15</v>
      </c>
      <c r="L150" t="s">
        <v>780</v>
      </c>
    </row>
    <row r="151" spans="1:12">
      <c r="A151" t="s">
        <v>629</v>
      </c>
      <c r="B151" s="57">
        <v>41148</v>
      </c>
      <c r="C151">
        <v>800</v>
      </c>
      <c r="D151" s="57">
        <v>41142</v>
      </c>
      <c r="E151">
        <v>630.9</v>
      </c>
      <c r="F151" s="358">
        <v>169.1</v>
      </c>
      <c r="G151">
        <v>30.9</v>
      </c>
      <c r="H151">
        <v>1000</v>
      </c>
      <c r="I151">
        <v>0.6</v>
      </c>
      <c r="J151">
        <v>0.8</v>
      </c>
      <c r="K151" t="s">
        <v>15</v>
      </c>
      <c r="L151" t="s">
        <v>759</v>
      </c>
    </row>
    <row r="152" spans="1:12">
      <c r="A152" t="s">
        <v>769</v>
      </c>
      <c r="B152" s="57">
        <v>41156</v>
      </c>
      <c r="C152">
        <v>510</v>
      </c>
      <c r="D152" s="57">
        <v>41137</v>
      </c>
      <c r="E152">
        <v>168.9</v>
      </c>
      <c r="F152" s="439">
        <v>341.1</v>
      </c>
      <c r="G152">
        <v>18.899999999999999</v>
      </c>
      <c r="H152">
        <v>200</v>
      </c>
      <c r="I152">
        <v>0.75</v>
      </c>
      <c r="J152">
        <v>2.5499999999999998</v>
      </c>
      <c r="K152" t="s">
        <v>15</v>
      </c>
      <c r="L152" t="s">
        <v>808</v>
      </c>
    </row>
    <row r="153" spans="1:12">
      <c r="A153" t="s">
        <v>600</v>
      </c>
      <c r="B153" s="57">
        <v>41156</v>
      </c>
      <c r="C153">
        <v>240</v>
      </c>
      <c r="D153" s="57">
        <v>41120</v>
      </c>
      <c r="E153">
        <v>138.9</v>
      </c>
      <c r="F153" s="439">
        <v>101.1</v>
      </c>
      <c r="G153">
        <v>18.899999999999999</v>
      </c>
      <c r="H153">
        <v>200</v>
      </c>
      <c r="I153">
        <v>0.6</v>
      </c>
      <c r="J153">
        <v>1.2</v>
      </c>
      <c r="K153" t="s">
        <v>15</v>
      </c>
      <c r="L153" t="s">
        <v>797</v>
      </c>
    </row>
    <row r="154" spans="1:12">
      <c r="A154" t="s">
        <v>605</v>
      </c>
      <c r="B154" s="57">
        <v>41158</v>
      </c>
      <c r="C154">
        <v>170</v>
      </c>
      <c r="D154" s="57">
        <v>41128</v>
      </c>
      <c r="E154">
        <v>107.4</v>
      </c>
      <c r="F154" s="439">
        <v>62.6</v>
      </c>
      <c r="G154">
        <v>17.399999999999999</v>
      </c>
      <c r="H154">
        <v>100</v>
      </c>
      <c r="I154">
        <v>0.9</v>
      </c>
      <c r="J154">
        <v>1.7</v>
      </c>
      <c r="K154" t="s">
        <v>15</v>
      </c>
      <c r="L154" t="s">
        <v>803</v>
      </c>
    </row>
    <row r="155" spans="1:12">
      <c r="A155" t="s">
        <v>819</v>
      </c>
      <c r="B155" s="57">
        <v>41163</v>
      </c>
      <c r="C155">
        <v>480</v>
      </c>
      <c r="D155" s="57">
        <v>41151</v>
      </c>
      <c r="E155">
        <v>258.89999999999998</v>
      </c>
      <c r="F155" s="439">
        <v>221.1</v>
      </c>
      <c r="G155">
        <v>18.899999999999999</v>
      </c>
      <c r="H155">
        <v>200</v>
      </c>
      <c r="I155">
        <v>1.2</v>
      </c>
      <c r="J155">
        <v>2.4</v>
      </c>
      <c r="K155" t="s">
        <v>15</v>
      </c>
      <c r="L155" t="s">
        <v>813</v>
      </c>
    </row>
    <row r="156" spans="1:12">
      <c r="A156" t="s">
        <v>623</v>
      </c>
      <c r="B156" s="57">
        <v>41163</v>
      </c>
      <c r="C156">
        <v>260</v>
      </c>
      <c r="D156" s="57">
        <v>41082</v>
      </c>
      <c r="E156">
        <v>101.9</v>
      </c>
      <c r="F156" s="483">
        <v>158.1</v>
      </c>
      <c r="G156">
        <v>21.9</v>
      </c>
      <c r="H156">
        <v>400</v>
      </c>
      <c r="I156">
        <v>0.2</v>
      </c>
      <c r="J156">
        <v>0.65</v>
      </c>
      <c r="K156" t="s">
        <v>15</v>
      </c>
      <c r="L156" t="s">
        <v>760</v>
      </c>
    </row>
    <row r="157" spans="1:12">
      <c r="A157" t="s">
        <v>727</v>
      </c>
      <c r="B157" s="57">
        <v>41165</v>
      </c>
      <c r="C157">
        <v>440</v>
      </c>
      <c r="D157" s="57">
        <v>41142</v>
      </c>
      <c r="E157">
        <v>1617.4</v>
      </c>
      <c r="F157" s="474">
        <v>-1177.4000000000001</v>
      </c>
      <c r="G157">
        <v>17.399999999999999</v>
      </c>
      <c r="H157">
        <v>100</v>
      </c>
      <c r="I157">
        <v>16</v>
      </c>
      <c r="J157">
        <v>4.4000000000000004</v>
      </c>
      <c r="K157" t="s">
        <v>15</v>
      </c>
      <c r="L157" t="s">
        <v>811</v>
      </c>
    </row>
    <row r="158" spans="1:12">
      <c r="A158" t="s">
        <v>701</v>
      </c>
      <c r="B158" s="57">
        <v>41169</v>
      </c>
      <c r="C158">
        <v>860</v>
      </c>
      <c r="D158" s="57">
        <v>41117</v>
      </c>
      <c r="E158">
        <v>2167.4</v>
      </c>
      <c r="F158" s="439">
        <v>-1307.4000000000001</v>
      </c>
      <c r="G158">
        <v>17.399999999999999</v>
      </c>
      <c r="H158">
        <v>100</v>
      </c>
      <c r="I158">
        <v>21.5</v>
      </c>
      <c r="J158">
        <v>8.6</v>
      </c>
      <c r="K158" t="s">
        <v>15</v>
      </c>
      <c r="L158" t="s">
        <v>794</v>
      </c>
    </row>
    <row r="159" spans="1:12">
      <c r="A159" t="s">
        <v>823</v>
      </c>
      <c r="B159" s="57">
        <v>41170</v>
      </c>
      <c r="C159">
        <v>520</v>
      </c>
      <c r="D159" s="57">
        <v>41026</v>
      </c>
      <c r="E159">
        <v>668.9</v>
      </c>
      <c r="F159" s="439">
        <v>-148.9</v>
      </c>
      <c r="G159">
        <v>18.899999999999999</v>
      </c>
      <c r="H159">
        <v>200</v>
      </c>
      <c r="I159">
        <v>3.25</v>
      </c>
      <c r="J159">
        <v>2.6</v>
      </c>
      <c r="K159" t="s">
        <v>258</v>
      </c>
      <c r="L159" t="s">
        <v>690</v>
      </c>
    </row>
    <row r="160" spans="1:12">
      <c r="A160" t="s">
        <v>742</v>
      </c>
      <c r="B160" s="57">
        <v>41172</v>
      </c>
      <c r="C160">
        <v>1</v>
      </c>
      <c r="D160" s="57">
        <v>41117</v>
      </c>
      <c r="E160">
        <v>352.4</v>
      </c>
      <c r="F160" s="439">
        <v>-351.4</v>
      </c>
      <c r="G160">
        <v>17.399999999999999</v>
      </c>
      <c r="H160">
        <v>100</v>
      </c>
      <c r="I160">
        <v>3.35</v>
      </c>
      <c r="J160">
        <v>0.01</v>
      </c>
      <c r="K160" t="s">
        <v>258</v>
      </c>
      <c r="L160" t="s">
        <v>793</v>
      </c>
    </row>
    <row r="161" spans="1:12">
      <c r="A161" t="s">
        <v>549</v>
      </c>
      <c r="B161" s="57">
        <v>41173</v>
      </c>
      <c r="C161">
        <v>450</v>
      </c>
      <c r="D161" s="57">
        <v>41124</v>
      </c>
      <c r="E161">
        <v>2397.4</v>
      </c>
      <c r="F161" s="439">
        <v>-1947.4</v>
      </c>
      <c r="G161">
        <v>17.399999999999999</v>
      </c>
      <c r="H161">
        <v>100</v>
      </c>
      <c r="I161">
        <v>23.8</v>
      </c>
      <c r="J161">
        <v>4.5</v>
      </c>
      <c r="K161" t="s">
        <v>15</v>
      </c>
      <c r="L161" t="s">
        <v>802</v>
      </c>
    </row>
    <row r="162" spans="1:12">
      <c r="A162" t="s">
        <v>628</v>
      </c>
      <c r="B162" s="57">
        <v>41177</v>
      </c>
      <c r="C162">
        <v>305</v>
      </c>
      <c r="D162" s="57">
        <v>41163</v>
      </c>
      <c r="E162">
        <v>107.4</v>
      </c>
      <c r="F162" s="490">
        <v>197.6</v>
      </c>
      <c r="G162">
        <v>17.399999999999999</v>
      </c>
      <c r="H162">
        <v>100</v>
      </c>
      <c r="I162">
        <v>0.9</v>
      </c>
      <c r="J162">
        <v>3.05</v>
      </c>
      <c r="K162" t="s">
        <v>15</v>
      </c>
      <c r="L162" t="s">
        <v>820</v>
      </c>
    </row>
    <row r="163" spans="1:12">
      <c r="A163" t="s">
        <v>733</v>
      </c>
      <c r="B163" s="57">
        <v>41178</v>
      </c>
      <c r="C163">
        <v>900</v>
      </c>
      <c r="D163" s="57">
        <v>41135</v>
      </c>
      <c r="E163">
        <v>957.95</v>
      </c>
      <c r="F163" s="358">
        <v>-57.95</v>
      </c>
      <c r="G163">
        <v>7.95</v>
      </c>
      <c r="H163">
        <v>100</v>
      </c>
      <c r="I163">
        <v>9.5</v>
      </c>
      <c r="J163">
        <v>9</v>
      </c>
      <c r="K163" t="s">
        <v>145</v>
      </c>
      <c r="L163" t="s">
        <v>10</v>
      </c>
    </row>
    <row r="164" spans="1:12">
      <c r="A164" t="s">
        <v>733</v>
      </c>
      <c r="B164" s="57">
        <v>41178</v>
      </c>
      <c r="C164">
        <v>100</v>
      </c>
      <c r="D164" s="57">
        <v>41150</v>
      </c>
      <c r="E164">
        <v>28.7</v>
      </c>
      <c r="F164" s="489">
        <v>71.3</v>
      </c>
      <c r="G164">
        <v>28.7</v>
      </c>
      <c r="H164">
        <v>100</v>
      </c>
      <c r="I164">
        <v>0</v>
      </c>
      <c r="J164">
        <v>1</v>
      </c>
      <c r="K164" t="s">
        <v>404</v>
      </c>
      <c r="L164" t="s">
        <v>812</v>
      </c>
    </row>
    <row r="165" spans="1:12">
      <c r="A165" t="s">
        <v>600</v>
      </c>
      <c r="B165" s="57">
        <v>41180</v>
      </c>
      <c r="C165">
        <v>260</v>
      </c>
      <c r="D165" s="57">
        <v>41158</v>
      </c>
      <c r="E165">
        <v>118.9</v>
      </c>
      <c r="F165" s="439">
        <v>141.1</v>
      </c>
      <c r="G165">
        <v>18.899999999999999</v>
      </c>
      <c r="H165">
        <v>200</v>
      </c>
      <c r="I165">
        <v>0.5</v>
      </c>
      <c r="J165">
        <v>1.3</v>
      </c>
      <c r="K165" t="s">
        <v>15</v>
      </c>
      <c r="L165" t="s">
        <v>815</v>
      </c>
    </row>
    <row r="166" spans="1:12">
      <c r="A166" t="s">
        <v>826</v>
      </c>
      <c r="B166" s="57">
        <v>41180</v>
      </c>
      <c r="C166">
        <v>500</v>
      </c>
      <c r="D166" s="57">
        <v>41178</v>
      </c>
      <c r="E166">
        <v>387.4</v>
      </c>
      <c r="F166" s="439">
        <v>112.6</v>
      </c>
      <c r="G166">
        <v>17.399999999999999</v>
      </c>
      <c r="H166">
        <v>100</v>
      </c>
      <c r="I166">
        <v>3.7</v>
      </c>
      <c r="J166">
        <v>5</v>
      </c>
      <c r="K166" t="s">
        <v>15</v>
      </c>
      <c r="L166" t="s">
        <v>824</v>
      </c>
    </row>
    <row r="167" spans="1:12">
      <c r="A167" t="s">
        <v>554</v>
      </c>
      <c r="B167" s="57">
        <v>41192</v>
      </c>
      <c r="C167">
        <v>300</v>
      </c>
      <c r="D167" s="57">
        <v>41108</v>
      </c>
      <c r="E167">
        <v>1218.9000000000001</v>
      </c>
      <c r="F167" s="439">
        <v>-918.9</v>
      </c>
      <c r="G167">
        <v>18.899999999999999</v>
      </c>
      <c r="H167">
        <v>200</v>
      </c>
      <c r="I167">
        <v>6</v>
      </c>
      <c r="J167">
        <v>1.5</v>
      </c>
      <c r="K167" t="s">
        <v>15</v>
      </c>
      <c r="L167" t="s">
        <v>781</v>
      </c>
    </row>
    <row r="168" spans="1:12">
      <c r="A168" t="s">
        <v>605</v>
      </c>
      <c r="B168" s="57">
        <v>41192</v>
      </c>
      <c r="C168">
        <v>100</v>
      </c>
      <c r="D168" s="57">
        <v>41163</v>
      </c>
      <c r="E168">
        <v>97.4</v>
      </c>
      <c r="F168" s="358">
        <v>2.6</v>
      </c>
      <c r="G168">
        <v>17.399999999999999</v>
      </c>
      <c r="H168">
        <v>100</v>
      </c>
      <c r="I168">
        <v>0.8</v>
      </c>
      <c r="J168">
        <v>1</v>
      </c>
      <c r="K168" t="s">
        <v>15</v>
      </c>
      <c r="L168" t="s">
        <v>821</v>
      </c>
    </row>
    <row r="169" spans="1:12">
      <c r="A169" t="s">
        <v>727</v>
      </c>
      <c r="B169" s="57">
        <v>41192</v>
      </c>
      <c r="C169">
        <v>255</v>
      </c>
      <c r="D169" s="57">
        <v>41183</v>
      </c>
      <c r="E169">
        <v>102.4</v>
      </c>
      <c r="F169" s="439">
        <v>152.6</v>
      </c>
      <c r="G169">
        <v>17.399999999999999</v>
      </c>
      <c r="H169">
        <v>100</v>
      </c>
      <c r="I169">
        <v>0.85</v>
      </c>
      <c r="J169">
        <v>2.5499999999999998</v>
      </c>
      <c r="K169" t="s">
        <v>15</v>
      </c>
      <c r="L169" t="s">
        <v>827</v>
      </c>
    </row>
    <row r="170" spans="1:12">
      <c r="A170" t="s">
        <v>716</v>
      </c>
      <c r="B170" s="57">
        <v>41194</v>
      </c>
      <c r="C170">
        <v>410</v>
      </c>
      <c r="D170" s="57">
        <v>41137</v>
      </c>
      <c r="E170">
        <v>1318.9</v>
      </c>
      <c r="F170" s="439">
        <v>-908.9</v>
      </c>
      <c r="G170">
        <v>18.899999999999999</v>
      </c>
      <c r="H170">
        <v>200</v>
      </c>
      <c r="I170">
        <v>6.5</v>
      </c>
      <c r="J170">
        <v>2.0499999999999998</v>
      </c>
      <c r="K170" t="s">
        <v>15</v>
      </c>
      <c r="L170" t="s">
        <v>809</v>
      </c>
    </row>
    <row r="171" spans="1:12">
      <c r="A171" t="s">
        <v>725</v>
      </c>
      <c r="B171" s="57">
        <v>41197</v>
      </c>
      <c r="C171">
        <v>125</v>
      </c>
      <c r="D171" s="57">
        <v>41117</v>
      </c>
      <c r="E171">
        <v>87.4</v>
      </c>
      <c r="F171" s="358">
        <v>37.6</v>
      </c>
      <c r="G171">
        <v>17.399999999999999</v>
      </c>
      <c r="H171">
        <v>100</v>
      </c>
      <c r="I171">
        <v>0.7</v>
      </c>
      <c r="J171">
        <v>1.25</v>
      </c>
      <c r="K171" t="s">
        <v>15</v>
      </c>
      <c r="L171" t="s">
        <v>795</v>
      </c>
    </row>
    <row r="172" spans="1:12">
      <c r="A172" t="s">
        <v>834</v>
      </c>
      <c r="B172" s="57">
        <v>41198</v>
      </c>
      <c r="C172">
        <v>480</v>
      </c>
      <c r="D172" s="57">
        <v>41192</v>
      </c>
      <c r="E172">
        <v>357.4</v>
      </c>
      <c r="F172" s="439">
        <v>122.6</v>
      </c>
      <c r="G172">
        <v>17.399999999999999</v>
      </c>
      <c r="H172">
        <v>100</v>
      </c>
      <c r="I172">
        <v>3.4</v>
      </c>
      <c r="J172">
        <v>4.8</v>
      </c>
      <c r="K172" t="s">
        <v>15</v>
      </c>
      <c r="L172" t="s">
        <v>832</v>
      </c>
    </row>
    <row r="173" spans="1:12">
      <c r="A173" t="s">
        <v>633</v>
      </c>
      <c r="B173" s="57">
        <v>41200</v>
      </c>
      <c r="C173">
        <v>200</v>
      </c>
      <c r="D173" s="57">
        <v>41116</v>
      </c>
      <c r="E173">
        <v>30.95</v>
      </c>
      <c r="F173" s="503">
        <v>169.05</v>
      </c>
      <c r="G173">
        <v>30.95</v>
      </c>
      <c r="H173">
        <v>400</v>
      </c>
      <c r="I173">
        <v>0</v>
      </c>
      <c r="J173">
        <v>0.5</v>
      </c>
      <c r="K173" t="s">
        <v>404</v>
      </c>
      <c r="L173" t="s">
        <v>790</v>
      </c>
    </row>
    <row r="174" spans="1:12">
      <c r="A174" t="s">
        <v>633</v>
      </c>
      <c r="B174" s="57">
        <v>41200</v>
      </c>
      <c r="C174">
        <v>1200</v>
      </c>
      <c r="D174" s="57">
        <v>40360</v>
      </c>
      <c r="E174">
        <v>2607.9499999999998</v>
      </c>
      <c r="F174" s="503">
        <v>-1407.95</v>
      </c>
      <c r="G174">
        <v>7.95</v>
      </c>
      <c r="H174">
        <v>400</v>
      </c>
      <c r="I174">
        <v>6.5</v>
      </c>
      <c r="J174">
        <v>3</v>
      </c>
      <c r="K174" t="s">
        <v>145</v>
      </c>
      <c r="L174" t="s">
        <v>140</v>
      </c>
    </row>
    <row r="175" spans="1:12">
      <c r="A175" t="s">
        <v>554</v>
      </c>
      <c r="B175" s="57">
        <v>41201</v>
      </c>
      <c r="C175">
        <v>700</v>
      </c>
      <c r="D175" s="57">
        <v>41193</v>
      </c>
      <c r="E175">
        <v>458.9</v>
      </c>
      <c r="F175" s="439">
        <v>241.1</v>
      </c>
      <c r="G175">
        <v>18.899999999999999</v>
      </c>
      <c r="H175">
        <v>200</v>
      </c>
      <c r="I175">
        <v>2.2000000000000002</v>
      </c>
      <c r="J175">
        <v>3.5</v>
      </c>
      <c r="K175" t="s">
        <v>15</v>
      </c>
      <c r="L175" t="s">
        <v>830</v>
      </c>
    </row>
    <row r="176" spans="1:12">
      <c r="A176" t="s">
        <v>784</v>
      </c>
      <c r="B176" s="57">
        <v>41201</v>
      </c>
      <c r="C176">
        <v>150</v>
      </c>
      <c r="D176" s="57">
        <v>41124</v>
      </c>
      <c r="E176">
        <v>500.9</v>
      </c>
      <c r="F176" s="474">
        <v>-350.9</v>
      </c>
      <c r="G176">
        <v>18.899999999999999</v>
      </c>
      <c r="H176">
        <v>200</v>
      </c>
      <c r="I176">
        <v>2.41</v>
      </c>
      <c r="J176">
        <v>0.75</v>
      </c>
      <c r="K176" t="s">
        <v>15</v>
      </c>
      <c r="L176" t="s">
        <v>801</v>
      </c>
    </row>
    <row r="177" spans="1:12">
      <c r="A177" t="s">
        <v>726</v>
      </c>
      <c r="B177" s="57">
        <v>41201</v>
      </c>
      <c r="C177">
        <v>149</v>
      </c>
      <c r="D177" s="57">
        <v>41158</v>
      </c>
      <c r="E177">
        <v>37.4</v>
      </c>
      <c r="F177" s="439">
        <v>111.6</v>
      </c>
      <c r="G177">
        <v>17.399999999999999</v>
      </c>
      <c r="H177">
        <v>100</v>
      </c>
      <c r="I177">
        <v>0.2</v>
      </c>
      <c r="J177">
        <v>1.49</v>
      </c>
      <c r="K177" t="s">
        <v>15</v>
      </c>
      <c r="L177" t="s">
        <v>814</v>
      </c>
    </row>
    <row r="178" spans="1:12">
      <c r="A178" t="s">
        <v>727</v>
      </c>
      <c r="B178" s="57">
        <v>41201</v>
      </c>
      <c r="C178">
        <v>500</v>
      </c>
      <c r="D178" s="57">
        <v>41193</v>
      </c>
      <c r="E178">
        <v>247.4</v>
      </c>
      <c r="F178" s="439">
        <v>252.6</v>
      </c>
      <c r="G178">
        <v>17.399999999999999</v>
      </c>
      <c r="H178">
        <v>100</v>
      </c>
      <c r="I178">
        <v>2.2999999999999998</v>
      </c>
      <c r="J178">
        <v>5</v>
      </c>
      <c r="K178" t="s">
        <v>15</v>
      </c>
      <c r="L178" t="s">
        <v>831</v>
      </c>
    </row>
    <row r="179" spans="1:12">
      <c r="A179" t="s">
        <v>632</v>
      </c>
      <c r="B179" s="57">
        <v>41201</v>
      </c>
      <c r="C179">
        <v>1500</v>
      </c>
      <c r="D179" s="57">
        <v>40360</v>
      </c>
      <c r="E179">
        <v>3257.95</v>
      </c>
      <c r="F179" s="358">
        <v>-1757.95</v>
      </c>
      <c r="G179">
        <v>7.95</v>
      </c>
      <c r="H179">
        <v>500</v>
      </c>
      <c r="I179">
        <v>6.5</v>
      </c>
      <c r="J179">
        <v>3</v>
      </c>
      <c r="K179" t="s">
        <v>145</v>
      </c>
      <c r="L179" t="s">
        <v>140</v>
      </c>
    </row>
    <row r="180" spans="1:12">
      <c r="A180" t="s">
        <v>632</v>
      </c>
      <c r="B180" s="57">
        <v>41201</v>
      </c>
      <c r="C180">
        <v>250</v>
      </c>
      <c r="D180" s="57">
        <v>41116</v>
      </c>
      <c r="E180">
        <v>23.4</v>
      </c>
      <c r="F180" s="358">
        <v>226.6</v>
      </c>
      <c r="G180">
        <v>23.4</v>
      </c>
      <c r="H180">
        <v>500</v>
      </c>
      <c r="I180">
        <v>0</v>
      </c>
      <c r="J180">
        <v>0.5</v>
      </c>
      <c r="K180" t="s">
        <v>15</v>
      </c>
      <c r="L180" t="s">
        <v>790</v>
      </c>
    </row>
    <row r="181" spans="1:12">
      <c r="A181" t="s">
        <v>701</v>
      </c>
      <c r="B181" s="57">
        <v>41205</v>
      </c>
      <c r="C181">
        <v>900</v>
      </c>
      <c r="D181" s="57">
        <v>41179</v>
      </c>
      <c r="E181">
        <v>477.4</v>
      </c>
      <c r="F181" s="439">
        <v>422.6</v>
      </c>
      <c r="G181">
        <v>17.399999999999999</v>
      </c>
      <c r="H181">
        <v>100</v>
      </c>
      <c r="I181">
        <v>4.5999999999999996</v>
      </c>
      <c r="J181">
        <v>9</v>
      </c>
      <c r="K181" t="s">
        <v>15</v>
      </c>
      <c r="L181" t="s">
        <v>825</v>
      </c>
    </row>
    <row r="182" spans="1:12">
      <c r="A182" t="s">
        <v>844</v>
      </c>
      <c r="B182" s="57">
        <v>41218</v>
      </c>
      <c r="C182">
        <v>2534.4899999999998</v>
      </c>
      <c r="D182" s="57">
        <v>40687</v>
      </c>
      <c r="E182">
        <v>3354.3962999999999</v>
      </c>
      <c r="F182" s="439">
        <v>-819.90629999999999</v>
      </c>
      <c r="G182">
        <v>0</v>
      </c>
      <c r="H182">
        <v>243</v>
      </c>
      <c r="I182">
        <v>13.8041</v>
      </c>
      <c r="J182">
        <v>10.43</v>
      </c>
      <c r="K182" t="s">
        <v>320</v>
      </c>
      <c r="L182" t="s">
        <v>290</v>
      </c>
    </row>
    <row r="183" spans="1:12">
      <c r="A183" t="s">
        <v>628</v>
      </c>
      <c r="B183" s="57">
        <v>41220</v>
      </c>
      <c r="C183">
        <v>270</v>
      </c>
      <c r="D183" s="57">
        <v>41187</v>
      </c>
      <c r="E183">
        <v>267.39999999999998</v>
      </c>
      <c r="F183" s="358">
        <v>2.6</v>
      </c>
      <c r="G183">
        <v>17.399999999999999</v>
      </c>
      <c r="H183">
        <v>100</v>
      </c>
      <c r="I183">
        <v>2.5</v>
      </c>
      <c r="J183">
        <v>2.7</v>
      </c>
      <c r="K183" t="s">
        <v>15</v>
      </c>
      <c r="L183" t="s">
        <v>828</v>
      </c>
    </row>
    <row r="184" spans="1:12">
      <c r="A184" t="s">
        <v>701</v>
      </c>
      <c r="B184" s="57">
        <v>41221</v>
      </c>
      <c r="C184">
        <v>250</v>
      </c>
      <c r="D184" s="57">
        <v>41214</v>
      </c>
      <c r="E184">
        <v>47.4</v>
      </c>
      <c r="F184" s="439">
        <v>202.6</v>
      </c>
      <c r="G184">
        <v>17.399999999999999</v>
      </c>
      <c r="H184">
        <v>100</v>
      </c>
      <c r="I184">
        <v>0.3</v>
      </c>
      <c r="J184">
        <v>2.5</v>
      </c>
      <c r="K184" t="s">
        <v>15</v>
      </c>
      <c r="L184" t="s">
        <v>837</v>
      </c>
    </row>
    <row r="185" spans="1:12">
      <c r="A185" t="s">
        <v>769</v>
      </c>
      <c r="B185" s="57">
        <v>41221</v>
      </c>
      <c r="C185">
        <v>400</v>
      </c>
      <c r="D185" s="57">
        <v>41163</v>
      </c>
      <c r="E185">
        <v>318.89999999999998</v>
      </c>
      <c r="F185" s="358">
        <v>81.099999999999994</v>
      </c>
      <c r="G185">
        <v>18.899999999999999</v>
      </c>
      <c r="H185">
        <v>200</v>
      </c>
      <c r="I185">
        <v>1.5</v>
      </c>
      <c r="J185">
        <v>2</v>
      </c>
      <c r="K185" t="s">
        <v>15</v>
      </c>
      <c r="L185" t="s">
        <v>818</v>
      </c>
    </row>
    <row r="186" spans="1:12">
      <c r="A186" t="s">
        <v>846</v>
      </c>
      <c r="B186" s="57">
        <v>41221</v>
      </c>
      <c r="C186">
        <v>400</v>
      </c>
      <c r="D186" s="57">
        <v>41117</v>
      </c>
      <c r="E186">
        <v>367.4</v>
      </c>
      <c r="F186" s="439">
        <v>32.6</v>
      </c>
      <c r="G186">
        <v>17.399999999999999</v>
      </c>
      <c r="H186">
        <v>100</v>
      </c>
      <c r="I186">
        <v>3.5</v>
      </c>
      <c r="J186">
        <v>4</v>
      </c>
      <c r="K186" t="s">
        <v>258</v>
      </c>
      <c r="L186" t="s">
        <v>799</v>
      </c>
    </row>
    <row r="187" spans="1:12">
      <c r="A187" t="s">
        <v>629</v>
      </c>
      <c r="B187" s="57">
        <v>41226</v>
      </c>
      <c r="C187">
        <v>950</v>
      </c>
      <c r="D187" s="57">
        <v>41162</v>
      </c>
      <c r="E187">
        <v>730.9</v>
      </c>
      <c r="F187" s="358">
        <v>219.1</v>
      </c>
      <c r="G187">
        <v>30.9</v>
      </c>
      <c r="H187">
        <v>1000</v>
      </c>
      <c r="I187">
        <v>0.7</v>
      </c>
      <c r="J187">
        <v>0.95</v>
      </c>
      <c r="K187" t="s">
        <v>15</v>
      </c>
      <c r="L187" t="s">
        <v>817</v>
      </c>
    </row>
    <row r="188" spans="1:12">
      <c r="A188" t="s">
        <v>847</v>
      </c>
      <c r="B188" s="57">
        <v>41228</v>
      </c>
      <c r="C188">
        <v>4725</v>
      </c>
      <c r="D188" s="57">
        <v>41187</v>
      </c>
      <c r="E188">
        <v>4834.95</v>
      </c>
      <c r="F188" s="439">
        <v>-109.95</v>
      </c>
      <c r="G188">
        <v>7.95</v>
      </c>
      <c r="H188">
        <v>75</v>
      </c>
      <c r="I188">
        <v>64.36</v>
      </c>
      <c r="J188">
        <v>63</v>
      </c>
      <c r="K188" t="s">
        <v>145</v>
      </c>
      <c r="L188" t="s">
        <v>429</v>
      </c>
    </row>
    <row r="189" spans="1:12">
      <c r="A189" t="s">
        <v>848</v>
      </c>
      <c r="B189" s="57">
        <v>41228</v>
      </c>
      <c r="C189">
        <v>1575</v>
      </c>
      <c r="D189" s="57">
        <v>41128</v>
      </c>
      <c r="E189">
        <v>1806.95</v>
      </c>
      <c r="F189" s="439">
        <v>-231.95</v>
      </c>
      <c r="G189">
        <v>7.95</v>
      </c>
      <c r="H189">
        <v>25</v>
      </c>
      <c r="I189">
        <v>71.959999999999994</v>
      </c>
      <c r="J189">
        <v>63</v>
      </c>
      <c r="K189" t="s">
        <v>145</v>
      </c>
      <c r="L189" t="s">
        <v>429</v>
      </c>
    </row>
    <row r="190" spans="1:12">
      <c r="A190" t="s">
        <v>834</v>
      </c>
      <c r="B190" s="57">
        <v>41228</v>
      </c>
      <c r="C190">
        <v>450</v>
      </c>
      <c r="D190" s="57">
        <v>41201</v>
      </c>
      <c r="E190">
        <v>28.7</v>
      </c>
      <c r="F190" s="439">
        <v>421.3</v>
      </c>
      <c r="G190">
        <v>28.7</v>
      </c>
      <c r="H190">
        <v>100</v>
      </c>
      <c r="I190">
        <v>0</v>
      </c>
      <c r="J190">
        <v>4.5</v>
      </c>
      <c r="K190" t="s">
        <v>404</v>
      </c>
      <c r="L190" t="s">
        <v>832</v>
      </c>
    </row>
    <row r="191" spans="1:12">
      <c r="A191" t="s">
        <v>554</v>
      </c>
      <c r="B191" s="57">
        <v>41229</v>
      </c>
      <c r="C191">
        <v>240</v>
      </c>
      <c r="D191" s="57">
        <v>41218</v>
      </c>
      <c r="E191">
        <v>38.9</v>
      </c>
      <c r="F191" s="439">
        <v>201.1</v>
      </c>
      <c r="G191">
        <v>18.899999999999999</v>
      </c>
      <c r="H191">
        <v>200</v>
      </c>
      <c r="I191">
        <v>0.1</v>
      </c>
      <c r="J191">
        <v>1.2</v>
      </c>
      <c r="K191" t="s">
        <v>15</v>
      </c>
      <c r="L191" t="s">
        <v>842</v>
      </c>
    </row>
    <row r="192" spans="1:12">
      <c r="A192" t="s">
        <v>727</v>
      </c>
      <c r="B192" s="57">
        <v>41229</v>
      </c>
      <c r="C192">
        <v>265</v>
      </c>
      <c r="D192" s="57">
        <v>41213</v>
      </c>
      <c r="E192">
        <v>67.400000000000006</v>
      </c>
      <c r="F192" s="439">
        <v>197.6</v>
      </c>
      <c r="G192">
        <v>17.399999999999999</v>
      </c>
      <c r="H192">
        <v>100</v>
      </c>
      <c r="I192">
        <v>0.5</v>
      </c>
      <c r="J192">
        <v>2.65</v>
      </c>
      <c r="K192" t="s">
        <v>15</v>
      </c>
      <c r="L192" t="s">
        <v>835</v>
      </c>
    </row>
    <row r="193" spans="1:12">
      <c r="A193" t="s">
        <v>850</v>
      </c>
      <c r="B193" s="57">
        <v>41230</v>
      </c>
      <c r="C193">
        <v>400</v>
      </c>
      <c r="D193" s="57">
        <v>41221</v>
      </c>
      <c r="E193">
        <v>29.45</v>
      </c>
      <c r="F193" s="439">
        <v>370.55</v>
      </c>
      <c r="G193">
        <v>29.45</v>
      </c>
      <c r="H193">
        <v>200</v>
      </c>
      <c r="I193">
        <v>0</v>
      </c>
      <c r="J193">
        <v>2</v>
      </c>
      <c r="K193" t="s">
        <v>404</v>
      </c>
      <c r="L193" t="s">
        <v>845</v>
      </c>
    </row>
    <row r="194" spans="1:12">
      <c r="A194" t="s">
        <v>702</v>
      </c>
      <c r="B194" s="57">
        <v>41230</v>
      </c>
      <c r="C194">
        <v>1500</v>
      </c>
      <c r="D194" s="57">
        <v>41159</v>
      </c>
      <c r="E194">
        <v>1506.45</v>
      </c>
      <c r="F194" s="439">
        <v>-6.45</v>
      </c>
      <c r="G194">
        <v>7.95</v>
      </c>
      <c r="H194">
        <v>100</v>
      </c>
      <c r="I194">
        <v>14.984999999999999</v>
      </c>
      <c r="J194">
        <v>15</v>
      </c>
      <c r="K194" t="s">
        <v>145</v>
      </c>
      <c r="L194" t="s">
        <v>423</v>
      </c>
    </row>
    <row r="195" spans="1:12">
      <c r="A195" t="s">
        <v>702</v>
      </c>
      <c r="B195" s="57">
        <v>41230</v>
      </c>
      <c r="C195">
        <v>1500</v>
      </c>
      <c r="D195" s="57">
        <v>41117</v>
      </c>
      <c r="E195">
        <v>1807.95</v>
      </c>
      <c r="F195" s="439">
        <v>-307.95</v>
      </c>
      <c r="G195">
        <v>7.95</v>
      </c>
      <c r="H195">
        <v>100</v>
      </c>
      <c r="I195">
        <v>18</v>
      </c>
      <c r="J195">
        <v>15</v>
      </c>
      <c r="K195" t="s">
        <v>145</v>
      </c>
      <c r="L195" t="s">
        <v>423</v>
      </c>
    </row>
    <row r="196" spans="1:12">
      <c r="A196" t="s">
        <v>826</v>
      </c>
      <c r="B196" s="57">
        <v>41230</v>
      </c>
      <c r="C196">
        <v>510</v>
      </c>
      <c r="D196" s="57">
        <v>41197</v>
      </c>
      <c r="E196">
        <v>28.7</v>
      </c>
      <c r="F196" s="439">
        <v>481.3</v>
      </c>
      <c r="G196">
        <v>28.7</v>
      </c>
      <c r="H196">
        <v>100</v>
      </c>
      <c r="I196">
        <v>0</v>
      </c>
      <c r="J196">
        <v>5.0999999999999996</v>
      </c>
      <c r="K196" t="s">
        <v>404</v>
      </c>
      <c r="L196" t="s">
        <v>833</v>
      </c>
    </row>
    <row r="197" spans="1:12">
      <c r="A197" t="s">
        <v>826</v>
      </c>
      <c r="B197" s="57">
        <v>41230</v>
      </c>
      <c r="C197">
        <v>3700</v>
      </c>
      <c r="D197" s="57">
        <v>41171</v>
      </c>
      <c r="E197">
        <v>4107.95</v>
      </c>
      <c r="F197" s="503">
        <v>-407.95</v>
      </c>
      <c r="G197">
        <v>7.95</v>
      </c>
      <c r="H197">
        <v>100</v>
      </c>
      <c r="I197">
        <v>41</v>
      </c>
      <c r="J197">
        <v>37</v>
      </c>
      <c r="K197" t="s">
        <v>145</v>
      </c>
      <c r="L197" t="s">
        <v>441</v>
      </c>
    </row>
    <row r="198" spans="1:12">
      <c r="A198" t="s">
        <v>851</v>
      </c>
      <c r="B198" s="57">
        <v>41230</v>
      </c>
      <c r="C198">
        <v>200</v>
      </c>
      <c r="D198" s="57">
        <v>41190</v>
      </c>
      <c r="E198">
        <v>28.7</v>
      </c>
      <c r="F198" s="552">
        <v>171.3</v>
      </c>
      <c r="G198">
        <v>28.7</v>
      </c>
      <c r="H198">
        <v>100</v>
      </c>
      <c r="I198">
        <v>0</v>
      </c>
      <c r="J198">
        <v>2</v>
      </c>
      <c r="K198" t="s">
        <v>404</v>
      </c>
      <c r="L198" t="s">
        <v>829</v>
      </c>
    </row>
    <row r="199" spans="1:12">
      <c r="A199" t="s">
        <v>851</v>
      </c>
      <c r="B199" s="57">
        <v>41230</v>
      </c>
      <c r="C199">
        <v>4300</v>
      </c>
      <c r="D199" s="57">
        <v>41159</v>
      </c>
      <c r="E199">
        <v>4389.95</v>
      </c>
      <c r="F199" s="439">
        <v>-89.95</v>
      </c>
      <c r="G199">
        <v>7.95</v>
      </c>
      <c r="H199">
        <v>100</v>
      </c>
      <c r="I199">
        <v>43.82</v>
      </c>
      <c r="J199">
        <v>43</v>
      </c>
      <c r="K199" t="s">
        <v>145</v>
      </c>
      <c r="L199" t="s">
        <v>428</v>
      </c>
    </row>
    <row r="200" spans="1:12">
      <c r="A200" t="s">
        <v>853</v>
      </c>
      <c r="B200" s="57">
        <v>41232</v>
      </c>
      <c r="C200">
        <v>5</v>
      </c>
      <c r="D200" s="57">
        <v>40821</v>
      </c>
      <c r="E200">
        <v>991.7</v>
      </c>
      <c r="F200" s="358">
        <v>-986.7</v>
      </c>
      <c r="G200">
        <v>41.7</v>
      </c>
      <c r="H200">
        <v>500</v>
      </c>
      <c r="I200">
        <v>1.9</v>
      </c>
      <c r="J200">
        <v>0.01</v>
      </c>
      <c r="K200" t="s">
        <v>508</v>
      </c>
      <c r="L200" t="s">
        <v>410</v>
      </c>
    </row>
    <row r="201" spans="1:12">
      <c r="A201" t="s">
        <v>856</v>
      </c>
      <c r="B201" s="57">
        <v>41233</v>
      </c>
      <c r="C201">
        <v>19</v>
      </c>
      <c r="D201" s="57">
        <v>40779</v>
      </c>
      <c r="E201">
        <v>23.15</v>
      </c>
      <c r="F201" s="439">
        <v>-4.1500000000000004</v>
      </c>
      <c r="G201">
        <v>7.95</v>
      </c>
      <c r="H201">
        <v>2</v>
      </c>
      <c r="I201">
        <v>7.6</v>
      </c>
      <c r="J201">
        <v>9.5</v>
      </c>
      <c r="K201" t="s">
        <v>145</v>
      </c>
      <c r="L201" t="s">
        <v>255</v>
      </c>
    </row>
    <row r="202" spans="1:12">
      <c r="A202" t="s">
        <v>715</v>
      </c>
      <c r="B202" s="57">
        <v>41241</v>
      </c>
      <c r="C202">
        <v>525</v>
      </c>
      <c r="D202" s="57">
        <v>41162</v>
      </c>
      <c r="E202">
        <v>188.4</v>
      </c>
      <c r="F202" s="439">
        <v>336.6</v>
      </c>
      <c r="G202">
        <v>38.4</v>
      </c>
      <c r="H202">
        <v>1500</v>
      </c>
      <c r="I202">
        <v>0.1</v>
      </c>
      <c r="J202">
        <v>0.35</v>
      </c>
      <c r="K202" t="s">
        <v>15</v>
      </c>
      <c r="L202" t="s">
        <v>816</v>
      </c>
    </row>
    <row r="203" spans="1:12">
      <c r="A203" t="s">
        <v>727</v>
      </c>
      <c r="B203" s="57">
        <v>41243</v>
      </c>
      <c r="C203">
        <v>570</v>
      </c>
      <c r="D203" s="57">
        <v>41236</v>
      </c>
      <c r="E203">
        <v>387.4</v>
      </c>
      <c r="F203" s="439">
        <v>182.6</v>
      </c>
      <c r="G203">
        <v>17.399999999999999</v>
      </c>
      <c r="H203">
        <v>100</v>
      </c>
      <c r="I203">
        <v>3.7</v>
      </c>
      <c r="J203">
        <v>5.7</v>
      </c>
      <c r="K203" t="s">
        <v>15</v>
      </c>
      <c r="L203" t="s">
        <v>871</v>
      </c>
    </row>
    <row r="204" spans="1:12">
      <c r="A204" t="s">
        <v>549</v>
      </c>
      <c r="B204" s="57">
        <v>41247</v>
      </c>
      <c r="C204">
        <v>570</v>
      </c>
      <c r="D204" s="57">
        <v>41232</v>
      </c>
      <c r="E204">
        <v>517.4</v>
      </c>
      <c r="F204" s="439">
        <v>52.6</v>
      </c>
      <c r="G204">
        <v>17.399999999999999</v>
      </c>
      <c r="H204">
        <v>100</v>
      </c>
      <c r="I204">
        <v>5</v>
      </c>
      <c r="J204">
        <v>5.7</v>
      </c>
      <c r="K204" t="s">
        <v>15</v>
      </c>
      <c r="L204" t="s">
        <v>852</v>
      </c>
    </row>
    <row r="205" spans="1:12">
      <c r="A205" t="s">
        <v>716</v>
      </c>
      <c r="B205" s="57">
        <v>41261</v>
      </c>
      <c r="C205">
        <v>240</v>
      </c>
      <c r="D205" s="57">
        <v>41218</v>
      </c>
      <c r="E205">
        <v>218.9</v>
      </c>
      <c r="F205" s="439">
        <v>21.1</v>
      </c>
      <c r="G205">
        <v>18.899999999999999</v>
      </c>
      <c r="H205">
        <v>200</v>
      </c>
      <c r="I205">
        <v>1</v>
      </c>
      <c r="J205">
        <v>1.2</v>
      </c>
      <c r="K205" t="s">
        <v>15</v>
      </c>
      <c r="L205" t="s">
        <v>843</v>
      </c>
    </row>
    <row r="206" spans="1:12">
      <c r="A206" t="s">
        <v>697</v>
      </c>
      <c r="B206" s="57">
        <v>41264</v>
      </c>
      <c r="C206">
        <v>60</v>
      </c>
      <c r="D206" s="57">
        <v>41213</v>
      </c>
      <c r="E206">
        <v>242.4</v>
      </c>
      <c r="F206" s="552">
        <v>-182.4</v>
      </c>
      <c r="G206">
        <v>17.399999999999999</v>
      </c>
      <c r="H206">
        <v>100</v>
      </c>
      <c r="I206">
        <v>2.25</v>
      </c>
      <c r="J206">
        <v>0.6</v>
      </c>
      <c r="K206" t="s">
        <v>15</v>
      </c>
      <c r="L206" t="s">
        <v>836</v>
      </c>
    </row>
    <row r="207" spans="1:12">
      <c r="A207" t="s">
        <v>697</v>
      </c>
      <c r="B207" s="57">
        <v>41264</v>
      </c>
      <c r="C207">
        <v>60</v>
      </c>
      <c r="D207" s="57">
        <v>41213</v>
      </c>
      <c r="E207">
        <v>28.7</v>
      </c>
      <c r="F207" s="552">
        <v>31.3</v>
      </c>
      <c r="G207">
        <v>28.7</v>
      </c>
      <c r="H207">
        <v>100</v>
      </c>
      <c r="I207">
        <v>0</v>
      </c>
      <c r="J207">
        <v>0.6</v>
      </c>
      <c r="K207" t="s">
        <v>404</v>
      </c>
      <c r="L207" t="s">
        <v>836</v>
      </c>
    </row>
    <row r="208" spans="1:12">
      <c r="A208" t="s">
        <v>701</v>
      </c>
      <c r="B208" s="57">
        <v>41264</v>
      </c>
      <c r="C208">
        <v>400</v>
      </c>
      <c r="D208" s="57">
        <v>41232</v>
      </c>
      <c r="E208">
        <v>557.4</v>
      </c>
      <c r="F208" s="552">
        <v>-157.4</v>
      </c>
      <c r="G208">
        <v>17.399999999999999</v>
      </c>
      <c r="H208">
        <v>100</v>
      </c>
      <c r="I208">
        <v>5.4</v>
      </c>
      <c r="J208">
        <v>4</v>
      </c>
      <c r="K208" t="s">
        <v>15</v>
      </c>
      <c r="L208" t="s">
        <v>854</v>
      </c>
    </row>
    <row r="209" spans="1:12">
      <c r="A209" t="s">
        <v>769</v>
      </c>
      <c r="B209" s="57">
        <v>41264</v>
      </c>
      <c r="C209">
        <v>420</v>
      </c>
      <c r="D209" s="57">
        <v>41229</v>
      </c>
      <c r="E209">
        <v>1158.9000000000001</v>
      </c>
      <c r="F209" s="552">
        <v>-738.9</v>
      </c>
      <c r="G209">
        <v>18.899999999999999</v>
      </c>
      <c r="H209">
        <v>200</v>
      </c>
      <c r="I209">
        <v>5.7</v>
      </c>
      <c r="J209">
        <v>2.1</v>
      </c>
      <c r="K209" t="s">
        <v>15</v>
      </c>
      <c r="L209" t="s">
        <v>849</v>
      </c>
    </row>
    <row r="210" spans="1:12">
      <c r="A210" t="s">
        <v>628</v>
      </c>
      <c r="B210" s="57">
        <v>41264</v>
      </c>
      <c r="C210">
        <v>95</v>
      </c>
      <c r="D210" s="57">
        <v>41243</v>
      </c>
      <c r="E210">
        <v>147.4</v>
      </c>
      <c r="F210" s="552">
        <v>-52.4</v>
      </c>
      <c r="G210">
        <v>17.399999999999999</v>
      </c>
      <c r="H210">
        <v>100</v>
      </c>
      <c r="I210">
        <v>1.3</v>
      </c>
      <c r="J210">
        <v>0.95</v>
      </c>
      <c r="K210" t="s">
        <v>15</v>
      </c>
      <c r="L210" t="s">
        <v>874</v>
      </c>
    </row>
    <row r="211" spans="1:12">
      <c r="A211" t="s">
        <v>697</v>
      </c>
      <c r="B211" s="57">
        <v>41265</v>
      </c>
      <c r="C211">
        <v>900</v>
      </c>
      <c r="D211" s="57">
        <v>40162</v>
      </c>
      <c r="E211">
        <v>1537.95</v>
      </c>
      <c r="F211" s="552">
        <v>-637.95000000000005</v>
      </c>
      <c r="G211">
        <v>7.95</v>
      </c>
      <c r="H211">
        <v>100</v>
      </c>
      <c r="I211">
        <v>15.3</v>
      </c>
      <c r="J211">
        <v>9</v>
      </c>
      <c r="K211" t="s">
        <v>145</v>
      </c>
      <c r="L211" t="s">
        <v>255</v>
      </c>
    </row>
    <row r="212" spans="1:12">
      <c r="A212" t="s">
        <v>623</v>
      </c>
      <c r="B212" s="57">
        <v>41265</v>
      </c>
      <c r="C212">
        <v>220</v>
      </c>
      <c r="D212" s="57">
        <v>41171</v>
      </c>
      <c r="E212">
        <v>10.95</v>
      </c>
      <c r="F212" s="552">
        <v>209.05</v>
      </c>
      <c r="G212">
        <v>10.95</v>
      </c>
      <c r="H212">
        <v>400</v>
      </c>
      <c r="I212">
        <v>0</v>
      </c>
      <c r="J212">
        <v>0.55000000000000004</v>
      </c>
      <c r="K212" t="s">
        <v>403</v>
      </c>
      <c r="L212" t="s">
        <v>822</v>
      </c>
    </row>
    <row r="213" spans="1:12">
      <c r="A213" t="s">
        <v>879</v>
      </c>
      <c r="B213" s="57">
        <v>41265</v>
      </c>
      <c r="C213">
        <v>390</v>
      </c>
      <c r="D213" s="57">
        <v>41232</v>
      </c>
      <c r="E213">
        <v>32.450000000000003</v>
      </c>
      <c r="F213" s="552">
        <v>357.55</v>
      </c>
      <c r="G213">
        <v>32.450000000000003</v>
      </c>
      <c r="H213">
        <v>600</v>
      </c>
      <c r="I213">
        <v>0</v>
      </c>
      <c r="J213">
        <v>0.65</v>
      </c>
      <c r="K213" t="s">
        <v>404</v>
      </c>
      <c r="L213" t="s">
        <v>855</v>
      </c>
    </row>
    <row r="214" spans="1:12">
      <c r="A214" t="s">
        <v>725</v>
      </c>
      <c r="B214" s="57">
        <v>41266</v>
      </c>
      <c r="C214">
        <v>1800</v>
      </c>
      <c r="D214" s="57">
        <v>40878</v>
      </c>
      <c r="E214">
        <v>1650.95</v>
      </c>
      <c r="F214" s="552">
        <v>149.05000000000001</v>
      </c>
      <c r="G214">
        <v>7.95</v>
      </c>
      <c r="H214">
        <v>100</v>
      </c>
      <c r="I214">
        <v>16.43</v>
      </c>
      <c r="J214">
        <v>18</v>
      </c>
      <c r="K214" t="s">
        <v>145</v>
      </c>
      <c r="L214" t="s">
        <v>178</v>
      </c>
    </row>
    <row r="215" spans="1:12">
      <c r="A215" t="s">
        <v>853</v>
      </c>
      <c r="B215" s="57">
        <v>41266</v>
      </c>
      <c r="C215">
        <v>9000</v>
      </c>
      <c r="D215" s="57">
        <v>41232</v>
      </c>
      <c r="E215">
        <v>8757.9500000000007</v>
      </c>
      <c r="F215" s="552">
        <v>242.05</v>
      </c>
      <c r="G215">
        <v>7.95</v>
      </c>
      <c r="H215">
        <v>500</v>
      </c>
      <c r="I215">
        <v>17.5</v>
      </c>
      <c r="J215">
        <v>18</v>
      </c>
      <c r="K215" t="s">
        <v>145</v>
      </c>
      <c r="L215" t="s">
        <v>178</v>
      </c>
    </row>
    <row r="216" spans="1:12">
      <c r="A216" t="s">
        <v>885</v>
      </c>
      <c r="B216" s="57">
        <v>41267</v>
      </c>
      <c r="C216">
        <v>750</v>
      </c>
      <c r="D216" s="57">
        <v>40844</v>
      </c>
      <c r="E216">
        <v>1307.95</v>
      </c>
      <c r="F216" s="552">
        <v>-557.95000000000005</v>
      </c>
      <c r="G216">
        <v>7.95</v>
      </c>
      <c r="H216">
        <v>100</v>
      </c>
      <c r="I216">
        <v>13</v>
      </c>
      <c r="J216">
        <v>7.5</v>
      </c>
      <c r="K216" t="s">
        <v>145</v>
      </c>
      <c r="L216" t="s">
        <v>857</v>
      </c>
    </row>
    <row r="217" spans="1:12">
      <c r="A217" t="s">
        <v>886</v>
      </c>
      <c r="B217" s="57">
        <v>41270</v>
      </c>
      <c r="C217">
        <v>120</v>
      </c>
      <c r="D217" s="57">
        <v>40890</v>
      </c>
      <c r="E217">
        <v>4007.95</v>
      </c>
      <c r="F217" s="552">
        <v>-3887.95</v>
      </c>
      <c r="G217">
        <v>7.95</v>
      </c>
      <c r="H217">
        <v>10</v>
      </c>
      <c r="I217">
        <v>400</v>
      </c>
      <c r="J217">
        <v>12</v>
      </c>
      <c r="K217" t="s">
        <v>145</v>
      </c>
      <c r="L217" t="s">
        <v>419</v>
      </c>
    </row>
    <row r="218" spans="1:12">
      <c r="A218" t="s">
        <v>549</v>
      </c>
      <c r="B218" s="57">
        <v>41274</v>
      </c>
      <c r="C218">
        <v>4326</v>
      </c>
      <c r="D218" s="57">
        <v>40813</v>
      </c>
      <c r="E218">
        <v>6438.45</v>
      </c>
      <c r="F218" s="552">
        <v>-2112.4499999999998</v>
      </c>
      <c r="G218">
        <v>7.95</v>
      </c>
      <c r="H218">
        <v>100</v>
      </c>
      <c r="I218">
        <v>64.305000000000007</v>
      </c>
      <c r="J218">
        <v>43.26</v>
      </c>
      <c r="K218" t="s">
        <v>145</v>
      </c>
      <c r="L218" t="s">
        <v>380</v>
      </c>
    </row>
    <row r="219" spans="1:12">
      <c r="A219" t="s">
        <v>888</v>
      </c>
      <c r="B219" s="57">
        <v>41274</v>
      </c>
      <c r="C219">
        <v>270</v>
      </c>
      <c r="D219" s="57">
        <v>40315</v>
      </c>
      <c r="E219">
        <v>1807.95</v>
      </c>
      <c r="F219" s="552">
        <v>-1537.95</v>
      </c>
      <c r="G219">
        <v>7.95</v>
      </c>
      <c r="H219">
        <v>900</v>
      </c>
      <c r="I219">
        <v>2</v>
      </c>
      <c r="J219">
        <v>0.3</v>
      </c>
      <c r="K219" t="s">
        <v>145</v>
      </c>
      <c r="L219" t="s">
        <v>247</v>
      </c>
    </row>
    <row r="220" spans="1:12">
      <c r="A220" t="s">
        <v>889</v>
      </c>
      <c r="B220" s="57">
        <v>41274</v>
      </c>
      <c r="C220">
        <v>800</v>
      </c>
      <c r="D220" s="57">
        <v>40623</v>
      </c>
      <c r="E220">
        <v>3607.95</v>
      </c>
      <c r="F220" s="552">
        <v>-2807.95</v>
      </c>
      <c r="G220">
        <v>7.95</v>
      </c>
      <c r="H220">
        <v>2000</v>
      </c>
      <c r="I220">
        <v>1.8</v>
      </c>
      <c r="J220">
        <v>0.4</v>
      </c>
      <c r="K220" t="s">
        <v>145</v>
      </c>
      <c r="L220" t="s">
        <v>751</v>
      </c>
    </row>
    <row r="221" spans="1:12">
      <c r="A221" t="s">
        <v>701</v>
      </c>
      <c r="B221" s="57">
        <v>41274</v>
      </c>
      <c r="C221">
        <v>4600</v>
      </c>
      <c r="D221" s="57">
        <v>40745</v>
      </c>
      <c r="E221">
        <v>8662.9500000000007</v>
      </c>
      <c r="F221" s="552">
        <v>-4062.95</v>
      </c>
      <c r="G221">
        <v>7.95</v>
      </c>
      <c r="H221">
        <v>100</v>
      </c>
      <c r="I221">
        <v>86.55</v>
      </c>
      <c r="J221">
        <v>46</v>
      </c>
      <c r="K221" t="s">
        <v>145</v>
      </c>
      <c r="L221" t="s">
        <v>321</v>
      </c>
    </row>
    <row r="222" spans="1:12">
      <c r="A222" t="s">
        <v>769</v>
      </c>
      <c r="B222" s="57">
        <v>41274</v>
      </c>
      <c r="C222">
        <v>5300</v>
      </c>
      <c r="D222" s="57">
        <v>41047</v>
      </c>
      <c r="E222">
        <v>8007.95</v>
      </c>
      <c r="F222" s="552">
        <v>-2707.95</v>
      </c>
      <c r="G222">
        <v>7.95</v>
      </c>
      <c r="H222">
        <v>200</v>
      </c>
      <c r="I222">
        <v>40</v>
      </c>
      <c r="J222">
        <v>26.5</v>
      </c>
      <c r="K222" t="s">
        <v>145</v>
      </c>
      <c r="L222" t="s">
        <v>732</v>
      </c>
    </row>
    <row r="223" spans="1:12">
      <c r="A223" t="s">
        <v>726</v>
      </c>
      <c r="B223" s="57">
        <v>41274</v>
      </c>
      <c r="C223">
        <v>350</v>
      </c>
      <c r="D223" s="57">
        <v>41248</v>
      </c>
      <c r="E223">
        <v>317.39999999999998</v>
      </c>
      <c r="F223" s="552">
        <v>32.6</v>
      </c>
      <c r="G223">
        <v>17.399999999999999</v>
      </c>
      <c r="H223">
        <v>100</v>
      </c>
      <c r="I223">
        <v>3</v>
      </c>
      <c r="J223">
        <v>3.5</v>
      </c>
      <c r="K223" t="s">
        <v>15</v>
      </c>
      <c r="L223" t="s">
        <v>876</v>
      </c>
    </row>
    <row r="224" spans="1:12">
      <c r="A224" t="s">
        <v>890</v>
      </c>
      <c r="B224" s="57">
        <v>41274</v>
      </c>
      <c r="C224">
        <v>474.25279999999998</v>
      </c>
      <c r="D224" s="57">
        <v>40087</v>
      </c>
      <c r="E224">
        <v>3183.75</v>
      </c>
      <c r="F224" s="552">
        <v>-2709.4971999999998</v>
      </c>
      <c r="G224">
        <v>7.95</v>
      </c>
      <c r="H224">
        <v>79</v>
      </c>
      <c r="I224">
        <v>40.200000000000003</v>
      </c>
      <c r="J224">
        <v>6.0031999999999996</v>
      </c>
      <c r="K224" t="s">
        <v>145</v>
      </c>
      <c r="L224" t="s">
        <v>60</v>
      </c>
    </row>
    <row r="225" spans="1:12">
      <c r="A225" t="s">
        <v>623</v>
      </c>
      <c r="B225" s="57">
        <v>41274</v>
      </c>
      <c r="C225">
        <v>1440</v>
      </c>
      <c r="D225" s="57">
        <v>40184</v>
      </c>
      <c r="E225">
        <v>4407.95</v>
      </c>
      <c r="F225" s="552">
        <v>-2967.95</v>
      </c>
      <c r="G225">
        <v>7.95</v>
      </c>
      <c r="H225">
        <v>400</v>
      </c>
      <c r="I225">
        <v>11</v>
      </c>
      <c r="J225">
        <v>3.6</v>
      </c>
      <c r="K225" t="s">
        <v>145</v>
      </c>
      <c r="L225" t="s">
        <v>109</v>
      </c>
    </row>
    <row r="226" spans="1:12">
      <c r="A226" t="s">
        <v>628</v>
      </c>
      <c r="B226" s="57">
        <v>41274</v>
      </c>
      <c r="C226">
        <v>3530</v>
      </c>
      <c r="D226" s="57">
        <v>40804</v>
      </c>
      <c r="E226">
        <v>7970.14</v>
      </c>
      <c r="F226" s="552">
        <v>-4440.1400000000003</v>
      </c>
      <c r="G226">
        <v>7.95</v>
      </c>
      <c r="H226">
        <v>100</v>
      </c>
      <c r="I226">
        <v>79.621899999999997</v>
      </c>
      <c r="J226">
        <v>35.299999999999997</v>
      </c>
      <c r="K226" t="s">
        <v>145</v>
      </c>
      <c r="L226" t="s">
        <v>66</v>
      </c>
    </row>
    <row r="227" spans="1:12">
      <c r="B227" s="57"/>
      <c r="D227" s="57"/>
      <c r="F227" s="598">
        <f>SUBTOTAL(109,Table_USStocks.accdb10[Profit])</f>
        <v>-43385.337299999977</v>
      </c>
    </row>
    <row r="228" spans="1:12" ht="13.5" thickBot="1"/>
    <row r="229" spans="1:12" ht="13.5" thickBot="1">
      <c r="D229" s="437" t="s">
        <v>753</v>
      </c>
      <c r="E229" s="440">
        <f>COUNTIF(Table_USStocks.accdb10[Profit],"&gt;0")/COUNT(Table_USStocks.accdb10[Profit])</f>
        <v>0.63111111111111107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 Portfolio</vt:lpstr>
      <vt:lpstr>USPortfolio</vt:lpstr>
      <vt:lpstr>In Executed</vt:lpstr>
      <vt:lpstr>US Market</vt:lpstr>
      <vt:lpstr>US Executed Pivot</vt:lpstr>
      <vt:lpstr>Yr2015</vt:lpstr>
      <vt:lpstr>Yr2014</vt:lpstr>
      <vt:lpstr>Yr2013</vt:lpstr>
      <vt:lpstr>Yr2012</vt:lpstr>
      <vt:lpstr>Yr2011</vt:lpstr>
      <vt:lpstr>Yr2010</vt:lpstr>
      <vt:lpstr>Options - STGY</vt:lpstr>
      <vt:lpstr>US Executed May14</vt:lpstr>
    </vt:vector>
  </TitlesOfParts>
  <Company>AIGSS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vishalh</dc:creator>
  <cp:lastModifiedBy>Vishal Hawa</cp:lastModifiedBy>
  <cp:lastPrinted>2013-02-03T01:16:44Z</cp:lastPrinted>
  <dcterms:created xsi:type="dcterms:W3CDTF">2005-08-28T08:26:13Z</dcterms:created>
  <dcterms:modified xsi:type="dcterms:W3CDTF">2015-07-28T02:38:29Z</dcterms:modified>
</cp:coreProperties>
</file>