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drawings/drawing1.xml" ContentType="application/vnd.openxmlformats-officedocument.drawing+xml"/>
  <Override PartName="/xl/queryTables/queryTable3.xml" ContentType="application/vnd.openxmlformats-officedocument.spreadsheetml.queryTable+xml"/>
  <Override PartName="/xl/charts/chart1.xml" ContentType="application/vnd.openxmlformats-officedocument.drawingml.chart+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1.xml" ContentType="application/vnd.openxmlformats-officedocument.spreadsheetml.comments+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comments2.xml" ContentType="application/vnd.openxmlformats-officedocument.spreadsheetml.comments+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tables/table1.xml" ContentType="application/vnd.openxmlformats-officedocument.spreadsheetml.table+xml"/>
  <Override PartName="/xl/queryTables/queryTable17.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75" yWindow="840" windowWidth="14145" windowHeight="11640" tabRatio="846" activeTab="2"/>
  </bookViews>
  <sheets>
    <sheet name="Company Database" sheetId="2" r:id="rId1"/>
    <sheet name="Growth Pattern" sheetId="7" r:id="rId2"/>
    <sheet name="Stock price" sheetId="3" r:id="rId3"/>
    <sheet name="Portfolio" sheetId="8" r:id="rId4"/>
    <sheet name="Realized-TX LOG" sheetId="4" r:id="rId5"/>
    <sheet name="US Market" sheetId="9" r:id="rId6"/>
    <sheet name="US Portfolio" sheetId="10" r:id="rId7"/>
    <sheet name="US Executed" sheetId="12" r:id="rId8"/>
    <sheet name="Reports- BUY" sheetId="11" r:id="rId9"/>
    <sheet name="Report-SELL" sheetId="13" r:id="rId10"/>
    <sheet name="Options - STGY" sheetId="6" r:id="rId11"/>
  </sheets>
  <definedNames>
    <definedName name="portfolio_2" localSheetId="9" hidden="1">'Report-SELL'!$B$7:$Z$64</definedName>
    <definedName name="Query_EPS_4" localSheetId="0">'Company Database'!#REF!</definedName>
    <definedName name="Query_from_MS_Access_Database" localSheetId="0">'Company Database'!$C$8:$N$1248</definedName>
    <definedName name="Query_from_portfolio" localSheetId="0">'Company Database'!$C$1252:$I$1266</definedName>
    <definedName name="Query_from_portfolio" localSheetId="1">'Growth Pattern'!#REF!</definedName>
    <definedName name="Query_from_portfolio" localSheetId="3">Portfolio!$A$2:$D$31</definedName>
    <definedName name="Query_from_portfolio" localSheetId="8">'Reports- BUY'!$A$3:$E$23</definedName>
    <definedName name="Query_from_portfolio" localSheetId="2">'Stock price'!#REF!</definedName>
    <definedName name="Query_from_portfolio" localSheetId="5">'US Market'!$A$1:$J$1299</definedName>
    <definedName name="Query_from_portfolio" localSheetId="6">'US Portfolio'!$A$1:$L$23</definedName>
    <definedName name="Query_from_portfolio_1" localSheetId="1">'Growth Pattern'!$B$14:$B$376</definedName>
    <definedName name="Query_from_portfolio_1" localSheetId="3">Portfolio!$A$39:$D$51</definedName>
    <definedName name="Query_from_portfolio_1" localSheetId="8">'Reports- BUY'!$A$28:$I$147</definedName>
    <definedName name="Query_from_portfolio_1" localSheetId="2">'Stock price'!$B$1:$D$356</definedName>
    <definedName name="Query_from_portfolio_1" localSheetId="5">'US Market'!$R$32:$U$36</definedName>
    <definedName name="Query_from_portfolio_1" localSheetId="6">'US Portfolio'!$B$27:$K$34</definedName>
    <definedName name="Query_from_portfolio_2" localSheetId="8">'Reports- BUY'!$F$3:$J$23</definedName>
    <definedName name="Query_from_portfolio_2" localSheetId="2">'Stock price'!#REF!</definedName>
    <definedName name="Query_from_portfolio_2" localSheetId="6">'US Portfolio'!$B$39:$M$41</definedName>
    <definedName name="Query_from_portfolio_3" localSheetId="8">'Reports- BUY'!$J$27:$O$47</definedName>
    <definedName name="Query_from_portfolio_3" localSheetId="2">'Stock price'!$A$1:$D$361</definedName>
    <definedName name="Query_from_portfolio_4" localSheetId="8">'Reports- BUY'!$J$50:$N$55</definedName>
    <definedName name="solver_adj" localSheetId="0" hidden="1">'Company Database'!#REF!</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hs1" localSheetId="0" hidden="1">'Company Database'!#REF!</definedName>
    <definedName name="solver_lhs2" localSheetId="0" hidden="1">'Company Database'!#REF!</definedName>
    <definedName name="solver_lin" localSheetId="0" hidden="1">1</definedName>
    <definedName name="solver_neg" localSheetId="0" hidden="1">1</definedName>
    <definedName name="solver_num" localSheetId="0" hidden="1">2</definedName>
    <definedName name="solver_nwt" localSheetId="0" hidden="1">1</definedName>
    <definedName name="solver_opt" localSheetId="0" hidden="1">'Company Database'!#REF!</definedName>
    <definedName name="solver_pre" localSheetId="0" hidden="1">0.000001</definedName>
    <definedName name="solver_rel1" localSheetId="0" hidden="1">2</definedName>
    <definedName name="solver_rel2" localSheetId="0" hidden="1">4</definedName>
    <definedName name="solver_rhs1" localSheetId="0" hidden="1">499</definedName>
    <definedName name="solver_rhs2" localSheetId="0" hidden="1">integer</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2</definedName>
    <definedName name="solver_val" localSheetId="0" hidden="1">0</definedName>
  </definedNames>
  <calcPr calcId="145621"/>
</workbook>
</file>

<file path=xl/calcChain.xml><?xml version="1.0" encoding="utf-8"?>
<calcChain xmlns="http://schemas.openxmlformats.org/spreadsheetml/2006/main">
  <c r="P51" i="10" l="1"/>
  <c r="N51" i="10"/>
  <c r="P50" i="10"/>
  <c r="N50" i="10"/>
  <c r="P49" i="10"/>
  <c r="N49" i="10"/>
  <c r="P48" i="10"/>
  <c r="N48" i="10"/>
  <c r="P47" i="10"/>
  <c r="N47" i="10"/>
  <c r="P46" i="10"/>
  <c r="N46" i="10"/>
  <c r="P45" i="10"/>
  <c r="N45" i="10"/>
  <c r="P44" i="10"/>
  <c r="N44" i="10"/>
  <c r="P43" i="10"/>
  <c r="N43" i="10"/>
  <c r="P42" i="10"/>
  <c r="N42" i="10"/>
  <c r="P41" i="10"/>
  <c r="N41" i="10"/>
  <c r="P39" i="10"/>
  <c r="N39" i="10"/>
  <c r="N40" i="10"/>
  <c r="H42" i="12"/>
  <c r="I42" i="12"/>
  <c r="J42" i="12"/>
  <c r="N42" i="12"/>
  <c r="K47" i="12"/>
  <c r="D47" i="12" s="1"/>
  <c r="H41" i="12"/>
  <c r="I41" i="12"/>
  <c r="J41" i="12"/>
  <c r="N41" i="12"/>
  <c r="K56" i="12"/>
  <c r="D56" i="12" s="1"/>
  <c r="K55" i="12"/>
  <c r="D55" i="12" s="1"/>
  <c r="P14" i="9"/>
  <c r="K1271" i="9" s="1"/>
  <c r="L1271" i="9"/>
  <c r="L1272" i="9"/>
  <c r="L1273" i="9"/>
  <c r="L1274" i="9"/>
  <c r="L1275" i="9"/>
  <c r="K1276" i="9"/>
  <c r="L1276" i="9"/>
  <c r="M1276" i="9" s="1"/>
  <c r="N1276" i="9" s="1"/>
  <c r="K1277" i="9"/>
  <c r="L1277" i="9"/>
  <c r="M1277" i="9" s="1"/>
  <c r="N1277" i="9" s="1"/>
  <c r="K1278" i="9"/>
  <c r="L1278" i="9"/>
  <c r="M1278" i="9" s="1"/>
  <c r="N1278" i="9" s="1"/>
  <c r="K1279" i="9"/>
  <c r="L1279" i="9"/>
  <c r="M1279" i="9" s="1"/>
  <c r="N1279" i="9" s="1"/>
  <c r="K1280" i="9"/>
  <c r="L1280" i="9"/>
  <c r="M1280" i="9" s="1"/>
  <c r="N1280" i="9" s="1"/>
  <c r="K1281" i="9"/>
  <c r="L1281" i="9"/>
  <c r="M1281" i="9"/>
  <c r="N1281" i="9" s="1"/>
  <c r="K1282" i="9"/>
  <c r="L1282" i="9"/>
  <c r="M1282" i="9"/>
  <c r="N1282" i="9" s="1"/>
  <c r="K1283" i="9"/>
  <c r="L1283" i="9"/>
  <c r="M1283" i="9"/>
  <c r="N1283" i="9" s="1"/>
  <c r="K1284" i="9"/>
  <c r="L1284" i="9"/>
  <c r="M1284" i="9"/>
  <c r="N1284" i="9" s="1"/>
  <c r="K1285" i="9"/>
  <c r="L1285" i="9"/>
  <c r="M1285" i="9"/>
  <c r="N1285" i="9" s="1"/>
  <c r="K1286" i="9"/>
  <c r="L1286" i="9"/>
  <c r="M1286" i="9"/>
  <c r="N1286" i="9" s="1"/>
  <c r="K1287" i="9"/>
  <c r="L1287" i="9"/>
  <c r="M1287" i="9"/>
  <c r="N1287" i="9" s="1"/>
  <c r="K1288" i="9"/>
  <c r="L1288" i="9"/>
  <c r="M1288" i="9"/>
  <c r="N1288" i="9" s="1"/>
  <c r="K1289" i="9"/>
  <c r="L1289" i="9"/>
  <c r="M1289" i="9"/>
  <c r="N1289" i="9" s="1"/>
  <c r="K1290" i="9"/>
  <c r="L1290" i="9"/>
  <c r="M1290" i="9"/>
  <c r="N1290" i="9" s="1"/>
  <c r="K1291" i="9"/>
  <c r="L1291" i="9"/>
  <c r="M1291" i="9"/>
  <c r="N1291" i="9" s="1"/>
  <c r="K1292" i="9"/>
  <c r="L1292" i="9"/>
  <c r="M1292" i="9"/>
  <c r="N1292" i="9" s="1"/>
  <c r="K1293" i="9"/>
  <c r="L1293" i="9"/>
  <c r="M1293" i="9"/>
  <c r="N1293" i="9" s="1"/>
  <c r="K1294" i="9"/>
  <c r="L1294" i="9"/>
  <c r="M1294" i="9"/>
  <c r="N1294" i="9" s="1"/>
  <c r="K1295" i="9"/>
  <c r="L1295" i="9"/>
  <c r="M1295" i="9"/>
  <c r="N1295" i="9" s="1"/>
  <c r="P40" i="10"/>
  <c r="N3" i="10"/>
  <c r="F24" i="10"/>
  <c r="O2" i="10" s="1"/>
  <c r="F35" i="10"/>
  <c r="O3" i="10"/>
  <c r="N4" i="10"/>
  <c r="O4" i="10"/>
  <c r="N5" i="10"/>
  <c r="O5" i="10"/>
  <c r="N6" i="10"/>
  <c r="O6" i="10"/>
  <c r="N7" i="10"/>
  <c r="O7" i="10"/>
  <c r="N8" i="10"/>
  <c r="O8" i="10"/>
  <c r="N9" i="10"/>
  <c r="O9" i="10"/>
  <c r="N10" i="10"/>
  <c r="O10" i="10"/>
  <c r="N11" i="10"/>
  <c r="O11" i="10"/>
  <c r="N12" i="10"/>
  <c r="O12" i="10"/>
  <c r="N13" i="10"/>
  <c r="O13" i="10"/>
  <c r="N14" i="10"/>
  <c r="O14" i="10"/>
  <c r="N15" i="10"/>
  <c r="O15" i="10"/>
  <c r="N16" i="10"/>
  <c r="O16" i="10"/>
  <c r="N17" i="10"/>
  <c r="O17" i="10"/>
  <c r="N18" i="10"/>
  <c r="O18" i="10"/>
  <c r="N19" i="10"/>
  <c r="O19" i="10"/>
  <c r="N20" i="10"/>
  <c r="O20" i="10"/>
  <c r="N21" i="10"/>
  <c r="O21" i="10"/>
  <c r="N22" i="10"/>
  <c r="O22" i="10"/>
  <c r="G71" i="12"/>
  <c r="G74" i="12"/>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3" i="12"/>
  <c r="K45" i="12"/>
  <c r="D45" i="12" s="1"/>
  <c r="K46" i="12"/>
  <c r="D46" i="12"/>
  <c r="J46" i="12" s="1"/>
  <c r="K48" i="12"/>
  <c r="D48" i="12" s="1"/>
  <c r="K49" i="12"/>
  <c r="D49" i="12"/>
  <c r="J49" i="12" s="1"/>
  <c r="K50" i="12"/>
  <c r="D50" i="12" s="1"/>
  <c r="K51" i="12"/>
  <c r="D51" i="12"/>
  <c r="J51" i="12" s="1"/>
  <c r="K52" i="12"/>
  <c r="D52" i="12" s="1"/>
  <c r="K53" i="12"/>
  <c r="D53" i="12"/>
  <c r="J53" i="12" s="1"/>
  <c r="K54" i="12"/>
  <c r="D54" i="12" s="1"/>
  <c r="F57" i="12"/>
  <c r="K57" i="12"/>
  <c r="D57" i="12" s="1"/>
  <c r="J24" i="10"/>
  <c r="J35" i="10"/>
  <c r="G60" i="12"/>
  <c r="D35" i="10"/>
  <c r="D24" i="10"/>
  <c r="N3" i="12"/>
  <c r="N58" i="12" s="1"/>
  <c r="N4" i="12"/>
  <c r="N5" i="12"/>
  <c r="N6" i="12"/>
  <c r="N7" i="12"/>
  <c r="N8" i="12"/>
  <c r="N9"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3" i="12"/>
  <c r="N51" i="12"/>
  <c r="N52" i="12"/>
  <c r="N53" i="12"/>
  <c r="N57" i="12"/>
  <c r="F58" i="12"/>
  <c r="H53" i="12"/>
  <c r="H52" i="12"/>
  <c r="H51" i="12"/>
  <c r="H49" i="12"/>
  <c r="H48" i="12"/>
  <c r="H46" i="12"/>
  <c r="I43" i="12"/>
  <c r="H43" i="12"/>
  <c r="I40" i="12"/>
  <c r="H40" i="12"/>
  <c r="I39" i="12"/>
  <c r="H39" i="12"/>
  <c r="I38" i="12"/>
  <c r="H38" i="12"/>
  <c r="I37" i="12"/>
  <c r="H37" i="12"/>
  <c r="I36" i="12"/>
  <c r="H36" i="12"/>
  <c r="I35" i="12"/>
  <c r="H35" i="12"/>
  <c r="I34" i="12"/>
  <c r="H34" i="12"/>
  <c r="I33" i="12"/>
  <c r="H33" i="12"/>
  <c r="I32" i="12"/>
  <c r="H32" i="12"/>
  <c r="I31" i="12"/>
  <c r="H31" i="12"/>
  <c r="I30" i="12"/>
  <c r="H30" i="12"/>
  <c r="I29" i="12"/>
  <c r="H29" i="12"/>
  <c r="I28" i="12"/>
  <c r="H28" i="12"/>
  <c r="I27" i="12"/>
  <c r="H27" i="12"/>
  <c r="I26" i="12"/>
  <c r="H26" i="12"/>
  <c r="I25" i="12"/>
  <c r="H25" i="12"/>
  <c r="I24" i="12"/>
  <c r="H24" i="12"/>
  <c r="I23" i="12"/>
  <c r="H23" i="12"/>
  <c r="I22" i="12"/>
  <c r="H22" i="12"/>
  <c r="I21" i="12"/>
  <c r="H21" i="12"/>
  <c r="I20" i="12"/>
  <c r="H20" i="12"/>
  <c r="I19" i="12"/>
  <c r="H19" i="12"/>
  <c r="I18" i="12"/>
  <c r="H18" i="12"/>
  <c r="I17" i="12"/>
  <c r="H17" i="12"/>
  <c r="I16" i="12"/>
  <c r="H16" i="12"/>
  <c r="I15" i="12"/>
  <c r="H15" i="12"/>
  <c r="I14" i="12"/>
  <c r="H14" i="12"/>
  <c r="I13" i="12"/>
  <c r="H13" i="12"/>
  <c r="I12" i="12"/>
  <c r="H12" i="12"/>
  <c r="I11" i="12"/>
  <c r="H11" i="12"/>
  <c r="I10" i="12"/>
  <c r="H10" i="12"/>
  <c r="I9" i="12"/>
  <c r="H9" i="12"/>
  <c r="I8" i="12"/>
  <c r="H8" i="12"/>
  <c r="I7" i="12"/>
  <c r="H7" i="12"/>
  <c r="I6" i="12"/>
  <c r="H6" i="12"/>
  <c r="I5" i="12"/>
  <c r="H5" i="12"/>
  <c r="I4" i="12"/>
  <c r="H4" i="12"/>
  <c r="I3" i="12"/>
  <c r="H3" i="12"/>
  <c r="K1270" i="9"/>
  <c r="K302" i="9"/>
  <c r="E362" i="3"/>
  <c r="D376" i="7"/>
  <c r="H376" i="7"/>
  <c r="I376" i="7"/>
  <c r="E376" i="7"/>
  <c r="F376" i="7"/>
  <c r="G376" i="7"/>
  <c r="I369" i="3" s="1"/>
  <c r="E20" i="8"/>
  <c r="E27" i="8"/>
  <c r="E41" i="8"/>
  <c r="F41" i="8"/>
  <c r="G41" i="8" s="1"/>
  <c r="H41" i="8"/>
  <c r="I41" i="8"/>
  <c r="J41" i="8"/>
  <c r="E42" i="8"/>
  <c r="F42" i="8"/>
  <c r="H42" i="8"/>
  <c r="J42" i="8"/>
  <c r="E43" i="8"/>
  <c r="F43" i="8"/>
  <c r="G43" i="8" s="1"/>
  <c r="H43" i="8"/>
  <c r="I43" i="8"/>
  <c r="J43" i="8"/>
  <c r="E44" i="8"/>
  <c r="F44" i="8"/>
  <c r="H44" i="8"/>
  <c r="J44" i="8"/>
  <c r="E45" i="8"/>
  <c r="F45" i="8"/>
  <c r="G45" i="8" s="1"/>
  <c r="H45" i="8"/>
  <c r="I45" i="8"/>
  <c r="J45" i="8"/>
  <c r="E46" i="8"/>
  <c r="F46" i="8"/>
  <c r="H46" i="8"/>
  <c r="J46" i="8"/>
  <c r="E47" i="8"/>
  <c r="F47" i="8"/>
  <c r="G47" i="8" s="1"/>
  <c r="H47" i="8"/>
  <c r="I47" i="8"/>
  <c r="J47" i="8"/>
  <c r="E48" i="8"/>
  <c r="F48" i="8"/>
  <c r="H48" i="8"/>
  <c r="J48" i="8"/>
  <c r="E49" i="8"/>
  <c r="H49" i="8" s="1"/>
  <c r="F49" i="8"/>
  <c r="I49" i="8"/>
  <c r="J49" i="8"/>
  <c r="E50" i="8"/>
  <c r="F50" i="8"/>
  <c r="G50" i="8" s="1"/>
  <c r="H50" i="8"/>
  <c r="I50" i="8"/>
  <c r="J50" i="8"/>
  <c r="E51" i="8"/>
  <c r="H51" i="8" s="1"/>
  <c r="F51" i="8"/>
  <c r="I51" i="8"/>
  <c r="J51" i="8"/>
  <c r="E40" i="8"/>
  <c r="L4" i="9"/>
  <c r="K4" i="9"/>
  <c r="M4" i="9" s="1"/>
  <c r="K1231" i="9"/>
  <c r="L1231" i="9"/>
  <c r="M1231" i="9"/>
  <c r="N1231" i="9" s="1"/>
  <c r="K1232" i="9"/>
  <c r="L1232" i="9"/>
  <c r="M1232" i="9"/>
  <c r="N1232" i="9" s="1"/>
  <c r="K1233" i="9"/>
  <c r="L1233" i="9"/>
  <c r="M1233" i="9"/>
  <c r="N1233" i="9" s="1"/>
  <c r="K1234" i="9"/>
  <c r="L1234" i="9"/>
  <c r="M1234" i="9"/>
  <c r="N1234" i="9" s="1"/>
  <c r="K1235" i="9"/>
  <c r="L1235" i="9"/>
  <c r="M1235" i="9"/>
  <c r="N1235" i="9" s="1"/>
  <c r="K1236" i="9"/>
  <c r="L1236" i="9"/>
  <c r="M1236" i="9"/>
  <c r="N1236" i="9" s="1"/>
  <c r="K1237" i="9"/>
  <c r="L1237" i="9"/>
  <c r="M1237" i="9"/>
  <c r="N1237" i="9" s="1"/>
  <c r="K1238" i="9"/>
  <c r="L1238" i="9"/>
  <c r="M1238" i="9"/>
  <c r="N1238" i="9" s="1"/>
  <c r="K1239" i="9"/>
  <c r="L1239" i="9"/>
  <c r="M1239" i="9"/>
  <c r="N1239" i="9" s="1"/>
  <c r="K1240" i="9"/>
  <c r="L1240" i="9"/>
  <c r="M1240" i="9"/>
  <c r="N1240" i="9" s="1"/>
  <c r="K1241" i="9"/>
  <c r="L1241" i="9"/>
  <c r="M1241" i="9"/>
  <c r="N1241" i="9" s="1"/>
  <c r="K1242" i="9"/>
  <c r="L1242" i="9"/>
  <c r="M1242" i="9"/>
  <c r="N1242" i="9" s="1"/>
  <c r="K1243" i="9"/>
  <c r="L1243" i="9"/>
  <c r="M1243" i="9"/>
  <c r="N1243" i="9" s="1"/>
  <c r="K1244" i="9"/>
  <c r="L1244" i="9"/>
  <c r="M1244" i="9"/>
  <c r="N1244" i="9" s="1"/>
  <c r="K1245" i="9"/>
  <c r="L1245" i="9"/>
  <c r="M1245" i="9"/>
  <c r="N1245" i="9" s="1"/>
  <c r="K1246" i="9"/>
  <c r="L1246" i="9"/>
  <c r="M1246" i="9"/>
  <c r="N1246" i="9" s="1"/>
  <c r="K1247" i="9"/>
  <c r="L1247" i="9"/>
  <c r="M1247" i="9"/>
  <c r="N1247" i="9" s="1"/>
  <c r="K1248" i="9"/>
  <c r="L1248" i="9"/>
  <c r="M1248" i="9"/>
  <c r="N1248" i="9" s="1"/>
  <c r="K1249" i="9"/>
  <c r="L1249" i="9"/>
  <c r="M1249" i="9"/>
  <c r="N1249" i="9" s="1"/>
  <c r="K1250" i="9"/>
  <c r="L1250" i="9"/>
  <c r="M1250" i="9"/>
  <c r="N1250" i="9" s="1"/>
  <c r="K1251" i="9"/>
  <c r="L1251" i="9"/>
  <c r="M1251" i="9"/>
  <c r="N1251" i="9" s="1"/>
  <c r="K1252" i="9"/>
  <c r="L1252" i="9"/>
  <c r="M1252" i="9"/>
  <c r="N1252" i="9" s="1"/>
  <c r="K1253" i="9"/>
  <c r="L1253" i="9"/>
  <c r="M1253" i="9"/>
  <c r="N1253" i="9" s="1"/>
  <c r="K1254" i="9"/>
  <c r="L1254" i="9"/>
  <c r="M1254" i="9"/>
  <c r="N1254" i="9" s="1"/>
  <c r="K1255" i="9"/>
  <c r="L1255" i="9"/>
  <c r="M1255" i="9"/>
  <c r="N1255" i="9" s="1"/>
  <c r="K1256" i="9"/>
  <c r="L1256" i="9"/>
  <c r="M1256" i="9"/>
  <c r="N1256" i="9" s="1"/>
  <c r="K1257" i="9"/>
  <c r="L1257" i="9"/>
  <c r="M1257" i="9"/>
  <c r="N1257" i="9" s="1"/>
  <c r="K1258" i="9"/>
  <c r="L1258" i="9"/>
  <c r="M1258" i="9"/>
  <c r="N1258" i="9" s="1"/>
  <c r="K1259" i="9"/>
  <c r="L1259" i="9"/>
  <c r="M1259" i="9"/>
  <c r="N1259" i="9" s="1"/>
  <c r="K1260" i="9"/>
  <c r="L1260" i="9"/>
  <c r="M1260" i="9"/>
  <c r="N1260" i="9" s="1"/>
  <c r="K1261" i="9"/>
  <c r="L1261" i="9"/>
  <c r="M1261" i="9"/>
  <c r="N1261" i="9" s="1"/>
  <c r="K1262" i="9"/>
  <c r="L1262" i="9"/>
  <c r="M1262" i="9"/>
  <c r="N1262" i="9" s="1"/>
  <c r="K1263" i="9"/>
  <c r="L1263" i="9"/>
  <c r="M1263" i="9" s="1"/>
  <c r="N1263" i="9" s="1"/>
  <c r="K1264" i="9"/>
  <c r="L1264" i="9"/>
  <c r="M1264" i="9" s="1"/>
  <c r="N1264" i="9" s="1"/>
  <c r="K1265" i="9"/>
  <c r="L1265" i="9"/>
  <c r="M1265" i="9" s="1"/>
  <c r="N1265" i="9" s="1"/>
  <c r="K1266" i="9"/>
  <c r="L1266" i="9"/>
  <c r="M1266" i="9" s="1"/>
  <c r="N1266" i="9" s="1"/>
  <c r="K1267" i="9"/>
  <c r="L1267" i="9"/>
  <c r="M1267" i="9" s="1"/>
  <c r="N1267" i="9" s="1"/>
  <c r="K1268" i="9"/>
  <c r="L1268" i="9"/>
  <c r="M1268" i="9" s="1"/>
  <c r="N1268" i="9" s="1"/>
  <c r="K1269" i="9"/>
  <c r="L1269" i="9"/>
  <c r="M1269" i="9" s="1"/>
  <c r="N1269" i="9" s="1"/>
  <c r="L1270" i="9"/>
  <c r="M1270" i="9"/>
  <c r="N1270" i="9" s="1"/>
  <c r="L1229" i="9"/>
  <c r="K1229" i="9"/>
  <c r="M1229" i="9"/>
  <c r="L222" i="9"/>
  <c r="K222" i="9"/>
  <c r="M222" i="9" s="1"/>
  <c r="L223" i="9"/>
  <c r="K223" i="9"/>
  <c r="M223" i="9"/>
  <c r="L800" i="9"/>
  <c r="K800" i="9"/>
  <c r="M800" i="9" s="1"/>
  <c r="L309" i="9"/>
  <c r="K309" i="9"/>
  <c r="M309" i="9"/>
  <c r="L310" i="9"/>
  <c r="K310" i="9"/>
  <c r="M310" i="9" s="1"/>
  <c r="L283" i="9"/>
  <c r="K283" i="9"/>
  <c r="M283" i="9"/>
  <c r="L284" i="9"/>
  <c r="K284" i="9"/>
  <c r="M284" i="9" s="1"/>
  <c r="L836" i="9"/>
  <c r="K836" i="9"/>
  <c r="M836" i="9"/>
  <c r="L1218" i="9"/>
  <c r="K1218" i="9"/>
  <c r="M1218" i="9" s="1"/>
  <c r="L1223" i="9"/>
  <c r="K1223" i="9"/>
  <c r="M1223" i="9"/>
  <c r="L287" i="9"/>
  <c r="K287" i="9"/>
  <c r="M287" i="9" s="1"/>
  <c r="L288" i="9"/>
  <c r="K288" i="9"/>
  <c r="M288" i="9"/>
  <c r="L575" i="9"/>
  <c r="K575" i="9"/>
  <c r="M575" i="9" s="1"/>
  <c r="L573" i="9"/>
  <c r="K573" i="9"/>
  <c r="M573" i="9"/>
  <c r="L849" i="9"/>
  <c r="K849" i="9"/>
  <c r="M849" i="9" s="1"/>
  <c r="L107" i="9"/>
  <c r="K107" i="9"/>
  <c r="M107" i="9"/>
  <c r="L108" i="9"/>
  <c r="K108" i="9"/>
  <c r="M108" i="9" s="1"/>
  <c r="L1061" i="9"/>
  <c r="K1061" i="9"/>
  <c r="M1061" i="9"/>
  <c r="L1065" i="9"/>
  <c r="K1065" i="9"/>
  <c r="M1065" i="9" s="1"/>
  <c r="L57" i="9"/>
  <c r="K57" i="9"/>
  <c r="M57" i="9"/>
  <c r="L300" i="9"/>
  <c r="K300" i="9"/>
  <c r="M300" i="9" s="1"/>
  <c r="L301" i="9"/>
  <c r="K301" i="9"/>
  <c r="M301" i="9"/>
  <c r="L840" i="9"/>
  <c r="K840" i="9"/>
  <c r="M840" i="9" s="1"/>
  <c r="L276" i="9"/>
  <c r="K276" i="9"/>
  <c r="M276" i="9"/>
  <c r="L277" i="9"/>
  <c r="K277" i="9"/>
  <c r="M277" i="9" s="1"/>
  <c r="L795" i="9"/>
  <c r="K795" i="9"/>
  <c r="M795" i="9"/>
  <c r="L1095" i="9"/>
  <c r="K1095" i="9"/>
  <c r="M1095" i="9" s="1"/>
  <c r="L1099" i="9"/>
  <c r="K1099" i="9"/>
  <c r="M1099" i="9"/>
  <c r="L1181" i="9"/>
  <c r="K1181" i="9"/>
  <c r="M1181" i="9" s="1"/>
  <c r="L1186" i="9"/>
  <c r="K1186" i="9"/>
  <c r="M1186" i="9"/>
  <c r="L822" i="9"/>
  <c r="K822" i="9"/>
  <c r="M822" i="9" s="1"/>
  <c r="L245" i="9"/>
  <c r="K245" i="9"/>
  <c r="M245" i="9"/>
  <c r="L246" i="9"/>
  <c r="K246" i="9"/>
  <c r="M246" i="9" s="1"/>
  <c r="L217" i="9"/>
  <c r="K217" i="9"/>
  <c r="M217" i="9"/>
  <c r="L218" i="9"/>
  <c r="K218" i="9"/>
  <c r="M218" i="9" s="1"/>
  <c r="L249" i="9"/>
  <c r="K249" i="9"/>
  <c r="M249" i="9"/>
  <c r="L250" i="9"/>
  <c r="K250" i="9"/>
  <c r="M250" i="9" s="1"/>
  <c r="L1228" i="9"/>
  <c r="K1228" i="9"/>
  <c r="M1228" i="9"/>
  <c r="L893" i="9"/>
  <c r="K893" i="9"/>
  <c r="M893" i="9" s="1"/>
  <c r="L895" i="9"/>
  <c r="K895" i="9"/>
  <c r="M895" i="9"/>
  <c r="L625" i="9"/>
  <c r="K625" i="9"/>
  <c r="M625" i="9" s="1"/>
  <c r="L624" i="9"/>
  <c r="K624" i="9"/>
  <c r="M624" i="9"/>
  <c r="L1039" i="9"/>
  <c r="K1039" i="9"/>
  <c r="M1039" i="9" s="1"/>
  <c r="L1043" i="9"/>
  <c r="K1043" i="9"/>
  <c r="M1043" i="9"/>
  <c r="L601" i="9"/>
  <c r="K601" i="9"/>
  <c r="M601" i="9" s="1"/>
  <c r="L600" i="9"/>
  <c r="K600" i="9"/>
  <c r="M600" i="9"/>
  <c r="L196" i="9"/>
  <c r="K196" i="9"/>
  <c r="M196" i="9" s="1"/>
  <c r="L197" i="9"/>
  <c r="K197" i="9"/>
  <c r="M197" i="9"/>
  <c r="L184" i="9"/>
  <c r="K184" i="9"/>
  <c r="M184" i="9" s="1"/>
  <c r="L185" i="9"/>
  <c r="K185" i="9"/>
  <c r="M185" i="9"/>
  <c r="L235" i="9"/>
  <c r="K235" i="9"/>
  <c r="M235" i="9" s="1"/>
  <c r="L236" i="9"/>
  <c r="K236" i="9"/>
  <c r="M236" i="9"/>
  <c r="L920" i="9"/>
  <c r="K920" i="9"/>
  <c r="M920" i="9" s="1"/>
  <c r="L923" i="9"/>
  <c r="K923" i="9"/>
  <c r="M923" i="9"/>
  <c r="L632" i="9"/>
  <c r="K632" i="9"/>
  <c r="M632" i="9" s="1"/>
  <c r="L631" i="9"/>
  <c r="K631" i="9"/>
  <c r="M631" i="9"/>
  <c r="L615" i="9"/>
  <c r="K615" i="9"/>
  <c r="M615" i="9" s="1"/>
  <c r="L614" i="9"/>
  <c r="K614" i="9"/>
  <c r="M614" i="9"/>
  <c r="L285" i="9"/>
  <c r="K285" i="9"/>
  <c r="M285" i="9" s="1"/>
  <c r="L75" i="9"/>
  <c r="K75" i="9"/>
  <c r="M75" i="9"/>
  <c r="L38" i="9"/>
  <c r="K38" i="9"/>
  <c r="M38" i="9" s="1"/>
  <c r="L338" i="9"/>
  <c r="K338" i="9"/>
  <c r="M338" i="9"/>
  <c r="L340" i="9"/>
  <c r="K340" i="9"/>
  <c r="M340" i="9" s="1"/>
  <c r="L1137" i="9"/>
  <c r="K1137" i="9"/>
  <c r="M1137" i="9"/>
  <c r="L1142" i="9"/>
  <c r="K1142" i="9"/>
  <c r="M1142" i="9" s="1"/>
  <c r="L1139" i="9"/>
  <c r="K1139" i="9"/>
  <c r="M1139" i="9"/>
  <c r="L1144" i="9"/>
  <c r="K1144" i="9"/>
  <c r="M1144" i="9" s="1"/>
  <c r="L801" i="9"/>
  <c r="K801" i="9"/>
  <c r="M801" i="9"/>
  <c r="L514" i="9"/>
  <c r="K514" i="9"/>
  <c r="M514" i="9" s="1"/>
  <c r="N514" i="9" s="1"/>
  <c r="L515" i="9"/>
  <c r="K515" i="9"/>
  <c r="M515" i="9"/>
  <c r="P32" i="9"/>
  <c r="K1230" i="9"/>
  <c r="L1230" i="9"/>
  <c r="M1230" i="9"/>
  <c r="N1230" i="9" s="1"/>
  <c r="K1205" i="9"/>
  <c r="K453" i="9"/>
  <c r="L453" i="9"/>
  <c r="M453" i="9" s="1"/>
  <c r="N453" i="9"/>
  <c r="K454" i="9"/>
  <c r="L454" i="9"/>
  <c r="M454" i="9" s="1"/>
  <c r="N454" i="9" s="1"/>
  <c r="K455" i="9"/>
  <c r="L455" i="9"/>
  <c r="M455" i="9" s="1"/>
  <c r="N455" i="9"/>
  <c r="K456" i="9"/>
  <c r="L456" i="9"/>
  <c r="M456" i="9" s="1"/>
  <c r="N456" i="9" s="1"/>
  <c r="K457" i="9"/>
  <c r="L457" i="9"/>
  <c r="M457" i="9" s="1"/>
  <c r="N457" i="9"/>
  <c r="K458" i="9"/>
  <c r="L458" i="9"/>
  <c r="M458" i="9" s="1"/>
  <c r="N458" i="9" s="1"/>
  <c r="K459" i="9"/>
  <c r="L459" i="9"/>
  <c r="M459" i="9" s="1"/>
  <c r="N459" i="9"/>
  <c r="K460" i="9"/>
  <c r="L460" i="9"/>
  <c r="M460" i="9" s="1"/>
  <c r="N460" i="9" s="1"/>
  <c r="K461" i="9"/>
  <c r="L461" i="9"/>
  <c r="M461" i="9" s="1"/>
  <c r="N461" i="9"/>
  <c r="K462" i="9"/>
  <c r="L462" i="9"/>
  <c r="M462" i="9" s="1"/>
  <c r="N462" i="9" s="1"/>
  <c r="K463" i="9"/>
  <c r="L463" i="9"/>
  <c r="M463" i="9" s="1"/>
  <c r="N463" i="9"/>
  <c r="K464" i="9"/>
  <c r="L464" i="9"/>
  <c r="M464" i="9" s="1"/>
  <c r="N464" i="9" s="1"/>
  <c r="K465" i="9"/>
  <c r="L465" i="9"/>
  <c r="M465" i="9" s="1"/>
  <c r="N465" i="9"/>
  <c r="K466" i="9"/>
  <c r="L466" i="9"/>
  <c r="M466" i="9" s="1"/>
  <c r="N466" i="9" s="1"/>
  <c r="K467" i="9"/>
  <c r="L467" i="9"/>
  <c r="M467" i="9" s="1"/>
  <c r="N467" i="9"/>
  <c r="K468" i="9"/>
  <c r="L468" i="9"/>
  <c r="M468" i="9" s="1"/>
  <c r="N468" i="9" s="1"/>
  <c r="K469" i="9"/>
  <c r="L469" i="9"/>
  <c r="M469" i="9" s="1"/>
  <c r="N469" i="9"/>
  <c r="K470" i="9"/>
  <c r="L470" i="9"/>
  <c r="M470" i="9" s="1"/>
  <c r="N470" i="9" s="1"/>
  <c r="K471" i="9"/>
  <c r="L471" i="9"/>
  <c r="M471" i="9" s="1"/>
  <c r="N471" i="9"/>
  <c r="K472" i="9"/>
  <c r="L472" i="9"/>
  <c r="M472" i="9" s="1"/>
  <c r="N472" i="9" s="1"/>
  <c r="K473" i="9"/>
  <c r="L473" i="9"/>
  <c r="M473" i="9" s="1"/>
  <c r="N473" i="9"/>
  <c r="K474" i="9"/>
  <c r="L474" i="9"/>
  <c r="M474" i="9" s="1"/>
  <c r="N474" i="9" s="1"/>
  <c r="K475" i="9"/>
  <c r="L475" i="9"/>
  <c r="M475" i="9" s="1"/>
  <c r="N475" i="9"/>
  <c r="K476" i="9"/>
  <c r="L476" i="9"/>
  <c r="M476" i="9" s="1"/>
  <c r="N476" i="9" s="1"/>
  <c r="K477" i="9"/>
  <c r="L477" i="9"/>
  <c r="M477" i="9" s="1"/>
  <c r="N477" i="9"/>
  <c r="K478" i="9"/>
  <c r="L478" i="9"/>
  <c r="M478" i="9" s="1"/>
  <c r="N478" i="9" s="1"/>
  <c r="K479" i="9"/>
  <c r="L479" i="9"/>
  <c r="M479" i="9" s="1"/>
  <c r="N479" i="9"/>
  <c r="K480" i="9"/>
  <c r="L480" i="9"/>
  <c r="M480" i="9" s="1"/>
  <c r="N480" i="9" s="1"/>
  <c r="K481" i="9"/>
  <c r="L481" i="9"/>
  <c r="M481" i="9" s="1"/>
  <c r="N481" i="9"/>
  <c r="K482" i="9"/>
  <c r="L482" i="9"/>
  <c r="M482" i="9" s="1"/>
  <c r="N482" i="9" s="1"/>
  <c r="K483" i="9"/>
  <c r="L483" i="9"/>
  <c r="M483" i="9" s="1"/>
  <c r="N483" i="9"/>
  <c r="K484" i="9"/>
  <c r="L484" i="9"/>
  <c r="M484" i="9" s="1"/>
  <c r="N484" i="9" s="1"/>
  <c r="K485" i="9"/>
  <c r="L485" i="9"/>
  <c r="M485" i="9" s="1"/>
  <c r="N485" i="9"/>
  <c r="K486" i="9"/>
  <c r="L486" i="9"/>
  <c r="M486" i="9" s="1"/>
  <c r="N486" i="9" s="1"/>
  <c r="K487" i="9"/>
  <c r="L487" i="9"/>
  <c r="M487" i="9" s="1"/>
  <c r="N487" i="9"/>
  <c r="K488" i="9"/>
  <c r="L488" i="9"/>
  <c r="M488" i="9" s="1"/>
  <c r="N488" i="9" s="1"/>
  <c r="K489" i="9"/>
  <c r="L489" i="9"/>
  <c r="M489" i="9" s="1"/>
  <c r="N489" i="9"/>
  <c r="K490" i="9"/>
  <c r="L490" i="9"/>
  <c r="M490" i="9" s="1"/>
  <c r="N490" i="9" s="1"/>
  <c r="K491" i="9"/>
  <c r="L491" i="9"/>
  <c r="M491" i="9" s="1"/>
  <c r="N491" i="9"/>
  <c r="K492" i="9"/>
  <c r="L492" i="9"/>
  <c r="M492" i="9" s="1"/>
  <c r="N492" i="9" s="1"/>
  <c r="K493" i="9"/>
  <c r="L493" i="9"/>
  <c r="M493" i="9" s="1"/>
  <c r="N493" i="9"/>
  <c r="K494" i="9"/>
  <c r="L494" i="9"/>
  <c r="M494" i="9" s="1"/>
  <c r="N494" i="9" s="1"/>
  <c r="K495" i="9"/>
  <c r="L495" i="9"/>
  <c r="M495" i="9" s="1"/>
  <c r="N495" i="9"/>
  <c r="K496" i="9"/>
  <c r="L496" i="9"/>
  <c r="M496" i="9" s="1"/>
  <c r="N496" i="9" s="1"/>
  <c r="K497" i="9"/>
  <c r="L497" i="9"/>
  <c r="M497" i="9" s="1"/>
  <c r="N497" i="9"/>
  <c r="K498" i="9"/>
  <c r="L498" i="9"/>
  <c r="M498" i="9" s="1"/>
  <c r="N498" i="9" s="1"/>
  <c r="K499" i="9"/>
  <c r="L499" i="9"/>
  <c r="M499" i="9" s="1"/>
  <c r="N499" i="9"/>
  <c r="K500" i="9"/>
  <c r="L500" i="9"/>
  <c r="M500" i="9" s="1"/>
  <c r="N500" i="9" s="1"/>
  <c r="K501" i="9"/>
  <c r="L501" i="9"/>
  <c r="M501" i="9" s="1"/>
  <c r="N501" i="9"/>
  <c r="K502" i="9"/>
  <c r="L502" i="9"/>
  <c r="M502" i="9" s="1"/>
  <c r="N502" i="9" s="1"/>
  <c r="K503" i="9"/>
  <c r="L503" i="9"/>
  <c r="M503" i="9" s="1"/>
  <c r="N503" i="9"/>
  <c r="K504" i="9"/>
  <c r="L504" i="9"/>
  <c r="M504" i="9" s="1"/>
  <c r="N504" i="9" s="1"/>
  <c r="K505" i="9"/>
  <c r="L505" i="9"/>
  <c r="M505" i="9" s="1"/>
  <c r="N505" i="9"/>
  <c r="K506" i="9"/>
  <c r="L506" i="9"/>
  <c r="M506" i="9" s="1"/>
  <c r="N506" i="9" s="1"/>
  <c r="K507" i="9"/>
  <c r="L507" i="9"/>
  <c r="M507" i="9" s="1"/>
  <c r="N507" i="9"/>
  <c r="K508" i="9"/>
  <c r="L508" i="9"/>
  <c r="M508" i="9" s="1"/>
  <c r="N508" i="9" s="1"/>
  <c r="K509" i="9"/>
  <c r="L509" i="9"/>
  <c r="M509" i="9" s="1"/>
  <c r="N509" i="9"/>
  <c r="K510" i="9"/>
  <c r="L510" i="9"/>
  <c r="M510" i="9" s="1"/>
  <c r="N510" i="9" s="1"/>
  <c r="K511" i="9"/>
  <c r="L511" i="9"/>
  <c r="M511" i="9" s="1"/>
  <c r="N511" i="9"/>
  <c r="K512" i="9"/>
  <c r="L512" i="9"/>
  <c r="M512" i="9" s="1"/>
  <c r="N512" i="9" s="1"/>
  <c r="K513" i="9"/>
  <c r="L513" i="9"/>
  <c r="M513" i="9" s="1"/>
  <c r="N513" i="9"/>
  <c r="N515" i="9"/>
  <c r="K516" i="9"/>
  <c r="L516" i="9"/>
  <c r="M516" i="9" s="1"/>
  <c r="N516" i="9"/>
  <c r="K517" i="9"/>
  <c r="L517" i="9"/>
  <c r="M517" i="9" s="1"/>
  <c r="N517" i="9" s="1"/>
  <c r="K518" i="9"/>
  <c r="L518" i="9"/>
  <c r="M518" i="9" s="1"/>
  <c r="N518" i="9"/>
  <c r="K519" i="9"/>
  <c r="L519" i="9"/>
  <c r="M519" i="9" s="1"/>
  <c r="N519" i="9" s="1"/>
  <c r="K520" i="9"/>
  <c r="L520" i="9"/>
  <c r="M520" i="9" s="1"/>
  <c r="N520" i="9"/>
  <c r="K521" i="9"/>
  <c r="L521" i="9"/>
  <c r="M521" i="9" s="1"/>
  <c r="N521" i="9" s="1"/>
  <c r="K522" i="9"/>
  <c r="L522" i="9"/>
  <c r="M522" i="9" s="1"/>
  <c r="N522" i="9"/>
  <c r="K523" i="9"/>
  <c r="L523" i="9"/>
  <c r="M523" i="9" s="1"/>
  <c r="N523" i="9" s="1"/>
  <c r="K524" i="9"/>
  <c r="L524" i="9"/>
  <c r="M524" i="9" s="1"/>
  <c r="N524" i="9"/>
  <c r="K525" i="9"/>
  <c r="L525" i="9"/>
  <c r="M525" i="9" s="1"/>
  <c r="N525" i="9" s="1"/>
  <c r="K526" i="9"/>
  <c r="L526" i="9"/>
  <c r="M526" i="9" s="1"/>
  <c r="N526" i="9"/>
  <c r="K527" i="9"/>
  <c r="L527" i="9"/>
  <c r="M527" i="9" s="1"/>
  <c r="N527" i="9" s="1"/>
  <c r="K528" i="9"/>
  <c r="L528" i="9"/>
  <c r="M528" i="9" s="1"/>
  <c r="N528" i="9"/>
  <c r="K529" i="9"/>
  <c r="L529" i="9"/>
  <c r="M529" i="9" s="1"/>
  <c r="N529" i="9" s="1"/>
  <c r="K530" i="9"/>
  <c r="L530" i="9"/>
  <c r="M530" i="9" s="1"/>
  <c r="N530" i="9"/>
  <c r="K531" i="9"/>
  <c r="L531" i="9"/>
  <c r="M531" i="9" s="1"/>
  <c r="N531" i="9" s="1"/>
  <c r="K532" i="9"/>
  <c r="L532" i="9"/>
  <c r="M532" i="9" s="1"/>
  <c r="N532" i="9"/>
  <c r="K533" i="9"/>
  <c r="L533" i="9"/>
  <c r="M533" i="9" s="1"/>
  <c r="N533" i="9" s="1"/>
  <c r="K534" i="9"/>
  <c r="L534" i="9"/>
  <c r="M534" i="9" s="1"/>
  <c r="N534" i="9"/>
  <c r="K535" i="9"/>
  <c r="L535" i="9"/>
  <c r="M535" i="9" s="1"/>
  <c r="N535" i="9" s="1"/>
  <c r="K536" i="9"/>
  <c r="L536" i="9"/>
  <c r="M536" i="9" s="1"/>
  <c r="N536" i="9"/>
  <c r="K537" i="9"/>
  <c r="L537" i="9"/>
  <c r="M537" i="9" s="1"/>
  <c r="N537" i="9" s="1"/>
  <c r="K538" i="9"/>
  <c r="L538" i="9"/>
  <c r="M538" i="9" s="1"/>
  <c r="N538" i="9"/>
  <c r="K539" i="9"/>
  <c r="L539" i="9"/>
  <c r="M539" i="9" s="1"/>
  <c r="N539" i="9" s="1"/>
  <c r="K540" i="9"/>
  <c r="L540" i="9"/>
  <c r="M540" i="9" s="1"/>
  <c r="N540" i="9"/>
  <c r="K541" i="9"/>
  <c r="L541" i="9"/>
  <c r="M541" i="9" s="1"/>
  <c r="N541" i="9" s="1"/>
  <c r="K542" i="9"/>
  <c r="L542" i="9"/>
  <c r="M542" i="9" s="1"/>
  <c r="N542" i="9"/>
  <c r="K543" i="9"/>
  <c r="L543" i="9"/>
  <c r="M543" i="9" s="1"/>
  <c r="N543" i="9" s="1"/>
  <c r="K544" i="9"/>
  <c r="L544" i="9"/>
  <c r="M544" i="9" s="1"/>
  <c r="N544" i="9"/>
  <c r="K545" i="9"/>
  <c r="L545" i="9"/>
  <c r="M545" i="9" s="1"/>
  <c r="N545" i="9" s="1"/>
  <c r="K546" i="9"/>
  <c r="L546" i="9"/>
  <c r="M546" i="9" s="1"/>
  <c r="N546" i="9"/>
  <c r="K547" i="9"/>
  <c r="L547" i="9"/>
  <c r="M547" i="9" s="1"/>
  <c r="N547" i="9" s="1"/>
  <c r="K548" i="9"/>
  <c r="L548" i="9"/>
  <c r="M548" i="9" s="1"/>
  <c r="N548" i="9"/>
  <c r="K549" i="9"/>
  <c r="L549" i="9"/>
  <c r="M549" i="9" s="1"/>
  <c r="N549" i="9" s="1"/>
  <c r="K550" i="9"/>
  <c r="L550" i="9"/>
  <c r="M550" i="9" s="1"/>
  <c r="N550" i="9"/>
  <c r="K551" i="9"/>
  <c r="L551" i="9"/>
  <c r="M551" i="9" s="1"/>
  <c r="N551" i="9" s="1"/>
  <c r="K552" i="9"/>
  <c r="L552" i="9"/>
  <c r="M552" i="9" s="1"/>
  <c r="N552" i="9"/>
  <c r="K553" i="9"/>
  <c r="L553" i="9"/>
  <c r="M553" i="9" s="1"/>
  <c r="N553" i="9" s="1"/>
  <c r="K554" i="9"/>
  <c r="L554" i="9"/>
  <c r="M554" i="9" s="1"/>
  <c r="N554" i="9"/>
  <c r="K555" i="9"/>
  <c r="L555" i="9"/>
  <c r="M555" i="9" s="1"/>
  <c r="N555" i="9" s="1"/>
  <c r="K556" i="9"/>
  <c r="L556" i="9"/>
  <c r="M556" i="9" s="1"/>
  <c r="N556" i="9"/>
  <c r="K557" i="9"/>
  <c r="L557" i="9"/>
  <c r="M557" i="9" s="1"/>
  <c r="N557" i="9" s="1"/>
  <c r="K558" i="9"/>
  <c r="L558" i="9"/>
  <c r="M558" i="9" s="1"/>
  <c r="N558" i="9"/>
  <c r="K559" i="9"/>
  <c r="L559" i="9"/>
  <c r="M559" i="9" s="1"/>
  <c r="N559" i="9" s="1"/>
  <c r="K560" i="9"/>
  <c r="L560" i="9"/>
  <c r="M560" i="9" s="1"/>
  <c r="N560" i="9"/>
  <c r="K561" i="9"/>
  <c r="L561" i="9"/>
  <c r="M561" i="9" s="1"/>
  <c r="N561" i="9" s="1"/>
  <c r="K562" i="9"/>
  <c r="L562" i="9"/>
  <c r="M562" i="9" s="1"/>
  <c r="N562" i="9"/>
  <c r="K563" i="9"/>
  <c r="L563" i="9"/>
  <c r="M563" i="9" s="1"/>
  <c r="N563" i="9" s="1"/>
  <c r="K564" i="9"/>
  <c r="L564" i="9"/>
  <c r="M564" i="9" s="1"/>
  <c r="N564" i="9"/>
  <c r="K565" i="9"/>
  <c r="L565" i="9"/>
  <c r="M565" i="9" s="1"/>
  <c r="N565" i="9" s="1"/>
  <c r="K566" i="9"/>
  <c r="L566" i="9"/>
  <c r="M566" i="9" s="1"/>
  <c r="N566" i="9"/>
  <c r="K567" i="9"/>
  <c r="L567" i="9"/>
  <c r="M567" i="9" s="1"/>
  <c r="N567" i="9" s="1"/>
  <c r="K568" i="9"/>
  <c r="L568" i="9"/>
  <c r="M568" i="9" s="1"/>
  <c r="N568" i="9"/>
  <c r="K569" i="9"/>
  <c r="L569" i="9"/>
  <c r="M569" i="9" s="1"/>
  <c r="N569" i="9" s="1"/>
  <c r="K570" i="9"/>
  <c r="L570" i="9"/>
  <c r="M570" i="9" s="1"/>
  <c r="N570" i="9"/>
  <c r="K571" i="9"/>
  <c r="L571" i="9"/>
  <c r="M571" i="9" s="1"/>
  <c r="N571" i="9" s="1"/>
  <c r="K572" i="9"/>
  <c r="L572" i="9"/>
  <c r="M572" i="9" s="1"/>
  <c r="N572" i="9"/>
  <c r="N573" i="9"/>
  <c r="K574" i="9"/>
  <c r="L574" i="9"/>
  <c r="M574" i="9"/>
  <c r="N574" i="9" s="1"/>
  <c r="N575" i="9"/>
  <c r="K576" i="9"/>
  <c r="L576" i="9"/>
  <c r="M576" i="9" s="1"/>
  <c r="N576" i="9"/>
  <c r="K577" i="9"/>
  <c r="L577" i="9"/>
  <c r="M577" i="9" s="1"/>
  <c r="N577" i="9" s="1"/>
  <c r="K578" i="9"/>
  <c r="L578" i="9"/>
  <c r="M578" i="9" s="1"/>
  <c r="N578" i="9" s="1"/>
  <c r="K579" i="9"/>
  <c r="L579" i="9"/>
  <c r="M579" i="9" s="1"/>
  <c r="N579" i="9" s="1"/>
  <c r="K580" i="9"/>
  <c r="L580" i="9"/>
  <c r="M580" i="9" s="1"/>
  <c r="N580" i="9" s="1"/>
  <c r="K581" i="9"/>
  <c r="L581" i="9"/>
  <c r="M581" i="9" s="1"/>
  <c r="N581" i="9" s="1"/>
  <c r="K582" i="9"/>
  <c r="L582" i="9"/>
  <c r="M582" i="9" s="1"/>
  <c r="N582" i="9" s="1"/>
  <c r="K583" i="9"/>
  <c r="L583" i="9"/>
  <c r="M583" i="9" s="1"/>
  <c r="N583" i="9" s="1"/>
  <c r="K584" i="9"/>
  <c r="L584" i="9"/>
  <c r="M584" i="9" s="1"/>
  <c r="N584" i="9" s="1"/>
  <c r="K585" i="9"/>
  <c r="L585" i="9"/>
  <c r="M585" i="9" s="1"/>
  <c r="N585" i="9" s="1"/>
  <c r="K586" i="9"/>
  <c r="L586" i="9"/>
  <c r="M586" i="9" s="1"/>
  <c r="N586" i="9" s="1"/>
  <c r="K587" i="9"/>
  <c r="L587" i="9"/>
  <c r="M587" i="9" s="1"/>
  <c r="N587" i="9" s="1"/>
  <c r="K588" i="9"/>
  <c r="L588" i="9"/>
  <c r="M588" i="9" s="1"/>
  <c r="N588" i="9" s="1"/>
  <c r="K589" i="9"/>
  <c r="L589" i="9"/>
  <c r="M589" i="9" s="1"/>
  <c r="N589" i="9" s="1"/>
  <c r="K590" i="9"/>
  <c r="L590" i="9"/>
  <c r="M590" i="9" s="1"/>
  <c r="N590" i="9" s="1"/>
  <c r="K591" i="9"/>
  <c r="L591" i="9"/>
  <c r="M591" i="9" s="1"/>
  <c r="N591" i="9" s="1"/>
  <c r="K592" i="9"/>
  <c r="L592" i="9"/>
  <c r="M592" i="9" s="1"/>
  <c r="N592" i="9" s="1"/>
  <c r="K593" i="9"/>
  <c r="L593" i="9"/>
  <c r="M593" i="9" s="1"/>
  <c r="N593" i="9" s="1"/>
  <c r="K594" i="9"/>
  <c r="L594" i="9"/>
  <c r="M594" i="9" s="1"/>
  <c r="N594" i="9" s="1"/>
  <c r="K595" i="9"/>
  <c r="L595" i="9"/>
  <c r="M595" i="9" s="1"/>
  <c r="N595" i="9" s="1"/>
  <c r="K596" i="9"/>
  <c r="L596" i="9"/>
  <c r="M596" i="9" s="1"/>
  <c r="N596" i="9" s="1"/>
  <c r="K597" i="9"/>
  <c r="L597" i="9"/>
  <c r="M597" i="9" s="1"/>
  <c r="N597" i="9" s="1"/>
  <c r="K598" i="9"/>
  <c r="L598" i="9"/>
  <c r="M598" i="9" s="1"/>
  <c r="N598" i="9" s="1"/>
  <c r="K599" i="9"/>
  <c r="L599" i="9"/>
  <c r="M599" i="9" s="1"/>
  <c r="N599" i="9" s="1"/>
  <c r="N600" i="9"/>
  <c r="N601" i="9"/>
  <c r="K602" i="9"/>
  <c r="L602" i="9"/>
  <c r="M602" i="9" s="1"/>
  <c r="N602" i="9" s="1"/>
  <c r="K603" i="9"/>
  <c r="L603" i="9"/>
  <c r="M603" i="9" s="1"/>
  <c r="N603" i="9" s="1"/>
  <c r="K604" i="9"/>
  <c r="L604" i="9"/>
  <c r="M604" i="9" s="1"/>
  <c r="N604" i="9" s="1"/>
  <c r="K605" i="9"/>
  <c r="L605" i="9"/>
  <c r="M605" i="9" s="1"/>
  <c r="N605" i="9" s="1"/>
  <c r="K606" i="9"/>
  <c r="L606" i="9"/>
  <c r="M606" i="9" s="1"/>
  <c r="N606" i="9" s="1"/>
  <c r="K607" i="9"/>
  <c r="L607" i="9"/>
  <c r="M607" i="9" s="1"/>
  <c r="N607" i="9" s="1"/>
  <c r="K608" i="9"/>
  <c r="L608" i="9"/>
  <c r="M608" i="9" s="1"/>
  <c r="N608" i="9" s="1"/>
  <c r="K609" i="9"/>
  <c r="L609" i="9"/>
  <c r="M609" i="9" s="1"/>
  <c r="N609" i="9" s="1"/>
  <c r="K610" i="9"/>
  <c r="L610" i="9"/>
  <c r="M610" i="9" s="1"/>
  <c r="N610" i="9" s="1"/>
  <c r="K611" i="9"/>
  <c r="L611" i="9"/>
  <c r="M611" i="9" s="1"/>
  <c r="N611" i="9" s="1"/>
  <c r="K612" i="9"/>
  <c r="L612" i="9"/>
  <c r="M612" i="9" s="1"/>
  <c r="N612" i="9" s="1"/>
  <c r="K613" i="9"/>
  <c r="L613" i="9"/>
  <c r="M613" i="9" s="1"/>
  <c r="N613" i="9" s="1"/>
  <c r="N614" i="9"/>
  <c r="N615" i="9"/>
  <c r="K616" i="9"/>
  <c r="L616" i="9"/>
  <c r="M616" i="9" s="1"/>
  <c r="N616" i="9" s="1"/>
  <c r="K617" i="9"/>
  <c r="L617" i="9"/>
  <c r="M617" i="9" s="1"/>
  <c r="N617" i="9" s="1"/>
  <c r="K618" i="9"/>
  <c r="L618" i="9"/>
  <c r="M618" i="9" s="1"/>
  <c r="N618" i="9" s="1"/>
  <c r="K619" i="9"/>
  <c r="L619" i="9"/>
  <c r="M619" i="9" s="1"/>
  <c r="N619" i="9" s="1"/>
  <c r="K620" i="9"/>
  <c r="L620" i="9"/>
  <c r="M620" i="9" s="1"/>
  <c r="N620" i="9" s="1"/>
  <c r="K621" i="9"/>
  <c r="L621" i="9"/>
  <c r="M621" i="9" s="1"/>
  <c r="N621" i="9" s="1"/>
  <c r="K622" i="9"/>
  <c r="L622" i="9"/>
  <c r="M622" i="9" s="1"/>
  <c r="N622" i="9" s="1"/>
  <c r="K623" i="9"/>
  <c r="L623" i="9"/>
  <c r="M623" i="9" s="1"/>
  <c r="N623" i="9" s="1"/>
  <c r="N624" i="9"/>
  <c r="N625" i="9"/>
  <c r="K626" i="9"/>
  <c r="L626" i="9"/>
  <c r="M626" i="9" s="1"/>
  <c r="N626" i="9" s="1"/>
  <c r="K627" i="9"/>
  <c r="L627" i="9"/>
  <c r="M627" i="9" s="1"/>
  <c r="N627" i="9" s="1"/>
  <c r="K628" i="9"/>
  <c r="L628" i="9"/>
  <c r="M628" i="9" s="1"/>
  <c r="N628" i="9" s="1"/>
  <c r="K629" i="9"/>
  <c r="L629" i="9"/>
  <c r="M629" i="9" s="1"/>
  <c r="N629" i="9" s="1"/>
  <c r="K630" i="9"/>
  <c r="L630" i="9"/>
  <c r="M630" i="9" s="1"/>
  <c r="N630" i="9" s="1"/>
  <c r="N631" i="9"/>
  <c r="N632" i="9"/>
  <c r="K633" i="9"/>
  <c r="L633" i="9"/>
  <c r="M633" i="9" s="1"/>
  <c r="N633" i="9" s="1"/>
  <c r="K634" i="9"/>
  <c r="L634" i="9"/>
  <c r="M634" i="9" s="1"/>
  <c r="N634" i="9" s="1"/>
  <c r="K635" i="9"/>
  <c r="L635" i="9"/>
  <c r="M635" i="9" s="1"/>
  <c r="N635" i="9" s="1"/>
  <c r="K636" i="9"/>
  <c r="L636" i="9"/>
  <c r="M636" i="9" s="1"/>
  <c r="N636" i="9" s="1"/>
  <c r="K637" i="9"/>
  <c r="L637" i="9"/>
  <c r="M637" i="9" s="1"/>
  <c r="N637" i="9" s="1"/>
  <c r="K638" i="9"/>
  <c r="L638" i="9"/>
  <c r="M638" i="9" s="1"/>
  <c r="N638" i="9" s="1"/>
  <c r="K639" i="9"/>
  <c r="L639" i="9"/>
  <c r="M639" i="9" s="1"/>
  <c r="N639" i="9" s="1"/>
  <c r="K640" i="9"/>
  <c r="L640" i="9"/>
  <c r="M640" i="9" s="1"/>
  <c r="N640" i="9" s="1"/>
  <c r="K641" i="9"/>
  <c r="L641" i="9"/>
  <c r="M641" i="9" s="1"/>
  <c r="N641" i="9" s="1"/>
  <c r="K642" i="9"/>
  <c r="L642" i="9"/>
  <c r="M642" i="9" s="1"/>
  <c r="N642" i="9" s="1"/>
  <c r="K643" i="9"/>
  <c r="L643" i="9"/>
  <c r="M643" i="9" s="1"/>
  <c r="N643" i="9" s="1"/>
  <c r="K644" i="9"/>
  <c r="L644" i="9"/>
  <c r="M644" i="9" s="1"/>
  <c r="N644" i="9" s="1"/>
  <c r="K645" i="9"/>
  <c r="L645" i="9"/>
  <c r="M645" i="9" s="1"/>
  <c r="N645" i="9" s="1"/>
  <c r="K646" i="9"/>
  <c r="L646" i="9"/>
  <c r="M646" i="9" s="1"/>
  <c r="N646" i="9" s="1"/>
  <c r="K647" i="9"/>
  <c r="L647" i="9"/>
  <c r="M647" i="9" s="1"/>
  <c r="N647" i="9" s="1"/>
  <c r="K648" i="9"/>
  <c r="L648" i="9"/>
  <c r="M648" i="9" s="1"/>
  <c r="N648" i="9" s="1"/>
  <c r="K649" i="9"/>
  <c r="L649" i="9"/>
  <c r="M649" i="9" s="1"/>
  <c r="N649" i="9" s="1"/>
  <c r="K650" i="9"/>
  <c r="L650" i="9"/>
  <c r="M650" i="9" s="1"/>
  <c r="N650" i="9" s="1"/>
  <c r="K651" i="9"/>
  <c r="L651" i="9"/>
  <c r="M651" i="9" s="1"/>
  <c r="N651" i="9" s="1"/>
  <c r="K652" i="9"/>
  <c r="L652" i="9"/>
  <c r="M652" i="9" s="1"/>
  <c r="N652" i="9" s="1"/>
  <c r="K653" i="9"/>
  <c r="L653" i="9"/>
  <c r="M653" i="9" s="1"/>
  <c r="N653" i="9" s="1"/>
  <c r="K654" i="9"/>
  <c r="L654" i="9"/>
  <c r="M654" i="9" s="1"/>
  <c r="N654" i="9" s="1"/>
  <c r="K655" i="9"/>
  <c r="L655" i="9"/>
  <c r="M655" i="9" s="1"/>
  <c r="N655" i="9" s="1"/>
  <c r="K656" i="9"/>
  <c r="L656" i="9"/>
  <c r="M656" i="9" s="1"/>
  <c r="N656" i="9" s="1"/>
  <c r="K657" i="9"/>
  <c r="L657" i="9"/>
  <c r="M657" i="9" s="1"/>
  <c r="N657" i="9" s="1"/>
  <c r="K658" i="9"/>
  <c r="L658" i="9"/>
  <c r="M658" i="9" s="1"/>
  <c r="N658" i="9" s="1"/>
  <c r="K659" i="9"/>
  <c r="L659" i="9"/>
  <c r="M659" i="9" s="1"/>
  <c r="N659" i="9" s="1"/>
  <c r="K660" i="9"/>
  <c r="L660" i="9"/>
  <c r="M660" i="9" s="1"/>
  <c r="N660" i="9" s="1"/>
  <c r="K661" i="9"/>
  <c r="L661" i="9"/>
  <c r="M661" i="9" s="1"/>
  <c r="N661" i="9" s="1"/>
  <c r="K662" i="9"/>
  <c r="L662" i="9"/>
  <c r="M662" i="9" s="1"/>
  <c r="N662" i="9" s="1"/>
  <c r="K663" i="9"/>
  <c r="L663" i="9"/>
  <c r="M663" i="9" s="1"/>
  <c r="N663" i="9" s="1"/>
  <c r="K664" i="9"/>
  <c r="L664" i="9"/>
  <c r="M664" i="9" s="1"/>
  <c r="N664" i="9" s="1"/>
  <c r="K665" i="9"/>
  <c r="L665" i="9"/>
  <c r="M665" i="9" s="1"/>
  <c r="N665" i="9" s="1"/>
  <c r="K666" i="9"/>
  <c r="L666" i="9"/>
  <c r="M666" i="9" s="1"/>
  <c r="N666" i="9" s="1"/>
  <c r="K667" i="9"/>
  <c r="L667" i="9"/>
  <c r="M667" i="9" s="1"/>
  <c r="N667" i="9" s="1"/>
  <c r="K668" i="9"/>
  <c r="L668" i="9"/>
  <c r="M668" i="9" s="1"/>
  <c r="N668" i="9" s="1"/>
  <c r="K669" i="9"/>
  <c r="L669" i="9"/>
  <c r="M669" i="9" s="1"/>
  <c r="N669" i="9" s="1"/>
  <c r="K670" i="9"/>
  <c r="L670" i="9"/>
  <c r="M670" i="9" s="1"/>
  <c r="N670" i="9" s="1"/>
  <c r="K671" i="9"/>
  <c r="L671" i="9"/>
  <c r="M671" i="9" s="1"/>
  <c r="N671" i="9"/>
  <c r="K672" i="9"/>
  <c r="L672" i="9"/>
  <c r="M672" i="9" s="1"/>
  <c r="N672" i="9" s="1"/>
  <c r="K673" i="9"/>
  <c r="L673" i="9"/>
  <c r="M673" i="9" s="1"/>
  <c r="N673" i="9"/>
  <c r="K674" i="9"/>
  <c r="L674" i="9"/>
  <c r="M674" i="9" s="1"/>
  <c r="N674" i="9" s="1"/>
  <c r="K675" i="9"/>
  <c r="L675" i="9"/>
  <c r="M675" i="9" s="1"/>
  <c r="N675" i="9"/>
  <c r="K676" i="9"/>
  <c r="L676" i="9"/>
  <c r="M676" i="9" s="1"/>
  <c r="N676" i="9" s="1"/>
  <c r="K677" i="9"/>
  <c r="L677" i="9"/>
  <c r="M677" i="9" s="1"/>
  <c r="N677" i="9"/>
  <c r="K678" i="9"/>
  <c r="L678" i="9"/>
  <c r="M678" i="9" s="1"/>
  <c r="N678" i="9" s="1"/>
  <c r="K679" i="9"/>
  <c r="L679" i="9"/>
  <c r="M679" i="9" s="1"/>
  <c r="N679" i="9"/>
  <c r="K680" i="9"/>
  <c r="L680" i="9"/>
  <c r="M680" i="9" s="1"/>
  <c r="N680" i="9" s="1"/>
  <c r="K681" i="9"/>
  <c r="L681" i="9"/>
  <c r="M681" i="9" s="1"/>
  <c r="N681" i="9"/>
  <c r="K682" i="9"/>
  <c r="L682" i="9"/>
  <c r="M682" i="9" s="1"/>
  <c r="N682" i="9" s="1"/>
  <c r="K683" i="9"/>
  <c r="L683" i="9"/>
  <c r="M683" i="9" s="1"/>
  <c r="N683" i="9"/>
  <c r="K684" i="9"/>
  <c r="L684" i="9"/>
  <c r="M684" i="9" s="1"/>
  <c r="N684" i="9" s="1"/>
  <c r="K685" i="9"/>
  <c r="L685" i="9"/>
  <c r="M685" i="9" s="1"/>
  <c r="N685" i="9"/>
  <c r="K686" i="9"/>
  <c r="L686" i="9"/>
  <c r="M686" i="9" s="1"/>
  <c r="N686" i="9" s="1"/>
  <c r="K687" i="9"/>
  <c r="L687" i="9"/>
  <c r="M687" i="9" s="1"/>
  <c r="N687" i="9"/>
  <c r="K688" i="9"/>
  <c r="L688" i="9"/>
  <c r="M688" i="9" s="1"/>
  <c r="N688" i="9" s="1"/>
  <c r="K689" i="9"/>
  <c r="L689" i="9"/>
  <c r="M689" i="9" s="1"/>
  <c r="N689" i="9"/>
  <c r="K690" i="9"/>
  <c r="L690" i="9"/>
  <c r="M690" i="9" s="1"/>
  <c r="N690" i="9" s="1"/>
  <c r="K691" i="9"/>
  <c r="L691" i="9"/>
  <c r="M691" i="9" s="1"/>
  <c r="N691" i="9"/>
  <c r="K692" i="9"/>
  <c r="L692" i="9"/>
  <c r="M692" i="9" s="1"/>
  <c r="N692" i="9" s="1"/>
  <c r="K693" i="9"/>
  <c r="L693" i="9"/>
  <c r="M693" i="9" s="1"/>
  <c r="N693" i="9"/>
  <c r="K694" i="9"/>
  <c r="L694" i="9"/>
  <c r="M694" i="9" s="1"/>
  <c r="N694" i="9" s="1"/>
  <c r="K695" i="9"/>
  <c r="L695" i="9"/>
  <c r="M695" i="9" s="1"/>
  <c r="N695" i="9"/>
  <c r="K696" i="9"/>
  <c r="L696" i="9"/>
  <c r="M696" i="9" s="1"/>
  <c r="N696" i="9" s="1"/>
  <c r="K697" i="9"/>
  <c r="L697" i="9"/>
  <c r="M697" i="9" s="1"/>
  <c r="N697" i="9"/>
  <c r="K698" i="9"/>
  <c r="L698" i="9"/>
  <c r="M698" i="9" s="1"/>
  <c r="N698" i="9" s="1"/>
  <c r="K699" i="9"/>
  <c r="L699" i="9"/>
  <c r="M699" i="9" s="1"/>
  <c r="N699" i="9"/>
  <c r="K700" i="9"/>
  <c r="L700" i="9"/>
  <c r="M700" i="9" s="1"/>
  <c r="N700" i="9" s="1"/>
  <c r="K701" i="9"/>
  <c r="L701" i="9"/>
  <c r="M701" i="9" s="1"/>
  <c r="N701" i="9"/>
  <c r="K702" i="9"/>
  <c r="L702" i="9"/>
  <c r="M702" i="9" s="1"/>
  <c r="N702" i="9" s="1"/>
  <c r="K703" i="9"/>
  <c r="L703" i="9"/>
  <c r="M703" i="9" s="1"/>
  <c r="N703" i="9"/>
  <c r="K704" i="9"/>
  <c r="L704" i="9"/>
  <c r="M704" i="9" s="1"/>
  <c r="N704" i="9" s="1"/>
  <c r="K705" i="9"/>
  <c r="L705" i="9"/>
  <c r="M705" i="9" s="1"/>
  <c r="N705" i="9"/>
  <c r="K706" i="9"/>
  <c r="L706" i="9"/>
  <c r="M706" i="9" s="1"/>
  <c r="N706" i="9" s="1"/>
  <c r="K707" i="9"/>
  <c r="L707" i="9"/>
  <c r="M707" i="9" s="1"/>
  <c r="N707" i="9"/>
  <c r="K708" i="9"/>
  <c r="L708" i="9"/>
  <c r="M708" i="9" s="1"/>
  <c r="N708" i="9" s="1"/>
  <c r="K709" i="9"/>
  <c r="L709" i="9"/>
  <c r="M709" i="9" s="1"/>
  <c r="N709" i="9"/>
  <c r="K710" i="9"/>
  <c r="L710" i="9"/>
  <c r="M710" i="9" s="1"/>
  <c r="N710" i="9" s="1"/>
  <c r="K711" i="9"/>
  <c r="L711" i="9"/>
  <c r="M711" i="9" s="1"/>
  <c r="N711" i="9"/>
  <c r="K712" i="9"/>
  <c r="L712" i="9"/>
  <c r="M712" i="9" s="1"/>
  <c r="N712" i="9" s="1"/>
  <c r="K713" i="9"/>
  <c r="L713" i="9"/>
  <c r="M713" i="9" s="1"/>
  <c r="N713" i="9"/>
  <c r="K714" i="9"/>
  <c r="L714" i="9"/>
  <c r="M714" i="9" s="1"/>
  <c r="N714" i="9" s="1"/>
  <c r="K715" i="9"/>
  <c r="L715" i="9"/>
  <c r="M715" i="9" s="1"/>
  <c r="N715" i="9"/>
  <c r="K716" i="9"/>
  <c r="L716" i="9"/>
  <c r="M716" i="9" s="1"/>
  <c r="N716" i="9" s="1"/>
  <c r="K717" i="9"/>
  <c r="L717" i="9"/>
  <c r="M717" i="9" s="1"/>
  <c r="N717" i="9"/>
  <c r="K718" i="9"/>
  <c r="L718" i="9"/>
  <c r="M718" i="9" s="1"/>
  <c r="N718" i="9" s="1"/>
  <c r="K719" i="9"/>
  <c r="L719" i="9"/>
  <c r="M719" i="9" s="1"/>
  <c r="N719" i="9"/>
  <c r="K720" i="9"/>
  <c r="L720" i="9"/>
  <c r="M720" i="9" s="1"/>
  <c r="N720" i="9" s="1"/>
  <c r="K721" i="9"/>
  <c r="L721" i="9"/>
  <c r="M721" i="9" s="1"/>
  <c r="N721" i="9"/>
  <c r="K722" i="9"/>
  <c r="L722" i="9"/>
  <c r="M722" i="9" s="1"/>
  <c r="N722" i="9" s="1"/>
  <c r="K723" i="9"/>
  <c r="L723" i="9"/>
  <c r="M723" i="9" s="1"/>
  <c r="N723" i="9"/>
  <c r="K724" i="9"/>
  <c r="L724" i="9"/>
  <c r="M724" i="9" s="1"/>
  <c r="N724" i="9" s="1"/>
  <c r="K725" i="9"/>
  <c r="L725" i="9"/>
  <c r="M725" i="9" s="1"/>
  <c r="N725" i="9"/>
  <c r="K726" i="9"/>
  <c r="L726" i="9"/>
  <c r="M726" i="9" s="1"/>
  <c r="N726" i="9" s="1"/>
  <c r="K727" i="9"/>
  <c r="L727" i="9"/>
  <c r="M727" i="9" s="1"/>
  <c r="N727" i="9"/>
  <c r="K728" i="9"/>
  <c r="L728" i="9"/>
  <c r="M728" i="9" s="1"/>
  <c r="N728" i="9" s="1"/>
  <c r="K729" i="9"/>
  <c r="L729" i="9"/>
  <c r="M729" i="9" s="1"/>
  <c r="N729" i="9"/>
  <c r="K730" i="9"/>
  <c r="L730" i="9"/>
  <c r="M730" i="9" s="1"/>
  <c r="N730" i="9" s="1"/>
  <c r="K731" i="9"/>
  <c r="L731" i="9"/>
  <c r="M731" i="9" s="1"/>
  <c r="N731" i="9"/>
  <c r="K732" i="9"/>
  <c r="L732" i="9"/>
  <c r="M732" i="9" s="1"/>
  <c r="N732" i="9" s="1"/>
  <c r="K733" i="9"/>
  <c r="L733" i="9"/>
  <c r="M733" i="9" s="1"/>
  <c r="N733" i="9"/>
  <c r="K734" i="9"/>
  <c r="L734" i="9"/>
  <c r="M734" i="9" s="1"/>
  <c r="N734" i="9" s="1"/>
  <c r="K735" i="9"/>
  <c r="L735" i="9"/>
  <c r="M735" i="9" s="1"/>
  <c r="N735" i="9"/>
  <c r="K736" i="9"/>
  <c r="L736" i="9"/>
  <c r="M736" i="9" s="1"/>
  <c r="N736" i="9" s="1"/>
  <c r="K737" i="9"/>
  <c r="L737" i="9"/>
  <c r="M737" i="9" s="1"/>
  <c r="N737" i="9"/>
  <c r="K738" i="9"/>
  <c r="L738" i="9"/>
  <c r="M738" i="9" s="1"/>
  <c r="N738" i="9" s="1"/>
  <c r="K739" i="9"/>
  <c r="L739" i="9"/>
  <c r="M739" i="9" s="1"/>
  <c r="N739" i="9"/>
  <c r="K740" i="9"/>
  <c r="L740" i="9"/>
  <c r="M740" i="9" s="1"/>
  <c r="N740" i="9" s="1"/>
  <c r="K741" i="9"/>
  <c r="L741" i="9"/>
  <c r="M741" i="9" s="1"/>
  <c r="N741" i="9"/>
  <c r="K742" i="9"/>
  <c r="L742" i="9"/>
  <c r="M742" i="9" s="1"/>
  <c r="N742" i="9" s="1"/>
  <c r="K743" i="9"/>
  <c r="L743" i="9"/>
  <c r="M743" i="9" s="1"/>
  <c r="N743" i="9"/>
  <c r="K744" i="9"/>
  <c r="L744" i="9"/>
  <c r="M744" i="9" s="1"/>
  <c r="N744" i="9" s="1"/>
  <c r="K745" i="9"/>
  <c r="L745" i="9"/>
  <c r="M745" i="9" s="1"/>
  <c r="N745" i="9"/>
  <c r="K746" i="9"/>
  <c r="L746" i="9"/>
  <c r="M746" i="9" s="1"/>
  <c r="N746" i="9" s="1"/>
  <c r="K747" i="9"/>
  <c r="L747" i="9"/>
  <c r="M747" i="9" s="1"/>
  <c r="N747" i="9"/>
  <c r="K748" i="9"/>
  <c r="L748" i="9"/>
  <c r="M748" i="9" s="1"/>
  <c r="N748" i="9" s="1"/>
  <c r="K749" i="9"/>
  <c r="L749" i="9"/>
  <c r="M749" i="9" s="1"/>
  <c r="N749" i="9"/>
  <c r="K750" i="9"/>
  <c r="L750" i="9"/>
  <c r="M750" i="9" s="1"/>
  <c r="N750" i="9" s="1"/>
  <c r="K751" i="9"/>
  <c r="L751" i="9"/>
  <c r="M751" i="9" s="1"/>
  <c r="N751" i="9"/>
  <c r="K752" i="9"/>
  <c r="L752" i="9"/>
  <c r="M752" i="9" s="1"/>
  <c r="N752" i="9" s="1"/>
  <c r="K753" i="9"/>
  <c r="L753" i="9"/>
  <c r="M753" i="9" s="1"/>
  <c r="N753" i="9"/>
  <c r="K754" i="9"/>
  <c r="L754" i="9"/>
  <c r="M754" i="9" s="1"/>
  <c r="N754" i="9" s="1"/>
  <c r="K755" i="9"/>
  <c r="L755" i="9"/>
  <c r="M755" i="9" s="1"/>
  <c r="N755" i="9"/>
  <c r="K756" i="9"/>
  <c r="L756" i="9"/>
  <c r="M756" i="9" s="1"/>
  <c r="N756" i="9" s="1"/>
  <c r="K757" i="9"/>
  <c r="L757" i="9"/>
  <c r="M757" i="9" s="1"/>
  <c r="N757" i="9"/>
  <c r="K758" i="9"/>
  <c r="L758" i="9"/>
  <c r="M758" i="9" s="1"/>
  <c r="N758" i="9" s="1"/>
  <c r="K759" i="9"/>
  <c r="L759" i="9"/>
  <c r="M759" i="9" s="1"/>
  <c r="N759" i="9"/>
  <c r="K760" i="9"/>
  <c r="L760" i="9"/>
  <c r="M760" i="9" s="1"/>
  <c r="N760" i="9" s="1"/>
  <c r="K761" i="9"/>
  <c r="L761" i="9"/>
  <c r="M761" i="9" s="1"/>
  <c r="N761" i="9"/>
  <c r="K762" i="9"/>
  <c r="L762" i="9"/>
  <c r="M762" i="9" s="1"/>
  <c r="N762" i="9" s="1"/>
  <c r="K763" i="9"/>
  <c r="L763" i="9"/>
  <c r="M763" i="9" s="1"/>
  <c r="N763" i="9"/>
  <c r="K764" i="9"/>
  <c r="L764" i="9"/>
  <c r="M764" i="9" s="1"/>
  <c r="N764" i="9" s="1"/>
  <c r="K765" i="9"/>
  <c r="L765" i="9"/>
  <c r="M765" i="9" s="1"/>
  <c r="N765" i="9"/>
  <c r="K766" i="9"/>
  <c r="L766" i="9"/>
  <c r="M766" i="9" s="1"/>
  <c r="N766" i="9" s="1"/>
  <c r="K767" i="9"/>
  <c r="L767" i="9"/>
  <c r="M767" i="9" s="1"/>
  <c r="N767" i="9"/>
  <c r="K768" i="9"/>
  <c r="L768" i="9"/>
  <c r="M768" i="9" s="1"/>
  <c r="N768" i="9" s="1"/>
  <c r="K769" i="9"/>
  <c r="L769" i="9"/>
  <c r="M769" i="9" s="1"/>
  <c r="N769" i="9"/>
  <c r="K770" i="9"/>
  <c r="L770" i="9"/>
  <c r="M770" i="9" s="1"/>
  <c r="N770" i="9" s="1"/>
  <c r="K771" i="9"/>
  <c r="L771" i="9"/>
  <c r="M771" i="9" s="1"/>
  <c r="N771" i="9"/>
  <c r="K772" i="9"/>
  <c r="L772" i="9"/>
  <c r="M772" i="9" s="1"/>
  <c r="N772" i="9" s="1"/>
  <c r="K773" i="9"/>
  <c r="L773" i="9"/>
  <c r="M773" i="9" s="1"/>
  <c r="N773" i="9"/>
  <c r="K774" i="9"/>
  <c r="L774" i="9"/>
  <c r="M774" i="9" s="1"/>
  <c r="N774" i="9" s="1"/>
  <c r="K775" i="9"/>
  <c r="L775" i="9"/>
  <c r="M775" i="9" s="1"/>
  <c r="N775" i="9"/>
  <c r="K776" i="9"/>
  <c r="L776" i="9"/>
  <c r="M776" i="9" s="1"/>
  <c r="N776" i="9" s="1"/>
  <c r="K777" i="9"/>
  <c r="L777" i="9"/>
  <c r="M777" i="9" s="1"/>
  <c r="N777" i="9"/>
  <c r="K778" i="9"/>
  <c r="L778" i="9"/>
  <c r="M778" i="9" s="1"/>
  <c r="N778" i="9" s="1"/>
  <c r="K779" i="9"/>
  <c r="L779" i="9"/>
  <c r="M779" i="9" s="1"/>
  <c r="N779" i="9"/>
  <c r="K780" i="9"/>
  <c r="L780" i="9"/>
  <c r="M780" i="9" s="1"/>
  <c r="N780" i="9" s="1"/>
  <c r="K781" i="9"/>
  <c r="L781" i="9"/>
  <c r="M781" i="9" s="1"/>
  <c r="N781" i="9"/>
  <c r="K782" i="9"/>
  <c r="L782" i="9"/>
  <c r="M782" i="9" s="1"/>
  <c r="N782" i="9" s="1"/>
  <c r="K783" i="9"/>
  <c r="L783" i="9"/>
  <c r="M783" i="9" s="1"/>
  <c r="N783" i="9"/>
  <c r="K784" i="9"/>
  <c r="L784" i="9"/>
  <c r="M784" i="9" s="1"/>
  <c r="N784" i="9" s="1"/>
  <c r="K785" i="9"/>
  <c r="L785" i="9"/>
  <c r="M785" i="9" s="1"/>
  <c r="N785" i="9"/>
  <c r="K786" i="9"/>
  <c r="L786" i="9"/>
  <c r="M786" i="9" s="1"/>
  <c r="N786" i="9" s="1"/>
  <c r="K787" i="9"/>
  <c r="L787" i="9"/>
  <c r="M787" i="9" s="1"/>
  <c r="N787" i="9"/>
  <c r="K788" i="9"/>
  <c r="L788" i="9"/>
  <c r="M788" i="9" s="1"/>
  <c r="N788" i="9" s="1"/>
  <c r="K789" i="9"/>
  <c r="L789" i="9"/>
  <c r="M789" i="9" s="1"/>
  <c r="N789" i="9"/>
  <c r="K790" i="9"/>
  <c r="L790" i="9"/>
  <c r="M790" i="9" s="1"/>
  <c r="N790" i="9" s="1"/>
  <c r="K791" i="9"/>
  <c r="L791" i="9"/>
  <c r="M791" i="9" s="1"/>
  <c r="N791" i="9"/>
  <c r="K792" i="9"/>
  <c r="L792" i="9"/>
  <c r="M792" i="9" s="1"/>
  <c r="N792" i="9" s="1"/>
  <c r="K793" i="9"/>
  <c r="L793" i="9"/>
  <c r="M793" i="9" s="1"/>
  <c r="N793" i="9"/>
  <c r="K794" i="9"/>
  <c r="L794" i="9"/>
  <c r="M794" i="9" s="1"/>
  <c r="N794" i="9" s="1"/>
  <c r="N795" i="9"/>
  <c r="K796" i="9"/>
  <c r="L796" i="9"/>
  <c r="M796" i="9"/>
  <c r="N796" i="9" s="1"/>
  <c r="K797" i="9"/>
  <c r="L797" i="9"/>
  <c r="M797" i="9"/>
  <c r="N797" i="9" s="1"/>
  <c r="K798" i="9"/>
  <c r="L798" i="9"/>
  <c r="M798" i="9"/>
  <c r="N798" i="9" s="1"/>
  <c r="K799" i="9"/>
  <c r="L799" i="9"/>
  <c r="M799" i="9"/>
  <c r="N799" i="9" s="1"/>
  <c r="N800" i="9"/>
  <c r="N801" i="9"/>
  <c r="K802" i="9"/>
  <c r="L802" i="9"/>
  <c r="M802" i="9"/>
  <c r="N802" i="9" s="1"/>
  <c r="K803" i="9"/>
  <c r="L803" i="9"/>
  <c r="M803" i="9"/>
  <c r="N803" i="9" s="1"/>
  <c r="K804" i="9"/>
  <c r="L804" i="9"/>
  <c r="M804" i="9"/>
  <c r="N804" i="9" s="1"/>
  <c r="K805" i="9"/>
  <c r="L805" i="9"/>
  <c r="M805" i="9"/>
  <c r="N805" i="9" s="1"/>
  <c r="K806" i="9"/>
  <c r="L806" i="9"/>
  <c r="M806" i="9"/>
  <c r="N806" i="9" s="1"/>
  <c r="K807" i="9"/>
  <c r="L807" i="9"/>
  <c r="M807" i="9"/>
  <c r="N807" i="9" s="1"/>
  <c r="K808" i="9"/>
  <c r="L808" i="9"/>
  <c r="M808" i="9"/>
  <c r="N808" i="9" s="1"/>
  <c r="K809" i="9"/>
  <c r="L809" i="9"/>
  <c r="M809" i="9"/>
  <c r="N809" i="9" s="1"/>
  <c r="K810" i="9"/>
  <c r="L810" i="9"/>
  <c r="M810" i="9"/>
  <c r="N810" i="9" s="1"/>
  <c r="K811" i="9"/>
  <c r="L811" i="9"/>
  <c r="M811" i="9"/>
  <c r="N811" i="9" s="1"/>
  <c r="K812" i="9"/>
  <c r="L812" i="9"/>
  <c r="M812" i="9"/>
  <c r="N812" i="9" s="1"/>
  <c r="K813" i="9"/>
  <c r="L813" i="9"/>
  <c r="M813" i="9"/>
  <c r="N813" i="9" s="1"/>
  <c r="K814" i="9"/>
  <c r="L814" i="9"/>
  <c r="M814" i="9"/>
  <c r="N814" i="9" s="1"/>
  <c r="K815" i="9"/>
  <c r="L815" i="9"/>
  <c r="M815" i="9"/>
  <c r="N815" i="9" s="1"/>
  <c r="K816" i="9"/>
  <c r="L816" i="9"/>
  <c r="M816" i="9"/>
  <c r="N816" i="9" s="1"/>
  <c r="K817" i="9"/>
  <c r="L817" i="9"/>
  <c r="M817" i="9"/>
  <c r="N817" i="9" s="1"/>
  <c r="K818" i="9"/>
  <c r="L818" i="9"/>
  <c r="M818" i="9"/>
  <c r="N818" i="9" s="1"/>
  <c r="K819" i="9"/>
  <c r="L819" i="9"/>
  <c r="M819" i="9"/>
  <c r="N819" i="9" s="1"/>
  <c r="K820" i="9"/>
  <c r="L820" i="9"/>
  <c r="M820" i="9"/>
  <c r="N820" i="9" s="1"/>
  <c r="K821" i="9"/>
  <c r="L821" i="9"/>
  <c r="M821" i="9"/>
  <c r="N821" i="9" s="1"/>
  <c r="N822" i="9"/>
  <c r="K823" i="9"/>
  <c r="L823" i="9"/>
  <c r="M823" i="9" s="1"/>
  <c r="N823" i="9"/>
  <c r="K824" i="9"/>
  <c r="L824" i="9"/>
  <c r="M824" i="9" s="1"/>
  <c r="N824" i="9" s="1"/>
  <c r="K825" i="9"/>
  <c r="L825" i="9"/>
  <c r="M825" i="9" s="1"/>
  <c r="N825" i="9"/>
  <c r="K826" i="9"/>
  <c r="L826" i="9"/>
  <c r="M826" i="9" s="1"/>
  <c r="N826" i="9" s="1"/>
  <c r="K827" i="9"/>
  <c r="L827" i="9"/>
  <c r="M827" i="9" s="1"/>
  <c r="N827" i="9"/>
  <c r="K828" i="9"/>
  <c r="L828" i="9"/>
  <c r="M828" i="9" s="1"/>
  <c r="N828" i="9" s="1"/>
  <c r="K829" i="9"/>
  <c r="L829" i="9"/>
  <c r="M829" i="9" s="1"/>
  <c r="N829" i="9"/>
  <c r="K830" i="9"/>
  <c r="L830" i="9"/>
  <c r="M830" i="9" s="1"/>
  <c r="N830" i="9" s="1"/>
  <c r="K831" i="9"/>
  <c r="L831" i="9"/>
  <c r="M831" i="9" s="1"/>
  <c r="N831" i="9"/>
  <c r="K832" i="9"/>
  <c r="L832" i="9"/>
  <c r="M832" i="9" s="1"/>
  <c r="N832" i="9" s="1"/>
  <c r="K833" i="9"/>
  <c r="L833" i="9"/>
  <c r="M833" i="9" s="1"/>
  <c r="N833" i="9"/>
  <c r="K834" i="9"/>
  <c r="L834" i="9"/>
  <c r="M834" i="9" s="1"/>
  <c r="N834" i="9" s="1"/>
  <c r="K835" i="9"/>
  <c r="L835" i="9"/>
  <c r="M835" i="9" s="1"/>
  <c r="N835" i="9"/>
  <c r="N836" i="9"/>
  <c r="K837" i="9"/>
  <c r="L837" i="9"/>
  <c r="M837" i="9"/>
  <c r="N837" i="9" s="1"/>
  <c r="K838" i="9"/>
  <c r="L838" i="9"/>
  <c r="M838" i="9"/>
  <c r="N838" i="9" s="1"/>
  <c r="K839" i="9"/>
  <c r="L839" i="9"/>
  <c r="M839" i="9"/>
  <c r="N839" i="9" s="1"/>
  <c r="N840" i="9"/>
  <c r="K841" i="9"/>
  <c r="L841" i="9"/>
  <c r="M841" i="9" s="1"/>
  <c r="N841" i="9"/>
  <c r="K842" i="9"/>
  <c r="L842" i="9"/>
  <c r="M842" i="9" s="1"/>
  <c r="N842" i="9" s="1"/>
  <c r="K843" i="9"/>
  <c r="L843" i="9"/>
  <c r="M843" i="9" s="1"/>
  <c r="N843" i="9"/>
  <c r="K844" i="9"/>
  <c r="L844" i="9"/>
  <c r="M844" i="9" s="1"/>
  <c r="N844" i="9" s="1"/>
  <c r="K845" i="9"/>
  <c r="L845" i="9"/>
  <c r="M845" i="9" s="1"/>
  <c r="N845" i="9"/>
  <c r="K846" i="9"/>
  <c r="L846" i="9"/>
  <c r="M846" i="9" s="1"/>
  <c r="N846" i="9" s="1"/>
  <c r="K847" i="9"/>
  <c r="L847" i="9"/>
  <c r="M847" i="9" s="1"/>
  <c r="N847" i="9"/>
  <c r="K848" i="9"/>
  <c r="L848" i="9"/>
  <c r="M848" i="9" s="1"/>
  <c r="N848" i="9" s="1"/>
  <c r="N849" i="9"/>
  <c r="K850" i="9"/>
  <c r="L850" i="9"/>
  <c r="M850" i="9"/>
  <c r="N850" i="9" s="1"/>
  <c r="K851" i="9"/>
  <c r="L851" i="9"/>
  <c r="M851" i="9"/>
  <c r="N851" i="9" s="1"/>
  <c r="K852" i="9"/>
  <c r="L852" i="9"/>
  <c r="M852" i="9"/>
  <c r="N852" i="9" s="1"/>
  <c r="K853" i="9"/>
  <c r="L853" i="9"/>
  <c r="M853" i="9"/>
  <c r="N853" i="9" s="1"/>
  <c r="K854" i="9"/>
  <c r="L854" i="9"/>
  <c r="M854" i="9"/>
  <c r="N854" i="9" s="1"/>
  <c r="K855" i="9"/>
  <c r="L855" i="9"/>
  <c r="M855" i="9"/>
  <c r="N855" i="9" s="1"/>
  <c r="K856" i="9"/>
  <c r="L856" i="9"/>
  <c r="M856" i="9"/>
  <c r="N856" i="9" s="1"/>
  <c r="K857" i="9"/>
  <c r="L857" i="9"/>
  <c r="M857" i="9"/>
  <c r="N857" i="9" s="1"/>
  <c r="K858" i="9"/>
  <c r="L858" i="9"/>
  <c r="M858" i="9"/>
  <c r="N858" i="9" s="1"/>
  <c r="K859" i="9"/>
  <c r="L859" i="9"/>
  <c r="M859" i="9"/>
  <c r="N859" i="9" s="1"/>
  <c r="K860" i="9"/>
  <c r="L860" i="9"/>
  <c r="M860" i="9"/>
  <c r="N860" i="9" s="1"/>
  <c r="K861" i="9"/>
  <c r="L861" i="9"/>
  <c r="M861" i="9"/>
  <c r="N861" i="9" s="1"/>
  <c r="K862" i="9"/>
  <c r="L862" i="9"/>
  <c r="M862" i="9"/>
  <c r="N862" i="9" s="1"/>
  <c r="K863" i="9"/>
  <c r="L863" i="9"/>
  <c r="M863" i="9"/>
  <c r="N863" i="9" s="1"/>
  <c r="K864" i="9"/>
  <c r="L864" i="9"/>
  <c r="M864" i="9"/>
  <c r="N864" i="9" s="1"/>
  <c r="K865" i="9"/>
  <c r="L865" i="9"/>
  <c r="M865" i="9"/>
  <c r="N865" i="9" s="1"/>
  <c r="K866" i="9"/>
  <c r="L866" i="9"/>
  <c r="M866" i="9"/>
  <c r="N866" i="9" s="1"/>
  <c r="K867" i="9"/>
  <c r="L867" i="9"/>
  <c r="M867" i="9"/>
  <c r="N867" i="9" s="1"/>
  <c r="K868" i="9"/>
  <c r="L868" i="9"/>
  <c r="M868" i="9"/>
  <c r="N868" i="9" s="1"/>
  <c r="K869" i="9"/>
  <c r="L869" i="9"/>
  <c r="M869" i="9"/>
  <c r="N869" i="9" s="1"/>
  <c r="K870" i="9"/>
  <c r="L870" i="9"/>
  <c r="M870" i="9"/>
  <c r="N870" i="9" s="1"/>
  <c r="K871" i="9"/>
  <c r="L871" i="9"/>
  <c r="M871" i="9"/>
  <c r="N871" i="9" s="1"/>
  <c r="K872" i="9"/>
  <c r="L872" i="9"/>
  <c r="M872" i="9"/>
  <c r="N872" i="9" s="1"/>
  <c r="K873" i="9"/>
  <c r="L873" i="9"/>
  <c r="M873" i="9"/>
  <c r="N873" i="9" s="1"/>
  <c r="K874" i="9"/>
  <c r="L874" i="9"/>
  <c r="M874" i="9"/>
  <c r="N874" i="9" s="1"/>
  <c r="K875" i="9"/>
  <c r="L875" i="9"/>
  <c r="M875" i="9"/>
  <c r="N875" i="9" s="1"/>
  <c r="K876" i="9"/>
  <c r="L876" i="9"/>
  <c r="M876" i="9"/>
  <c r="N876" i="9" s="1"/>
  <c r="K877" i="9"/>
  <c r="L877" i="9"/>
  <c r="M877" i="9"/>
  <c r="N877" i="9" s="1"/>
  <c r="K878" i="9"/>
  <c r="L878" i="9"/>
  <c r="M878" i="9"/>
  <c r="N878" i="9" s="1"/>
  <c r="K879" i="9"/>
  <c r="L879" i="9"/>
  <c r="M879" i="9"/>
  <c r="N879" i="9" s="1"/>
  <c r="K880" i="9"/>
  <c r="L880" i="9"/>
  <c r="M880" i="9"/>
  <c r="N880" i="9" s="1"/>
  <c r="K881" i="9"/>
  <c r="L881" i="9"/>
  <c r="M881" i="9"/>
  <c r="N881" i="9" s="1"/>
  <c r="K882" i="9"/>
  <c r="L882" i="9"/>
  <c r="M882" i="9"/>
  <c r="N882" i="9" s="1"/>
  <c r="K883" i="9"/>
  <c r="L883" i="9"/>
  <c r="M883" i="9"/>
  <c r="N883" i="9" s="1"/>
  <c r="K884" i="9"/>
  <c r="L884" i="9"/>
  <c r="M884" i="9"/>
  <c r="N884" i="9" s="1"/>
  <c r="K885" i="9"/>
  <c r="L885" i="9"/>
  <c r="M885" i="9"/>
  <c r="N885" i="9" s="1"/>
  <c r="K886" i="9"/>
  <c r="L886" i="9"/>
  <c r="M886" i="9"/>
  <c r="N886" i="9" s="1"/>
  <c r="K887" i="9"/>
  <c r="L887" i="9"/>
  <c r="M887" i="9"/>
  <c r="N887" i="9" s="1"/>
  <c r="K888" i="9"/>
  <c r="L888" i="9"/>
  <c r="M888" i="9"/>
  <c r="N888" i="9" s="1"/>
  <c r="K889" i="9"/>
  <c r="L889" i="9"/>
  <c r="M889" i="9"/>
  <c r="N889" i="9" s="1"/>
  <c r="K890" i="9"/>
  <c r="L890" i="9"/>
  <c r="M890" i="9"/>
  <c r="N890" i="9" s="1"/>
  <c r="K891" i="9"/>
  <c r="L891" i="9"/>
  <c r="M891" i="9"/>
  <c r="N891" i="9" s="1"/>
  <c r="K892" i="9"/>
  <c r="L892" i="9"/>
  <c r="M892" i="9"/>
  <c r="N892" i="9" s="1"/>
  <c r="N893" i="9"/>
  <c r="K894" i="9"/>
  <c r="L894" i="9"/>
  <c r="M894" i="9" s="1"/>
  <c r="N894" i="9" s="1"/>
  <c r="N895" i="9"/>
  <c r="K896" i="9"/>
  <c r="L896" i="9"/>
  <c r="M896" i="9"/>
  <c r="N896" i="9" s="1"/>
  <c r="K897" i="9"/>
  <c r="L897" i="9"/>
  <c r="M897" i="9"/>
  <c r="N897" i="9" s="1"/>
  <c r="K898" i="9"/>
  <c r="L898" i="9"/>
  <c r="M898" i="9"/>
  <c r="N898" i="9" s="1"/>
  <c r="K899" i="9"/>
  <c r="L899" i="9"/>
  <c r="M899" i="9"/>
  <c r="N899" i="9" s="1"/>
  <c r="K900" i="9"/>
  <c r="L900" i="9"/>
  <c r="M900" i="9"/>
  <c r="N900" i="9" s="1"/>
  <c r="K901" i="9"/>
  <c r="L901" i="9"/>
  <c r="M901" i="9"/>
  <c r="N901" i="9" s="1"/>
  <c r="K902" i="9"/>
  <c r="L902" i="9"/>
  <c r="M902" i="9"/>
  <c r="N902" i="9" s="1"/>
  <c r="K903" i="9"/>
  <c r="L903" i="9"/>
  <c r="M903" i="9"/>
  <c r="N903" i="9" s="1"/>
  <c r="K904" i="9"/>
  <c r="L904" i="9"/>
  <c r="M904" i="9"/>
  <c r="N904" i="9" s="1"/>
  <c r="K905" i="9"/>
  <c r="L905" i="9"/>
  <c r="M905" i="9"/>
  <c r="N905" i="9" s="1"/>
  <c r="K906" i="9"/>
  <c r="L906" i="9"/>
  <c r="M906" i="9"/>
  <c r="N906" i="9" s="1"/>
  <c r="K907" i="9"/>
  <c r="L907" i="9"/>
  <c r="M907" i="9"/>
  <c r="N907" i="9" s="1"/>
  <c r="K908" i="9"/>
  <c r="L908" i="9"/>
  <c r="M908" i="9"/>
  <c r="N908" i="9" s="1"/>
  <c r="K909" i="9"/>
  <c r="L909" i="9"/>
  <c r="M909" i="9"/>
  <c r="N909" i="9" s="1"/>
  <c r="K910" i="9"/>
  <c r="L910" i="9"/>
  <c r="M910" i="9"/>
  <c r="N910" i="9" s="1"/>
  <c r="K911" i="9"/>
  <c r="L911" i="9"/>
  <c r="M911" i="9"/>
  <c r="N911" i="9" s="1"/>
  <c r="K912" i="9"/>
  <c r="L912" i="9"/>
  <c r="M912" i="9"/>
  <c r="N912" i="9" s="1"/>
  <c r="K913" i="9"/>
  <c r="L913" i="9"/>
  <c r="M913" i="9"/>
  <c r="N913" i="9" s="1"/>
  <c r="K914" i="9"/>
  <c r="L914" i="9"/>
  <c r="M914" i="9"/>
  <c r="N914" i="9" s="1"/>
  <c r="K915" i="9"/>
  <c r="L915" i="9"/>
  <c r="M915" i="9"/>
  <c r="N915" i="9" s="1"/>
  <c r="K916" i="9"/>
  <c r="L916" i="9"/>
  <c r="M916" i="9"/>
  <c r="N916" i="9" s="1"/>
  <c r="K917" i="9"/>
  <c r="L917" i="9"/>
  <c r="M917" i="9"/>
  <c r="N917" i="9" s="1"/>
  <c r="K918" i="9"/>
  <c r="L918" i="9"/>
  <c r="M918" i="9"/>
  <c r="N918" i="9" s="1"/>
  <c r="K919" i="9"/>
  <c r="L919" i="9"/>
  <c r="M919" i="9"/>
  <c r="N919" i="9" s="1"/>
  <c r="N920" i="9"/>
  <c r="K921" i="9"/>
  <c r="L921" i="9"/>
  <c r="M921" i="9" s="1"/>
  <c r="N921" i="9"/>
  <c r="K922" i="9"/>
  <c r="L922" i="9"/>
  <c r="M922" i="9" s="1"/>
  <c r="N922" i="9" s="1"/>
  <c r="N923" i="9"/>
  <c r="K924" i="9"/>
  <c r="L924" i="9"/>
  <c r="M924" i="9"/>
  <c r="N924" i="9" s="1"/>
  <c r="K925" i="9"/>
  <c r="L925" i="9"/>
  <c r="M925" i="9"/>
  <c r="N925" i="9" s="1"/>
  <c r="K926" i="9"/>
  <c r="L926" i="9"/>
  <c r="M926" i="9"/>
  <c r="N926" i="9" s="1"/>
  <c r="K927" i="9"/>
  <c r="L927" i="9"/>
  <c r="M927" i="9"/>
  <c r="N927" i="9" s="1"/>
  <c r="K928" i="9"/>
  <c r="L928" i="9"/>
  <c r="M928" i="9"/>
  <c r="N928" i="9" s="1"/>
  <c r="K929" i="9"/>
  <c r="L929" i="9"/>
  <c r="M929" i="9"/>
  <c r="N929" i="9" s="1"/>
  <c r="K930" i="9"/>
  <c r="L930" i="9"/>
  <c r="M930" i="9"/>
  <c r="N930" i="9" s="1"/>
  <c r="K931" i="9"/>
  <c r="L931" i="9"/>
  <c r="M931" i="9"/>
  <c r="N931" i="9" s="1"/>
  <c r="K932" i="9"/>
  <c r="L932" i="9"/>
  <c r="M932" i="9"/>
  <c r="N932" i="9" s="1"/>
  <c r="K933" i="9"/>
  <c r="L933" i="9"/>
  <c r="M933" i="9"/>
  <c r="N933" i="9" s="1"/>
  <c r="K934" i="9"/>
  <c r="L934" i="9"/>
  <c r="M934" i="9"/>
  <c r="N934" i="9" s="1"/>
  <c r="K935" i="9"/>
  <c r="L935" i="9"/>
  <c r="M935" i="9"/>
  <c r="N935" i="9" s="1"/>
  <c r="K936" i="9"/>
  <c r="L936" i="9"/>
  <c r="M936" i="9"/>
  <c r="N936" i="9" s="1"/>
  <c r="K937" i="9"/>
  <c r="L937" i="9"/>
  <c r="M937" i="9"/>
  <c r="N937" i="9" s="1"/>
  <c r="K938" i="9"/>
  <c r="L938" i="9"/>
  <c r="M938" i="9"/>
  <c r="N938" i="9" s="1"/>
  <c r="K939" i="9"/>
  <c r="L939" i="9"/>
  <c r="M939" i="9"/>
  <c r="N939" i="9" s="1"/>
  <c r="K940" i="9"/>
  <c r="L940" i="9"/>
  <c r="M940" i="9"/>
  <c r="N940" i="9" s="1"/>
  <c r="K941" i="9"/>
  <c r="L941" i="9"/>
  <c r="M941" i="9"/>
  <c r="N941" i="9" s="1"/>
  <c r="K942" i="9"/>
  <c r="L942" i="9"/>
  <c r="M942" i="9"/>
  <c r="N942" i="9" s="1"/>
  <c r="K943" i="9"/>
  <c r="L943" i="9"/>
  <c r="M943" i="9"/>
  <c r="N943" i="9" s="1"/>
  <c r="K944" i="9"/>
  <c r="L944" i="9"/>
  <c r="M944" i="9"/>
  <c r="N944" i="9" s="1"/>
  <c r="K945" i="9"/>
  <c r="L945" i="9"/>
  <c r="M945" i="9"/>
  <c r="N945" i="9" s="1"/>
  <c r="K946" i="9"/>
  <c r="L946" i="9"/>
  <c r="M946" i="9"/>
  <c r="N946" i="9" s="1"/>
  <c r="K947" i="9"/>
  <c r="L947" i="9"/>
  <c r="M947" i="9"/>
  <c r="N947" i="9" s="1"/>
  <c r="K948" i="9"/>
  <c r="L948" i="9"/>
  <c r="M948" i="9"/>
  <c r="N948" i="9" s="1"/>
  <c r="K949" i="9"/>
  <c r="L949" i="9"/>
  <c r="M949" i="9"/>
  <c r="N949" i="9" s="1"/>
  <c r="K950" i="9"/>
  <c r="L950" i="9"/>
  <c r="M950" i="9"/>
  <c r="N950" i="9" s="1"/>
  <c r="K951" i="9"/>
  <c r="L951" i="9"/>
  <c r="M951" i="9"/>
  <c r="N951" i="9" s="1"/>
  <c r="K952" i="9"/>
  <c r="L952" i="9"/>
  <c r="M952" i="9"/>
  <c r="N952" i="9" s="1"/>
  <c r="K953" i="9"/>
  <c r="L953" i="9"/>
  <c r="M953" i="9"/>
  <c r="N953" i="9" s="1"/>
  <c r="K954" i="9"/>
  <c r="L954" i="9"/>
  <c r="M954" i="9"/>
  <c r="N954" i="9" s="1"/>
  <c r="K955" i="9"/>
  <c r="L955" i="9"/>
  <c r="M955" i="9"/>
  <c r="N955" i="9" s="1"/>
  <c r="K956" i="9"/>
  <c r="L956" i="9"/>
  <c r="M956" i="9"/>
  <c r="N956" i="9" s="1"/>
  <c r="K957" i="9"/>
  <c r="L957" i="9"/>
  <c r="M957" i="9"/>
  <c r="N957" i="9" s="1"/>
  <c r="K958" i="9"/>
  <c r="L958" i="9"/>
  <c r="M958" i="9"/>
  <c r="N958" i="9" s="1"/>
  <c r="K959" i="9"/>
  <c r="L959" i="9"/>
  <c r="M959" i="9"/>
  <c r="N959" i="9" s="1"/>
  <c r="K960" i="9"/>
  <c r="L960" i="9"/>
  <c r="M960" i="9"/>
  <c r="N960" i="9" s="1"/>
  <c r="K961" i="9"/>
  <c r="L961" i="9"/>
  <c r="M961" i="9"/>
  <c r="N961" i="9" s="1"/>
  <c r="K962" i="9"/>
  <c r="L962" i="9"/>
  <c r="M962" i="9"/>
  <c r="N962" i="9" s="1"/>
  <c r="K963" i="9"/>
  <c r="L963" i="9"/>
  <c r="M963" i="9"/>
  <c r="N963" i="9" s="1"/>
  <c r="K964" i="9"/>
  <c r="L964" i="9"/>
  <c r="M964" i="9"/>
  <c r="N964" i="9" s="1"/>
  <c r="K965" i="9"/>
  <c r="L965" i="9"/>
  <c r="M965" i="9"/>
  <c r="N965" i="9" s="1"/>
  <c r="K966" i="9"/>
  <c r="L966" i="9"/>
  <c r="M966" i="9"/>
  <c r="N966" i="9" s="1"/>
  <c r="K967" i="9"/>
  <c r="L967" i="9"/>
  <c r="M967" i="9"/>
  <c r="N967" i="9" s="1"/>
  <c r="K968" i="9"/>
  <c r="L968" i="9"/>
  <c r="M968" i="9"/>
  <c r="N968" i="9" s="1"/>
  <c r="K969" i="9"/>
  <c r="L969" i="9"/>
  <c r="M969" i="9"/>
  <c r="N969" i="9" s="1"/>
  <c r="K970" i="9"/>
  <c r="L970" i="9"/>
  <c r="M970" i="9"/>
  <c r="N970" i="9" s="1"/>
  <c r="K971" i="9"/>
  <c r="L971" i="9"/>
  <c r="M971" i="9"/>
  <c r="N971" i="9" s="1"/>
  <c r="K972" i="9"/>
  <c r="L972" i="9"/>
  <c r="M972" i="9"/>
  <c r="N972" i="9" s="1"/>
  <c r="K973" i="9"/>
  <c r="L973" i="9"/>
  <c r="M973" i="9"/>
  <c r="N973" i="9" s="1"/>
  <c r="K974" i="9"/>
  <c r="L974" i="9"/>
  <c r="M974" i="9"/>
  <c r="N974" i="9" s="1"/>
  <c r="K975" i="9"/>
  <c r="L975" i="9"/>
  <c r="M975" i="9"/>
  <c r="N975" i="9" s="1"/>
  <c r="K976" i="9"/>
  <c r="L976" i="9"/>
  <c r="M976" i="9"/>
  <c r="N976" i="9" s="1"/>
  <c r="K977" i="9"/>
  <c r="L977" i="9"/>
  <c r="M977" i="9"/>
  <c r="N977" i="9" s="1"/>
  <c r="K978" i="9"/>
  <c r="L978" i="9"/>
  <c r="M978" i="9"/>
  <c r="N978" i="9" s="1"/>
  <c r="K979" i="9"/>
  <c r="L979" i="9"/>
  <c r="M979" i="9"/>
  <c r="N979" i="9" s="1"/>
  <c r="K980" i="9"/>
  <c r="L980" i="9"/>
  <c r="M980" i="9"/>
  <c r="N980" i="9" s="1"/>
  <c r="K981" i="9"/>
  <c r="L981" i="9"/>
  <c r="M981" i="9"/>
  <c r="N981" i="9" s="1"/>
  <c r="K982" i="9"/>
  <c r="L982" i="9"/>
  <c r="M982" i="9"/>
  <c r="N982" i="9" s="1"/>
  <c r="K983" i="9"/>
  <c r="L983" i="9"/>
  <c r="M983" i="9"/>
  <c r="N983" i="9" s="1"/>
  <c r="K984" i="9"/>
  <c r="L984" i="9"/>
  <c r="M984" i="9"/>
  <c r="N984" i="9" s="1"/>
  <c r="K985" i="9"/>
  <c r="L985" i="9"/>
  <c r="M985" i="9"/>
  <c r="N985" i="9" s="1"/>
  <c r="K986" i="9"/>
  <c r="L986" i="9"/>
  <c r="M986" i="9"/>
  <c r="N986" i="9" s="1"/>
  <c r="K987" i="9"/>
  <c r="L987" i="9"/>
  <c r="M987" i="9"/>
  <c r="N987" i="9" s="1"/>
  <c r="K988" i="9"/>
  <c r="L988" i="9"/>
  <c r="M988" i="9"/>
  <c r="N988" i="9" s="1"/>
  <c r="K989" i="9"/>
  <c r="L989" i="9"/>
  <c r="M989" i="9"/>
  <c r="N989" i="9" s="1"/>
  <c r="K990" i="9"/>
  <c r="L990" i="9"/>
  <c r="M990" i="9"/>
  <c r="N990" i="9" s="1"/>
  <c r="K991" i="9"/>
  <c r="L991" i="9"/>
  <c r="M991" i="9"/>
  <c r="N991" i="9" s="1"/>
  <c r="K992" i="9"/>
  <c r="L992" i="9"/>
  <c r="M992" i="9"/>
  <c r="N992" i="9" s="1"/>
  <c r="K993" i="9"/>
  <c r="L993" i="9"/>
  <c r="M993" i="9"/>
  <c r="N993" i="9" s="1"/>
  <c r="K994" i="9"/>
  <c r="L994" i="9"/>
  <c r="M994" i="9"/>
  <c r="N994" i="9" s="1"/>
  <c r="K995" i="9"/>
  <c r="L995" i="9"/>
  <c r="M995" i="9"/>
  <c r="N995" i="9" s="1"/>
  <c r="K996" i="9"/>
  <c r="L996" i="9"/>
  <c r="M996" i="9"/>
  <c r="N996" i="9" s="1"/>
  <c r="K997" i="9"/>
  <c r="L997" i="9"/>
  <c r="M997" i="9"/>
  <c r="N997" i="9" s="1"/>
  <c r="K998" i="9"/>
  <c r="L998" i="9"/>
  <c r="M998" i="9"/>
  <c r="N998" i="9" s="1"/>
  <c r="K999" i="9"/>
  <c r="L999" i="9"/>
  <c r="M999" i="9"/>
  <c r="N999" i="9" s="1"/>
  <c r="K1000" i="9"/>
  <c r="L1000" i="9"/>
  <c r="M1000" i="9"/>
  <c r="N1000" i="9" s="1"/>
  <c r="K1001" i="9"/>
  <c r="L1001" i="9"/>
  <c r="M1001" i="9"/>
  <c r="N1001" i="9" s="1"/>
  <c r="K1002" i="9"/>
  <c r="L1002" i="9"/>
  <c r="M1002" i="9"/>
  <c r="N1002" i="9" s="1"/>
  <c r="K1003" i="9"/>
  <c r="L1003" i="9"/>
  <c r="M1003" i="9"/>
  <c r="N1003" i="9" s="1"/>
  <c r="K1004" i="9"/>
  <c r="L1004" i="9"/>
  <c r="M1004" i="9"/>
  <c r="N1004" i="9" s="1"/>
  <c r="K1005" i="9"/>
  <c r="L1005" i="9"/>
  <c r="M1005" i="9"/>
  <c r="N1005" i="9" s="1"/>
  <c r="K1006" i="9"/>
  <c r="L1006" i="9"/>
  <c r="M1006" i="9"/>
  <c r="N1006" i="9" s="1"/>
  <c r="K1007" i="9"/>
  <c r="L1007" i="9"/>
  <c r="M1007" i="9"/>
  <c r="N1007" i="9" s="1"/>
  <c r="K1008" i="9"/>
  <c r="L1008" i="9"/>
  <c r="M1008" i="9"/>
  <c r="N1008" i="9" s="1"/>
  <c r="K1009" i="9"/>
  <c r="L1009" i="9"/>
  <c r="M1009" i="9"/>
  <c r="N1009" i="9" s="1"/>
  <c r="K1010" i="9"/>
  <c r="L1010" i="9"/>
  <c r="M1010" i="9"/>
  <c r="N1010" i="9" s="1"/>
  <c r="K1011" i="9"/>
  <c r="L1011" i="9"/>
  <c r="M1011" i="9"/>
  <c r="N1011" i="9" s="1"/>
  <c r="K1012" i="9"/>
  <c r="L1012" i="9"/>
  <c r="M1012" i="9"/>
  <c r="N1012" i="9" s="1"/>
  <c r="K1013" i="9"/>
  <c r="L1013" i="9"/>
  <c r="M1013" i="9"/>
  <c r="N1013" i="9" s="1"/>
  <c r="K1014" i="9"/>
  <c r="L1014" i="9"/>
  <c r="M1014" i="9"/>
  <c r="N1014" i="9" s="1"/>
  <c r="K1015" i="9"/>
  <c r="L1015" i="9"/>
  <c r="M1015" i="9"/>
  <c r="N1015" i="9" s="1"/>
  <c r="K1016" i="9"/>
  <c r="L1016" i="9"/>
  <c r="M1016" i="9"/>
  <c r="N1016" i="9" s="1"/>
  <c r="K1017" i="9"/>
  <c r="L1017" i="9"/>
  <c r="M1017" i="9"/>
  <c r="N1017" i="9" s="1"/>
  <c r="K1018" i="9"/>
  <c r="L1018" i="9"/>
  <c r="M1018" i="9"/>
  <c r="N1018" i="9" s="1"/>
  <c r="K1019" i="9"/>
  <c r="L1019" i="9"/>
  <c r="M1019" i="9"/>
  <c r="N1019" i="9" s="1"/>
  <c r="K1020" i="9"/>
  <c r="L1020" i="9"/>
  <c r="M1020" i="9"/>
  <c r="N1020" i="9" s="1"/>
  <c r="K1021" i="9"/>
  <c r="L1021" i="9"/>
  <c r="M1021" i="9"/>
  <c r="N1021" i="9" s="1"/>
  <c r="K1022" i="9"/>
  <c r="L1022" i="9"/>
  <c r="M1022" i="9" s="1"/>
  <c r="N1022" i="9" s="1"/>
  <c r="K1023" i="9"/>
  <c r="L1023" i="9"/>
  <c r="M1023" i="9" s="1"/>
  <c r="N1023" i="9" s="1"/>
  <c r="K1024" i="9"/>
  <c r="L1024" i="9"/>
  <c r="M1024" i="9" s="1"/>
  <c r="N1024" i="9" s="1"/>
  <c r="K1025" i="9"/>
  <c r="L1025" i="9"/>
  <c r="M1025" i="9" s="1"/>
  <c r="N1025" i="9" s="1"/>
  <c r="K1026" i="9"/>
  <c r="L1026" i="9"/>
  <c r="M1026" i="9" s="1"/>
  <c r="N1026" i="9" s="1"/>
  <c r="K1027" i="9"/>
  <c r="L1027" i="9"/>
  <c r="M1027" i="9" s="1"/>
  <c r="N1027" i="9" s="1"/>
  <c r="K1028" i="9"/>
  <c r="L1028" i="9"/>
  <c r="M1028" i="9" s="1"/>
  <c r="N1028" i="9" s="1"/>
  <c r="K1029" i="9"/>
  <c r="L1029" i="9"/>
  <c r="M1029" i="9" s="1"/>
  <c r="N1029" i="9" s="1"/>
  <c r="K1030" i="9"/>
  <c r="L1030" i="9"/>
  <c r="M1030" i="9" s="1"/>
  <c r="N1030" i="9" s="1"/>
  <c r="K1031" i="9"/>
  <c r="L1031" i="9"/>
  <c r="M1031" i="9" s="1"/>
  <c r="N1031" i="9" s="1"/>
  <c r="K1032" i="9"/>
  <c r="L1032" i="9"/>
  <c r="M1032" i="9" s="1"/>
  <c r="N1032" i="9" s="1"/>
  <c r="K1033" i="9"/>
  <c r="L1033" i="9"/>
  <c r="M1033" i="9" s="1"/>
  <c r="N1033" i="9" s="1"/>
  <c r="K1034" i="9"/>
  <c r="L1034" i="9"/>
  <c r="M1034" i="9" s="1"/>
  <c r="N1034" i="9" s="1"/>
  <c r="K1035" i="9"/>
  <c r="L1035" i="9"/>
  <c r="M1035" i="9" s="1"/>
  <c r="N1035" i="9" s="1"/>
  <c r="K1036" i="9"/>
  <c r="L1036" i="9"/>
  <c r="M1036" i="9" s="1"/>
  <c r="N1036" i="9" s="1"/>
  <c r="K1037" i="9"/>
  <c r="L1037" i="9"/>
  <c r="M1037" i="9" s="1"/>
  <c r="N1037" i="9" s="1"/>
  <c r="K1038" i="9"/>
  <c r="L1038" i="9"/>
  <c r="M1038" i="9" s="1"/>
  <c r="N1038" i="9" s="1"/>
  <c r="N1039" i="9"/>
  <c r="K1040" i="9"/>
  <c r="L1040" i="9"/>
  <c r="M1040" i="9"/>
  <c r="N1040" i="9" s="1"/>
  <c r="K1041" i="9"/>
  <c r="L1041" i="9"/>
  <c r="M1041" i="9"/>
  <c r="N1041" i="9" s="1"/>
  <c r="K1042" i="9"/>
  <c r="L1042" i="9"/>
  <c r="M1042" i="9"/>
  <c r="N1042" i="9" s="1"/>
  <c r="N1043" i="9"/>
  <c r="K1044" i="9"/>
  <c r="L1044" i="9"/>
  <c r="M1044" i="9" s="1"/>
  <c r="N1044" i="9" s="1"/>
  <c r="K1045" i="9"/>
  <c r="L1045" i="9"/>
  <c r="M1045" i="9" s="1"/>
  <c r="N1045" i="9" s="1"/>
  <c r="K1046" i="9"/>
  <c r="L1046" i="9"/>
  <c r="M1046" i="9" s="1"/>
  <c r="N1046" i="9" s="1"/>
  <c r="K1047" i="9"/>
  <c r="L1047" i="9"/>
  <c r="M1047" i="9" s="1"/>
  <c r="N1047" i="9" s="1"/>
  <c r="K1048" i="9"/>
  <c r="L1048" i="9"/>
  <c r="M1048" i="9" s="1"/>
  <c r="N1048" i="9" s="1"/>
  <c r="K1049" i="9"/>
  <c r="L1049" i="9"/>
  <c r="M1049" i="9" s="1"/>
  <c r="N1049" i="9" s="1"/>
  <c r="K1050" i="9"/>
  <c r="L1050" i="9"/>
  <c r="M1050" i="9" s="1"/>
  <c r="N1050" i="9" s="1"/>
  <c r="K1051" i="9"/>
  <c r="L1051" i="9"/>
  <c r="M1051" i="9" s="1"/>
  <c r="N1051" i="9" s="1"/>
  <c r="K1052" i="9"/>
  <c r="L1052" i="9"/>
  <c r="M1052" i="9" s="1"/>
  <c r="N1052" i="9" s="1"/>
  <c r="K1053" i="9"/>
  <c r="L1053" i="9"/>
  <c r="M1053" i="9" s="1"/>
  <c r="N1053" i="9" s="1"/>
  <c r="K1054" i="9"/>
  <c r="L1054" i="9"/>
  <c r="M1054" i="9" s="1"/>
  <c r="N1054" i="9" s="1"/>
  <c r="K1055" i="9"/>
  <c r="L1055" i="9"/>
  <c r="M1055" i="9" s="1"/>
  <c r="N1055" i="9" s="1"/>
  <c r="K1056" i="9"/>
  <c r="L1056" i="9"/>
  <c r="M1056" i="9" s="1"/>
  <c r="N1056" i="9" s="1"/>
  <c r="K1057" i="9"/>
  <c r="L1057" i="9"/>
  <c r="M1057" i="9" s="1"/>
  <c r="N1057" i="9" s="1"/>
  <c r="K1058" i="9"/>
  <c r="L1058" i="9"/>
  <c r="M1058" i="9" s="1"/>
  <c r="N1058" i="9" s="1"/>
  <c r="K1059" i="9"/>
  <c r="L1059" i="9"/>
  <c r="M1059" i="9" s="1"/>
  <c r="N1059" i="9" s="1"/>
  <c r="K1060" i="9"/>
  <c r="L1060" i="9"/>
  <c r="M1060" i="9" s="1"/>
  <c r="N1060" i="9" s="1"/>
  <c r="N1061" i="9"/>
  <c r="K1062" i="9"/>
  <c r="L1062" i="9"/>
  <c r="M1062" i="9"/>
  <c r="N1062" i="9" s="1"/>
  <c r="K1063" i="9"/>
  <c r="L1063" i="9"/>
  <c r="M1063" i="9"/>
  <c r="N1063" i="9" s="1"/>
  <c r="K1064" i="9"/>
  <c r="L1064" i="9"/>
  <c r="M1064" i="9"/>
  <c r="N1064" i="9" s="1"/>
  <c r="N1065" i="9"/>
  <c r="K1066" i="9"/>
  <c r="L1066" i="9"/>
  <c r="M1066" i="9" s="1"/>
  <c r="N1066" i="9" s="1"/>
  <c r="K1067" i="9"/>
  <c r="L1067" i="9"/>
  <c r="M1067" i="9" s="1"/>
  <c r="N1067" i="9" s="1"/>
  <c r="K1068" i="9"/>
  <c r="L1068" i="9"/>
  <c r="M1068" i="9" s="1"/>
  <c r="N1068" i="9" s="1"/>
  <c r="K1069" i="9"/>
  <c r="L1069" i="9"/>
  <c r="M1069" i="9" s="1"/>
  <c r="N1069" i="9" s="1"/>
  <c r="K1070" i="9"/>
  <c r="L1070" i="9"/>
  <c r="M1070" i="9" s="1"/>
  <c r="N1070" i="9" s="1"/>
  <c r="K1071" i="9"/>
  <c r="L1071" i="9"/>
  <c r="M1071" i="9" s="1"/>
  <c r="N1071" i="9" s="1"/>
  <c r="K1072" i="9"/>
  <c r="L1072" i="9"/>
  <c r="M1072" i="9" s="1"/>
  <c r="N1072" i="9" s="1"/>
  <c r="K1073" i="9"/>
  <c r="L1073" i="9"/>
  <c r="M1073" i="9" s="1"/>
  <c r="N1073" i="9" s="1"/>
  <c r="K1074" i="9"/>
  <c r="L1074" i="9"/>
  <c r="M1074" i="9" s="1"/>
  <c r="N1074" i="9" s="1"/>
  <c r="K1075" i="9"/>
  <c r="L1075" i="9"/>
  <c r="M1075" i="9" s="1"/>
  <c r="N1075" i="9" s="1"/>
  <c r="K1076" i="9"/>
  <c r="L1076" i="9"/>
  <c r="M1076" i="9" s="1"/>
  <c r="N1076" i="9" s="1"/>
  <c r="K1077" i="9"/>
  <c r="L1077" i="9"/>
  <c r="M1077" i="9" s="1"/>
  <c r="N1077" i="9" s="1"/>
  <c r="K1078" i="9"/>
  <c r="L1078" i="9"/>
  <c r="M1078" i="9" s="1"/>
  <c r="N1078" i="9" s="1"/>
  <c r="K1079" i="9"/>
  <c r="L1079" i="9"/>
  <c r="M1079" i="9" s="1"/>
  <c r="N1079" i="9" s="1"/>
  <c r="K1080" i="9"/>
  <c r="L1080" i="9"/>
  <c r="M1080" i="9" s="1"/>
  <c r="N1080" i="9" s="1"/>
  <c r="K1081" i="9"/>
  <c r="L1081" i="9"/>
  <c r="M1081" i="9" s="1"/>
  <c r="N1081" i="9" s="1"/>
  <c r="K1082" i="9"/>
  <c r="L1082" i="9"/>
  <c r="M1082" i="9" s="1"/>
  <c r="N1082" i="9" s="1"/>
  <c r="K1083" i="9"/>
  <c r="L1083" i="9"/>
  <c r="M1083" i="9" s="1"/>
  <c r="N1083" i="9" s="1"/>
  <c r="K1084" i="9"/>
  <c r="L1084" i="9"/>
  <c r="M1084" i="9" s="1"/>
  <c r="N1084" i="9" s="1"/>
  <c r="K1085" i="9"/>
  <c r="L1085" i="9"/>
  <c r="M1085" i="9" s="1"/>
  <c r="N1085" i="9" s="1"/>
  <c r="K1086" i="9"/>
  <c r="L1086" i="9"/>
  <c r="M1086" i="9" s="1"/>
  <c r="N1086" i="9" s="1"/>
  <c r="K1087" i="9"/>
  <c r="L1087" i="9"/>
  <c r="M1087" i="9" s="1"/>
  <c r="N1087" i="9" s="1"/>
  <c r="K1088" i="9"/>
  <c r="L1088" i="9"/>
  <c r="M1088" i="9" s="1"/>
  <c r="N1088" i="9" s="1"/>
  <c r="K1089" i="9"/>
  <c r="L1089" i="9"/>
  <c r="M1089" i="9" s="1"/>
  <c r="N1089" i="9" s="1"/>
  <c r="K1090" i="9"/>
  <c r="L1090" i="9"/>
  <c r="M1090" i="9" s="1"/>
  <c r="N1090" i="9" s="1"/>
  <c r="K1091" i="9"/>
  <c r="L1091" i="9"/>
  <c r="M1091" i="9" s="1"/>
  <c r="N1091" i="9" s="1"/>
  <c r="K1092" i="9"/>
  <c r="L1092" i="9"/>
  <c r="M1092" i="9" s="1"/>
  <c r="N1092" i="9" s="1"/>
  <c r="K1093" i="9"/>
  <c r="L1093" i="9"/>
  <c r="M1093" i="9" s="1"/>
  <c r="N1093" i="9" s="1"/>
  <c r="K1094" i="9"/>
  <c r="L1094" i="9"/>
  <c r="M1094" i="9" s="1"/>
  <c r="N1094" i="9" s="1"/>
  <c r="N1095" i="9"/>
  <c r="K1096" i="9"/>
  <c r="L1096" i="9"/>
  <c r="M1096" i="9"/>
  <c r="N1096" i="9" s="1"/>
  <c r="K1097" i="9"/>
  <c r="L1097" i="9"/>
  <c r="M1097" i="9"/>
  <c r="N1097" i="9" s="1"/>
  <c r="K1098" i="9"/>
  <c r="L1098" i="9"/>
  <c r="M1098" i="9"/>
  <c r="N1098" i="9" s="1"/>
  <c r="N1099" i="9"/>
  <c r="K1100" i="9"/>
  <c r="L1100" i="9"/>
  <c r="M1100" i="9" s="1"/>
  <c r="N1100" i="9"/>
  <c r="K1101" i="9"/>
  <c r="L1101" i="9"/>
  <c r="M1101" i="9" s="1"/>
  <c r="N1101" i="9" s="1"/>
  <c r="K1102" i="9"/>
  <c r="L1102" i="9"/>
  <c r="M1102" i="9" s="1"/>
  <c r="N1102" i="9"/>
  <c r="K1103" i="9"/>
  <c r="L1103" i="9"/>
  <c r="M1103" i="9" s="1"/>
  <c r="N1103" i="9" s="1"/>
  <c r="K1104" i="9"/>
  <c r="L1104" i="9"/>
  <c r="M1104" i="9" s="1"/>
  <c r="N1104" i="9"/>
  <c r="K1105" i="9"/>
  <c r="L1105" i="9"/>
  <c r="M1105" i="9" s="1"/>
  <c r="N1105" i="9" s="1"/>
  <c r="K1106" i="9"/>
  <c r="L1106" i="9"/>
  <c r="M1106" i="9" s="1"/>
  <c r="N1106" i="9"/>
  <c r="K1107" i="9"/>
  <c r="L1107" i="9"/>
  <c r="M1107" i="9" s="1"/>
  <c r="N1107" i="9" s="1"/>
  <c r="K1108" i="9"/>
  <c r="L1108" i="9"/>
  <c r="M1108" i="9" s="1"/>
  <c r="N1108" i="9"/>
  <c r="K1109" i="9"/>
  <c r="L1109" i="9"/>
  <c r="M1109" i="9" s="1"/>
  <c r="N1109" i="9" s="1"/>
  <c r="K1110" i="9"/>
  <c r="L1110" i="9"/>
  <c r="M1110" i="9" s="1"/>
  <c r="N1110" i="9"/>
  <c r="K1111" i="9"/>
  <c r="L1111" i="9"/>
  <c r="M1111" i="9" s="1"/>
  <c r="N1111" i="9" s="1"/>
  <c r="K1112" i="9"/>
  <c r="L1112" i="9"/>
  <c r="M1112" i="9" s="1"/>
  <c r="N1112" i="9"/>
  <c r="K1113" i="9"/>
  <c r="L1113" i="9"/>
  <c r="M1113" i="9" s="1"/>
  <c r="N1113" i="9" s="1"/>
  <c r="K1114" i="9"/>
  <c r="L1114" i="9"/>
  <c r="M1114" i="9" s="1"/>
  <c r="N1114" i="9"/>
  <c r="K1115" i="9"/>
  <c r="L1115" i="9"/>
  <c r="M1115" i="9" s="1"/>
  <c r="N1115" i="9" s="1"/>
  <c r="K1116" i="9"/>
  <c r="L1116" i="9"/>
  <c r="M1116" i="9" s="1"/>
  <c r="N1116" i="9"/>
  <c r="K1117" i="9"/>
  <c r="L1117" i="9"/>
  <c r="M1117" i="9" s="1"/>
  <c r="N1117" i="9" s="1"/>
  <c r="K1118" i="9"/>
  <c r="L1118" i="9"/>
  <c r="M1118" i="9" s="1"/>
  <c r="N1118" i="9"/>
  <c r="K1119" i="9"/>
  <c r="L1119" i="9"/>
  <c r="M1119" i="9" s="1"/>
  <c r="N1119" i="9" s="1"/>
  <c r="K1120" i="9"/>
  <c r="L1120" i="9"/>
  <c r="M1120" i="9" s="1"/>
  <c r="N1120" i="9"/>
  <c r="K1121" i="9"/>
  <c r="L1121" i="9"/>
  <c r="M1121" i="9" s="1"/>
  <c r="N1121" i="9" s="1"/>
  <c r="K1122" i="9"/>
  <c r="L1122" i="9"/>
  <c r="M1122" i="9" s="1"/>
  <c r="N1122" i="9"/>
  <c r="K1123" i="9"/>
  <c r="L1123" i="9"/>
  <c r="M1123" i="9" s="1"/>
  <c r="N1123" i="9" s="1"/>
  <c r="K1124" i="9"/>
  <c r="L1124" i="9"/>
  <c r="M1124" i="9" s="1"/>
  <c r="N1124" i="9"/>
  <c r="K1125" i="9"/>
  <c r="L1125" i="9"/>
  <c r="M1125" i="9" s="1"/>
  <c r="N1125" i="9" s="1"/>
  <c r="K1126" i="9"/>
  <c r="L1126" i="9"/>
  <c r="M1126" i="9" s="1"/>
  <c r="N1126" i="9"/>
  <c r="K1127" i="9"/>
  <c r="L1127" i="9"/>
  <c r="M1127" i="9" s="1"/>
  <c r="N1127" i="9" s="1"/>
  <c r="K1128" i="9"/>
  <c r="L1128" i="9"/>
  <c r="M1128" i="9" s="1"/>
  <c r="N1128" i="9"/>
  <c r="K1129" i="9"/>
  <c r="L1129" i="9"/>
  <c r="M1129" i="9" s="1"/>
  <c r="N1129" i="9" s="1"/>
  <c r="K1130" i="9"/>
  <c r="L1130" i="9"/>
  <c r="M1130" i="9" s="1"/>
  <c r="N1130" i="9"/>
  <c r="K1131" i="9"/>
  <c r="L1131" i="9"/>
  <c r="M1131" i="9" s="1"/>
  <c r="N1131" i="9" s="1"/>
  <c r="K1132" i="9"/>
  <c r="L1132" i="9"/>
  <c r="M1132" i="9" s="1"/>
  <c r="N1132" i="9"/>
  <c r="K1133" i="9"/>
  <c r="L1133" i="9"/>
  <c r="M1133" i="9" s="1"/>
  <c r="N1133" i="9" s="1"/>
  <c r="K1134" i="9"/>
  <c r="L1134" i="9"/>
  <c r="M1134" i="9" s="1"/>
  <c r="N1134" i="9"/>
  <c r="K1135" i="9"/>
  <c r="L1135" i="9"/>
  <c r="M1135" i="9" s="1"/>
  <c r="N1135" i="9" s="1"/>
  <c r="K1136" i="9"/>
  <c r="L1136" i="9"/>
  <c r="M1136" i="9" s="1"/>
  <c r="N1136" i="9"/>
  <c r="N1137" i="9"/>
  <c r="K1138" i="9"/>
  <c r="L1138" i="9"/>
  <c r="M1138" i="9"/>
  <c r="N1138" i="9" s="1"/>
  <c r="N1139" i="9"/>
  <c r="K1140" i="9"/>
  <c r="L1140" i="9"/>
  <c r="M1140" i="9" s="1"/>
  <c r="N1140" i="9"/>
  <c r="K1141" i="9"/>
  <c r="L1141" i="9"/>
  <c r="M1141" i="9" s="1"/>
  <c r="N1141" i="9" s="1"/>
  <c r="N1142" i="9"/>
  <c r="K1143" i="9"/>
  <c r="L1143" i="9"/>
  <c r="M1143" i="9"/>
  <c r="N1143" i="9" s="1"/>
  <c r="N1144" i="9"/>
  <c r="K1145" i="9"/>
  <c r="L1145" i="9"/>
  <c r="M1145" i="9" s="1"/>
  <c r="N1145" i="9" s="1"/>
  <c r="K1146" i="9"/>
  <c r="L1146" i="9"/>
  <c r="M1146" i="9" s="1"/>
  <c r="N1146" i="9"/>
  <c r="K1147" i="9"/>
  <c r="L1147" i="9"/>
  <c r="M1147" i="9" s="1"/>
  <c r="N1147" i="9" s="1"/>
  <c r="K1148" i="9"/>
  <c r="L1148" i="9"/>
  <c r="M1148" i="9" s="1"/>
  <c r="N1148" i="9"/>
  <c r="K1149" i="9"/>
  <c r="L1149" i="9"/>
  <c r="M1149" i="9" s="1"/>
  <c r="N1149" i="9" s="1"/>
  <c r="K1150" i="9"/>
  <c r="L1150" i="9"/>
  <c r="M1150" i="9" s="1"/>
  <c r="N1150" i="9"/>
  <c r="K1151" i="9"/>
  <c r="L1151" i="9"/>
  <c r="M1151" i="9" s="1"/>
  <c r="N1151" i="9" s="1"/>
  <c r="K1152" i="9"/>
  <c r="L1152" i="9"/>
  <c r="M1152" i="9" s="1"/>
  <c r="N1152" i="9"/>
  <c r="K1153" i="9"/>
  <c r="L1153" i="9"/>
  <c r="M1153" i="9" s="1"/>
  <c r="N1153" i="9" s="1"/>
  <c r="K1154" i="9"/>
  <c r="L1154" i="9"/>
  <c r="M1154" i="9" s="1"/>
  <c r="N1154" i="9"/>
  <c r="K1155" i="9"/>
  <c r="L1155" i="9"/>
  <c r="M1155" i="9" s="1"/>
  <c r="N1155" i="9" s="1"/>
  <c r="K1156" i="9"/>
  <c r="L1156" i="9"/>
  <c r="M1156" i="9" s="1"/>
  <c r="N1156" i="9"/>
  <c r="K1157" i="9"/>
  <c r="L1157" i="9"/>
  <c r="M1157" i="9" s="1"/>
  <c r="N1157" i="9" s="1"/>
  <c r="K1158" i="9"/>
  <c r="L1158" i="9"/>
  <c r="M1158" i="9" s="1"/>
  <c r="N1158" i="9"/>
  <c r="K1159" i="9"/>
  <c r="L1159" i="9"/>
  <c r="M1159" i="9" s="1"/>
  <c r="N1159" i="9" s="1"/>
  <c r="K1160" i="9"/>
  <c r="L1160" i="9"/>
  <c r="M1160" i="9" s="1"/>
  <c r="N1160" i="9"/>
  <c r="K1161" i="9"/>
  <c r="L1161" i="9"/>
  <c r="M1161" i="9" s="1"/>
  <c r="N1161" i="9" s="1"/>
  <c r="K1162" i="9"/>
  <c r="L1162" i="9"/>
  <c r="M1162" i="9" s="1"/>
  <c r="N1162" i="9"/>
  <c r="K1163" i="9"/>
  <c r="L1163" i="9"/>
  <c r="M1163" i="9" s="1"/>
  <c r="N1163" i="9" s="1"/>
  <c r="K1164" i="9"/>
  <c r="L1164" i="9"/>
  <c r="M1164" i="9" s="1"/>
  <c r="N1164" i="9"/>
  <c r="K1165" i="9"/>
  <c r="L1165" i="9"/>
  <c r="M1165" i="9" s="1"/>
  <c r="N1165" i="9" s="1"/>
  <c r="K1166" i="9"/>
  <c r="L1166" i="9"/>
  <c r="M1166" i="9" s="1"/>
  <c r="N1166" i="9"/>
  <c r="K1167" i="9"/>
  <c r="L1167" i="9"/>
  <c r="M1167" i="9" s="1"/>
  <c r="N1167" i="9" s="1"/>
  <c r="K1168" i="9"/>
  <c r="L1168" i="9"/>
  <c r="M1168" i="9" s="1"/>
  <c r="N1168" i="9"/>
  <c r="K1169" i="9"/>
  <c r="L1169" i="9"/>
  <c r="M1169" i="9" s="1"/>
  <c r="N1169" i="9" s="1"/>
  <c r="K1170" i="9"/>
  <c r="L1170" i="9"/>
  <c r="M1170" i="9" s="1"/>
  <c r="N1170" i="9"/>
  <c r="K1171" i="9"/>
  <c r="L1171" i="9"/>
  <c r="M1171" i="9" s="1"/>
  <c r="N1171" i="9" s="1"/>
  <c r="K1172" i="9"/>
  <c r="L1172" i="9"/>
  <c r="M1172" i="9" s="1"/>
  <c r="N1172" i="9"/>
  <c r="K1173" i="9"/>
  <c r="L1173" i="9"/>
  <c r="M1173" i="9" s="1"/>
  <c r="N1173" i="9" s="1"/>
  <c r="K1174" i="9"/>
  <c r="L1174" i="9"/>
  <c r="M1174" i="9" s="1"/>
  <c r="N1174" i="9"/>
  <c r="K1175" i="9"/>
  <c r="L1175" i="9"/>
  <c r="M1175" i="9" s="1"/>
  <c r="N1175" i="9" s="1"/>
  <c r="K1176" i="9"/>
  <c r="L1176" i="9"/>
  <c r="M1176" i="9" s="1"/>
  <c r="N1176" i="9"/>
  <c r="K1177" i="9"/>
  <c r="L1177" i="9"/>
  <c r="M1177" i="9" s="1"/>
  <c r="N1177" i="9" s="1"/>
  <c r="K1178" i="9"/>
  <c r="L1178" i="9"/>
  <c r="M1178" i="9" s="1"/>
  <c r="N1178" i="9"/>
  <c r="K1179" i="9"/>
  <c r="L1179" i="9"/>
  <c r="M1179" i="9" s="1"/>
  <c r="N1179" i="9" s="1"/>
  <c r="K1180" i="9"/>
  <c r="L1180" i="9"/>
  <c r="M1180" i="9" s="1"/>
  <c r="N1180" i="9"/>
  <c r="N1181" i="9"/>
  <c r="K1182" i="9"/>
  <c r="L1182" i="9"/>
  <c r="M1182" i="9"/>
  <c r="N1182" i="9" s="1"/>
  <c r="K1183" i="9"/>
  <c r="L1183" i="9"/>
  <c r="M1183" i="9"/>
  <c r="N1183" i="9" s="1"/>
  <c r="K1184" i="9"/>
  <c r="L1184" i="9"/>
  <c r="M1184" i="9"/>
  <c r="N1184" i="9" s="1"/>
  <c r="K1185" i="9"/>
  <c r="L1185" i="9"/>
  <c r="M1185" i="9"/>
  <c r="N1185" i="9" s="1"/>
  <c r="N1186" i="9"/>
  <c r="K1187" i="9"/>
  <c r="L1187" i="9"/>
  <c r="M1187" i="9" s="1"/>
  <c r="N1187" i="9" s="1"/>
  <c r="K1188" i="9"/>
  <c r="L1188" i="9"/>
  <c r="M1188" i="9" s="1"/>
  <c r="N1188" i="9"/>
  <c r="K1189" i="9"/>
  <c r="L1189" i="9"/>
  <c r="M1189" i="9" s="1"/>
  <c r="N1189" i="9" s="1"/>
  <c r="K1190" i="9"/>
  <c r="L1190" i="9"/>
  <c r="M1190" i="9" s="1"/>
  <c r="N1190" i="9"/>
  <c r="K1191" i="9"/>
  <c r="L1191" i="9"/>
  <c r="M1191" i="9" s="1"/>
  <c r="N1191" i="9" s="1"/>
  <c r="K1192" i="9"/>
  <c r="L1192" i="9"/>
  <c r="M1192" i="9" s="1"/>
  <c r="N1192" i="9"/>
  <c r="K1193" i="9"/>
  <c r="L1193" i="9"/>
  <c r="M1193" i="9" s="1"/>
  <c r="N1193" i="9" s="1"/>
  <c r="K1194" i="9"/>
  <c r="L1194" i="9"/>
  <c r="M1194" i="9" s="1"/>
  <c r="N1194" i="9"/>
  <c r="K1195" i="9"/>
  <c r="L1195" i="9"/>
  <c r="M1195" i="9" s="1"/>
  <c r="N1195" i="9" s="1"/>
  <c r="K1196" i="9"/>
  <c r="L1196" i="9"/>
  <c r="M1196" i="9" s="1"/>
  <c r="N1196" i="9"/>
  <c r="K1197" i="9"/>
  <c r="L1197" i="9"/>
  <c r="M1197" i="9" s="1"/>
  <c r="N1197" i="9" s="1"/>
  <c r="K1198" i="9"/>
  <c r="L1198" i="9"/>
  <c r="M1198" i="9" s="1"/>
  <c r="N1198" i="9"/>
  <c r="K1199" i="9"/>
  <c r="L1199" i="9"/>
  <c r="M1199" i="9" s="1"/>
  <c r="N1199" i="9" s="1"/>
  <c r="K1200" i="9"/>
  <c r="L1200" i="9"/>
  <c r="M1200" i="9" s="1"/>
  <c r="N1200" i="9"/>
  <c r="K1201" i="9"/>
  <c r="L1201" i="9"/>
  <c r="M1201" i="9" s="1"/>
  <c r="N1201" i="9" s="1"/>
  <c r="K1202" i="9"/>
  <c r="L1202" i="9"/>
  <c r="M1202" i="9" s="1"/>
  <c r="N1202" i="9"/>
  <c r="K1203" i="9"/>
  <c r="L1203" i="9"/>
  <c r="M1203" i="9" s="1"/>
  <c r="N1203" i="9" s="1"/>
  <c r="K1204" i="9"/>
  <c r="L1204" i="9"/>
  <c r="M1204" i="9" s="1"/>
  <c r="N1204" i="9"/>
  <c r="L1205" i="9"/>
  <c r="M1205" i="9"/>
  <c r="N1205" i="9" s="1"/>
  <c r="K1206" i="9"/>
  <c r="L1206" i="9"/>
  <c r="M1206" i="9"/>
  <c r="N1206" i="9" s="1"/>
  <c r="K1207" i="9"/>
  <c r="L1207" i="9"/>
  <c r="M1207" i="9"/>
  <c r="N1207" i="9" s="1"/>
  <c r="K1208" i="9"/>
  <c r="L1208" i="9"/>
  <c r="M1208" i="9"/>
  <c r="N1208" i="9" s="1"/>
  <c r="K1209" i="9"/>
  <c r="L1209" i="9"/>
  <c r="M1209" i="9"/>
  <c r="N1209" i="9" s="1"/>
  <c r="K1210" i="9"/>
  <c r="L1210" i="9"/>
  <c r="M1210" i="9"/>
  <c r="N1210" i="9" s="1"/>
  <c r="K1211" i="9"/>
  <c r="L1211" i="9"/>
  <c r="M1211" i="9"/>
  <c r="N1211" i="9" s="1"/>
  <c r="K1212" i="9"/>
  <c r="L1212" i="9"/>
  <c r="M1212" i="9"/>
  <c r="N1212" i="9" s="1"/>
  <c r="K1213" i="9"/>
  <c r="L1213" i="9"/>
  <c r="M1213" i="9"/>
  <c r="N1213" i="9" s="1"/>
  <c r="K1214" i="9"/>
  <c r="L1214" i="9"/>
  <c r="M1214" i="9"/>
  <c r="N1214" i="9" s="1"/>
  <c r="K1215" i="9"/>
  <c r="L1215" i="9"/>
  <c r="M1215" i="9"/>
  <c r="N1215" i="9" s="1"/>
  <c r="K1216" i="9"/>
  <c r="L1216" i="9"/>
  <c r="M1216" i="9"/>
  <c r="N1216" i="9" s="1"/>
  <c r="K1217" i="9"/>
  <c r="L1217" i="9"/>
  <c r="M1217" i="9"/>
  <c r="N1217" i="9" s="1"/>
  <c r="N1218" i="9"/>
  <c r="K1219" i="9"/>
  <c r="L1219" i="9"/>
  <c r="M1219" i="9" s="1"/>
  <c r="N1219" i="9"/>
  <c r="K1220" i="9"/>
  <c r="L1220" i="9"/>
  <c r="M1220" i="9" s="1"/>
  <c r="N1220" i="9" s="1"/>
  <c r="K1221" i="9"/>
  <c r="L1221" i="9"/>
  <c r="M1221" i="9" s="1"/>
  <c r="N1221" i="9"/>
  <c r="K1222" i="9"/>
  <c r="L1222" i="9"/>
  <c r="M1222" i="9" s="1"/>
  <c r="N1222" i="9" s="1"/>
  <c r="N1223" i="9"/>
  <c r="K1224" i="9"/>
  <c r="L1224" i="9"/>
  <c r="M1224" i="9"/>
  <c r="N1224" i="9" s="1"/>
  <c r="K1225" i="9"/>
  <c r="L1225" i="9"/>
  <c r="M1225" i="9"/>
  <c r="N1225" i="9" s="1"/>
  <c r="K1226" i="9"/>
  <c r="L1226" i="9"/>
  <c r="M1226" i="9"/>
  <c r="N1226" i="9" s="1"/>
  <c r="K1227" i="9"/>
  <c r="L1227" i="9"/>
  <c r="M1227" i="9"/>
  <c r="N1227" i="9" s="1"/>
  <c r="N1228" i="9"/>
  <c r="N1229" i="9"/>
  <c r="K452" i="9"/>
  <c r="H382" i="7"/>
  <c r="H377" i="7"/>
  <c r="K368" i="3"/>
  <c r="D382" i="7"/>
  <c r="I382" i="7"/>
  <c r="D377" i="7"/>
  <c r="I377" i="7"/>
  <c r="F368" i="3"/>
  <c r="E382" i="7"/>
  <c r="E377" i="7"/>
  <c r="G368" i="3"/>
  <c r="F382" i="7"/>
  <c r="F377" i="7"/>
  <c r="H368" i="3"/>
  <c r="G377" i="7"/>
  <c r="I368" i="3"/>
  <c r="E368" i="3"/>
  <c r="D383" i="7"/>
  <c r="H383" i="7"/>
  <c r="I383" i="7"/>
  <c r="D378" i="7"/>
  <c r="H378" i="7"/>
  <c r="I378" i="7"/>
  <c r="F369" i="3"/>
  <c r="F381" i="7"/>
  <c r="D381" i="7"/>
  <c r="E369" i="3"/>
  <c r="E383" i="7"/>
  <c r="E378" i="7"/>
  <c r="F383" i="7"/>
  <c r="G383" i="7" s="1"/>
  <c r="F378" i="7"/>
  <c r="G378" i="7"/>
  <c r="D25" i="7"/>
  <c r="H25" i="7"/>
  <c r="I25" i="7"/>
  <c r="E25" i="7"/>
  <c r="F25" i="7"/>
  <c r="E12" i="3"/>
  <c r="E14" i="8"/>
  <c r="D165" i="7"/>
  <c r="H165" i="7"/>
  <c r="I165" i="7"/>
  <c r="D162" i="7"/>
  <c r="H162" i="7"/>
  <c r="I162" i="7"/>
  <c r="E165" i="7"/>
  <c r="E162" i="7"/>
  <c r="F165" i="7"/>
  <c r="G165" i="7" s="1"/>
  <c r="F162" i="7"/>
  <c r="G162" i="7" s="1"/>
  <c r="E152" i="3"/>
  <c r="E7" i="8"/>
  <c r="E8" i="8"/>
  <c r="D125" i="7"/>
  <c r="H125" i="7"/>
  <c r="K112" i="3" s="1"/>
  <c r="I125" i="7"/>
  <c r="D124" i="7"/>
  <c r="H124" i="7"/>
  <c r="I124" i="7"/>
  <c r="E125" i="7"/>
  <c r="E124" i="7"/>
  <c r="F125" i="7"/>
  <c r="F124" i="7"/>
  <c r="G124" i="7" s="1"/>
  <c r="G125" i="7"/>
  <c r="E112" i="3"/>
  <c r="E21" i="8"/>
  <c r="E10" i="8"/>
  <c r="I10" i="8" s="1"/>
  <c r="E19" i="8"/>
  <c r="I19" i="8" s="1"/>
  <c r="E13" i="8"/>
  <c r="E11" i="8"/>
  <c r="E9" i="8"/>
  <c r="E12" i="8"/>
  <c r="E29" i="8"/>
  <c r="E16" i="8"/>
  <c r="E28" i="8"/>
  <c r="E18" i="8"/>
  <c r="I18" i="8" s="1"/>
  <c r="E23" i="8"/>
  <c r="E30" i="8"/>
  <c r="E3" i="8"/>
  <c r="E6" i="8"/>
  <c r="E4" i="8"/>
  <c r="E17" i="8"/>
  <c r="E15" i="8"/>
  <c r="I15" i="8" s="1"/>
  <c r="E24" i="8"/>
  <c r="I24" i="8" s="1"/>
  <c r="E26" i="8"/>
  <c r="E111" i="3"/>
  <c r="E149" i="3"/>
  <c r="D281" i="7"/>
  <c r="H281" i="7"/>
  <c r="I281" i="7"/>
  <c r="E281" i="7"/>
  <c r="F281" i="7"/>
  <c r="G281" i="7" s="1"/>
  <c r="E268" i="3"/>
  <c r="D270" i="7"/>
  <c r="H270" i="7"/>
  <c r="I270" i="7"/>
  <c r="E270" i="7"/>
  <c r="F270" i="7"/>
  <c r="G270" i="7" s="1"/>
  <c r="E257" i="3"/>
  <c r="E22" i="8"/>
  <c r="E25" i="8"/>
  <c r="E5" i="8"/>
  <c r="I5" i="8" s="1"/>
  <c r="D359" i="7"/>
  <c r="H359" i="7"/>
  <c r="K344" i="3" s="1"/>
  <c r="I359" i="7"/>
  <c r="D354" i="7"/>
  <c r="H354" i="7"/>
  <c r="I354" i="7"/>
  <c r="F340" i="3" s="1"/>
  <c r="D360" i="7"/>
  <c r="H360" i="7"/>
  <c r="I360" i="7"/>
  <c r="E359" i="7"/>
  <c r="G359" i="7" s="1"/>
  <c r="I344" i="3" s="1"/>
  <c r="E354" i="7"/>
  <c r="E360" i="7"/>
  <c r="F359" i="7"/>
  <c r="F354" i="7"/>
  <c r="F360" i="7"/>
  <c r="G360" i="7"/>
  <c r="I345" i="3" s="1"/>
  <c r="E346" i="3"/>
  <c r="E31" i="8"/>
  <c r="I31" i="8" s="1"/>
  <c r="E341" i="3"/>
  <c r="D324" i="7"/>
  <c r="H324" i="7"/>
  <c r="I324" i="7"/>
  <c r="E324" i="7"/>
  <c r="F324" i="7"/>
  <c r="G324" i="7" s="1"/>
  <c r="E311" i="3"/>
  <c r="F40" i="8"/>
  <c r="G40" i="8" s="1"/>
  <c r="L129" i="9"/>
  <c r="K129" i="9"/>
  <c r="M129" i="9" s="1"/>
  <c r="L232" i="9"/>
  <c r="K232" i="9"/>
  <c r="M232" i="9"/>
  <c r="N232" i="9" s="1"/>
  <c r="L213" i="9"/>
  <c r="K213" i="9"/>
  <c r="M213" i="9" s="1"/>
  <c r="L306" i="9"/>
  <c r="K306" i="9"/>
  <c r="M306" i="9"/>
  <c r="L216" i="9"/>
  <c r="K216" i="9"/>
  <c r="M216" i="9" s="1"/>
  <c r="L415" i="9"/>
  <c r="K415" i="9"/>
  <c r="M415" i="9"/>
  <c r="L383" i="9"/>
  <c r="K383" i="9"/>
  <c r="M383" i="9" s="1"/>
  <c r="N383" i="9" s="1"/>
  <c r="L83" i="9"/>
  <c r="K83" i="9"/>
  <c r="M83" i="9"/>
  <c r="N83" i="9" s="1"/>
  <c r="L226" i="9"/>
  <c r="K226" i="9"/>
  <c r="M226" i="9" s="1"/>
  <c r="N226" i="9" s="1"/>
  <c r="L46" i="9"/>
  <c r="K46" i="9"/>
  <c r="M46" i="9"/>
  <c r="N46" i="9" s="1"/>
  <c r="L167" i="9"/>
  <c r="K167" i="9"/>
  <c r="M167" i="9" s="1"/>
  <c r="L207" i="9"/>
  <c r="K207" i="9"/>
  <c r="M207" i="9"/>
  <c r="L203" i="9"/>
  <c r="K203" i="9"/>
  <c r="M203" i="9" s="1"/>
  <c r="L395" i="9"/>
  <c r="K395" i="9"/>
  <c r="M395" i="9"/>
  <c r="N395" i="9" s="1"/>
  <c r="L58" i="9"/>
  <c r="K58" i="9"/>
  <c r="M58" i="9" s="1"/>
  <c r="N58" i="9" s="1"/>
  <c r="L257" i="9"/>
  <c r="K257" i="9"/>
  <c r="M257" i="9"/>
  <c r="L186" i="9"/>
  <c r="K186" i="9"/>
  <c r="M186" i="9" s="1"/>
  <c r="L168" i="9"/>
  <c r="K168" i="9"/>
  <c r="M168" i="9"/>
  <c r="L188" i="9"/>
  <c r="K188" i="9"/>
  <c r="M188" i="9" s="1"/>
  <c r="L271" i="9"/>
  <c r="K271" i="9"/>
  <c r="M271" i="9"/>
  <c r="N271" i="9" s="1"/>
  <c r="L174" i="9"/>
  <c r="K174" i="9"/>
  <c r="M174" i="9" s="1"/>
  <c r="L49" i="9"/>
  <c r="K49" i="9"/>
  <c r="M49" i="9"/>
  <c r="L63" i="9"/>
  <c r="K63" i="9"/>
  <c r="M63" i="9" s="1"/>
  <c r="L19" i="9"/>
  <c r="K19" i="9"/>
  <c r="M19" i="9"/>
  <c r="N19" i="9" s="1"/>
  <c r="L31" i="9"/>
  <c r="K31" i="9"/>
  <c r="M31" i="9" s="1"/>
  <c r="N31" i="9" s="1"/>
  <c r="L61" i="9"/>
  <c r="K61" i="9"/>
  <c r="M61" i="9"/>
  <c r="L327" i="9"/>
  <c r="K327" i="9"/>
  <c r="M327" i="9" s="1"/>
  <c r="N327" i="9" s="1"/>
  <c r="L368" i="9"/>
  <c r="K368" i="9"/>
  <c r="M368" i="9"/>
  <c r="N368" i="9" s="1"/>
  <c r="L120" i="9"/>
  <c r="K120" i="9"/>
  <c r="M120" i="9" s="1"/>
  <c r="N120" i="9" s="1"/>
  <c r="L170" i="9"/>
  <c r="K170" i="9"/>
  <c r="M170" i="9"/>
  <c r="L370" i="9"/>
  <c r="K370" i="9"/>
  <c r="M370" i="9" s="1"/>
  <c r="L193" i="9"/>
  <c r="K193" i="9"/>
  <c r="M193" i="9"/>
  <c r="L258" i="9"/>
  <c r="K258" i="9"/>
  <c r="M258" i="9" s="1"/>
  <c r="N258" i="9" s="1"/>
  <c r="L329" i="9"/>
  <c r="K329" i="9"/>
  <c r="M329" i="9"/>
  <c r="N329" i="9" s="1"/>
  <c r="L8" i="9"/>
  <c r="K8" i="9"/>
  <c r="M8" i="9" s="1"/>
  <c r="L166" i="9"/>
  <c r="K166" i="9"/>
  <c r="M166" i="9"/>
  <c r="L92" i="9"/>
  <c r="K92" i="9"/>
  <c r="M92" i="9" s="1"/>
  <c r="N92" i="9" s="1"/>
  <c r="L443" i="9"/>
  <c r="K443" i="9"/>
  <c r="M443" i="9"/>
  <c r="N443" i="9" s="1"/>
  <c r="L452" i="9"/>
  <c r="M452" i="9"/>
  <c r="N452" i="9" s="1"/>
  <c r="L18" i="9"/>
  <c r="K18" i="9"/>
  <c r="M18" i="9" s="1"/>
  <c r="L381" i="9"/>
  <c r="K381" i="9"/>
  <c r="M381" i="9"/>
  <c r="N381" i="9" s="1"/>
  <c r="L206" i="9"/>
  <c r="K206" i="9"/>
  <c r="M206" i="9" s="1"/>
  <c r="L212" i="9"/>
  <c r="K212" i="9"/>
  <c r="M212" i="9"/>
  <c r="L128" i="9"/>
  <c r="K128" i="9"/>
  <c r="M128" i="9" s="1"/>
  <c r="N128" i="9" s="1"/>
  <c r="L265" i="9"/>
  <c r="K265" i="9"/>
  <c r="M265" i="9"/>
  <c r="L145" i="9"/>
  <c r="K145" i="9"/>
  <c r="M145" i="9" s="1"/>
  <c r="N145" i="9" s="1"/>
  <c r="L7" i="9"/>
  <c r="K7" i="9"/>
  <c r="M7" i="9"/>
  <c r="N7" i="9" s="1"/>
  <c r="L98" i="9"/>
  <c r="K98" i="9"/>
  <c r="M98" i="9" s="1"/>
  <c r="N98" i="9" s="1"/>
  <c r="L85" i="9"/>
  <c r="K85" i="9"/>
  <c r="M85" i="9"/>
  <c r="L109" i="9"/>
  <c r="K109" i="9"/>
  <c r="M109" i="9" s="1"/>
  <c r="N109" i="9" s="1"/>
  <c r="L449" i="9"/>
  <c r="K449" i="9"/>
  <c r="M449" i="9"/>
  <c r="N2" i="10"/>
  <c r="D36" i="10"/>
  <c r="I4" i="8"/>
  <c r="I7" i="8"/>
  <c r="I8" i="8"/>
  <c r="I9" i="8"/>
  <c r="I13" i="8"/>
  <c r="I16" i="8"/>
  <c r="I20" i="8"/>
  <c r="I23" i="8"/>
  <c r="I25" i="8"/>
  <c r="I26" i="8"/>
  <c r="I27" i="8"/>
  <c r="I28" i="8"/>
  <c r="I29" i="8"/>
  <c r="F22" i="8"/>
  <c r="H4" i="8"/>
  <c r="D55" i="7"/>
  <c r="H55" i="7"/>
  <c r="I55" i="7"/>
  <c r="E55" i="7"/>
  <c r="F55" i="7"/>
  <c r="G55" i="7" s="1"/>
  <c r="E42" i="3"/>
  <c r="D329" i="7"/>
  <c r="H329" i="7"/>
  <c r="I329" i="7"/>
  <c r="E329" i="7"/>
  <c r="F329" i="7"/>
  <c r="G329" i="7" s="1"/>
  <c r="E316" i="3"/>
  <c r="D274" i="7"/>
  <c r="H274" i="7"/>
  <c r="I274" i="7"/>
  <c r="E274" i="7"/>
  <c r="F274" i="7"/>
  <c r="E261" i="3"/>
  <c r="F20" i="8"/>
  <c r="G20" i="8" s="1"/>
  <c r="L20" i="8" s="1"/>
  <c r="H5" i="8"/>
  <c r="D279" i="7"/>
  <c r="H279" i="7"/>
  <c r="I279" i="7"/>
  <c r="E279" i="7"/>
  <c r="F279" i="7"/>
  <c r="E266" i="3"/>
  <c r="D63" i="7"/>
  <c r="H63" i="7"/>
  <c r="I63" i="7"/>
  <c r="E63" i="7"/>
  <c r="F63" i="7"/>
  <c r="G63" i="7"/>
  <c r="E50" i="3"/>
  <c r="D275" i="7"/>
  <c r="H275" i="7"/>
  <c r="I275" i="7"/>
  <c r="E275" i="7"/>
  <c r="F275" i="7"/>
  <c r="E262" i="3"/>
  <c r="F24" i="8"/>
  <c r="G24" i="8" s="1"/>
  <c r="L24" i="8" s="1"/>
  <c r="D89" i="7"/>
  <c r="H89" i="7"/>
  <c r="I89" i="7"/>
  <c r="E89" i="7"/>
  <c r="F89" i="7"/>
  <c r="G89" i="7" s="1"/>
  <c r="E76" i="3"/>
  <c r="F23" i="8"/>
  <c r="G23" i="8" s="1"/>
  <c r="L23" i="8" s="1"/>
  <c r="H7" i="8"/>
  <c r="D103" i="7"/>
  <c r="H103" i="7"/>
  <c r="I103" i="7"/>
  <c r="E103" i="7"/>
  <c r="F103" i="7"/>
  <c r="E90" i="3"/>
  <c r="F14" i="8"/>
  <c r="H8" i="8"/>
  <c r="D140" i="7"/>
  <c r="H140" i="7"/>
  <c r="I140" i="7"/>
  <c r="D137" i="7"/>
  <c r="H137" i="7"/>
  <c r="K124" i="3" s="1"/>
  <c r="I137" i="7"/>
  <c r="E140" i="7"/>
  <c r="E137" i="7"/>
  <c r="F140" i="7"/>
  <c r="F137" i="7"/>
  <c r="G137" i="7" s="1"/>
  <c r="E127" i="3"/>
  <c r="E124" i="3"/>
  <c r="F4" i="8"/>
  <c r="G4" i="8" s="1"/>
  <c r="L4" i="8" s="1"/>
  <c r="H9" i="8"/>
  <c r="D286" i="7"/>
  <c r="H286" i="7"/>
  <c r="I286" i="7"/>
  <c r="E286" i="7"/>
  <c r="F286" i="7"/>
  <c r="E273" i="3"/>
  <c r="F31" i="8"/>
  <c r="H10" i="8"/>
  <c r="D288" i="7"/>
  <c r="H288" i="7"/>
  <c r="I288" i="7"/>
  <c r="D283" i="7"/>
  <c r="H283" i="7"/>
  <c r="I283" i="7"/>
  <c r="E288" i="7"/>
  <c r="E283" i="7"/>
  <c r="F288" i="7"/>
  <c r="F283" i="7"/>
  <c r="G288" i="7"/>
  <c r="E275" i="3"/>
  <c r="D183" i="7"/>
  <c r="H183" i="7"/>
  <c r="I183" i="7"/>
  <c r="D179" i="7"/>
  <c r="H179" i="7"/>
  <c r="K166" i="3" s="1"/>
  <c r="I179" i="7"/>
  <c r="E183" i="7"/>
  <c r="E179" i="7"/>
  <c r="F183" i="7"/>
  <c r="G183" i="7" s="1"/>
  <c r="F179" i="7"/>
  <c r="G179" i="7" s="1"/>
  <c r="E170" i="3"/>
  <c r="E166" i="3"/>
  <c r="F8" i="8"/>
  <c r="G8" i="8" s="1"/>
  <c r="L8" i="8" s="1"/>
  <c r="D292" i="7"/>
  <c r="H292" i="7"/>
  <c r="I292" i="7"/>
  <c r="D287" i="7"/>
  <c r="H287" i="7"/>
  <c r="I287" i="7"/>
  <c r="E292" i="7"/>
  <c r="E287" i="7"/>
  <c r="F292" i="7"/>
  <c r="G292" i="7" s="1"/>
  <c r="F287" i="7"/>
  <c r="G287" i="7"/>
  <c r="E279" i="3"/>
  <c r="D184" i="7"/>
  <c r="H184" i="7"/>
  <c r="I184" i="7"/>
  <c r="D180" i="7"/>
  <c r="H180" i="7"/>
  <c r="I180" i="7"/>
  <c r="E184" i="7"/>
  <c r="E180" i="7"/>
  <c r="F184" i="7"/>
  <c r="F180" i="7"/>
  <c r="G184" i="7"/>
  <c r="G180" i="7"/>
  <c r="E171" i="3"/>
  <c r="E167" i="3"/>
  <c r="F13" i="8"/>
  <c r="G13" i="8" s="1"/>
  <c r="L13" i="8" s="1"/>
  <c r="D187" i="7"/>
  <c r="H187" i="7"/>
  <c r="I187" i="7"/>
  <c r="D182" i="7"/>
  <c r="H182" i="7"/>
  <c r="I182" i="7"/>
  <c r="E187" i="7"/>
  <c r="E182" i="7"/>
  <c r="F187" i="7"/>
  <c r="F182" i="7"/>
  <c r="G187" i="7"/>
  <c r="E174" i="3"/>
  <c r="F169" i="3"/>
  <c r="E169" i="3"/>
  <c r="E270" i="3"/>
  <c r="F15" i="8"/>
  <c r="G15" i="8" s="1"/>
  <c r="H13" i="8"/>
  <c r="D198" i="7"/>
  <c r="H198" i="7"/>
  <c r="I198" i="7"/>
  <c r="D193" i="7"/>
  <c r="H193" i="7"/>
  <c r="I193" i="7"/>
  <c r="E198" i="7"/>
  <c r="E193" i="7"/>
  <c r="F198" i="7"/>
  <c r="G198" i="7" s="1"/>
  <c r="F193" i="7"/>
  <c r="G193" i="7"/>
  <c r="E185" i="3"/>
  <c r="E180" i="3"/>
  <c r="E274" i="3"/>
  <c r="F25" i="8"/>
  <c r="G25" i="8" s="1"/>
  <c r="L25" i="8" s="1"/>
  <c r="D346" i="7"/>
  <c r="H346" i="7"/>
  <c r="I346" i="7"/>
  <c r="D341" i="7"/>
  <c r="H341" i="7"/>
  <c r="I341" i="7"/>
  <c r="E346" i="7"/>
  <c r="E341" i="7"/>
  <c r="F346" i="7"/>
  <c r="F341" i="7"/>
  <c r="G341" i="7" s="1"/>
  <c r="G346" i="7"/>
  <c r="E333" i="3"/>
  <c r="D199" i="7"/>
  <c r="H199" i="7"/>
  <c r="I199" i="7"/>
  <c r="D194" i="7"/>
  <c r="H194" i="7"/>
  <c r="I194" i="7"/>
  <c r="E199" i="7"/>
  <c r="E194" i="7"/>
  <c r="F199" i="7"/>
  <c r="G199" i="7" s="1"/>
  <c r="F194" i="7"/>
  <c r="G194" i="7" s="1"/>
  <c r="E186" i="3"/>
  <c r="E181" i="3"/>
  <c r="D219" i="7"/>
  <c r="H219" i="7"/>
  <c r="I219" i="7"/>
  <c r="E219" i="7"/>
  <c r="F219" i="7"/>
  <c r="G219" i="7" s="1"/>
  <c r="E206" i="3"/>
  <c r="D253" i="7"/>
  <c r="H253" i="7"/>
  <c r="I253" i="7"/>
  <c r="E253" i="7"/>
  <c r="F253" i="7"/>
  <c r="G253" i="7" s="1"/>
  <c r="E240" i="3"/>
  <c r="F5" i="8"/>
  <c r="G5" i="8" s="1"/>
  <c r="L5" i="8" s="1"/>
  <c r="H15" i="8"/>
  <c r="D318" i="7"/>
  <c r="H318" i="7"/>
  <c r="I318" i="7"/>
  <c r="D313" i="7"/>
  <c r="H313" i="7"/>
  <c r="I313" i="7"/>
  <c r="E318" i="7"/>
  <c r="E313" i="7"/>
  <c r="F318" i="7"/>
  <c r="F313" i="7"/>
  <c r="G313" i="7" s="1"/>
  <c r="G318" i="7"/>
  <c r="E305" i="3"/>
  <c r="D224" i="7"/>
  <c r="H224" i="7"/>
  <c r="I224" i="7"/>
  <c r="E224" i="7"/>
  <c r="F224" i="7"/>
  <c r="G224" i="7" s="1"/>
  <c r="E211" i="3"/>
  <c r="E300" i="3"/>
  <c r="F16" i="8"/>
  <c r="D379" i="7"/>
  <c r="H379" i="7"/>
  <c r="I379" i="7"/>
  <c r="D374" i="7"/>
  <c r="H374" i="7"/>
  <c r="I374" i="7"/>
  <c r="F365" i="3"/>
  <c r="E379" i="7"/>
  <c r="E374" i="7"/>
  <c r="G374" i="7" s="1"/>
  <c r="G365" i="3"/>
  <c r="F379" i="7"/>
  <c r="G379" i="7" s="1"/>
  <c r="F374" i="7"/>
  <c r="H365" i="3"/>
  <c r="I365" i="3"/>
  <c r="E365" i="3"/>
  <c r="D258" i="7"/>
  <c r="H258" i="7"/>
  <c r="I258" i="7"/>
  <c r="E258" i="7"/>
  <c r="F258" i="7"/>
  <c r="G258" i="7" s="1"/>
  <c r="E245" i="3"/>
  <c r="D290" i="7"/>
  <c r="H290" i="7"/>
  <c r="I290" i="7"/>
  <c r="E290" i="7"/>
  <c r="F290" i="7"/>
  <c r="H279" i="3" s="1"/>
  <c r="E277" i="3"/>
  <c r="E328" i="3"/>
  <c r="F6" i="8"/>
  <c r="F28" i="8"/>
  <c r="G28" i="8" s="1"/>
  <c r="L28" i="8" s="1"/>
  <c r="H18" i="8"/>
  <c r="F3" i="8"/>
  <c r="G3" i="8" s="1"/>
  <c r="H19" i="8"/>
  <c r="F9" i="8"/>
  <c r="G9" i="8" s="1"/>
  <c r="L9" i="8" s="1"/>
  <c r="H20" i="8"/>
  <c r="D282" i="7"/>
  <c r="H282" i="7"/>
  <c r="I282" i="7"/>
  <c r="E282" i="7"/>
  <c r="F282" i="7"/>
  <c r="D295" i="7"/>
  <c r="H295" i="7"/>
  <c r="I295" i="7"/>
  <c r="E295" i="7"/>
  <c r="F295" i="7"/>
  <c r="G295" i="7" s="1"/>
  <c r="E282" i="3"/>
  <c r="E269" i="3"/>
  <c r="D334" i="7"/>
  <c r="H334" i="7"/>
  <c r="I334" i="7"/>
  <c r="E334" i="7"/>
  <c r="F334" i="7"/>
  <c r="E321" i="3"/>
  <c r="D339" i="7"/>
  <c r="H339" i="7"/>
  <c r="I339" i="7"/>
  <c r="E339" i="7"/>
  <c r="F339" i="7"/>
  <c r="E326" i="3"/>
  <c r="F7" i="8"/>
  <c r="F18" i="8"/>
  <c r="G18" i="8" s="1"/>
  <c r="L18" i="8" s="1"/>
  <c r="H23" i="8"/>
  <c r="F26" i="8"/>
  <c r="G26" i="8" s="1"/>
  <c r="L26" i="8" s="1"/>
  <c r="H24" i="8"/>
  <c r="D308" i="7"/>
  <c r="H308" i="7"/>
  <c r="I308" i="7"/>
  <c r="D303" i="7"/>
  <c r="H303" i="7"/>
  <c r="I303" i="7"/>
  <c r="E308" i="7"/>
  <c r="E303" i="7"/>
  <c r="F308" i="7"/>
  <c r="F303" i="7"/>
  <c r="G308" i="7"/>
  <c r="G303" i="7"/>
  <c r="E295" i="3"/>
  <c r="D373" i="7"/>
  <c r="H373" i="7"/>
  <c r="K358" i="3" s="1"/>
  <c r="I373" i="7"/>
  <c r="F364" i="3"/>
  <c r="E373" i="7"/>
  <c r="G364" i="3"/>
  <c r="F373" i="7"/>
  <c r="G373" i="7" s="1"/>
  <c r="H364" i="3"/>
  <c r="I364" i="3"/>
  <c r="E364" i="3"/>
  <c r="E290" i="3"/>
  <c r="F21" i="8"/>
  <c r="H25" i="8"/>
  <c r="D336" i="7"/>
  <c r="H336" i="7"/>
  <c r="I336" i="7"/>
  <c r="E336" i="7"/>
  <c r="F336" i="7"/>
  <c r="G336" i="7"/>
  <c r="I323" i="3" s="1"/>
  <c r="F17" i="8"/>
  <c r="H26" i="8"/>
  <c r="E359" i="3"/>
  <c r="F10" i="8"/>
  <c r="G10" i="8" s="1"/>
  <c r="L10" i="8" s="1"/>
  <c r="H27" i="8"/>
  <c r="F29" i="8"/>
  <c r="G29" i="8" s="1"/>
  <c r="H28" i="8"/>
  <c r="G323" i="3"/>
  <c r="E323" i="3"/>
  <c r="F19" i="8"/>
  <c r="G19" i="8" s="1"/>
  <c r="H29" i="8"/>
  <c r="F12" i="8"/>
  <c r="F27" i="8"/>
  <c r="G27" i="8" s="1"/>
  <c r="F30" i="8"/>
  <c r="H31" i="8"/>
  <c r="H381" i="7"/>
  <c r="I381" i="7"/>
  <c r="E381" i="7"/>
  <c r="G381" i="7"/>
  <c r="D390" i="7"/>
  <c r="H390" i="7"/>
  <c r="I390" i="7"/>
  <c r="E390" i="7"/>
  <c r="F390" i="7"/>
  <c r="G390" i="7"/>
  <c r="H389" i="7"/>
  <c r="H388" i="7"/>
  <c r="D388" i="7"/>
  <c r="I388" i="7"/>
  <c r="E388" i="7"/>
  <c r="F388" i="7"/>
  <c r="G388" i="7" s="1"/>
  <c r="F389" i="7"/>
  <c r="D389" i="7"/>
  <c r="L94" i="9"/>
  <c r="K94" i="9"/>
  <c r="M94" i="9" s="1"/>
  <c r="L438" i="9"/>
  <c r="K438" i="9"/>
  <c r="M438" i="9"/>
  <c r="N438" i="9" s="1"/>
  <c r="L187" i="9"/>
  <c r="K187" i="9"/>
  <c r="M187" i="9" s="1"/>
  <c r="L409" i="9"/>
  <c r="K409" i="9"/>
  <c r="M409" i="9"/>
  <c r="N409" i="9" s="1"/>
  <c r="L116" i="9"/>
  <c r="K116" i="9"/>
  <c r="M116" i="9" s="1"/>
  <c r="N116" i="9" s="1"/>
  <c r="L412" i="9"/>
  <c r="K412" i="9"/>
  <c r="M412" i="9"/>
  <c r="N412" i="9" s="1"/>
  <c r="L413" i="9"/>
  <c r="K413" i="9"/>
  <c r="M413" i="9" s="1"/>
  <c r="L122" i="9"/>
  <c r="K122" i="9"/>
  <c r="M122" i="9"/>
  <c r="L367" i="9"/>
  <c r="K367" i="9"/>
  <c r="M367" i="9" s="1"/>
  <c r="L204" i="9"/>
  <c r="K204" i="9"/>
  <c r="M204" i="9"/>
  <c r="L171" i="9"/>
  <c r="K171" i="9"/>
  <c r="M171" i="9" s="1"/>
  <c r="L172" i="9"/>
  <c r="K172" i="9"/>
  <c r="M172" i="9"/>
  <c r="L183" i="9"/>
  <c r="K183" i="9"/>
  <c r="M183" i="9" s="1"/>
  <c r="L400" i="9"/>
  <c r="K400" i="9"/>
  <c r="M400" i="9"/>
  <c r="L442" i="9"/>
  <c r="K442" i="9"/>
  <c r="M442" i="9" s="1"/>
  <c r="L408" i="9"/>
  <c r="K408" i="9"/>
  <c r="M408" i="9"/>
  <c r="L451" i="9"/>
  <c r="K451" i="9"/>
  <c r="M451" i="9" s="1"/>
  <c r="L189" i="9"/>
  <c r="K189" i="9"/>
  <c r="M189" i="9"/>
  <c r="L248" i="9"/>
  <c r="K248" i="9"/>
  <c r="M248" i="9" s="1"/>
  <c r="L341" i="9"/>
  <c r="K341" i="9"/>
  <c r="M341" i="9"/>
  <c r="L342" i="9"/>
  <c r="K342" i="9"/>
  <c r="M342" i="9" s="1"/>
  <c r="N342" i="9" s="1"/>
  <c r="L406" i="9"/>
  <c r="K406" i="9"/>
  <c r="M406" i="9"/>
  <c r="L307" i="9"/>
  <c r="K307" i="9"/>
  <c r="M307" i="9" s="1"/>
  <c r="N307" i="9" s="1"/>
  <c r="L328" i="9"/>
  <c r="K328" i="9"/>
  <c r="M328" i="9"/>
  <c r="L290" i="9"/>
  <c r="K290" i="9"/>
  <c r="M290" i="9" s="1"/>
  <c r="L289" i="9"/>
  <c r="K289" i="9"/>
  <c r="M289" i="9"/>
  <c r="N289" i="9" s="1"/>
  <c r="L190" i="9"/>
  <c r="K190" i="9"/>
  <c r="M190" i="9" s="1"/>
  <c r="L9" i="9"/>
  <c r="K9" i="9"/>
  <c r="M9" i="9"/>
  <c r="N9" i="9" s="1"/>
  <c r="L448" i="9"/>
  <c r="K448" i="9"/>
  <c r="M448" i="9" s="1"/>
  <c r="N448" i="9" s="1"/>
  <c r="L115" i="9"/>
  <c r="K115" i="9"/>
  <c r="M115" i="9"/>
  <c r="L79" i="9"/>
  <c r="K79" i="9"/>
  <c r="M79" i="9" s="1"/>
  <c r="N79" i="9" s="1"/>
  <c r="L399" i="9"/>
  <c r="K399" i="9"/>
  <c r="M399" i="9"/>
  <c r="N399" i="9" s="1"/>
  <c r="L339" i="9"/>
  <c r="K339" i="9"/>
  <c r="M339" i="9" s="1"/>
  <c r="L382" i="9"/>
  <c r="K382" i="9"/>
  <c r="M382" i="9"/>
  <c r="L39" i="9"/>
  <c r="K39" i="9"/>
  <c r="M39" i="9" s="1"/>
  <c r="L81" i="9"/>
  <c r="K81" i="9"/>
  <c r="M81" i="9"/>
  <c r="N81" i="9" s="1"/>
  <c r="L376" i="9"/>
  <c r="K376" i="9"/>
  <c r="M376" i="9" s="1"/>
  <c r="N376" i="9" s="1"/>
  <c r="L377" i="9"/>
  <c r="K377" i="9"/>
  <c r="M377" i="9"/>
  <c r="L420" i="9"/>
  <c r="K420" i="9"/>
  <c r="M420" i="9" s="1"/>
  <c r="L325" i="9"/>
  <c r="K325" i="9"/>
  <c r="M325" i="9"/>
  <c r="N325" i="9" s="1"/>
  <c r="L227" i="9"/>
  <c r="K227" i="9"/>
  <c r="M227" i="9" s="1"/>
  <c r="L337" i="9"/>
  <c r="K337" i="9"/>
  <c r="M337" i="9"/>
  <c r="F11" i="8"/>
  <c r="I40" i="8"/>
  <c r="L446" i="9"/>
  <c r="K446" i="9"/>
  <c r="M446" i="9" s="1"/>
  <c r="N446" i="9" s="1"/>
  <c r="L380" i="9"/>
  <c r="K380" i="9"/>
  <c r="M380" i="9"/>
  <c r="L195" i="9"/>
  <c r="K195" i="9"/>
  <c r="M195" i="9" s="1"/>
  <c r="L293" i="9"/>
  <c r="K293" i="9"/>
  <c r="M293" i="9"/>
  <c r="L169" i="9"/>
  <c r="K169" i="9"/>
  <c r="M169" i="9" s="1"/>
  <c r="L17" i="9"/>
  <c r="K17" i="9"/>
  <c r="M17" i="9"/>
  <c r="N17" i="9" s="1"/>
  <c r="L132" i="9"/>
  <c r="K132" i="9"/>
  <c r="M132" i="9" s="1"/>
  <c r="N132" i="9" s="1"/>
  <c r="L111" i="9"/>
  <c r="K111" i="9"/>
  <c r="M111" i="9"/>
  <c r="L182" i="9"/>
  <c r="K182" i="9"/>
  <c r="M182" i="9" s="1"/>
  <c r="L65" i="9"/>
  <c r="K65" i="9"/>
  <c r="M65" i="9"/>
  <c r="N65" i="9" s="1"/>
  <c r="L440" i="9"/>
  <c r="K440" i="9"/>
  <c r="M440" i="9" s="1"/>
  <c r="L255" i="9"/>
  <c r="K255" i="9"/>
  <c r="M255" i="9"/>
  <c r="N255" i="9" s="1"/>
  <c r="L198" i="9"/>
  <c r="K198" i="9"/>
  <c r="M198" i="9" s="1"/>
  <c r="L302" i="9"/>
  <c r="M302" i="9" s="1"/>
  <c r="N302" i="9" s="1"/>
  <c r="L263" i="9"/>
  <c r="K263" i="9"/>
  <c r="M263" i="9"/>
  <c r="L397" i="9"/>
  <c r="K397" i="9"/>
  <c r="M397" i="9" s="1"/>
  <c r="N397" i="9" s="1"/>
  <c r="L11" i="9"/>
  <c r="K11" i="9"/>
  <c r="M11" i="9"/>
  <c r="L210" i="9"/>
  <c r="K210" i="9"/>
  <c r="M210" i="9" s="1"/>
  <c r="L264" i="9"/>
  <c r="K264" i="9"/>
  <c r="M264" i="9"/>
  <c r="N264" i="9" s="1"/>
  <c r="L228" i="9"/>
  <c r="K228" i="9"/>
  <c r="M228" i="9" s="1"/>
  <c r="N228" i="9" s="1"/>
  <c r="L303" i="9"/>
  <c r="K303" i="9"/>
  <c r="M303" i="9"/>
  <c r="L311" i="9"/>
  <c r="K311" i="9"/>
  <c r="M311" i="9" s="1"/>
  <c r="L294" i="9"/>
  <c r="K294" i="9"/>
  <c r="M294" i="9"/>
  <c r="N294" i="9" s="1"/>
  <c r="L53" i="9"/>
  <c r="K53" i="9"/>
  <c r="M53" i="9" s="1"/>
  <c r="L211" i="9"/>
  <c r="K211" i="9"/>
  <c r="M211" i="9"/>
  <c r="L199" i="9"/>
  <c r="K199" i="9"/>
  <c r="M199" i="9" s="1"/>
  <c r="L358" i="9"/>
  <c r="K358" i="9"/>
  <c r="M358" i="9"/>
  <c r="L359" i="9"/>
  <c r="K359" i="9"/>
  <c r="M359" i="9" s="1"/>
  <c r="N359" i="9" s="1"/>
  <c r="L450" i="9"/>
  <c r="K450" i="9"/>
  <c r="M450" i="9"/>
  <c r="N450" i="9" s="1"/>
  <c r="L389" i="9"/>
  <c r="K389" i="9"/>
  <c r="M389" i="9" s="1"/>
  <c r="N389" i="9" s="1"/>
  <c r="L205" i="9"/>
  <c r="K205" i="9"/>
  <c r="M205" i="9"/>
  <c r="L365" i="9"/>
  <c r="K365" i="9"/>
  <c r="M365" i="9" s="1"/>
  <c r="N365" i="9" s="1"/>
  <c r="L360" i="9"/>
  <c r="K360" i="9"/>
  <c r="M360" i="9"/>
  <c r="L215" i="9"/>
  <c r="K215" i="9"/>
  <c r="M215" i="9" s="1"/>
  <c r="L447" i="9"/>
  <c r="K447" i="9"/>
  <c r="M447" i="9"/>
  <c r="L304" i="9"/>
  <c r="K304" i="9"/>
  <c r="M304" i="9" s="1"/>
  <c r="N304" i="9" s="1"/>
  <c r="L176" i="9"/>
  <c r="K176" i="9"/>
  <c r="M176" i="9"/>
  <c r="L43" i="9"/>
  <c r="K43" i="9"/>
  <c r="M43" i="9" s="1"/>
  <c r="N43" i="9" s="1"/>
  <c r="L82" i="9"/>
  <c r="K82" i="9"/>
  <c r="M82" i="9"/>
  <c r="L56" i="9"/>
  <c r="K56" i="9"/>
  <c r="M56" i="9" s="1"/>
  <c r="N56" i="9" s="1"/>
  <c r="L181" i="9"/>
  <c r="K181" i="9"/>
  <c r="M181" i="9"/>
  <c r="L323" i="9"/>
  <c r="K323" i="9"/>
  <c r="M323" i="9" s="1"/>
  <c r="N323" i="9" s="1"/>
  <c r="L298" i="9"/>
  <c r="K298" i="9"/>
  <c r="M298" i="9"/>
  <c r="L281" i="9"/>
  <c r="K281" i="9"/>
  <c r="M281" i="9" s="1"/>
  <c r="N281" i="9" s="1"/>
  <c r="L407" i="9"/>
  <c r="K407" i="9"/>
  <c r="M407" i="9"/>
  <c r="N407" i="9" s="1"/>
  <c r="L379" i="9"/>
  <c r="K379" i="9"/>
  <c r="M379" i="9" s="1"/>
  <c r="N379" i="9" s="1"/>
  <c r="L261" i="9"/>
  <c r="K261" i="9"/>
  <c r="M261" i="9"/>
  <c r="L50" i="9"/>
  <c r="K50" i="9"/>
  <c r="M50" i="9" s="1"/>
  <c r="N50" i="9" s="1"/>
  <c r="L139" i="9"/>
  <c r="K139" i="9"/>
  <c r="M139" i="9"/>
  <c r="L101" i="9"/>
  <c r="K101" i="9"/>
  <c r="M101" i="9" s="1"/>
  <c r="N101" i="9" s="1"/>
  <c r="L241" i="9"/>
  <c r="K241" i="9"/>
  <c r="M241" i="9"/>
  <c r="L242" i="9"/>
  <c r="K242" i="9"/>
  <c r="M242" i="9" s="1"/>
  <c r="N242" i="9" s="1"/>
  <c r="L343" i="9"/>
  <c r="K343" i="9"/>
  <c r="M343" i="9"/>
  <c r="L326" i="9"/>
  <c r="K326" i="9"/>
  <c r="M326" i="9" s="1"/>
  <c r="L233" i="9"/>
  <c r="K233" i="9"/>
  <c r="M233" i="9"/>
  <c r="L390" i="9"/>
  <c r="K390" i="9"/>
  <c r="M390" i="9" s="1"/>
  <c r="N390" i="9" s="1"/>
  <c r="L138" i="9"/>
  <c r="K138" i="9"/>
  <c r="M138" i="9"/>
  <c r="N138" i="9" s="1"/>
  <c r="L422" i="9"/>
  <c r="K422" i="9"/>
  <c r="M422" i="9" s="1"/>
  <c r="N422" i="9" s="1"/>
  <c r="L424" i="9"/>
  <c r="K424" i="9"/>
  <c r="M424" i="9"/>
  <c r="N424" i="9" s="1"/>
  <c r="L230" i="9"/>
  <c r="K230" i="9"/>
  <c r="M230" i="9" s="1"/>
  <c r="L331" i="9"/>
  <c r="K331" i="9"/>
  <c r="M331" i="9"/>
  <c r="L423" i="9"/>
  <c r="K423" i="9"/>
  <c r="M423" i="9" s="1"/>
  <c r="L392" i="9"/>
  <c r="K392" i="9"/>
  <c r="M392" i="9"/>
  <c r="L126" i="9"/>
  <c r="K126" i="9"/>
  <c r="M126" i="9" s="1"/>
  <c r="N126" i="9" s="1"/>
  <c r="L324" i="9"/>
  <c r="K324" i="9"/>
  <c r="M324" i="9"/>
  <c r="L135" i="9"/>
  <c r="K135" i="9"/>
  <c r="M135" i="9" s="1"/>
  <c r="L243" i="9"/>
  <c r="K243" i="9"/>
  <c r="M243" i="9"/>
  <c r="N243" i="9" s="1"/>
  <c r="L332" i="9"/>
  <c r="K332" i="9"/>
  <c r="M332" i="9" s="1"/>
  <c r="N332" i="9" s="1"/>
  <c r="L125" i="9"/>
  <c r="K125" i="9"/>
  <c r="M125" i="9"/>
  <c r="L76" i="9"/>
  <c r="K76" i="9"/>
  <c r="M76" i="9" s="1"/>
  <c r="L224" i="9"/>
  <c r="K224" i="9"/>
  <c r="M224" i="9"/>
  <c r="N224" i="9" s="1"/>
  <c r="L214" i="9"/>
  <c r="K214" i="9"/>
  <c r="M214" i="9" s="1"/>
  <c r="L316" i="9"/>
  <c r="K316" i="9"/>
  <c r="M316" i="9"/>
  <c r="L391" i="9"/>
  <c r="K391" i="9"/>
  <c r="M391" i="9" s="1"/>
  <c r="N391" i="9" s="1"/>
  <c r="L282" i="9"/>
  <c r="K282" i="9"/>
  <c r="M282" i="9"/>
  <c r="N282" i="9" s="1"/>
  <c r="L334" i="9"/>
  <c r="K334" i="9"/>
  <c r="M334" i="9" s="1"/>
  <c r="N334" i="9" s="1"/>
  <c r="L375" i="9"/>
  <c r="K375" i="9"/>
  <c r="M375" i="9"/>
  <c r="L104" i="9"/>
  <c r="K104" i="9"/>
  <c r="M104" i="9" s="1"/>
  <c r="N104" i="9" s="1"/>
  <c r="L47" i="9"/>
  <c r="K47" i="9"/>
  <c r="M47" i="9"/>
  <c r="L260" i="9"/>
  <c r="K260" i="9"/>
  <c r="M260" i="9" s="1"/>
  <c r="N260" i="9" s="1"/>
  <c r="L280" i="9"/>
  <c r="K280" i="9"/>
  <c r="M280" i="9"/>
  <c r="L313" i="9"/>
  <c r="K313" i="9"/>
  <c r="M313" i="9" s="1"/>
  <c r="L366" i="9"/>
  <c r="K366" i="9"/>
  <c r="M366" i="9"/>
  <c r="N366" i="9" s="1"/>
  <c r="L333" i="9"/>
  <c r="K333" i="9"/>
  <c r="M333" i="9" s="1"/>
  <c r="N333" i="9" s="1"/>
  <c r="L123" i="9"/>
  <c r="K123" i="9"/>
  <c r="M123" i="9"/>
  <c r="N123" i="9" s="1"/>
  <c r="L37" i="9"/>
  <c r="K37" i="9"/>
  <c r="M37" i="9" s="1"/>
  <c r="L113" i="9"/>
  <c r="K113" i="9"/>
  <c r="M113" i="9"/>
  <c r="N113" i="9" s="1"/>
  <c r="L30" i="9"/>
  <c r="K30" i="9"/>
  <c r="M30" i="9" s="1"/>
  <c r="L127" i="9"/>
  <c r="K127" i="9"/>
  <c r="M127" i="9"/>
  <c r="L388" i="9"/>
  <c r="K388" i="9"/>
  <c r="M388" i="9" s="1"/>
  <c r="L99" i="9"/>
  <c r="K99" i="9"/>
  <c r="M99" i="9"/>
  <c r="L345" i="9"/>
  <c r="K345" i="9"/>
  <c r="M345" i="9" s="1"/>
  <c r="N345" i="9" s="1"/>
  <c r="L346" i="9"/>
  <c r="K346" i="9"/>
  <c r="M346" i="9"/>
  <c r="N346" i="9" s="1"/>
  <c r="L312" i="9"/>
  <c r="K312" i="9"/>
  <c r="M312" i="9" s="1"/>
  <c r="N312" i="9" s="1"/>
  <c r="L247" i="9"/>
  <c r="K247" i="9"/>
  <c r="M247" i="9"/>
  <c r="N247" i="9" s="1"/>
  <c r="L28" i="9"/>
  <c r="K28" i="9"/>
  <c r="M28" i="9" s="1"/>
  <c r="L225" i="9"/>
  <c r="K225" i="9"/>
  <c r="M225" i="9"/>
  <c r="L177" i="9"/>
  <c r="K177" i="9"/>
  <c r="M177" i="9" s="1"/>
  <c r="L48" i="9"/>
  <c r="K48" i="9"/>
  <c r="M48" i="9"/>
  <c r="N48" i="9" s="1"/>
  <c r="L154" i="9"/>
  <c r="K154" i="9"/>
  <c r="M154" i="9" s="1"/>
  <c r="L45" i="9"/>
  <c r="K45" i="9"/>
  <c r="M45" i="9"/>
  <c r="L175" i="9"/>
  <c r="K175" i="9"/>
  <c r="M175" i="9" s="1"/>
  <c r="L322" i="9"/>
  <c r="K322" i="9"/>
  <c r="M322" i="9"/>
  <c r="N322" i="9" s="1"/>
  <c r="L295" i="9"/>
  <c r="K295" i="9"/>
  <c r="M295" i="9" s="1"/>
  <c r="N295" i="9" s="1"/>
  <c r="L286" i="9"/>
  <c r="K286" i="9"/>
  <c r="M286" i="9"/>
  <c r="L119" i="9"/>
  <c r="K119" i="9"/>
  <c r="M119" i="9" s="1"/>
  <c r="L151" i="9"/>
  <c r="K151" i="9"/>
  <c r="M151" i="9"/>
  <c r="L29" i="9"/>
  <c r="K29" i="9"/>
  <c r="M29" i="9" s="1"/>
  <c r="N29" i="9" s="1"/>
  <c r="L266" i="9"/>
  <c r="K266" i="9"/>
  <c r="M266" i="9"/>
  <c r="N266" i="9" s="1"/>
  <c r="L428" i="9"/>
  <c r="K428" i="9"/>
  <c r="M428" i="9" s="1"/>
  <c r="L364" i="9"/>
  <c r="K364" i="9"/>
  <c r="M364" i="9"/>
  <c r="N364" i="9" s="1"/>
  <c r="L292" i="9"/>
  <c r="K292" i="9"/>
  <c r="M292" i="9" s="1"/>
  <c r="N292" i="9" s="1"/>
  <c r="L87" i="9"/>
  <c r="K87" i="9"/>
  <c r="M87" i="9"/>
  <c r="L62" i="9"/>
  <c r="K62" i="9"/>
  <c r="M62" i="9" s="1"/>
  <c r="N62" i="9" s="1"/>
  <c r="L153" i="9"/>
  <c r="K153" i="9"/>
  <c r="M153" i="9"/>
  <c r="L262" i="9"/>
  <c r="K262" i="9"/>
  <c r="M262" i="9" s="1"/>
  <c r="N262" i="9" s="1"/>
  <c r="L347" i="9"/>
  <c r="K347" i="9"/>
  <c r="M347" i="9"/>
  <c r="L259" i="9"/>
  <c r="K259" i="9"/>
  <c r="M259" i="9" s="1"/>
  <c r="L159" i="9"/>
  <c r="K159" i="9"/>
  <c r="M159" i="9"/>
  <c r="L386" i="9"/>
  <c r="K386" i="9"/>
  <c r="M386" i="9" s="1"/>
  <c r="N386" i="9" s="1"/>
  <c r="L192" i="9"/>
  <c r="K192" i="9"/>
  <c r="M192" i="9"/>
  <c r="L150" i="9"/>
  <c r="K150" i="9"/>
  <c r="M150" i="9" s="1"/>
  <c r="L253" i="9"/>
  <c r="K253" i="9"/>
  <c r="M253" i="9"/>
  <c r="N253" i="9" s="1"/>
  <c r="L90" i="9"/>
  <c r="K90" i="9"/>
  <c r="M90" i="9" s="1"/>
  <c r="L403" i="9"/>
  <c r="K403" i="9"/>
  <c r="M403" i="9"/>
  <c r="N403" i="9" s="1"/>
  <c r="L387" i="9"/>
  <c r="K387" i="9"/>
  <c r="M387" i="9" s="1"/>
  <c r="N387" i="9" s="1"/>
  <c r="L173" i="9"/>
  <c r="K173" i="9"/>
  <c r="M173" i="9"/>
  <c r="L191" i="9"/>
  <c r="K191" i="9"/>
  <c r="M191" i="9" s="1"/>
  <c r="L105" i="9"/>
  <c r="K105" i="9"/>
  <c r="M105" i="9"/>
  <c r="L336" i="9"/>
  <c r="K336" i="9"/>
  <c r="M336" i="9" s="1"/>
  <c r="N336" i="9" s="1"/>
  <c r="L275" i="9"/>
  <c r="K275" i="9"/>
  <c r="M275" i="9"/>
  <c r="N275" i="9" s="1"/>
  <c r="L416" i="9"/>
  <c r="K416" i="9"/>
  <c r="M416" i="9" s="1"/>
  <c r="N416" i="9" s="1"/>
  <c r="L156" i="9"/>
  <c r="K156" i="9"/>
  <c r="M156" i="9"/>
  <c r="L445" i="9"/>
  <c r="K445" i="9"/>
  <c r="M445" i="9" s="1"/>
  <c r="L164" i="9"/>
  <c r="K164" i="9"/>
  <c r="M164" i="9"/>
  <c r="L161" i="9"/>
  <c r="K161" i="9"/>
  <c r="M161" i="9" s="1"/>
  <c r="L14" i="9"/>
  <c r="K14" i="9"/>
  <c r="M14" i="9"/>
  <c r="N14" i="9" s="1"/>
  <c r="L66" i="9"/>
  <c r="K66" i="9"/>
  <c r="M66" i="9" s="1"/>
  <c r="L404" i="9"/>
  <c r="K404" i="9"/>
  <c r="M404" i="9"/>
  <c r="L405" i="9"/>
  <c r="K405" i="9"/>
  <c r="M405" i="9" s="1"/>
  <c r="N405" i="9" s="1"/>
  <c r="L268" i="9"/>
  <c r="K268" i="9"/>
  <c r="M268" i="9"/>
  <c r="N268" i="9" s="1"/>
  <c r="L269" i="9"/>
  <c r="K269" i="9"/>
  <c r="M269" i="9" s="1"/>
  <c r="L414" i="9"/>
  <c r="K414" i="9"/>
  <c r="M414" i="9"/>
  <c r="N414" i="9" s="1"/>
  <c r="L335" i="9"/>
  <c r="K335" i="9"/>
  <c r="M335" i="9" s="1"/>
  <c r="L254" i="9"/>
  <c r="K254" i="9"/>
  <c r="M254" i="9"/>
  <c r="L272" i="9"/>
  <c r="K272" i="9"/>
  <c r="M272" i="9" s="1"/>
  <c r="L160" i="9"/>
  <c r="K160" i="9"/>
  <c r="M160" i="9"/>
  <c r="L89" i="9"/>
  <c r="K89" i="9"/>
  <c r="M89" i="9" s="1"/>
  <c r="N89" i="9" s="1"/>
  <c r="L315" i="9"/>
  <c r="K315" i="9"/>
  <c r="M315" i="9"/>
  <c r="N315" i="9" s="1"/>
  <c r="L27" i="9"/>
  <c r="K27" i="9"/>
  <c r="M27" i="9" s="1"/>
  <c r="N27" i="9" s="1"/>
  <c r="L426" i="9"/>
  <c r="K426" i="9"/>
  <c r="M426" i="9"/>
  <c r="L427" i="9"/>
  <c r="K427" i="9"/>
  <c r="M427" i="9" s="1"/>
  <c r="N427" i="9" s="1"/>
  <c r="L273" i="9"/>
  <c r="K273" i="9"/>
  <c r="M273" i="9"/>
  <c r="N273" i="9" s="1"/>
  <c r="L396" i="9"/>
  <c r="K396" i="9"/>
  <c r="M396" i="9" s="1"/>
  <c r="L274" i="9"/>
  <c r="K274" i="9"/>
  <c r="M274" i="9"/>
  <c r="N274" i="9" s="1"/>
  <c r="L398" i="9"/>
  <c r="K398" i="9"/>
  <c r="M398" i="9" s="1"/>
  <c r="L432" i="9"/>
  <c r="K432" i="9"/>
  <c r="M432" i="9"/>
  <c r="N432" i="9" s="1"/>
  <c r="L436" i="9"/>
  <c r="K436" i="9"/>
  <c r="M436" i="9" s="1"/>
  <c r="L344" i="9"/>
  <c r="K344" i="9"/>
  <c r="M344" i="9"/>
  <c r="N344" i="9" s="1"/>
  <c r="L162" i="9"/>
  <c r="K162" i="9"/>
  <c r="M162" i="9" s="1"/>
  <c r="L296" i="9"/>
  <c r="K296" i="9"/>
  <c r="M296" i="9"/>
  <c r="N296" i="9" s="1"/>
  <c r="L16" i="9"/>
  <c r="K16" i="9"/>
  <c r="M16" i="9" s="1"/>
  <c r="L441" i="9"/>
  <c r="K441" i="9"/>
  <c r="M441" i="9"/>
  <c r="N441" i="9" s="1"/>
  <c r="L238" i="9"/>
  <c r="K238" i="9"/>
  <c r="M238" i="9" s="1"/>
  <c r="L267" i="9"/>
  <c r="K267" i="9"/>
  <c r="M267" i="9"/>
  <c r="L374" i="9"/>
  <c r="K374" i="9"/>
  <c r="M374" i="9" s="1"/>
  <c r="N374" i="9" s="1"/>
  <c r="L86" i="9"/>
  <c r="K86" i="9"/>
  <c r="M86" i="9"/>
  <c r="N86" i="9" s="1"/>
  <c r="L411" i="9"/>
  <c r="K411" i="9"/>
  <c r="M411" i="9" s="1"/>
  <c r="L239" i="9"/>
  <c r="K239" i="9"/>
  <c r="M239" i="9"/>
  <c r="N239" i="9" s="1"/>
  <c r="L103" i="9"/>
  <c r="K103" i="9"/>
  <c r="M103" i="9" s="1"/>
  <c r="L80" i="9"/>
  <c r="K80" i="9"/>
  <c r="M80" i="9"/>
  <c r="N80" i="9" s="1"/>
  <c r="L321" i="9"/>
  <c r="K321" i="9"/>
  <c r="M321" i="9" s="1"/>
  <c r="N321" i="9" s="1"/>
  <c r="L219" i="9"/>
  <c r="K219" i="9"/>
  <c r="M219" i="9"/>
  <c r="L348" i="9"/>
  <c r="K348" i="9"/>
  <c r="M348" i="9" s="1"/>
  <c r="N348" i="9" s="1"/>
  <c r="L237" i="9"/>
  <c r="K237" i="9"/>
  <c r="M237" i="9"/>
  <c r="N237" i="9" s="1"/>
  <c r="J40" i="8"/>
  <c r="J39" i="8"/>
  <c r="N303" i="9"/>
  <c r="K305" i="9"/>
  <c r="L305" i="9"/>
  <c r="M305" i="9"/>
  <c r="N305" i="9" s="1"/>
  <c r="N306" i="9"/>
  <c r="K308" i="9"/>
  <c r="L308" i="9"/>
  <c r="M308" i="9"/>
  <c r="N308" i="9" s="1"/>
  <c r="N309" i="9"/>
  <c r="N310" i="9"/>
  <c r="N311" i="9"/>
  <c r="N313" i="9"/>
  <c r="K314" i="9"/>
  <c r="L314" i="9"/>
  <c r="M314" i="9" s="1"/>
  <c r="N314" i="9" s="1"/>
  <c r="N316" i="9"/>
  <c r="K317" i="9"/>
  <c r="L317" i="9"/>
  <c r="M317" i="9" s="1"/>
  <c r="N317" i="9" s="1"/>
  <c r="K318" i="9"/>
  <c r="L318" i="9"/>
  <c r="M318" i="9" s="1"/>
  <c r="N318" i="9"/>
  <c r="K319" i="9"/>
  <c r="L319" i="9"/>
  <c r="M319" i="9" s="1"/>
  <c r="N319" i="9" s="1"/>
  <c r="K320" i="9"/>
  <c r="L320" i="9"/>
  <c r="M320" i="9" s="1"/>
  <c r="N320" i="9"/>
  <c r="N324" i="9"/>
  <c r="N326" i="9"/>
  <c r="N328" i="9"/>
  <c r="K330" i="9"/>
  <c r="L330" i="9"/>
  <c r="M330" i="9"/>
  <c r="N330" i="9" s="1"/>
  <c r="N331" i="9"/>
  <c r="N335" i="9"/>
  <c r="N337" i="9"/>
  <c r="N338" i="9"/>
  <c r="N339" i="9"/>
  <c r="N340" i="9"/>
  <c r="N341" i="9"/>
  <c r="N343" i="9"/>
  <c r="N347" i="9"/>
  <c r="K349" i="9"/>
  <c r="L349" i="9"/>
  <c r="M349" i="9"/>
  <c r="N349" i="9" s="1"/>
  <c r="K350" i="9"/>
  <c r="L350" i="9"/>
  <c r="M350" i="9"/>
  <c r="N350" i="9" s="1"/>
  <c r="K351" i="9"/>
  <c r="L351" i="9"/>
  <c r="M351" i="9"/>
  <c r="N351" i="9" s="1"/>
  <c r="K352" i="9"/>
  <c r="L352" i="9"/>
  <c r="M352" i="9"/>
  <c r="N352" i="9" s="1"/>
  <c r="K353" i="9"/>
  <c r="L353" i="9"/>
  <c r="M353" i="9"/>
  <c r="N353" i="9" s="1"/>
  <c r="K354" i="9"/>
  <c r="L354" i="9"/>
  <c r="M354" i="9"/>
  <c r="N354" i="9" s="1"/>
  <c r="K355" i="9"/>
  <c r="L355" i="9"/>
  <c r="M355" i="9"/>
  <c r="N355" i="9" s="1"/>
  <c r="K356" i="9"/>
  <c r="L356" i="9"/>
  <c r="M356" i="9"/>
  <c r="N356" i="9" s="1"/>
  <c r="K357" i="9"/>
  <c r="L357" i="9"/>
  <c r="M357" i="9"/>
  <c r="N357" i="9" s="1"/>
  <c r="N358" i="9"/>
  <c r="N360" i="9"/>
  <c r="K361" i="9"/>
  <c r="L361" i="9"/>
  <c r="M361" i="9" s="1"/>
  <c r="N361" i="9"/>
  <c r="K362" i="9"/>
  <c r="L362" i="9"/>
  <c r="M362" i="9" s="1"/>
  <c r="N362" i="9" s="1"/>
  <c r="K363" i="9"/>
  <c r="L363" i="9"/>
  <c r="M363" i="9" s="1"/>
  <c r="N363" i="9"/>
  <c r="N367" i="9"/>
  <c r="K369" i="9"/>
  <c r="L369" i="9"/>
  <c r="M369" i="9"/>
  <c r="N369" i="9" s="1"/>
  <c r="N370" i="9"/>
  <c r="K371" i="9"/>
  <c r="L371" i="9"/>
  <c r="M371" i="9" s="1"/>
  <c r="N371" i="9" s="1"/>
  <c r="K372" i="9"/>
  <c r="L372" i="9"/>
  <c r="M372" i="9" s="1"/>
  <c r="N372" i="9"/>
  <c r="K373" i="9"/>
  <c r="L373" i="9"/>
  <c r="M373" i="9" s="1"/>
  <c r="N373" i="9" s="1"/>
  <c r="N375" i="9"/>
  <c r="N377" i="9"/>
  <c r="K378" i="9"/>
  <c r="L378" i="9"/>
  <c r="M378" i="9" s="1"/>
  <c r="N378" i="9"/>
  <c r="N380" i="9"/>
  <c r="N382" i="9"/>
  <c r="K384" i="9"/>
  <c r="L384" i="9"/>
  <c r="M384" i="9"/>
  <c r="N384" i="9" s="1"/>
  <c r="K385" i="9"/>
  <c r="L385" i="9"/>
  <c r="M385" i="9"/>
  <c r="N385" i="9" s="1"/>
  <c r="N388" i="9"/>
  <c r="N392" i="9"/>
  <c r="K393" i="9"/>
  <c r="L393" i="9"/>
  <c r="M393" i="9" s="1"/>
  <c r="N393" i="9" s="1"/>
  <c r="K394" i="9"/>
  <c r="L394" i="9"/>
  <c r="M394" i="9" s="1"/>
  <c r="N394" i="9"/>
  <c r="N396" i="9"/>
  <c r="N398" i="9"/>
  <c r="N400" i="9"/>
  <c r="K401" i="9"/>
  <c r="L401" i="9"/>
  <c r="M401" i="9" s="1"/>
  <c r="N401" i="9"/>
  <c r="K402" i="9"/>
  <c r="L402" i="9"/>
  <c r="M402" i="9" s="1"/>
  <c r="N402" i="9" s="1"/>
  <c r="N404" i="9"/>
  <c r="N406" i="9"/>
  <c r="N408" i="9"/>
  <c r="K410" i="9"/>
  <c r="L410" i="9"/>
  <c r="M410" i="9"/>
  <c r="N410" i="9" s="1"/>
  <c r="N411" i="9"/>
  <c r="N413" i="9"/>
  <c r="N415" i="9"/>
  <c r="K417" i="9"/>
  <c r="L417" i="9"/>
  <c r="M417" i="9"/>
  <c r="N417" i="9" s="1"/>
  <c r="K418" i="9"/>
  <c r="L418" i="9"/>
  <c r="M418" i="9"/>
  <c r="N418" i="9" s="1"/>
  <c r="K419" i="9"/>
  <c r="L419" i="9"/>
  <c r="M419" i="9"/>
  <c r="N419" i="9" s="1"/>
  <c r="N420" i="9"/>
  <c r="K421" i="9"/>
  <c r="L421" i="9"/>
  <c r="M421" i="9" s="1"/>
  <c r="N421" i="9" s="1"/>
  <c r="N423" i="9"/>
  <c r="K425" i="9"/>
  <c r="L425" i="9"/>
  <c r="M425" i="9"/>
  <c r="N425" i="9" s="1"/>
  <c r="N426" i="9"/>
  <c r="N428" i="9"/>
  <c r="K429" i="9"/>
  <c r="L429" i="9"/>
  <c r="M429" i="9" s="1"/>
  <c r="N429" i="9"/>
  <c r="K430" i="9"/>
  <c r="L430" i="9"/>
  <c r="M430" i="9" s="1"/>
  <c r="N430" i="9" s="1"/>
  <c r="K431" i="9"/>
  <c r="L431" i="9"/>
  <c r="M431" i="9" s="1"/>
  <c r="N431" i="9"/>
  <c r="K433" i="9"/>
  <c r="L433" i="9"/>
  <c r="M433" i="9"/>
  <c r="N433" i="9" s="1"/>
  <c r="K434" i="9"/>
  <c r="L434" i="9"/>
  <c r="M434" i="9"/>
  <c r="N434" i="9" s="1"/>
  <c r="K435" i="9"/>
  <c r="L435" i="9"/>
  <c r="M435" i="9"/>
  <c r="N435" i="9" s="1"/>
  <c r="N436" i="9"/>
  <c r="K437" i="9"/>
  <c r="L437" i="9"/>
  <c r="M437" i="9" s="1"/>
  <c r="N437" i="9" s="1"/>
  <c r="K439" i="9"/>
  <c r="L439" i="9"/>
  <c r="M439" i="9"/>
  <c r="N439" i="9" s="1"/>
  <c r="N440" i="9"/>
  <c r="N442" i="9"/>
  <c r="K444" i="9"/>
  <c r="L444" i="9"/>
  <c r="M444" i="9"/>
  <c r="N444" i="9" s="1"/>
  <c r="N445" i="9"/>
  <c r="N447" i="9"/>
  <c r="N449" i="9"/>
  <c r="N451" i="9"/>
  <c r="F36" i="10"/>
  <c r="K220" i="9"/>
  <c r="L220" i="9"/>
  <c r="M220" i="9" s="1"/>
  <c r="N220" i="9" s="1"/>
  <c r="K221" i="9"/>
  <c r="L221" i="9"/>
  <c r="M221" i="9" s="1"/>
  <c r="N221" i="9"/>
  <c r="N222" i="9"/>
  <c r="N223" i="9"/>
  <c r="N225" i="9"/>
  <c r="N227" i="9"/>
  <c r="K229" i="9"/>
  <c r="L229" i="9"/>
  <c r="M229" i="9"/>
  <c r="N229" i="9" s="1"/>
  <c r="N230" i="9"/>
  <c r="K231" i="9"/>
  <c r="L231" i="9"/>
  <c r="M231" i="9" s="1"/>
  <c r="N231" i="9" s="1"/>
  <c r="N233" i="9"/>
  <c r="K234" i="9"/>
  <c r="L234" i="9"/>
  <c r="M234" i="9" s="1"/>
  <c r="N234" i="9" s="1"/>
  <c r="N235" i="9"/>
  <c r="N236" i="9"/>
  <c r="N238" i="9"/>
  <c r="K240" i="9"/>
  <c r="L240" i="9"/>
  <c r="M240" i="9"/>
  <c r="N240" i="9" s="1"/>
  <c r="N241" i="9"/>
  <c r="K244" i="9"/>
  <c r="L244" i="9"/>
  <c r="M244" i="9" s="1"/>
  <c r="N244" i="9"/>
  <c r="N245" i="9"/>
  <c r="N246" i="9"/>
  <c r="N248" i="9"/>
  <c r="N249" i="9"/>
  <c r="N250" i="9"/>
  <c r="K251" i="9"/>
  <c r="L251" i="9"/>
  <c r="M251" i="9" s="1"/>
  <c r="N251" i="9"/>
  <c r="K252" i="9"/>
  <c r="L252" i="9"/>
  <c r="M252" i="9" s="1"/>
  <c r="N252" i="9" s="1"/>
  <c r="N254" i="9"/>
  <c r="K256" i="9"/>
  <c r="L256" i="9"/>
  <c r="M256" i="9"/>
  <c r="N256" i="9" s="1"/>
  <c r="N257" i="9"/>
  <c r="N259" i="9"/>
  <c r="N261" i="9"/>
  <c r="N263" i="9"/>
  <c r="N265" i="9"/>
  <c r="N267" i="9"/>
  <c r="N269" i="9"/>
  <c r="K270" i="9"/>
  <c r="L270" i="9"/>
  <c r="M270" i="9" s="1"/>
  <c r="N270" i="9" s="1"/>
  <c r="N272" i="9"/>
  <c r="N276" i="9"/>
  <c r="N277" i="9"/>
  <c r="K278" i="9"/>
  <c r="L278" i="9"/>
  <c r="M278" i="9"/>
  <c r="N278" i="9" s="1"/>
  <c r="K279" i="9"/>
  <c r="L279" i="9"/>
  <c r="M279" i="9"/>
  <c r="N279" i="9" s="1"/>
  <c r="N280" i="9"/>
  <c r="N283" i="9"/>
  <c r="N284" i="9"/>
  <c r="N285" i="9"/>
  <c r="N286" i="9"/>
  <c r="N287" i="9"/>
  <c r="N288" i="9"/>
  <c r="N290" i="9"/>
  <c r="K291" i="9"/>
  <c r="L291" i="9"/>
  <c r="M291" i="9" s="1"/>
  <c r="N291" i="9" s="1"/>
  <c r="N293" i="9"/>
  <c r="K297" i="9"/>
  <c r="L297" i="9"/>
  <c r="M297" i="9"/>
  <c r="N297" i="9" s="1"/>
  <c r="N298" i="9"/>
  <c r="K299" i="9"/>
  <c r="L299" i="9"/>
  <c r="M299" i="9" s="1"/>
  <c r="N299" i="9"/>
  <c r="N300" i="9"/>
  <c r="N301" i="9"/>
  <c r="M3" i="8"/>
  <c r="M4" i="8"/>
  <c r="M5" i="8"/>
  <c r="M6" i="8"/>
  <c r="M7" i="8"/>
  <c r="M8" i="8"/>
  <c r="M9" i="8"/>
  <c r="M10" i="8"/>
  <c r="M11" i="8"/>
  <c r="M12" i="8"/>
  <c r="M13" i="8"/>
  <c r="M14" i="8"/>
  <c r="M15" i="8"/>
  <c r="M16" i="8"/>
  <c r="M17" i="8"/>
  <c r="M18" i="8"/>
  <c r="M19" i="8"/>
  <c r="M20" i="8"/>
  <c r="M21" i="8"/>
  <c r="M22" i="8"/>
  <c r="M23" i="8"/>
  <c r="M24" i="8"/>
  <c r="M25" i="8"/>
  <c r="M26" i="8"/>
  <c r="M27" i="8"/>
  <c r="M28" i="8"/>
  <c r="M29" i="8"/>
  <c r="M30" i="8"/>
  <c r="L23" i="9"/>
  <c r="H53" i="8"/>
  <c r="K2" i="9"/>
  <c r="L2" i="9"/>
  <c r="M2" i="9"/>
  <c r="N2" i="9" s="1"/>
  <c r="K3" i="9"/>
  <c r="L3" i="9"/>
  <c r="M3" i="9"/>
  <c r="N3" i="9" s="1"/>
  <c r="N4" i="9"/>
  <c r="K5" i="9"/>
  <c r="L5" i="9"/>
  <c r="M5" i="9" s="1"/>
  <c r="N5" i="9"/>
  <c r="K6" i="9"/>
  <c r="L6" i="9"/>
  <c r="M6" i="9" s="1"/>
  <c r="N6" i="9" s="1"/>
  <c r="N8" i="9"/>
  <c r="K10" i="9"/>
  <c r="L10" i="9"/>
  <c r="M10" i="9"/>
  <c r="N10" i="9" s="1"/>
  <c r="N11" i="9"/>
  <c r="K12" i="9"/>
  <c r="L12" i="9"/>
  <c r="M12" i="9" s="1"/>
  <c r="N12" i="9" s="1"/>
  <c r="K13" i="9"/>
  <c r="L13" i="9"/>
  <c r="M13" i="9" s="1"/>
  <c r="N13" i="9"/>
  <c r="K15" i="9"/>
  <c r="L15" i="9"/>
  <c r="M15" i="9"/>
  <c r="N15" i="9" s="1"/>
  <c r="N16" i="9"/>
  <c r="N18" i="9"/>
  <c r="K20" i="9"/>
  <c r="L20" i="9"/>
  <c r="M20" i="9"/>
  <c r="N20" i="9" s="1"/>
  <c r="K21" i="9"/>
  <c r="L21" i="9"/>
  <c r="M21" i="9"/>
  <c r="N21" i="9" s="1"/>
  <c r="K22" i="9"/>
  <c r="L22" i="9"/>
  <c r="M22" i="9"/>
  <c r="N22" i="9" s="1"/>
  <c r="K23" i="9"/>
  <c r="K24" i="9"/>
  <c r="L24" i="9"/>
  <c r="M24" i="9" s="1"/>
  <c r="N24" i="9" s="1"/>
  <c r="K25" i="9"/>
  <c r="L25" i="9"/>
  <c r="M25" i="9" s="1"/>
  <c r="N25" i="9"/>
  <c r="K26" i="9"/>
  <c r="L26" i="9"/>
  <c r="M26" i="9" s="1"/>
  <c r="N26" i="9" s="1"/>
  <c r="N28" i="9"/>
  <c r="N30" i="9"/>
  <c r="K32" i="9"/>
  <c r="L32" i="9"/>
  <c r="M32" i="9"/>
  <c r="N32" i="9" s="1"/>
  <c r="K33" i="9"/>
  <c r="L33" i="9"/>
  <c r="M33" i="9"/>
  <c r="N33" i="9" s="1"/>
  <c r="K34" i="9"/>
  <c r="L34" i="9"/>
  <c r="M34" i="9"/>
  <c r="N34" i="9" s="1"/>
  <c r="K35" i="9"/>
  <c r="L35" i="9"/>
  <c r="M35" i="9"/>
  <c r="N35" i="9" s="1"/>
  <c r="K36" i="9"/>
  <c r="L36" i="9"/>
  <c r="M36" i="9"/>
  <c r="N36" i="9" s="1"/>
  <c r="N37" i="9"/>
  <c r="N38" i="9"/>
  <c r="N39" i="9"/>
  <c r="L40" i="9"/>
  <c r="K40" i="9"/>
  <c r="M40" i="9" s="1"/>
  <c r="N40" i="9"/>
  <c r="L41" i="9"/>
  <c r="K41" i="9"/>
  <c r="M41" i="9" s="1"/>
  <c r="N41" i="9" s="1"/>
  <c r="L42" i="9"/>
  <c r="K42" i="9"/>
  <c r="M42" i="9" s="1"/>
  <c r="N42" i="9"/>
  <c r="L44" i="9"/>
  <c r="K44" i="9"/>
  <c r="M44" i="9"/>
  <c r="N44" i="9" s="1"/>
  <c r="N45" i="9"/>
  <c r="N47" i="9"/>
  <c r="N49" i="9"/>
  <c r="L51" i="9"/>
  <c r="K51" i="9"/>
  <c r="M51" i="9"/>
  <c r="N51" i="9" s="1"/>
  <c r="L52" i="9"/>
  <c r="K52" i="9"/>
  <c r="M52" i="9"/>
  <c r="N52" i="9" s="1"/>
  <c r="N53" i="9"/>
  <c r="L54" i="9"/>
  <c r="K54" i="9"/>
  <c r="M54" i="9" s="1"/>
  <c r="N54" i="9"/>
  <c r="L55" i="9"/>
  <c r="K55" i="9"/>
  <c r="M55" i="9" s="1"/>
  <c r="N55" i="9" s="1"/>
  <c r="N57" i="9"/>
  <c r="L59" i="9"/>
  <c r="K59" i="9"/>
  <c r="M59" i="9"/>
  <c r="N59" i="9" s="1"/>
  <c r="L60" i="9"/>
  <c r="K60" i="9"/>
  <c r="M60" i="9"/>
  <c r="N60" i="9" s="1"/>
  <c r="N61" i="9"/>
  <c r="N63" i="9"/>
  <c r="L64" i="9"/>
  <c r="K64" i="9"/>
  <c r="M64" i="9" s="1"/>
  <c r="N64" i="9" s="1"/>
  <c r="N66" i="9"/>
  <c r="L67" i="9"/>
  <c r="K67" i="9"/>
  <c r="M67" i="9" s="1"/>
  <c r="N67" i="9" s="1"/>
  <c r="L68" i="9"/>
  <c r="K68" i="9"/>
  <c r="M68" i="9" s="1"/>
  <c r="N68" i="9"/>
  <c r="L69" i="9"/>
  <c r="K69" i="9"/>
  <c r="M69" i="9" s="1"/>
  <c r="N69" i="9" s="1"/>
  <c r="L70" i="9"/>
  <c r="K70" i="9"/>
  <c r="M70" i="9" s="1"/>
  <c r="N70" i="9"/>
  <c r="L71" i="9"/>
  <c r="K71" i="9"/>
  <c r="M71" i="9" s="1"/>
  <c r="N71" i="9" s="1"/>
  <c r="L72" i="9"/>
  <c r="K72" i="9"/>
  <c r="M72" i="9" s="1"/>
  <c r="N72" i="9"/>
  <c r="L73" i="9"/>
  <c r="K73" i="9"/>
  <c r="M73" i="9" s="1"/>
  <c r="N73" i="9" s="1"/>
  <c r="L74" i="9"/>
  <c r="K74" i="9"/>
  <c r="M74" i="9" s="1"/>
  <c r="N74" i="9"/>
  <c r="N75" i="9"/>
  <c r="N76" i="9"/>
  <c r="L77" i="9"/>
  <c r="K77" i="9"/>
  <c r="M77" i="9" s="1"/>
  <c r="N77" i="9" s="1"/>
  <c r="L78" i="9"/>
  <c r="K78" i="9"/>
  <c r="M78" i="9" s="1"/>
  <c r="N78" i="9"/>
  <c r="N82" i="9"/>
  <c r="L84" i="9"/>
  <c r="K84" i="9"/>
  <c r="M84" i="9"/>
  <c r="N84" i="9" s="1"/>
  <c r="N85" i="9"/>
  <c r="N87" i="9"/>
  <c r="L88" i="9"/>
  <c r="K88" i="9"/>
  <c r="M88" i="9" s="1"/>
  <c r="N88" i="9"/>
  <c r="N90" i="9"/>
  <c r="L91" i="9"/>
  <c r="K91" i="9"/>
  <c r="M91" i="9" s="1"/>
  <c r="N91" i="9"/>
  <c r="L93" i="9"/>
  <c r="K93" i="9"/>
  <c r="M93" i="9"/>
  <c r="N93" i="9" s="1"/>
  <c r="N94" i="9"/>
  <c r="L95" i="9"/>
  <c r="K95" i="9"/>
  <c r="M95" i="9" s="1"/>
  <c r="N95" i="9" s="1"/>
  <c r="L96" i="9"/>
  <c r="K96" i="9"/>
  <c r="M96" i="9" s="1"/>
  <c r="N96" i="9"/>
  <c r="L97" i="9"/>
  <c r="K97" i="9"/>
  <c r="M97" i="9" s="1"/>
  <c r="N97" i="9" s="1"/>
  <c r="N99" i="9"/>
  <c r="L100" i="9"/>
  <c r="K100" i="9"/>
  <c r="M100" i="9" s="1"/>
  <c r="N100" i="9" s="1"/>
  <c r="L102" i="9"/>
  <c r="K102" i="9"/>
  <c r="M102" i="9"/>
  <c r="N102" i="9" s="1"/>
  <c r="N103" i="9"/>
  <c r="N105" i="9"/>
  <c r="L106" i="9"/>
  <c r="K106" i="9"/>
  <c r="M106" i="9" s="1"/>
  <c r="N106" i="9" s="1"/>
  <c r="N107" i="9"/>
  <c r="N108" i="9"/>
  <c r="L110" i="9"/>
  <c r="K110" i="9"/>
  <c r="M110" i="9"/>
  <c r="N110" i="9" s="1"/>
  <c r="N111" i="9"/>
  <c r="L112" i="9"/>
  <c r="K112" i="9"/>
  <c r="M112" i="9" s="1"/>
  <c r="N112" i="9"/>
  <c r="L114" i="9"/>
  <c r="K114" i="9"/>
  <c r="M114" i="9"/>
  <c r="N114" i="9" s="1"/>
  <c r="N115" i="9"/>
  <c r="L117" i="9"/>
  <c r="K117" i="9"/>
  <c r="M117" i="9"/>
  <c r="N117" i="9" s="1"/>
  <c r="P45" i="9"/>
  <c r="R45" i="9"/>
  <c r="P47" i="9"/>
  <c r="R47" i="9"/>
  <c r="T47" i="9"/>
  <c r="K118" i="9"/>
  <c r="L118" i="9"/>
  <c r="M118" i="9"/>
  <c r="N118" i="9" s="1"/>
  <c r="N119" i="9"/>
  <c r="K121" i="9"/>
  <c r="L121" i="9"/>
  <c r="M121" i="9"/>
  <c r="N121" i="9" s="1"/>
  <c r="N122" i="9"/>
  <c r="K124" i="9"/>
  <c r="L124" i="9"/>
  <c r="M124" i="9"/>
  <c r="N124" i="9" s="1"/>
  <c r="N125" i="9"/>
  <c r="N127" i="9"/>
  <c r="N129" i="9"/>
  <c r="K130" i="9"/>
  <c r="L130" i="9"/>
  <c r="M130" i="9" s="1"/>
  <c r="N130" i="9" s="1"/>
  <c r="K131" i="9"/>
  <c r="L131" i="9"/>
  <c r="M131" i="9" s="1"/>
  <c r="N131" i="9"/>
  <c r="K133" i="9"/>
  <c r="L133" i="9"/>
  <c r="M133" i="9"/>
  <c r="N133" i="9" s="1"/>
  <c r="K134" i="9"/>
  <c r="L134" i="9"/>
  <c r="M134" i="9"/>
  <c r="N134" i="9" s="1"/>
  <c r="N135" i="9"/>
  <c r="K136" i="9"/>
  <c r="L136" i="9"/>
  <c r="M136" i="9" s="1"/>
  <c r="N136" i="9"/>
  <c r="K137" i="9"/>
  <c r="L137" i="9"/>
  <c r="M137" i="9" s="1"/>
  <c r="N137" i="9" s="1"/>
  <c r="N139" i="9"/>
  <c r="K140" i="9"/>
  <c r="L140" i="9"/>
  <c r="M140" i="9" s="1"/>
  <c r="N140" i="9" s="1"/>
  <c r="K141" i="9"/>
  <c r="L141" i="9"/>
  <c r="M141" i="9" s="1"/>
  <c r="N141" i="9"/>
  <c r="K142" i="9"/>
  <c r="L142" i="9"/>
  <c r="M142" i="9" s="1"/>
  <c r="N142" i="9" s="1"/>
  <c r="K143" i="9"/>
  <c r="L143" i="9"/>
  <c r="M143" i="9" s="1"/>
  <c r="N143" i="9"/>
  <c r="K144" i="9"/>
  <c r="L144" i="9"/>
  <c r="M144" i="9" s="1"/>
  <c r="N144" i="9" s="1"/>
  <c r="K146" i="9"/>
  <c r="L146" i="9"/>
  <c r="M146" i="9"/>
  <c r="N146" i="9" s="1"/>
  <c r="K147" i="9"/>
  <c r="L147" i="9"/>
  <c r="M147" i="9"/>
  <c r="N147" i="9" s="1"/>
  <c r="K148" i="9"/>
  <c r="L148" i="9"/>
  <c r="M148" i="9"/>
  <c r="N148" i="9" s="1"/>
  <c r="K149" i="9"/>
  <c r="L149" i="9"/>
  <c r="M149" i="9"/>
  <c r="N149" i="9" s="1"/>
  <c r="N150" i="9"/>
  <c r="N151" i="9"/>
  <c r="K152" i="9"/>
  <c r="L152" i="9"/>
  <c r="M152" i="9"/>
  <c r="N152" i="9" s="1"/>
  <c r="N153" i="9"/>
  <c r="N154" i="9"/>
  <c r="K155" i="9"/>
  <c r="L155" i="9"/>
  <c r="M155" i="9"/>
  <c r="N155" i="9" s="1"/>
  <c r="N156" i="9"/>
  <c r="K157" i="9"/>
  <c r="L157" i="9"/>
  <c r="M157" i="9" s="1"/>
  <c r="N157" i="9" s="1"/>
  <c r="K158" i="9"/>
  <c r="L158" i="9"/>
  <c r="M158" i="9" s="1"/>
  <c r="N158" i="9"/>
  <c r="N159" i="9"/>
  <c r="N160" i="9"/>
  <c r="N161" i="9"/>
  <c r="N162" i="9"/>
  <c r="K163" i="9"/>
  <c r="L163" i="9"/>
  <c r="M163" i="9" s="1"/>
  <c r="N163" i="9" s="1"/>
  <c r="N164" i="9"/>
  <c r="K165" i="9"/>
  <c r="L165" i="9"/>
  <c r="M165" i="9"/>
  <c r="N165" i="9" s="1"/>
  <c r="N166" i="9"/>
  <c r="N167" i="9"/>
  <c r="N168" i="9"/>
  <c r="N169" i="9"/>
  <c r="N170" i="9"/>
  <c r="N171" i="9"/>
  <c r="N172" i="9"/>
  <c r="N173" i="9"/>
  <c r="N174" i="9"/>
  <c r="N175" i="9"/>
  <c r="N176" i="9"/>
  <c r="N177" i="9"/>
  <c r="K178" i="9"/>
  <c r="L178" i="9"/>
  <c r="M178" i="9"/>
  <c r="N178" i="9" s="1"/>
  <c r="K179" i="9"/>
  <c r="L179" i="9"/>
  <c r="M179" i="9"/>
  <c r="N179" i="9" s="1"/>
  <c r="K180" i="9"/>
  <c r="L180" i="9"/>
  <c r="M180" i="9"/>
  <c r="N180" i="9" s="1"/>
  <c r="N181" i="9"/>
  <c r="N182" i="9"/>
  <c r="N183" i="9"/>
  <c r="N184" i="9"/>
  <c r="N185" i="9"/>
  <c r="N186" i="9"/>
  <c r="N187" i="9"/>
  <c r="N188" i="9"/>
  <c r="N189" i="9"/>
  <c r="N190" i="9"/>
  <c r="N191" i="9"/>
  <c r="N192" i="9"/>
  <c r="N193" i="9"/>
  <c r="K194" i="9"/>
  <c r="L194" i="9"/>
  <c r="M194" i="9" s="1"/>
  <c r="N194" i="9"/>
  <c r="N195" i="9"/>
  <c r="N196" i="9"/>
  <c r="N197" i="9"/>
  <c r="N198" i="9"/>
  <c r="N199" i="9"/>
  <c r="K200" i="9"/>
  <c r="L200" i="9"/>
  <c r="M200" i="9"/>
  <c r="N200" i="9" s="1"/>
  <c r="K201" i="9"/>
  <c r="L201" i="9"/>
  <c r="M201" i="9"/>
  <c r="N201" i="9" s="1"/>
  <c r="K202" i="9"/>
  <c r="L202" i="9"/>
  <c r="M202" i="9"/>
  <c r="N202" i="9" s="1"/>
  <c r="N203" i="9"/>
  <c r="N204" i="9"/>
  <c r="N205" i="9"/>
  <c r="N206" i="9"/>
  <c r="N207" i="9"/>
  <c r="K208" i="9"/>
  <c r="L208" i="9"/>
  <c r="M208" i="9" s="1"/>
  <c r="N208" i="9"/>
  <c r="K209" i="9"/>
  <c r="L209" i="9"/>
  <c r="M209" i="9" s="1"/>
  <c r="N209" i="9" s="1"/>
  <c r="N210" i="9"/>
  <c r="N211" i="9"/>
  <c r="N212" i="9"/>
  <c r="N213" i="9"/>
  <c r="N214" i="9"/>
  <c r="N215" i="9"/>
  <c r="N216" i="9"/>
  <c r="N217" i="9"/>
  <c r="N218" i="9"/>
  <c r="N219" i="9"/>
  <c r="E5" i="4"/>
  <c r="H5" i="4"/>
  <c r="I5" i="4"/>
  <c r="J5" i="4"/>
  <c r="H6" i="4"/>
  <c r="I6" i="4"/>
  <c r="J6" i="4"/>
  <c r="H7" i="4"/>
  <c r="I7" i="4"/>
  <c r="J7" i="4"/>
  <c r="H10" i="4"/>
  <c r="I10" i="4"/>
  <c r="J10" i="4"/>
  <c r="H11" i="4"/>
  <c r="I11" i="4"/>
  <c r="J11" i="4"/>
  <c r="E19" i="4"/>
  <c r="E20" i="4"/>
  <c r="E21" i="4"/>
  <c r="E22" i="4"/>
  <c r="E23" i="4"/>
  <c r="D24" i="4"/>
  <c r="E24" i="4" s="1"/>
  <c r="E25" i="4"/>
  <c r="E26" i="4"/>
  <c r="E27" i="4"/>
  <c r="E28" i="4"/>
  <c r="E29" i="4"/>
  <c r="E30" i="4"/>
  <c r="E31" i="4"/>
  <c r="E32" i="4"/>
  <c r="E33" i="4"/>
  <c r="F33" i="4"/>
  <c r="E34" i="4"/>
  <c r="E35" i="4"/>
  <c r="E36" i="4"/>
  <c r="E37" i="4"/>
  <c r="E38" i="4"/>
  <c r="E39" i="4"/>
  <c r="E40" i="4"/>
  <c r="D41" i="4"/>
  <c r="E41" i="4"/>
  <c r="E42" i="4"/>
  <c r="D43" i="4"/>
  <c r="E43" i="4" s="1"/>
  <c r="F43" i="4"/>
  <c r="D44" i="4"/>
  <c r="E44" i="4"/>
  <c r="F44" i="4"/>
  <c r="E45" i="4"/>
  <c r="E46" i="4"/>
  <c r="E47" i="4"/>
  <c r="D48" i="4"/>
  <c r="E48" i="4"/>
  <c r="D52" i="4"/>
  <c r="G52" i="4"/>
  <c r="H52" i="4" s="1"/>
  <c r="I52" i="4"/>
  <c r="H3" i="8"/>
  <c r="K3" i="8"/>
  <c r="L3" i="8"/>
  <c r="K31" i="8" s="1"/>
  <c r="K4" i="8"/>
  <c r="K5" i="8"/>
  <c r="K6" i="8"/>
  <c r="K7" i="8"/>
  <c r="K8" i="8"/>
  <c r="K9" i="8"/>
  <c r="K10" i="8"/>
  <c r="K11" i="8"/>
  <c r="K12" i="8"/>
  <c r="K13" i="8"/>
  <c r="K14" i="8"/>
  <c r="K15" i="8"/>
  <c r="L15" i="8"/>
  <c r="K16" i="8"/>
  <c r="K17" i="8"/>
  <c r="K18" i="8"/>
  <c r="K19" i="8"/>
  <c r="L19" i="8"/>
  <c r="K20" i="8"/>
  <c r="K21" i="8"/>
  <c r="K22" i="8"/>
  <c r="K23" i="8"/>
  <c r="K24" i="8"/>
  <c r="K25" i="8"/>
  <c r="K26" i="8"/>
  <c r="K27" i="8"/>
  <c r="L27" i="8"/>
  <c r="K28" i="8"/>
  <c r="K29" i="8"/>
  <c r="L29" i="8"/>
  <c r="K30" i="8"/>
  <c r="H40" i="8"/>
  <c r="E2" i="3"/>
  <c r="D15" i="7"/>
  <c r="H15" i="7"/>
  <c r="I15" i="7"/>
  <c r="E15" i="7"/>
  <c r="F15" i="7"/>
  <c r="E3" i="3"/>
  <c r="D16" i="7"/>
  <c r="H16" i="7"/>
  <c r="I16" i="7"/>
  <c r="E16" i="7"/>
  <c r="G3" i="3" s="1"/>
  <c r="F16" i="7"/>
  <c r="H3" i="3"/>
  <c r="K3" i="3"/>
  <c r="E4" i="3"/>
  <c r="D17" i="7"/>
  <c r="H17" i="7"/>
  <c r="I17" i="7"/>
  <c r="E17" i="7"/>
  <c r="F17" i="7"/>
  <c r="K4" i="3"/>
  <c r="E5" i="3"/>
  <c r="D18" i="7"/>
  <c r="H18" i="7"/>
  <c r="I18" i="7"/>
  <c r="E18" i="7"/>
  <c r="F18" i="7"/>
  <c r="E6" i="3"/>
  <c r="D19" i="7"/>
  <c r="H19" i="7"/>
  <c r="I19" i="7"/>
  <c r="H6" i="3" s="1"/>
  <c r="E19" i="7"/>
  <c r="F19" i="7"/>
  <c r="K6" i="3"/>
  <c r="E7" i="3"/>
  <c r="D20" i="7"/>
  <c r="H20" i="7"/>
  <c r="I20" i="7"/>
  <c r="E20" i="7"/>
  <c r="F20" i="7"/>
  <c r="K7" i="3"/>
  <c r="E8" i="3"/>
  <c r="D21" i="7"/>
  <c r="H21" i="7"/>
  <c r="I21" i="7"/>
  <c r="E21" i="7"/>
  <c r="F21" i="7"/>
  <c r="G21" i="7" s="1"/>
  <c r="I8" i="3" s="1"/>
  <c r="E9" i="3"/>
  <c r="D22" i="7"/>
  <c r="H22" i="7"/>
  <c r="I22" i="7"/>
  <c r="E22" i="7"/>
  <c r="G9" i="3" s="1"/>
  <c r="F22" i="7"/>
  <c r="H9" i="3"/>
  <c r="K9" i="3"/>
  <c r="E10" i="3"/>
  <c r="D23" i="7"/>
  <c r="H23" i="7"/>
  <c r="I23" i="7"/>
  <c r="E23" i="7"/>
  <c r="F23" i="7"/>
  <c r="K10" i="3"/>
  <c r="E11" i="3"/>
  <c r="D24" i="7"/>
  <c r="H24" i="7"/>
  <c r="I24" i="7"/>
  <c r="E24" i="7"/>
  <c r="G12" i="3" s="1"/>
  <c r="F24" i="7"/>
  <c r="K12" i="3"/>
  <c r="E13" i="3"/>
  <c r="D26" i="7"/>
  <c r="H26" i="7"/>
  <c r="I26" i="7"/>
  <c r="E26" i="7"/>
  <c r="F26" i="7"/>
  <c r="K13" i="3"/>
  <c r="E14" i="3"/>
  <c r="D27" i="7"/>
  <c r="H27" i="7"/>
  <c r="K14" i="3" s="1"/>
  <c r="I27" i="7"/>
  <c r="E27" i="7"/>
  <c r="G14" i="3"/>
  <c r="F27" i="7"/>
  <c r="E15" i="3"/>
  <c r="D28" i="7"/>
  <c r="H28" i="7"/>
  <c r="I28" i="7"/>
  <c r="E28" i="7"/>
  <c r="F28" i="7"/>
  <c r="E16" i="3"/>
  <c r="D29" i="7"/>
  <c r="H29" i="7"/>
  <c r="I29" i="7"/>
  <c r="E29" i="7"/>
  <c r="F29" i="7"/>
  <c r="K16" i="3"/>
  <c r="E17" i="3"/>
  <c r="D30" i="7"/>
  <c r="H30" i="7"/>
  <c r="I30" i="7"/>
  <c r="E30" i="7"/>
  <c r="F30" i="7"/>
  <c r="E18" i="3"/>
  <c r="D31" i="7"/>
  <c r="H31" i="7"/>
  <c r="H18" i="3" s="1"/>
  <c r="I31" i="7"/>
  <c r="E31" i="7"/>
  <c r="G18" i="3" s="1"/>
  <c r="F31" i="7"/>
  <c r="G31" i="7"/>
  <c r="I18" i="3" s="1"/>
  <c r="E19" i="3"/>
  <c r="D32" i="7"/>
  <c r="H32" i="7"/>
  <c r="I32" i="7"/>
  <c r="H19" i="3" s="1"/>
  <c r="E32" i="7"/>
  <c r="F32" i="7"/>
  <c r="K19" i="3"/>
  <c r="E20" i="3"/>
  <c r="D33" i="7"/>
  <c r="H33" i="7"/>
  <c r="I33" i="7"/>
  <c r="E33" i="7"/>
  <c r="F33" i="7"/>
  <c r="G33" i="7" s="1"/>
  <c r="I20" i="3" s="1"/>
  <c r="E21" i="3"/>
  <c r="D34" i="7"/>
  <c r="H34" i="7"/>
  <c r="I34" i="7"/>
  <c r="E34" i="7"/>
  <c r="F34" i="7"/>
  <c r="G34" i="7" s="1"/>
  <c r="I21" i="3" s="1"/>
  <c r="E22" i="3"/>
  <c r="D35" i="7"/>
  <c r="H35" i="7"/>
  <c r="K22" i="3" s="1"/>
  <c r="I35" i="7"/>
  <c r="F22" i="3"/>
  <c r="E35" i="7"/>
  <c r="F35" i="7"/>
  <c r="H22" i="3" s="1"/>
  <c r="G35" i="7"/>
  <c r="I22" i="3" s="1"/>
  <c r="M22" i="3"/>
  <c r="E23" i="3"/>
  <c r="D36" i="7"/>
  <c r="H36" i="7"/>
  <c r="I36" i="7"/>
  <c r="E36" i="7"/>
  <c r="F36" i="7"/>
  <c r="K23" i="3"/>
  <c r="E24" i="3"/>
  <c r="D37" i="7"/>
  <c r="H37" i="7"/>
  <c r="H24" i="3" s="1"/>
  <c r="I37" i="7"/>
  <c r="E37" i="7"/>
  <c r="G24" i="3" s="1"/>
  <c r="F37" i="7"/>
  <c r="E25" i="3"/>
  <c r="D38" i="7"/>
  <c r="H38" i="7"/>
  <c r="K25" i="3" s="1"/>
  <c r="I38" i="7"/>
  <c r="F25" i="3"/>
  <c r="E38" i="7"/>
  <c r="F38" i="7"/>
  <c r="H25" i="3" s="1"/>
  <c r="G38" i="7"/>
  <c r="I25" i="3" s="1"/>
  <c r="M25" i="3"/>
  <c r="E26" i="3"/>
  <c r="D39" i="7"/>
  <c r="H39" i="7"/>
  <c r="I39" i="7"/>
  <c r="E39" i="7"/>
  <c r="F39" i="7"/>
  <c r="K26" i="3"/>
  <c r="E27" i="3"/>
  <c r="D40" i="7"/>
  <c r="H40" i="7"/>
  <c r="K27" i="3" s="1"/>
  <c r="I40" i="7"/>
  <c r="E40" i="7"/>
  <c r="G27" i="3" s="1"/>
  <c r="F40" i="7"/>
  <c r="G40" i="7" s="1"/>
  <c r="I27" i="3" s="1"/>
  <c r="E28" i="3"/>
  <c r="D41" i="7"/>
  <c r="H41" i="7"/>
  <c r="K28" i="3" s="1"/>
  <c r="I41" i="7"/>
  <c r="F28" i="3"/>
  <c r="E41" i="7"/>
  <c r="F41" i="7"/>
  <c r="H28" i="3" s="1"/>
  <c r="G41" i="7"/>
  <c r="I28" i="3" s="1"/>
  <c r="M28" i="3"/>
  <c r="E29" i="3"/>
  <c r="D42" i="7"/>
  <c r="H42" i="7"/>
  <c r="I42" i="7"/>
  <c r="E42" i="7"/>
  <c r="F42" i="7"/>
  <c r="K29" i="3"/>
  <c r="O29" i="3"/>
  <c r="E30" i="3"/>
  <c r="D43" i="7"/>
  <c r="H43" i="7"/>
  <c r="I43" i="7"/>
  <c r="E43" i="7"/>
  <c r="F43" i="7"/>
  <c r="H44" i="7"/>
  <c r="K31" i="3" s="1"/>
  <c r="D44" i="7"/>
  <c r="I44" i="7"/>
  <c r="F31" i="3"/>
  <c r="E44" i="7"/>
  <c r="G31" i="3" s="1"/>
  <c r="F44" i="7"/>
  <c r="G44" i="7" s="1"/>
  <c r="I31" i="3" s="1"/>
  <c r="E31" i="3"/>
  <c r="H45" i="7"/>
  <c r="D45" i="7"/>
  <c r="I45" i="7"/>
  <c r="E45" i="7"/>
  <c r="F45" i="7"/>
  <c r="G45" i="7"/>
  <c r="E32" i="3"/>
  <c r="H46" i="7"/>
  <c r="D46" i="7"/>
  <c r="I46" i="7"/>
  <c r="H33" i="3" s="1"/>
  <c r="E46" i="7"/>
  <c r="F46" i="7"/>
  <c r="E33" i="3"/>
  <c r="H47" i="7"/>
  <c r="D47" i="7"/>
  <c r="I47" i="7"/>
  <c r="E47" i="7"/>
  <c r="G34" i="3" s="1"/>
  <c r="F47" i="7"/>
  <c r="H34" i="3"/>
  <c r="E34" i="3"/>
  <c r="H48" i="7"/>
  <c r="D48" i="7"/>
  <c r="I48" i="7"/>
  <c r="F35" i="3" s="1"/>
  <c r="E48" i="7"/>
  <c r="F48" i="7"/>
  <c r="E35" i="3"/>
  <c r="H49" i="7"/>
  <c r="D49" i="7"/>
  <c r="I49" i="7"/>
  <c r="F36" i="3" s="1"/>
  <c r="E49" i="7"/>
  <c r="F49" i="7"/>
  <c r="E36" i="3"/>
  <c r="H50" i="7"/>
  <c r="D50" i="7"/>
  <c r="I50" i="7"/>
  <c r="F37" i="3" s="1"/>
  <c r="E50" i="7"/>
  <c r="F50" i="7"/>
  <c r="E37" i="3"/>
  <c r="H51" i="7"/>
  <c r="D51" i="7"/>
  <c r="I51" i="7"/>
  <c r="F38" i="3" s="1"/>
  <c r="E51" i="7"/>
  <c r="F51" i="7"/>
  <c r="E38" i="3"/>
  <c r="H52" i="7"/>
  <c r="D52" i="7"/>
  <c r="I52" i="7"/>
  <c r="F39" i="3" s="1"/>
  <c r="E52" i="7"/>
  <c r="F52" i="7"/>
  <c r="E39" i="3"/>
  <c r="H53" i="7"/>
  <c r="D53" i="7"/>
  <c r="I53" i="7"/>
  <c r="F40" i="3" s="1"/>
  <c r="E53" i="7"/>
  <c r="G42" i="3" s="1"/>
  <c r="F53" i="7"/>
  <c r="E40" i="3"/>
  <c r="H54" i="7"/>
  <c r="D54" i="7"/>
  <c r="I54" i="7"/>
  <c r="F41" i="3" s="1"/>
  <c r="E54" i="7"/>
  <c r="F54" i="7"/>
  <c r="E41" i="3"/>
  <c r="K42" i="3"/>
  <c r="H56" i="7"/>
  <c r="K43" i="3"/>
  <c r="D56" i="7"/>
  <c r="I56" i="7"/>
  <c r="E56" i="7"/>
  <c r="G43" i="3"/>
  <c r="F56" i="7"/>
  <c r="G56" i="7" s="1"/>
  <c r="I43" i="3"/>
  <c r="E43" i="3"/>
  <c r="H57" i="7"/>
  <c r="K44" i="3" s="1"/>
  <c r="D57" i="7"/>
  <c r="F44" i="3" s="1"/>
  <c r="I57" i="7"/>
  <c r="E57" i="7"/>
  <c r="F57" i="7"/>
  <c r="H44" i="3"/>
  <c r="E44" i="3"/>
  <c r="H58" i="7"/>
  <c r="K45" i="3" s="1"/>
  <c r="D58" i="7"/>
  <c r="F45" i="3" s="1"/>
  <c r="I58" i="7"/>
  <c r="E58" i="7"/>
  <c r="G45" i="3" s="1"/>
  <c r="F58" i="7"/>
  <c r="H45" i="3"/>
  <c r="E45" i="3"/>
  <c r="H59" i="7"/>
  <c r="K46" i="3"/>
  <c r="D59" i="7"/>
  <c r="I59" i="7"/>
  <c r="E59" i="7"/>
  <c r="F59" i="7"/>
  <c r="H46" i="3" s="1"/>
  <c r="E46" i="3"/>
  <c r="H60" i="7"/>
  <c r="K47" i="3"/>
  <c r="D60" i="7"/>
  <c r="I60" i="7"/>
  <c r="E60" i="7"/>
  <c r="F60" i="7"/>
  <c r="H47" i="3" s="1"/>
  <c r="G60" i="7"/>
  <c r="I47" i="3" s="1"/>
  <c r="E47" i="3"/>
  <c r="H61" i="7"/>
  <c r="D61" i="7"/>
  <c r="I61" i="7"/>
  <c r="E61" i="7"/>
  <c r="F61" i="7"/>
  <c r="H48" i="3" s="1"/>
  <c r="G61" i="7"/>
  <c r="E48" i="3"/>
  <c r="H62" i="7"/>
  <c r="K49" i="3" s="1"/>
  <c r="D62" i="7"/>
  <c r="I62" i="7"/>
  <c r="E62" i="7"/>
  <c r="G49" i="3" s="1"/>
  <c r="F62" i="7"/>
  <c r="H49" i="3"/>
  <c r="E49" i="3"/>
  <c r="K50" i="3"/>
  <c r="H64" i="7"/>
  <c r="D64" i="7"/>
  <c r="I64" i="7"/>
  <c r="F51" i="3" s="1"/>
  <c r="E64" i="7"/>
  <c r="F64" i="7"/>
  <c r="E51" i="3"/>
  <c r="H65" i="7"/>
  <c r="K52" i="3" s="1"/>
  <c r="D65" i="7"/>
  <c r="F52" i="3" s="1"/>
  <c r="I65" i="7"/>
  <c r="E65" i="7"/>
  <c r="G52" i="3" s="1"/>
  <c r="F65" i="7"/>
  <c r="G65" i="7" s="1"/>
  <c r="I52" i="3" s="1"/>
  <c r="E52" i="3"/>
  <c r="H66" i="7"/>
  <c r="K53" i="3"/>
  <c r="D66" i="7"/>
  <c r="I66" i="7"/>
  <c r="E66" i="7"/>
  <c r="G53" i="3"/>
  <c r="F66" i="7"/>
  <c r="G66" i="7" s="1"/>
  <c r="E53" i="3"/>
  <c r="H67" i="7"/>
  <c r="K54" i="3"/>
  <c r="D67" i="7"/>
  <c r="I67" i="7"/>
  <c r="E67" i="7"/>
  <c r="G54" i="3"/>
  <c r="F67" i="7"/>
  <c r="G67" i="7" s="1"/>
  <c r="I54" i="3"/>
  <c r="E54" i="3"/>
  <c r="H68" i="7"/>
  <c r="K55" i="3" s="1"/>
  <c r="D68" i="7"/>
  <c r="F55" i="3" s="1"/>
  <c r="I68" i="7"/>
  <c r="E68" i="7"/>
  <c r="G55" i="3" s="1"/>
  <c r="F68" i="7"/>
  <c r="G68" i="7" s="1"/>
  <c r="I55" i="3" s="1"/>
  <c r="E55" i="3"/>
  <c r="H69" i="7"/>
  <c r="K56" i="3" s="1"/>
  <c r="D69" i="7"/>
  <c r="F56" i="3" s="1"/>
  <c r="I69" i="7"/>
  <c r="E69" i="7"/>
  <c r="G56" i="3" s="1"/>
  <c r="F69" i="7"/>
  <c r="G69" i="7" s="1"/>
  <c r="I56" i="3" s="1"/>
  <c r="E56" i="3"/>
  <c r="H70" i="7"/>
  <c r="K57" i="3"/>
  <c r="D70" i="7"/>
  <c r="I70" i="7"/>
  <c r="E70" i="7"/>
  <c r="G57" i="3"/>
  <c r="F70" i="7"/>
  <c r="G70" i="7" s="1"/>
  <c r="E57" i="3"/>
  <c r="H71" i="7"/>
  <c r="K58" i="3"/>
  <c r="D71" i="7"/>
  <c r="I71" i="7"/>
  <c r="E71" i="7"/>
  <c r="G58" i="3"/>
  <c r="F71" i="7"/>
  <c r="G71" i="7" s="1"/>
  <c r="I58" i="3"/>
  <c r="E58" i="3"/>
  <c r="H72" i="7"/>
  <c r="K59" i="3" s="1"/>
  <c r="D72" i="7"/>
  <c r="F59" i="3" s="1"/>
  <c r="I72" i="7"/>
  <c r="E72" i="7"/>
  <c r="G59" i="3" s="1"/>
  <c r="F72" i="7"/>
  <c r="G72" i="7" s="1"/>
  <c r="I59" i="3" s="1"/>
  <c r="E59" i="3"/>
  <c r="H73" i="7"/>
  <c r="K60" i="3" s="1"/>
  <c r="D73" i="7"/>
  <c r="F60" i="3" s="1"/>
  <c r="I73" i="7"/>
  <c r="E73" i="7"/>
  <c r="G60" i="3" s="1"/>
  <c r="F73" i="7"/>
  <c r="G73" i="7" s="1"/>
  <c r="I60" i="3" s="1"/>
  <c r="E60" i="3"/>
  <c r="H74" i="7"/>
  <c r="K61" i="3"/>
  <c r="D74" i="7"/>
  <c r="I74" i="7"/>
  <c r="E74" i="7"/>
  <c r="G61" i="3"/>
  <c r="F74" i="7"/>
  <c r="G74" i="7" s="1"/>
  <c r="E61" i="3"/>
  <c r="H75" i="7"/>
  <c r="K62" i="3"/>
  <c r="D75" i="7"/>
  <c r="I75" i="7"/>
  <c r="E75" i="7"/>
  <c r="G62" i="3"/>
  <c r="F75" i="7"/>
  <c r="G75" i="7" s="1"/>
  <c r="I62" i="3"/>
  <c r="E62" i="3"/>
  <c r="H76" i="7"/>
  <c r="K63" i="3" s="1"/>
  <c r="D76" i="7"/>
  <c r="F63" i="3" s="1"/>
  <c r="I76" i="7"/>
  <c r="E76" i="7"/>
  <c r="G63" i="3" s="1"/>
  <c r="F76" i="7"/>
  <c r="G76" i="7" s="1"/>
  <c r="I63" i="3" s="1"/>
  <c r="E63" i="3"/>
  <c r="H77" i="7"/>
  <c r="K64" i="3" s="1"/>
  <c r="D77" i="7"/>
  <c r="F64" i="3" s="1"/>
  <c r="I77" i="7"/>
  <c r="E77" i="7"/>
  <c r="G64" i="3" s="1"/>
  <c r="F77" i="7"/>
  <c r="H64" i="3"/>
  <c r="E64" i="3"/>
  <c r="H78" i="7"/>
  <c r="K65" i="3"/>
  <c r="D78" i="7"/>
  <c r="I78" i="7"/>
  <c r="E78" i="7"/>
  <c r="F78" i="7"/>
  <c r="H65" i="3" s="1"/>
  <c r="E65" i="3"/>
  <c r="H79" i="7"/>
  <c r="K66" i="3"/>
  <c r="D79" i="7"/>
  <c r="I79" i="7"/>
  <c r="E79" i="7"/>
  <c r="F79" i="7"/>
  <c r="H66" i="3" s="1"/>
  <c r="G79" i="7"/>
  <c r="I66" i="3" s="1"/>
  <c r="E66" i="3"/>
  <c r="H80" i="7"/>
  <c r="K67" i="3" s="1"/>
  <c r="D80" i="7"/>
  <c r="F67" i="3" s="1"/>
  <c r="I80" i="7"/>
  <c r="E80" i="7"/>
  <c r="F80" i="7"/>
  <c r="H67" i="3"/>
  <c r="E67" i="3"/>
  <c r="H81" i="7"/>
  <c r="K68" i="3" s="1"/>
  <c r="D81" i="7"/>
  <c r="F68" i="3" s="1"/>
  <c r="I81" i="7"/>
  <c r="E81" i="7"/>
  <c r="G68" i="3" s="1"/>
  <c r="F81" i="7"/>
  <c r="H68" i="3"/>
  <c r="E68" i="3"/>
  <c r="H82" i="7"/>
  <c r="K69" i="3"/>
  <c r="D82" i="7"/>
  <c r="I82" i="7"/>
  <c r="E82" i="7"/>
  <c r="F82" i="7"/>
  <c r="H69" i="3" s="1"/>
  <c r="E69" i="3"/>
  <c r="H83" i="7"/>
  <c r="K70" i="3"/>
  <c r="D83" i="7"/>
  <c r="I83" i="7"/>
  <c r="E83" i="7"/>
  <c r="F83" i="7"/>
  <c r="H70" i="3" s="1"/>
  <c r="G83" i="7"/>
  <c r="I70" i="3" s="1"/>
  <c r="E70" i="3"/>
  <c r="H84" i="7"/>
  <c r="K71" i="3" s="1"/>
  <c r="D84" i="7"/>
  <c r="F71" i="3" s="1"/>
  <c r="I84" i="7"/>
  <c r="E84" i="7"/>
  <c r="F84" i="7"/>
  <c r="H71" i="3"/>
  <c r="E71" i="3"/>
  <c r="H85" i="7"/>
  <c r="K72" i="3" s="1"/>
  <c r="D85" i="7"/>
  <c r="I85" i="7"/>
  <c r="E85" i="7"/>
  <c r="G72" i="3" s="1"/>
  <c r="F85" i="7"/>
  <c r="H72" i="3"/>
  <c r="E72" i="3"/>
  <c r="H86" i="7"/>
  <c r="D86" i="7"/>
  <c r="I86" i="7"/>
  <c r="E86" i="7"/>
  <c r="F86" i="7"/>
  <c r="G86" i="7"/>
  <c r="E73" i="3"/>
  <c r="H87" i="7"/>
  <c r="K74" i="3" s="1"/>
  <c r="D87" i="7"/>
  <c r="I87" i="7"/>
  <c r="E87" i="7"/>
  <c r="G76" i="3" s="1"/>
  <c r="F87" i="7"/>
  <c r="G87" i="7"/>
  <c r="E74" i="3"/>
  <c r="H88" i="7"/>
  <c r="D88" i="7"/>
  <c r="I88" i="7"/>
  <c r="E88" i="7"/>
  <c r="F88" i="7"/>
  <c r="G88" i="7" s="1"/>
  <c r="E75" i="3"/>
  <c r="K76" i="3"/>
  <c r="H90" i="7"/>
  <c r="D90" i="7"/>
  <c r="I90" i="7"/>
  <c r="F77" i="3" s="1"/>
  <c r="E90" i="7"/>
  <c r="F90" i="7"/>
  <c r="E77" i="3"/>
  <c r="H91" i="7"/>
  <c r="D91" i="7"/>
  <c r="I91" i="7"/>
  <c r="F78" i="3" s="1"/>
  <c r="E91" i="7"/>
  <c r="F91" i="7"/>
  <c r="E78" i="3"/>
  <c r="H92" i="7"/>
  <c r="D92" i="7"/>
  <c r="I92" i="7"/>
  <c r="F79" i="3" s="1"/>
  <c r="E92" i="7"/>
  <c r="F92" i="7"/>
  <c r="E79" i="3"/>
  <c r="H93" i="7"/>
  <c r="D93" i="7"/>
  <c r="I93" i="7"/>
  <c r="F80" i="3" s="1"/>
  <c r="E93" i="7"/>
  <c r="F93" i="7"/>
  <c r="E80" i="3"/>
  <c r="H94" i="7"/>
  <c r="D94" i="7"/>
  <c r="I94" i="7"/>
  <c r="F81" i="3" s="1"/>
  <c r="E94" i="7"/>
  <c r="F94" i="7"/>
  <c r="E81" i="3"/>
  <c r="H95" i="7"/>
  <c r="D95" i="7"/>
  <c r="I95" i="7"/>
  <c r="F82" i="3" s="1"/>
  <c r="E95" i="7"/>
  <c r="F95" i="7"/>
  <c r="E82" i="3"/>
  <c r="H96" i="7"/>
  <c r="K83" i="3" s="1"/>
  <c r="D96" i="7"/>
  <c r="F83" i="3" s="1"/>
  <c r="I96" i="7"/>
  <c r="E96" i="7"/>
  <c r="G83" i="3" s="1"/>
  <c r="F96" i="7"/>
  <c r="G96" i="7" s="1"/>
  <c r="I83" i="3" s="1"/>
  <c r="E83" i="3"/>
  <c r="H97" i="7"/>
  <c r="K84" i="3" s="1"/>
  <c r="D97" i="7"/>
  <c r="F84" i="3" s="1"/>
  <c r="I97" i="7"/>
  <c r="E97" i="7"/>
  <c r="G84" i="3" s="1"/>
  <c r="F97" i="7"/>
  <c r="G97" i="7" s="1"/>
  <c r="I84" i="3" s="1"/>
  <c r="E84" i="3"/>
  <c r="H98" i="7"/>
  <c r="K85" i="3"/>
  <c r="D98" i="7"/>
  <c r="I98" i="7"/>
  <c r="E98" i="7"/>
  <c r="G85" i="3"/>
  <c r="F98" i="7"/>
  <c r="G98" i="7" s="1"/>
  <c r="E85" i="3"/>
  <c r="H99" i="7"/>
  <c r="K86" i="3"/>
  <c r="D99" i="7"/>
  <c r="I99" i="7"/>
  <c r="E99" i="7"/>
  <c r="G86" i="3"/>
  <c r="F99" i="7"/>
  <c r="G99" i="7" s="1"/>
  <c r="I86" i="3"/>
  <c r="E86" i="3"/>
  <c r="H100" i="7"/>
  <c r="K87" i="3" s="1"/>
  <c r="D100" i="7"/>
  <c r="F87" i="3" s="1"/>
  <c r="I100" i="7"/>
  <c r="E100" i="7"/>
  <c r="G87" i="3" s="1"/>
  <c r="F100" i="7"/>
  <c r="G100" i="7" s="1"/>
  <c r="I87" i="3" s="1"/>
  <c r="E87" i="3"/>
  <c r="H101" i="7"/>
  <c r="K88" i="3" s="1"/>
  <c r="D101" i="7"/>
  <c r="F88" i="3" s="1"/>
  <c r="I101" i="7"/>
  <c r="E101" i="7"/>
  <c r="G88" i="3" s="1"/>
  <c r="F101" i="7"/>
  <c r="E88" i="3"/>
  <c r="H102" i="7"/>
  <c r="K89" i="3" s="1"/>
  <c r="D102" i="7"/>
  <c r="I102" i="7"/>
  <c r="E102" i="7"/>
  <c r="G89" i="3" s="1"/>
  <c r="F102" i="7"/>
  <c r="G102" i="7" s="1"/>
  <c r="I89" i="3" s="1"/>
  <c r="E89" i="3"/>
  <c r="K90" i="3"/>
  <c r="H104" i="7"/>
  <c r="K91" i="3"/>
  <c r="D104" i="7"/>
  <c r="I104" i="7"/>
  <c r="E104" i="7"/>
  <c r="F104" i="7"/>
  <c r="H91" i="3" s="1"/>
  <c r="E91" i="3"/>
  <c r="H105" i="7"/>
  <c r="K92" i="3"/>
  <c r="D105" i="7"/>
  <c r="I105" i="7"/>
  <c r="E105" i="7"/>
  <c r="F105" i="7"/>
  <c r="H92" i="3" s="1"/>
  <c r="G105" i="7"/>
  <c r="I92" i="3" s="1"/>
  <c r="E92" i="3"/>
  <c r="H106" i="7"/>
  <c r="K93" i="3" s="1"/>
  <c r="D106" i="7"/>
  <c r="F93" i="3" s="1"/>
  <c r="I106" i="7"/>
  <c r="E106" i="7"/>
  <c r="F106" i="7"/>
  <c r="H93" i="3"/>
  <c r="E93" i="3"/>
  <c r="H107" i="7"/>
  <c r="K94" i="3" s="1"/>
  <c r="D107" i="7"/>
  <c r="F94" i="3" s="1"/>
  <c r="I107" i="7"/>
  <c r="E107" i="7"/>
  <c r="G94" i="3" s="1"/>
  <c r="F107" i="7"/>
  <c r="H94" i="3"/>
  <c r="E94" i="3"/>
  <c r="H108" i="7"/>
  <c r="D108" i="7"/>
  <c r="G108" i="7" s="1"/>
  <c r="I108" i="7"/>
  <c r="E108" i="7"/>
  <c r="G95" i="3" s="1"/>
  <c r="F108" i="7"/>
  <c r="H95" i="3"/>
  <c r="E95" i="3"/>
  <c r="H109" i="7"/>
  <c r="K96" i="3" s="1"/>
  <c r="D109" i="7"/>
  <c r="I109" i="7"/>
  <c r="F96" i="3"/>
  <c r="E109" i="7"/>
  <c r="G96" i="3" s="1"/>
  <c r="F109" i="7"/>
  <c r="G109" i="7" s="1"/>
  <c r="I96" i="3" s="1"/>
  <c r="E96" i="3"/>
  <c r="H110" i="7"/>
  <c r="D110" i="7"/>
  <c r="I110" i="7"/>
  <c r="F97" i="3"/>
  <c r="E110" i="7"/>
  <c r="F110" i="7"/>
  <c r="G110" i="7" s="1"/>
  <c r="E97" i="3"/>
  <c r="H111" i="7"/>
  <c r="D111" i="7"/>
  <c r="I111" i="7"/>
  <c r="F98" i="3"/>
  <c r="E111" i="7"/>
  <c r="F111" i="7"/>
  <c r="G111" i="7" s="1"/>
  <c r="E98" i="3"/>
  <c r="H112" i="7"/>
  <c r="D112" i="7"/>
  <c r="I112" i="7"/>
  <c r="F99" i="3"/>
  <c r="E112" i="7"/>
  <c r="F112" i="7"/>
  <c r="G112" i="7" s="1"/>
  <c r="E99" i="3"/>
  <c r="H113" i="7"/>
  <c r="D113" i="7"/>
  <c r="I113" i="7"/>
  <c r="F100" i="3"/>
  <c r="E113" i="7"/>
  <c r="F113" i="7"/>
  <c r="G113" i="7" s="1"/>
  <c r="E100" i="3"/>
  <c r="H114" i="7"/>
  <c r="D114" i="7"/>
  <c r="I114" i="7"/>
  <c r="F101" i="3"/>
  <c r="E114" i="7"/>
  <c r="F114" i="7"/>
  <c r="G114" i="7" s="1"/>
  <c r="E101" i="3"/>
  <c r="H115" i="7"/>
  <c r="D115" i="7"/>
  <c r="I115" i="7"/>
  <c r="F102" i="3"/>
  <c r="E115" i="7"/>
  <c r="F115" i="7"/>
  <c r="G115" i="7" s="1"/>
  <c r="E102" i="3"/>
  <c r="H116" i="7"/>
  <c r="D116" i="7"/>
  <c r="I116" i="7"/>
  <c r="F103" i="3"/>
  <c r="E116" i="7"/>
  <c r="F116" i="7"/>
  <c r="G116" i="7" s="1"/>
  <c r="E103" i="3"/>
  <c r="H117" i="7"/>
  <c r="D117" i="7"/>
  <c r="I117" i="7"/>
  <c r="F104" i="3"/>
  <c r="E117" i="7"/>
  <c r="F117" i="7"/>
  <c r="G117" i="7" s="1"/>
  <c r="E104" i="3"/>
  <c r="H118" i="7"/>
  <c r="D118" i="7"/>
  <c r="I118" i="7"/>
  <c r="F105" i="3"/>
  <c r="E118" i="7"/>
  <c r="F118" i="7"/>
  <c r="E105" i="3"/>
  <c r="H119" i="7"/>
  <c r="F106" i="3" s="1"/>
  <c r="D119" i="7"/>
  <c r="I119" i="7"/>
  <c r="E119" i="7"/>
  <c r="F119" i="7"/>
  <c r="E106" i="3"/>
  <c r="H120" i="7"/>
  <c r="D120" i="7"/>
  <c r="I120" i="7"/>
  <c r="F107" i="3"/>
  <c r="E120" i="7"/>
  <c r="F120" i="7"/>
  <c r="E107" i="3"/>
  <c r="H121" i="7"/>
  <c r="F108" i="3" s="1"/>
  <c r="D121" i="7"/>
  <c r="I121" i="7"/>
  <c r="E121" i="7"/>
  <c r="F121" i="7"/>
  <c r="E108" i="3"/>
  <c r="H122" i="7"/>
  <c r="D122" i="7"/>
  <c r="I122" i="7"/>
  <c r="F109" i="3"/>
  <c r="E122" i="7"/>
  <c r="F122" i="7"/>
  <c r="E109" i="3"/>
  <c r="H123" i="7"/>
  <c r="F110" i="3" s="1"/>
  <c r="D123" i="7"/>
  <c r="I123" i="7"/>
  <c r="E123" i="7"/>
  <c r="F123" i="7"/>
  <c r="E110" i="3"/>
  <c r="K111" i="3"/>
  <c r="H126" i="7"/>
  <c r="K113" i="3" s="1"/>
  <c r="D126" i="7"/>
  <c r="F113" i="3" s="1"/>
  <c r="I126" i="7"/>
  <c r="E126" i="7"/>
  <c r="G113" i="3" s="1"/>
  <c r="F126" i="7"/>
  <c r="H113" i="3"/>
  <c r="E113" i="3"/>
  <c r="H127" i="7"/>
  <c r="K114" i="3"/>
  <c r="D127" i="7"/>
  <c r="I127" i="7"/>
  <c r="F114" i="3" s="1"/>
  <c r="E127" i="7"/>
  <c r="F127" i="7"/>
  <c r="H114" i="3"/>
  <c r="E114" i="3"/>
  <c r="H128" i="7"/>
  <c r="K115" i="3" s="1"/>
  <c r="D128" i="7"/>
  <c r="I128" i="7"/>
  <c r="F115" i="3"/>
  <c r="E128" i="7"/>
  <c r="F128" i="7"/>
  <c r="H115" i="3" s="1"/>
  <c r="E115" i="3"/>
  <c r="H129" i="7"/>
  <c r="K116" i="3"/>
  <c r="D129" i="7"/>
  <c r="I129" i="7"/>
  <c r="F116" i="3" s="1"/>
  <c r="E129" i="7"/>
  <c r="F129" i="7"/>
  <c r="H116" i="3"/>
  <c r="E116" i="3"/>
  <c r="H130" i="7"/>
  <c r="K117" i="3" s="1"/>
  <c r="D130" i="7"/>
  <c r="I130" i="7"/>
  <c r="F117" i="3"/>
  <c r="E130" i="7"/>
  <c r="F130" i="7"/>
  <c r="H117" i="3" s="1"/>
  <c r="E117" i="3"/>
  <c r="H131" i="7"/>
  <c r="K118" i="3"/>
  <c r="D131" i="7"/>
  <c r="I131" i="7"/>
  <c r="F118" i="3" s="1"/>
  <c r="E131" i="7"/>
  <c r="F131" i="7"/>
  <c r="H118" i="3"/>
  <c r="E118" i="3"/>
  <c r="H132" i="7"/>
  <c r="K119" i="3" s="1"/>
  <c r="D132" i="7"/>
  <c r="I132" i="7"/>
  <c r="F119" i="3"/>
  <c r="E132" i="7"/>
  <c r="F132" i="7"/>
  <c r="H119" i="3" s="1"/>
  <c r="E119" i="3"/>
  <c r="H133" i="7"/>
  <c r="K120" i="3"/>
  <c r="D133" i="7"/>
  <c r="I133" i="7"/>
  <c r="F120" i="3" s="1"/>
  <c r="E133" i="7"/>
  <c r="F133" i="7"/>
  <c r="H120" i="3"/>
  <c r="E120" i="3"/>
  <c r="H134" i="7"/>
  <c r="K121" i="3" s="1"/>
  <c r="D134" i="7"/>
  <c r="I134" i="7"/>
  <c r="F121" i="3"/>
  <c r="E134" i="7"/>
  <c r="F134" i="7"/>
  <c r="H121" i="3" s="1"/>
  <c r="E121" i="3"/>
  <c r="H135" i="7"/>
  <c r="K122" i="3"/>
  <c r="D135" i="7"/>
  <c r="I135" i="7"/>
  <c r="F122" i="3" s="1"/>
  <c r="E135" i="7"/>
  <c r="F135" i="7"/>
  <c r="H122" i="3"/>
  <c r="E122" i="3"/>
  <c r="H136" i="7"/>
  <c r="K123" i="3" s="1"/>
  <c r="D136" i="7"/>
  <c r="I136" i="7"/>
  <c r="F123" i="3"/>
  <c r="E136" i="7"/>
  <c r="F136" i="7"/>
  <c r="H123" i="3" s="1"/>
  <c r="E123" i="3"/>
  <c r="H138" i="7"/>
  <c r="D138" i="7"/>
  <c r="I138" i="7"/>
  <c r="E138" i="7"/>
  <c r="G127" i="3" s="1"/>
  <c r="F138" i="7"/>
  <c r="E125" i="3"/>
  <c r="H139" i="7"/>
  <c r="D139" i="7"/>
  <c r="I139" i="7"/>
  <c r="E139" i="7"/>
  <c r="G126" i="3" s="1"/>
  <c r="F139" i="7"/>
  <c r="H126" i="3"/>
  <c r="E126" i="3"/>
  <c r="K127" i="3"/>
  <c r="H141" i="7"/>
  <c r="K128" i="3" s="1"/>
  <c r="D141" i="7"/>
  <c r="F128" i="3" s="1"/>
  <c r="I141" i="7"/>
  <c r="E141" i="7"/>
  <c r="G128" i="3" s="1"/>
  <c r="F141" i="7"/>
  <c r="E128" i="3"/>
  <c r="H142" i="7"/>
  <c r="K129" i="3" s="1"/>
  <c r="D142" i="7"/>
  <c r="I142" i="7"/>
  <c r="E142" i="7"/>
  <c r="G129" i="3"/>
  <c r="F142" i="7"/>
  <c r="E129" i="3"/>
  <c r="H143" i="7"/>
  <c r="D143" i="7"/>
  <c r="I143" i="7"/>
  <c r="E143" i="7"/>
  <c r="F143" i="7"/>
  <c r="E130" i="3"/>
  <c r="H144" i="7"/>
  <c r="K131" i="3" s="1"/>
  <c r="D144" i="7"/>
  <c r="M131" i="3" s="1"/>
  <c r="I144" i="7"/>
  <c r="F131" i="3"/>
  <c r="E144" i="7"/>
  <c r="G131" i="3"/>
  <c r="F144" i="7"/>
  <c r="H131" i="3"/>
  <c r="E131" i="3"/>
  <c r="H145" i="7"/>
  <c r="K132" i="3" s="1"/>
  <c r="D145" i="7"/>
  <c r="I145" i="7"/>
  <c r="E145" i="7"/>
  <c r="G132" i="3" s="1"/>
  <c r="F145" i="7"/>
  <c r="H132" i="3" s="1"/>
  <c r="E132" i="3"/>
  <c r="H146" i="7"/>
  <c r="K133" i="3" s="1"/>
  <c r="D146" i="7"/>
  <c r="I146" i="7"/>
  <c r="E146" i="7"/>
  <c r="G133" i="3" s="1"/>
  <c r="F146" i="7"/>
  <c r="H133" i="3" s="1"/>
  <c r="E133" i="3"/>
  <c r="H147" i="7"/>
  <c r="K134" i="3" s="1"/>
  <c r="D147" i="7"/>
  <c r="F134" i="3" s="1"/>
  <c r="I147" i="7"/>
  <c r="E147" i="7"/>
  <c r="G134" i="3" s="1"/>
  <c r="F147" i="7"/>
  <c r="H134" i="3" s="1"/>
  <c r="E134" i="3"/>
  <c r="H148" i="7"/>
  <c r="K135" i="3" s="1"/>
  <c r="D148" i="7"/>
  <c r="M135" i="3" s="1"/>
  <c r="I148" i="7"/>
  <c r="F135" i="3"/>
  <c r="E148" i="7"/>
  <c r="G135" i="3"/>
  <c r="F148" i="7"/>
  <c r="H135" i="3"/>
  <c r="E135" i="3"/>
  <c r="H149" i="7"/>
  <c r="K136" i="3" s="1"/>
  <c r="D149" i="7"/>
  <c r="I149" i="7"/>
  <c r="E149" i="7"/>
  <c r="G136" i="3" s="1"/>
  <c r="F149" i="7"/>
  <c r="H136" i="3" s="1"/>
  <c r="E136" i="3"/>
  <c r="H150" i="7"/>
  <c r="K137" i="3" s="1"/>
  <c r="D150" i="7"/>
  <c r="I150" i="7"/>
  <c r="E150" i="7"/>
  <c r="G137" i="3" s="1"/>
  <c r="F150" i="7"/>
  <c r="H137" i="3" s="1"/>
  <c r="E137" i="3"/>
  <c r="H151" i="7"/>
  <c r="K138" i="3" s="1"/>
  <c r="D151" i="7"/>
  <c r="F138" i="3" s="1"/>
  <c r="I151" i="7"/>
  <c r="E151" i="7"/>
  <c r="G138" i="3" s="1"/>
  <c r="F151" i="7"/>
  <c r="H138" i="3" s="1"/>
  <c r="E138" i="3"/>
  <c r="H152" i="7"/>
  <c r="K139" i="3" s="1"/>
  <c r="D152" i="7"/>
  <c r="M139" i="3" s="1"/>
  <c r="I152" i="7"/>
  <c r="F139" i="3"/>
  <c r="E152" i="7"/>
  <c r="G139" i="3"/>
  <c r="F152" i="7"/>
  <c r="H139" i="3"/>
  <c r="E139" i="3"/>
  <c r="H153" i="7"/>
  <c r="K140" i="3" s="1"/>
  <c r="D153" i="7"/>
  <c r="I153" i="7"/>
  <c r="E153" i="7"/>
  <c r="G140" i="3" s="1"/>
  <c r="F153" i="7"/>
  <c r="H140" i="3" s="1"/>
  <c r="E140" i="3"/>
  <c r="H154" i="7"/>
  <c r="K141" i="3"/>
  <c r="D154" i="7"/>
  <c r="I154" i="7"/>
  <c r="E154" i="7"/>
  <c r="F154" i="7"/>
  <c r="G154" i="7" s="1"/>
  <c r="I141" i="3" s="1"/>
  <c r="E141" i="3"/>
  <c r="H155" i="7"/>
  <c r="K142" i="3"/>
  <c r="D155" i="7"/>
  <c r="I155" i="7"/>
  <c r="E155" i="7"/>
  <c r="F155" i="7"/>
  <c r="G155" i="7" s="1"/>
  <c r="I142" i="3" s="1"/>
  <c r="E142" i="3"/>
  <c r="H156" i="7"/>
  <c r="K143" i="3"/>
  <c r="D156" i="7"/>
  <c r="I156" i="7"/>
  <c r="E156" i="7"/>
  <c r="F156" i="7"/>
  <c r="G156" i="7" s="1"/>
  <c r="I143" i="3" s="1"/>
  <c r="E143" i="3"/>
  <c r="H157" i="7"/>
  <c r="K144" i="3"/>
  <c r="D157" i="7"/>
  <c r="I157" i="7"/>
  <c r="E157" i="7"/>
  <c r="F157" i="7"/>
  <c r="G157" i="7" s="1"/>
  <c r="I144" i="3" s="1"/>
  <c r="E144" i="3"/>
  <c r="H158" i="7"/>
  <c r="K145" i="3"/>
  <c r="D158" i="7"/>
  <c r="I158" i="7"/>
  <c r="E158" i="7"/>
  <c r="F158" i="7"/>
  <c r="G158" i="7" s="1"/>
  <c r="I145" i="3" s="1"/>
  <c r="E145" i="3"/>
  <c r="H159" i="7"/>
  <c r="K146" i="3"/>
  <c r="D159" i="7"/>
  <c r="I159" i="7"/>
  <c r="E159" i="7"/>
  <c r="F159" i="7"/>
  <c r="G159" i="7" s="1"/>
  <c r="I146" i="3" s="1"/>
  <c r="E146" i="3"/>
  <c r="H160" i="7"/>
  <c r="K147" i="3"/>
  <c r="D160" i="7"/>
  <c r="I160" i="7"/>
  <c r="E160" i="7"/>
  <c r="F160" i="7"/>
  <c r="G160" i="7" s="1"/>
  <c r="E147" i="3"/>
  <c r="H161" i="7"/>
  <c r="K148" i="3"/>
  <c r="D161" i="7"/>
  <c r="I161" i="7"/>
  <c r="E161" i="7"/>
  <c r="F161" i="7"/>
  <c r="G161" i="7" s="1"/>
  <c r="I148" i="3" s="1"/>
  <c r="E148" i="3"/>
  <c r="K149" i="3"/>
  <c r="H163" i="7"/>
  <c r="K150" i="3" s="1"/>
  <c r="D163" i="7"/>
  <c r="I163" i="7"/>
  <c r="E163" i="7"/>
  <c r="F163" i="7"/>
  <c r="E150" i="3"/>
  <c r="H164" i="7"/>
  <c r="K151" i="3"/>
  <c r="D164" i="7"/>
  <c r="I164" i="7"/>
  <c r="F151" i="3" s="1"/>
  <c r="E164" i="7"/>
  <c r="F164" i="7"/>
  <c r="E151" i="3"/>
  <c r="K152" i="3"/>
  <c r="H166" i="7"/>
  <c r="D166" i="7"/>
  <c r="F153" i="3" s="1"/>
  <c r="I166" i="7"/>
  <c r="E166" i="7"/>
  <c r="F166" i="7"/>
  <c r="E153" i="3"/>
  <c r="H167" i="7"/>
  <c r="D167" i="7"/>
  <c r="I167" i="7"/>
  <c r="E167" i="7"/>
  <c r="F167" i="7"/>
  <c r="G167" i="7" s="1"/>
  <c r="I154" i="3" s="1"/>
  <c r="E154" i="3"/>
  <c r="H168" i="7"/>
  <c r="D168" i="7"/>
  <c r="I168" i="7"/>
  <c r="E168" i="7"/>
  <c r="F168" i="7"/>
  <c r="G168" i="7" s="1"/>
  <c r="I155" i="3" s="1"/>
  <c r="E155" i="3"/>
  <c r="H169" i="7"/>
  <c r="K156" i="3" s="1"/>
  <c r="D169" i="7"/>
  <c r="I169" i="7"/>
  <c r="E169" i="7"/>
  <c r="F169" i="7"/>
  <c r="E156" i="3"/>
  <c r="H170" i="7"/>
  <c r="K157" i="3"/>
  <c r="D170" i="7"/>
  <c r="I170" i="7"/>
  <c r="E170" i="7"/>
  <c r="F170" i="7"/>
  <c r="E157" i="3"/>
  <c r="H171" i="7"/>
  <c r="K158" i="3" s="1"/>
  <c r="D171" i="7"/>
  <c r="I171" i="7"/>
  <c r="E171" i="7"/>
  <c r="F171" i="7"/>
  <c r="E158" i="3"/>
  <c r="H172" i="7"/>
  <c r="K159" i="3"/>
  <c r="D172" i="7"/>
  <c r="I172" i="7"/>
  <c r="E172" i="7"/>
  <c r="F172" i="7"/>
  <c r="E159" i="3"/>
  <c r="H173" i="7"/>
  <c r="K160" i="3" s="1"/>
  <c r="D173" i="7"/>
  <c r="I173" i="7"/>
  <c r="E173" i="7"/>
  <c r="F173" i="7"/>
  <c r="E160" i="3"/>
  <c r="H174" i="7"/>
  <c r="K161" i="3"/>
  <c r="D174" i="7"/>
  <c r="I174" i="7"/>
  <c r="E174" i="7"/>
  <c r="F174" i="7"/>
  <c r="E161" i="3"/>
  <c r="H175" i="7"/>
  <c r="K162" i="3" s="1"/>
  <c r="D175" i="7"/>
  <c r="I175" i="7"/>
  <c r="E175" i="7"/>
  <c r="F175" i="7"/>
  <c r="E162" i="3"/>
  <c r="H176" i="7"/>
  <c r="K163" i="3"/>
  <c r="D176" i="7"/>
  <c r="I176" i="7"/>
  <c r="E176" i="7"/>
  <c r="F176" i="7"/>
  <c r="E163" i="3"/>
  <c r="H177" i="7"/>
  <c r="K164" i="3" s="1"/>
  <c r="D177" i="7"/>
  <c r="I177" i="7"/>
  <c r="E177" i="7"/>
  <c r="F177" i="7"/>
  <c r="E164" i="3"/>
  <c r="H178" i="7"/>
  <c r="K165" i="3"/>
  <c r="D178" i="7"/>
  <c r="I178" i="7"/>
  <c r="E178" i="7"/>
  <c r="F178" i="7"/>
  <c r="E165" i="3"/>
  <c r="K167" i="3"/>
  <c r="H181" i="7"/>
  <c r="K168" i="3"/>
  <c r="D181" i="7"/>
  <c r="I181" i="7"/>
  <c r="F168" i="3" s="1"/>
  <c r="E181" i="7"/>
  <c r="F181" i="7"/>
  <c r="E168" i="3"/>
  <c r="K169" i="3"/>
  <c r="K170" i="3"/>
  <c r="K171" i="3"/>
  <c r="H185" i="7"/>
  <c r="K172" i="3"/>
  <c r="D185" i="7"/>
  <c r="I185" i="7"/>
  <c r="F172" i="3" s="1"/>
  <c r="E185" i="7"/>
  <c r="F185" i="7"/>
  <c r="M172" i="3" s="1"/>
  <c r="E172" i="3"/>
  <c r="H186" i="7"/>
  <c r="K173" i="3" s="1"/>
  <c r="D186" i="7"/>
  <c r="I186" i="7"/>
  <c r="E186" i="7"/>
  <c r="F186" i="7"/>
  <c r="E173" i="3"/>
  <c r="K174" i="3"/>
  <c r="H188" i="7"/>
  <c r="D188" i="7"/>
  <c r="I188" i="7"/>
  <c r="E188" i="7"/>
  <c r="F188" i="7"/>
  <c r="G188" i="7" s="1"/>
  <c r="I175" i="3" s="1"/>
  <c r="E175" i="3"/>
  <c r="H189" i="7"/>
  <c r="D189" i="7"/>
  <c r="I189" i="7"/>
  <c r="E189" i="7"/>
  <c r="F189" i="7"/>
  <c r="E176" i="3"/>
  <c r="H190" i="7"/>
  <c r="D190" i="7"/>
  <c r="I190" i="7"/>
  <c r="E190" i="7"/>
  <c r="F190" i="7"/>
  <c r="E177" i="3"/>
  <c r="H191" i="7"/>
  <c r="D191" i="7"/>
  <c r="I191" i="7"/>
  <c r="E191" i="7"/>
  <c r="G180" i="3" s="1"/>
  <c r="F191" i="7"/>
  <c r="E178" i="3"/>
  <c r="H192" i="7"/>
  <c r="K179" i="3" s="1"/>
  <c r="D192" i="7"/>
  <c r="I192" i="7"/>
  <c r="E192" i="7"/>
  <c r="G181" i="3" s="1"/>
  <c r="F192" i="7"/>
  <c r="G192" i="7" s="1"/>
  <c r="E179" i="3"/>
  <c r="K180" i="3"/>
  <c r="K181" i="3"/>
  <c r="H195" i="7"/>
  <c r="K182" i="3"/>
  <c r="D195" i="7"/>
  <c r="I195" i="7"/>
  <c r="F182" i="3" s="1"/>
  <c r="E195" i="7"/>
  <c r="F195" i="7"/>
  <c r="H182" i="3" s="1"/>
  <c r="E182" i="3"/>
  <c r="H196" i="7"/>
  <c r="K183" i="3"/>
  <c r="D196" i="7"/>
  <c r="I196" i="7"/>
  <c r="F183" i="3" s="1"/>
  <c r="E196" i="7"/>
  <c r="F196" i="7"/>
  <c r="H185" i="3" s="1"/>
  <c r="E183" i="3"/>
  <c r="H197" i="7"/>
  <c r="K184" i="3"/>
  <c r="D197" i="7"/>
  <c r="I197" i="7"/>
  <c r="F184" i="3" s="1"/>
  <c r="E197" i="7"/>
  <c r="F197" i="7"/>
  <c r="H186" i="3" s="1"/>
  <c r="E184" i="3"/>
  <c r="K185" i="3"/>
  <c r="K186" i="3"/>
  <c r="H200" i="7"/>
  <c r="K187" i="3"/>
  <c r="D200" i="7"/>
  <c r="I200" i="7"/>
  <c r="E200" i="7"/>
  <c r="G187" i="3"/>
  <c r="F200" i="7"/>
  <c r="G200" i="7"/>
  <c r="I187" i="3" s="1"/>
  <c r="E187" i="3"/>
  <c r="H201" i="7"/>
  <c r="K188" i="3" s="1"/>
  <c r="D201" i="7"/>
  <c r="I201" i="7"/>
  <c r="E201" i="7"/>
  <c r="F201" i="7"/>
  <c r="G201" i="7"/>
  <c r="I188" i="3" s="1"/>
  <c r="E188" i="3"/>
  <c r="H202" i="7"/>
  <c r="K189" i="3" s="1"/>
  <c r="D202" i="7"/>
  <c r="I202" i="7"/>
  <c r="F189" i="3"/>
  <c r="E202" i="7"/>
  <c r="F202" i="7"/>
  <c r="H189" i="3" s="1"/>
  <c r="G202" i="7"/>
  <c r="I189" i="3" s="1"/>
  <c r="E189" i="3"/>
  <c r="H203" i="7"/>
  <c r="K190" i="3" s="1"/>
  <c r="D203" i="7"/>
  <c r="I203" i="7"/>
  <c r="F190" i="3"/>
  <c r="E203" i="7"/>
  <c r="F203" i="7"/>
  <c r="H190" i="3" s="1"/>
  <c r="G203" i="7"/>
  <c r="I190" i="3" s="1"/>
  <c r="E190" i="3"/>
  <c r="H204" i="7"/>
  <c r="K191" i="3" s="1"/>
  <c r="D204" i="7"/>
  <c r="I204" i="7"/>
  <c r="F191" i="3"/>
  <c r="E204" i="7"/>
  <c r="F204" i="7"/>
  <c r="H191" i="3" s="1"/>
  <c r="G204" i="7"/>
  <c r="I191" i="3" s="1"/>
  <c r="E191" i="3"/>
  <c r="H205" i="7"/>
  <c r="K192" i="3" s="1"/>
  <c r="D205" i="7"/>
  <c r="I205" i="7"/>
  <c r="F192" i="3"/>
  <c r="E205" i="7"/>
  <c r="F205" i="7"/>
  <c r="H192" i="3" s="1"/>
  <c r="G205" i="7"/>
  <c r="I192" i="3" s="1"/>
  <c r="E192" i="3"/>
  <c r="H206" i="7"/>
  <c r="K193" i="3" s="1"/>
  <c r="D206" i="7"/>
  <c r="I206" i="7"/>
  <c r="F193" i="3"/>
  <c r="E206" i="7"/>
  <c r="F206" i="7"/>
  <c r="H193" i="3" s="1"/>
  <c r="G206" i="7"/>
  <c r="I193" i="3" s="1"/>
  <c r="E193" i="3"/>
  <c r="H207" i="7"/>
  <c r="K194" i="3" s="1"/>
  <c r="D207" i="7"/>
  <c r="I207" i="7"/>
  <c r="F194" i="3"/>
  <c r="E207" i="7"/>
  <c r="F207" i="7"/>
  <c r="H194" i="3" s="1"/>
  <c r="G207" i="7"/>
  <c r="I194" i="3" s="1"/>
  <c r="E194" i="3"/>
  <c r="H208" i="7"/>
  <c r="K195" i="3" s="1"/>
  <c r="D208" i="7"/>
  <c r="I208" i="7"/>
  <c r="F195" i="3"/>
  <c r="E208" i="7"/>
  <c r="F208" i="7"/>
  <c r="H195" i="3" s="1"/>
  <c r="G208" i="7"/>
  <c r="I195" i="3" s="1"/>
  <c r="E195" i="3"/>
  <c r="H209" i="7"/>
  <c r="K196" i="3" s="1"/>
  <c r="D209" i="7"/>
  <c r="I209" i="7"/>
  <c r="F196" i="3"/>
  <c r="E209" i="7"/>
  <c r="F209" i="7"/>
  <c r="H196" i="3" s="1"/>
  <c r="G209" i="7"/>
  <c r="I196" i="3" s="1"/>
  <c r="E196" i="3"/>
  <c r="H210" i="7"/>
  <c r="K197" i="3" s="1"/>
  <c r="D210" i="7"/>
  <c r="I210" i="7"/>
  <c r="F197" i="3"/>
  <c r="E210" i="7"/>
  <c r="F210" i="7"/>
  <c r="H197" i="3" s="1"/>
  <c r="G210" i="7"/>
  <c r="I197" i="3" s="1"/>
  <c r="E197" i="3"/>
  <c r="H211" i="7"/>
  <c r="K198" i="3" s="1"/>
  <c r="D211" i="7"/>
  <c r="I211" i="7"/>
  <c r="F198" i="3"/>
  <c r="E211" i="7"/>
  <c r="F211" i="7"/>
  <c r="H198" i="3" s="1"/>
  <c r="G211" i="7"/>
  <c r="I198" i="3" s="1"/>
  <c r="E198" i="3"/>
  <c r="H212" i="7"/>
  <c r="K199" i="3" s="1"/>
  <c r="D212" i="7"/>
  <c r="I212" i="7"/>
  <c r="F199" i="3"/>
  <c r="E212" i="7"/>
  <c r="F212" i="7"/>
  <c r="H199" i="3" s="1"/>
  <c r="G212" i="7"/>
  <c r="I199" i="3" s="1"/>
  <c r="E199" i="3"/>
  <c r="H213" i="7"/>
  <c r="K200" i="3" s="1"/>
  <c r="D213" i="7"/>
  <c r="I213" i="7"/>
  <c r="F200" i="3"/>
  <c r="E213" i="7"/>
  <c r="F213" i="7"/>
  <c r="H200" i="3" s="1"/>
  <c r="G213" i="7"/>
  <c r="I200" i="3" s="1"/>
  <c r="E200" i="3"/>
  <c r="H214" i="7"/>
  <c r="K201" i="3" s="1"/>
  <c r="D214" i="7"/>
  <c r="I214" i="7"/>
  <c r="E214" i="7"/>
  <c r="F214" i="7"/>
  <c r="G214" i="7"/>
  <c r="I201" i="3" s="1"/>
  <c r="E201" i="3"/>
  <c r="H215" i="7"/>
  <c r="K202" i="3" s="1"/>
  <c r="D215" i="7"/>
  <c r="I215" i="7"/>
  <c r="E215" i="7"/>
  <c r="F215" i="7"/>
  <c r="G215" i="7"/>
  <c r="I202" i="3" s="1"/>
  <c r="E202" i="3"/>
  <c r="H216" i="7"/>
  <c r="K203" i="3" s="1"/>
  <c r="D216" i="7"/>
  <c r="I216" i="7"/>
  <c r="E216" i="7"/>
  <c r="F216" i="7"/>
  <c r="G216" i="7"/>
  <c r="I203" i="3" s="1"/>
  <c r="E203" i="3"/>
  <c r="H217" i="7"/>
  <c r="K204" i="3" s="1"/>
  <c r="D217" i="7"/>
  <c r="I217" i="7"/>
  <c r="E217" i="7"/>
  <c r="F217" i="7"/>
  <c r="G217" i="7"/>
  <c r="E204" i="3"/>
  <c r="H218" i="7"/>
  <c r="K205" i="3" s="1"/>
  <c r="D218" i="7"/>
  <c r="I218" i="7"/>
  <c r="E218" i="7"/>
  <c r="F218" i="7"/>
  <c r="G218" i="7"/>
  <c r="I205" i="3" s="1"/>
  <c r="E205" i="3"/>
  <c r="K206" i="3"/>
  <c r="H220" i="7"/>
  <c r="K207" i="3" s="1"/>
  <c r="D220" i="7"/>
  <c r="I220" i="7"/>
  <c r="E220" i="7"/>
  <c r="G207" i="3" s="1"/>
  <c r="F220" i="7"/>
  <c r="H207" i="3" s="1"/>
  <c r="E207" i="3"/>
  <c r="H221" i="7"/>
  <c r="K208" i="3" s="1"/>
  <c r="D221" i="7"/>
  <c r="F208" i="3" s="1"/>
  <c r="I221" i="7"/>
  <c r="E221" i="7"/>
  <c r="G208" i="3" s="1"/>
  <c r="F221" i="7"/>
  <c r="H208" i="3" s="1"/>
  <c r="E208" i="3"/>
  <c r="H222" i="7"/>
  <c r="K209" i="3" s="1"/>
  <c r="D222" i="7"/>
  <c r="M209" i="3" s="1"/>
  <c r="I222" i="7"/>
  <c r="F209" i="3"/>
  <c r="E222" i="7"/>
  <c r="G211" i="3" s="1"/>
  <c r="G209" i="3"/>
  <c r="F222" i="7"/>
  <c r="H209" i="3"/>
  <c r="E209" i="3"/>
  <c r="H223" i="7"/>
  <c r="K210" i="3" s="1"/>
  <c r="D223" i="7"/>
  <c r="I223" i="7"/>
  <c r="E223" i="7"/>
  <c r="G210" i="3" s="1"/>
  <c r="F223" i="7"/>
  <c r="H210" i="3" s="1"/>
  <c r="E210" i="3"/>
  <c r="K211" i="3"/>
  <c r="H225" i="7"/>
  <c r="K212" i="3" s="1"/>
  <c r="D225" i="7"/>
  <c r="F212" i="3" s="1"/>
  <c r="I225" i="7"/>
  <c r="E225" i="7"/>
  <c r="G212" i="3" s="1"/>
  <c r="F225" i="7"/>
  <c r="E212" i="3"/>
  <c r="H226" i="7"/>
  <c r="K213" i="3"/>
  <c r="D226" i="7"/>
  <c r="I226" i="7"/>
  <c r="E226" i="7"/>
  <c r="F226" i="7"/>
  <c r="E213" i="3"/>
  <c r="H227" i="7"/>
  <c r="K214" i="3" s="1"/>
  <c r="D227" i="7"/>
  <c r="I227" i="7"/>
  <c r="E227" i="7"/>
  <c r="F227" i="7"/>
  <c r="M214" i="3" s="1"/>
  <c r="E214" i="3"/>
  <c r="H228" i="7"/>
  <c r="K215" i="3"/>
  <c r="D228" i="7"/>
  <c r="I228" i="7"/>
  <c r="F215" i="3" s="1"/>
  <c r="E228" i="7"/>
  <c r="F228" i="7"/>
  <c r="G228" i="7" s="1"/>
  <c r="I215" i="3" s="1"/>
  <c r="E215" i="3"/>
  <c r="H229" i="7"/>
  <c r="K216" i="3"/>
  <c r="D229" i="7"/>
  <c r="I229" i="7"/>
  <c r="F216" i="3" s="1"/>
  <c r="E229" i="7"/>
  <c r="F229" i="7"/>
  <c r="H216" i="3" s="1"/>
  <c r="E216" i="3"/>
  <c r="H230" i="7"/>
  <c r="K217" i="3"/>
  <c r="D230" i="7"/>
  <c r="I230" i="7"/>
  <c r="F217" i="3" s="1"/>
  <c r="E230" i="7"/>
  <c r="F230" i="7"/>
  <c r="G230" i="7" s="1"/>
  <c r="I217" i="3" s="1"/>
  <c r="E217" i="3"/>
  <c r="H231" i="7"/>
  <c r="D231" i="7"/>
  <c r="M218" i="3" s="1"/>
  <c r="I231" i="7"/>
  <c r="E231" i="7"/>
  <c r="F231" i="7"/>
  <c r="E218" i="3"/>
  <c r="H232" i="7"/>
  <c r="K219" i="3"/>
  <c r="D232" i="7"/>
  <c r="I232" i="7"/>
  <c r="E232" i="7"/>
  <c r="G219" i="3"/>
  <c r="F232" i="7"/>
  <c r="G232" i="7"/>
  <c r="I219" i="3" s="1"/>
  <c r="E219" i="3"/>
  <c r="H233" i="7"/>
  <c r="K220" i="3" s="1"/>
  <c r="D233" i="7"/>
  <c r="F220" i="3" s="1"/>
  <c r="I233" i="7"/>
  <c r="E233" i="7"/>
  <c r="G220" i="3" s="1"/>
  <c r="F233" i="7"/>
  <c r="H220" i="3"/>
  <c r="E220" i="3"/>
  <c r="H234" i="7"/>
  <c r="K221" i="3" s="1"/>
  <c r="D234" i="7"/>
  <c r="F221" i="3" s="1"/>
  <c r="I234" i="7"/>
  <c r="E234" i="7"/>
  <c r="G221" i="3" s="1"/>
  <c r="F234" i="7"/>
  <c r="H221" i="3"/>
  <c r="E221" i="3"/>
  <c r="H235" i="7"/>
  <c r="K222" i="3"/>
  <c r="D235" i="7"/>
  <c r="I235" i="7"/>
  <c r="E235" i="7"/>
  <c r="F235" i="7"/>
  <c r="H222" i="3" s="1"/>
  <c r="G235" i="7"/>
  <c r="I222" i="3" s="1"/>
  <c r="E222" i="3"/>
  <c r="H236" i="7"/>
  <c r="K223" i="3" s="1"/>
  <c r="D236" i="7"/>
  <c r="F223" i="3" s="1"/>
  <c r="I236" i="7"/>
  <c r="E236" i="7"/>
  <c r="G223" i="3" s="1"/>
  <c r="F236" i="7"/>
  <c r="H223" i="3"/>
  <c r="E223" i="3"/>
  <c r="H237" i="7"/>
  <c r="K224" i="3"/>
  <c r="D237" i="7"/>
  <c r="I237" i="7"/>
  <c r="E237" i="7"/>
  <c r="F237" i="7"/>
  <c r="H224" i="3" s="1"/>
  <c r="E224" i="3"/>
  <c r="H238" i="7"/>
  <c r="K225" i="3" s="1"/>
  <c r="D238" i="7"/>
  <c r="I238" i="7"/>
  <c r="F225" i="3"/>
  <c r="E238" i="7"/>
  <c r="F238" i="7"/>
  <c r="E225" i="3"/>
  <c r="H239" i="7"/>
  <c r="K226" i="3" s="1"/>
  <c r="D239" i="7"/>
  <c r="I239" i="7"/>
  <c r="E239" i="7"/>
  <c r="G226" i="3" s="1"/>
  <c r="F239" i="7"/>
  <c r="H226" i="3" s="1"/>
  <c r="E226" i="3"/>
  <c r="H240" i="7"/>
  <c r="K227" i="3" s="1"/>
  <c r="D240" i="7"/>
  <c r="I240" i="7"/>
  <c r="E240" i="7"/>
  <c r="G227" i="3" s="1"/>
  <c r="F240" i="7"/>
  <c r="H227" i="3" s="1"/>
  <c r="E227" i="3"/>
  <c r="H241" i="7"/>
  <c r="K228" i="3" s="1"/>
  <c r="D241" i="7"/>
  <c r="F228" i="3" s="1"/>
  <c r="I241" i="7"/>
  <c r="E241" i="7"/>
  <c r="G228" i="3" s="1"/>
  <c r="F241" i="7"/>
  <c r="H228" i="3" s="1"/>
  <c r="E228" i="3"/>
  <c r="H242" i="7"/>
  <c r="K229" i="3" s="1"/>
  <c r="D242" i="7"/>
  <c r="M229" i="3" s="1"/>
  <c r="I242" i="7"/>
  <c r="F229" i="3"/>
  <c r="E242" i="7"/>
  <c r="G229" i="3"/>
  <c r="F242" i="7"/>
  <c r="H229" i="3"/>
  <c r="E229" i="3"/>
  <c r="H243" i="7"/>
  <c r="K230" i="3" s="1"/>
  <c r="D243" i="7"/>
  <c r="I243" i="7"/>
  <c r="E243" i="7"/>
  <c r="G230" i="3" s="1"/>
  <c r="F243" i="7"/>
  <c r="H230" i="3" s="1"/>
  <c r="E230" i="3"/>
  <c r="H244" i="7"/>
  <c r="K231" i="3"/>
  <c r="D244" i="7"/>
  <c r="I244" i="7"/>
  <c r="E244" i="7"/>
  <c r="F244" i="7"/>
  <c r="E231" i="3"/>
  <c r="H245" i="7"/>
  <c r="K232" i="3" s="1"/>
  <c r="D245" i="7"/>
  <c r="I245" i="7"/>
  <c r="E245" i="7"/>
  <c r="G232" i="3"/>
  <c r="F245" i="7"/>
  <c r="H232" i="3"/>
  <c r="E232" i="3"/>
  <c r="H246" i="7"/>
  <c r="K233" i="3" s="1"/>
  <c r="D246" i="7"/>
  <c r="I246" i="7"/>
  <c r="E246" i="7"/>
  <c r="F246" i="7"/>
  <c r="H233" i="3"/>
  <c r="E233" i="3"/>
  <c r="H247" i="7"/>
  <c r="K234" i="3" s="1"/>
  <c r="D247" i="7"/>
  <c r="I247" i="7"/>
  <c r="E247" i="7"/>
  <c r="G234" i="3"/>
  <c r="F247" i="7"/>
  <c r="H234" i="3"/>
  <c r="E234" i="3"/>
  <c r="H248" i="7"/>
  <c r="K235" i="3" s="1"/>
  <c r="D248" i="7"/>
  <c r="I248" i="7"/>
  <c r="E248" i="7"/>
  <c r="F248" i="7"/>
  <c r="H235" i="3"/>
  <c r="E235" i="3"/>
  <c r="H249" i="7"/>
  <c r="K236" i="3" s="1"/>
  <c r="D249" i="7"/>
  <c r="I249" i="7"/>
  <c r="E249" i="7"/>
  <c r="G236" i="3"/>
  <c r="F249" i="7"/>
  <c r="H236" i="3"/>
  <c r="E236" i="3"/>
  <c r="H250" i="7"/>
  <c r="K237" i="3" s="1"/>
  <c r="D250" i="7"/>
  <c r="I250" i="7"/>
  <c r="E250" i="7"/>
  <c r="F250" i="7"/>
  <c r="H237" i="3"/>
  <c r="E237" i="3"/>
  <c r="H251" i="7"/>
  <c r="K238" i="3" s="1"/>
  <c r="D251" i="7"/>
  <c r="M238" i="3" s="1"/>
  <c r="I251" i="7"/>
  <c r="E251" i="7"/>
  <c r="F251" i="7"/>
  <c r="H240" i="3" s="1"/>
  <c r="H238" i="3"/>
  <c r="E238" i="3"/>
  <c r="H252" i="7"/>
  <c r="D252" i="7"/>
  <c r="I252" i="7"/>
  <c r="E252" i="7"/>
  <c r="F252" i="7"/>
  <c r="E239" i="3"/>
  <c r="K240" i="3"/>
  <c r="H254" i="7"/>
  <c r="K241" i="3" s="1"/>
  <c r="D254" i="7"/>
  <c r="F241" i="3" s="1"/>
  <c r="I254" i="7"/>
  <c r="E254" i="7"/>
  <c r="G241" i="3" s="1"/>
  <c r="F254" i="7"/>
  <c r="H241" i="3" s="1"/>
  <c r="E241" i="3"/>
  <c r="H255" i="7"/>
  <c r="K242" i="3" s="1"/>
  <c r="D255" i="7"/>
  <c r="I255" i="7"/>
  <c r="F242" i="3"/>
  <c r="E255" i="7"/>
  <c r="F255" i="7"/>
  <c r="H242" i="3" s="1"/>
  <c r="E242" i="3"/>
  <c r="H256" i="7"/>
  <c r="K243" i="3" s="1"/>
  <c r="D256" i="7"/>
  <c r="I256" i="7"/>
  <c r="E256" i="7"/>
  <c r="G245" i="3" s="1"/>
  <c r="G243" i="3"/>
  <c r="F256" i="7"/>
  <c r="H245" i="3" s="1"/>
  <c r="H243" i="3"/>
  <c r="E243" i="3"/>
  <c r="H257" i="7"/>
  <c r="K244" i="3" s="1"/>
  <c r="D257" i="7"/>
  <c r="I257" i="7"/>
  <c r="E257" i="7"/>
  <c r="G244" i="3" s="1"/>
  <c r="F257" i="7"/>
  <c r="H244" i="3" s="1"/>
  <c r="E244" i="3"/>
  <c r="K245" i="3"/>
  <c r="H259" i="7"/>
  <c r="K246" i="3" s="1"/>
  <c r="D259" i="7"/>
  <c r="I259" i="7"/>
  <c r="E259" i="7"/>
  <c r="G246" i="3" s="1"/>
  <c r="F259" i="7"/>
  <c r="H246" i="3"/>
  <c r="E246" i="3"/>
  <c r="H260" i="7"/>
  <c r="D260" i="7"/>
  <c r="I260" i="7"/>
  <c r="E260" i="7"/>
  <c r="F260" i="7"/>
  <c r="E247" i="3"/>
  <c r="H261" i="7"/>
  <c r="K248" i="3" s="1"/>
  <c r="D261" i="7"/>
  <c r="I261" i="7"/>
  <c r="E261" i="7"/>
  <c r="G248" i="3" s="1"/>
  <c r="F261" i="7"/>
  <c r="G261" i="7" s="1"/>
  <c r="I248" i="3" s="1"/>
  <c r="E248" i="3"/>
  <c r="H262" i="7"/>
  <c r="K249" i="3"/>
  <c r="D262" i="7"/>
  <c r="I262" i="7"/>
  <c r="G249" i="3" s="1"/>
  <c r="E262" i="7"/>
  <c r="F262" i="7"/>
  <c r="G262" i="7" s="1"/>
  <c r="I249" i="3" s="1"/>
  <c r="E249" i="3"/>
  <c r="H263" i="7"/>
  <c r="K250" i="3"/>
  <c r="D263" i="7"/>
  <c r="I263" i="7"/>
  <c r="F250" i="3" s="1"/>
  <c r="E263" i="7"/>
  <c r="G250" i="3" s="1"/>
  <c r="F263" i="7"/>
  <c r="H250" i="3"/>
  <c r="E250" i="3"/>
  <c r="H264" i="7"/>
  <c r="K251" i="3"/>
  <c r="D264" i="7"/>
  <c r="I264" i="7"/>
  <c r="F251" i="3" s="1"/>
  <c r="E264" i="7"/>
  <c r="G251" i="3" s="1"/>
  <c r="F264" i="7"/>
  <c r="H251" i="3"/>
  <c r="E251" i="3"/>
  <c r="H265" i="7"/>
  <c r="K252" i="3"/>
  <c r="D265" i="7"/>
  <c r="I265" i="7"/>
  <c r="F252" i="3" s="1"/>
  <c r="E265" i="7"/>
  <c r="G252" i="3" s="1"/>
  <c r="F265" i="7"/>
  <c r="H252" i="3"/>
  <c r="E252" i="3"/>
  <c r="H266" i="7"/>
  <c r="K253" i="3"/>
  <c r="D266" i="7"/>
  <c r="I266" i="7"/>
  <c r="F253" i="3" s="1"/>
  <c r="E266" i="7"/>
  <c r="G253" i="3" s="1"/>
  <c r="F266" i="7"/>
  <c r="H253" i="3"/>
  <c r="E253" i="3"/>
  <c r="H267" i="7"/>
  <c r="K254" i="3"/>
  <c r="D267" i="7"/>
  <c r="I267" i="7"/>
  <c r="F254" i="3" s="1"/>
  <c r="E267" i="7"/>
  <c r="G254" i="3" s="1"/>
  <c r="F267" i="7"/>
  <c r="H254" i="3"/>
  <c r="E254" i="3"/>
  <c r="H268" i="7"/>
  <c r="K255" i="3" s="1"/>
  <c r="D268" i="7"/>
  <c r="I268" i="7"/>
  <c r="E268" i="7"/>
  <c r="F268" i="7"/>
  <c r="G268" i="7"/>
  <c r="E255" i="3"/>
  <c r="H269" i="7"/>
  <c r="K256" i="3" s="1"/>
  <c r="D269" i="7"/>
  <c r="I269" i="7"/>
  <c r="E269" i="7"/>
  <c r="G256" i="3" s="1"/>
  <c r="F269" i="7"/>
  <c r="H256" i="3" s="1"/>
  <c r="E256" i="3"/>
  <c r="K257" i="3"/>
  <c r="H271" i="7"/>
  <c r="K258" i="3" s="1"/>
  <c r="D271" i="7"/>
  <c r="F258" i="3" s="1"/>
  <c r="I271" i="7"/>
  <c r="E271" i="7"/>
  <c r="G258" i="3" s="1"/>
  <c r="F271" i="7"/>
  <c r="E258" i="3"/>
  <c r="H272" i="7"/>
  <c r="K259" i="3" s="1"/>
  <c r="D272" i="7"/>
  <c r="F259" i="3" s="1"/>
  <c r="I272" i="7"/>
  <c r="E272" i="7"/>
  <c r="G259" i="3" s="1"/>
  <c r="F272" i="7"/>
  <c r="H259" i="3" s="1"/>
  <c r="E259" i="3"/>
  <c r="H273" i="7"/>
  <c r="K260" i="3" s="1"/>
  <c r="D273" i="7"/>
  <c r="G273" i="7" s="1"/>
  <c r="I273" i="7"/>
  <c r="F260" i="3"/>
  <c r="E273" i="7"/>
  <c r="G262" i="3" s="1"/>
  <c r="G260" i="3"/>
  <c r="F273" i="7"/>
  <c r="H262" i="3" s="1"/>
  <c r="H260" i="3"/>
  <c r="E260" i="3"/>
  <c r="K261" i="3"/>
  <c r="K262" i="3"/>
  <c r="H276" i="7"/>
  <c r="D276" i="7"/>
  <c r="I276" i="7"/>
  <c r="E276" i="7"/>
  <c r="F276" i="7"/>
  <c r="E263" i="3"/>
  <c r="H277" i="7"/>
  <c r="K264" i="3" s="1"/>
  <c r="D277" i="7"/>
  <c r="M264" i="3" s="1"/>
  <c r="I277" i="7"/>
  <c r="E277" i="7"/>
  <c r="G266" i="3" s="1"/>
  <c r="F277" i="7"/>
  <c r="G277" i="7"/>
  <c r="E264" i="3"/>
  <c r="H278" i="7"/>
  <c r="K265" i="3" s="1"/>
  <c r="D278" i="7"/>
  <c r="I278" i="7"/>
  <c r="E278" i="7"/>
  <c r="F278" i="7"/>
  <c r="G278" i="7"/>
  <c r="I265" i="3" s="1"/>
  <c r="E265" i="3"/>
  <c r="K266" i="3"/>
  <c r="H280" i="7"/>
  <c r="K267" i="3" s="1"/>
  <c r="D280" i="7"/>
  <c r="I280" i="7"/>
  <c r="E280" i="7"/>
  <c r="F280" i="7"/>
  <c r="G280" i="7"/>
  <c r="E267" i="3"/>
  <c r="K268" i="3"/>
  <c r="K269" i="3"/>
  <c r="K270" i="3"/>
  <c r="H284" i="7"/>
  <c r="K271" i="3"/>
  <c r="D284" i="7"/>
  <c r="I284" i="7"/>
  <c r="F271" i="3" s="1"/>
  <c r="E284" i="7"/>
  <c r="F284" i="7"/>
  <c r="H273" i="3" s="1"/>
  <c r="H271" i="3"/>
  <c r="E271" i="3"/>
  <c r="H285" i="7"/>
  <c r="K272" i="3" s="1"/>
  <c r="D285" i="7"/>
  <c r="I285" i="7"/>
  <c r="F272" i="3"/>
  <c r="E285" i="7"/>
  <c r="F285" i="7"/>
  <c r="H274" i="3" s="1"/>
  <c r="E272" i="3"/>
  <c r="K273" i="3"/>
  <c r="K274" i="3"/>
  <c r="K275" i="3"/>
  <c r="H289" i="7"/>
  <c r="K276" i="3" s="1"/>
  <c r="D289" i="7"/>
  <c r="I289" i="7"/>
  <c r="E289" i="7"/>
  <c r="F289" i="7"/>
  <c r="E276" i="3"/>
  <c r="K277" i="3"/>
  <c r="H291" i="7"/>
  <c r="D291" i="7"/>
  <c r="I291" i="7"/>
  <c r="E291" i="7"/>
  <c r="F291" i="7"/>
  <c r="E278" i="3"/>
  <c r="K279" i="3"/>
  <c r="H293" i="7"/>
  <c r="K280" i="3"/>
  <c r="D293" i="7"/>
  <c r="I293" i="7"/>
  <c r="G280" i="3" s="1"/>
  <c r="E293" i="7"/>
  <c r="G282" i="3" s="1"/>
  <c r="F293" i="7"/>
  <c r="G293" i="7" s="1"/>
  <c r="E280" i="3"/>
  <c r="H294" i="7"/>
  <c r="K281" i="3"/>
  <c r="D294" i="7"/>
  <c r="I294" i="7"/>
  <c r="E294" i="7"/>
  <c r="F294" i="7"/>
  <c r="H281" i="3" s="1"/>
  <c r="G294" i="7"/>
  <c r="I281" i="3" s="1"/>
  <c r="E281" i="3"/>
  <c r="K282" i="3"/>
  <c r="H296" i="7"/>
  <c r="K283" i="3" s="1"/>
  <c r="D296" i="7"/>
  <c r="I296" i="7"/>
  <c r="F283" i="3"/>
  <c r="E296" i="7"/>
  <c r="F296" i="7"/>
  <c r="H283" i="3" s="1"/>
  <c r="E283" i="3"/>
  <c r="H297" i="7"/>
  <c r="K284" i="3" s="1"/>
  <c r="D297" i="7"/>
  <c r="I297" i="7"/>
  <c r="E297" i="7"/>
  <c r="G284" i="3" s="1"/>
  <c r="F297" i="7"/>
  <c r="H284" i="3" s="1"/>
  <c r="E284" i="3"/>
  <c r="H298" i="7"/>
  <c r="K285" i="3" s="1"/>
  <c r="D298" i="7"/>
  <c r="I298" i="7"/>
  <c r="E298" i="7"/>
  <c r="G285" i="3" s="1"/>
  <c r="F298" i="7"/>
  <c r="H285" i="3" s="1"/>
  <c r="E285" i="3"/>
  <c r="H299" i="7"/>
  <c r="K286" i="3" s="1"/>
  <c r="D299" i="7"/>
  <c r="F286" i="3" s="1"/>
  <c r="I299" i="7"/>
  <c r="E299" i="7"/>
  <c r="G286" i="3" s="1"/>
  <c r="F299" i="7"/>
  <c r="H286" i="3" s="1"/>
  <c r="E286" i="3"/>
  <c r="H300" i="7"/>
  <c r="K287" i="3" s="1"/>
  <c r="D300" i="7"/>
  <c r="M287" i="3" s="1"/>
  <c r="I300" i="7"/>
  <c r="F287" i="3"/>
  <c r="E300" i="7"/>
  <c r="G287" i="3"/>
  <c r="F300" i="7"/>
  <c r="H287" i="3"/>
  <c r="E287" i="3"/>
  <c r="H301" i="7"/>
  <c r="K288" i="3" s="1"/>
  <c r="D301" i="7"/>
  <c r="I301" i="7"/>
  <c r="E301" i="7"/>
  <c r="G290" i="3" s="1"/>
  <c r="G288" i="3"/>
  <c r="F301" i="7"/>
  <c r="H290" i="3" s="1"/>
  <c r="H288" i="3"/>
  <c r="E288" i="3"/>
  <c r="H302" i="7"/>
  <c r="K289" i="3" s="1"/>
  <c r="D302" i="7"/>
  <c r="F289" i="3" s="1"/>
  <c r="I302" i="7"/>
  <c r="E302" i="7"/>
  <c r="G289" i="3" s="1"/>
  <c r="F302" i="7"/>
  <c r="G302" i="7"/>
  <c r="I289" i="3" s="1"/>
  <c r="E289" i="3"/>
  <c r="K290" i="3"/>
  <c r="H304" i="7"/>
  <c r="K291" i="3" s="1"/>
  <c r="D304" i="7"/>
  <c r="I304" i="7"/>
  <c r="E304" i="7"/>
  <c r="G291" i="3" s="1"/>
  <c r="F304" i="7"/>
  <c r="H291" i="3" s="1"/>
  <c r="E291" i="3"/>
  <c r="H305" i="7"/>
  <c r="K292" i="3"/>
  <c r="D305" i="7"/>
  <c r="I305" i="7"/>
  <c r="F292" i="3" s="1"/>
  <c r="E305" i="7"/>
  <c r="F305" i="7"/>
  <c r="G305" i="7" s="1"/>
  <c r="I292" i="3" s="1"/>
  <c r="E292" i="3"/>
  <c r="H306" i="7"/>
  <c r="K293" i="3"/>
  <c r="D306" i="7"/>
  <c r="I306" i="7"/>
  <c r="F293" i="3" s="1"/>
  <c r="E306" i="7"/>
  <c r="F306" i="7"/>
  <c r="G306" i="7" s="1"/>
  <c r="E293" i="3"/>
  <c r="H307" i="7"/>
  <c r="K294" i="3" s="1"/>
  <c r="D307" i="7"/>
  <c r="I307" i="7"/>
  <c r="E307" i="7"/>
  <c r="F307" i="7"/>
  <c r="E294" i="3"/>
  <c r="K295" i="3"/>
  <c r="H309" i="7"/>
  <c r="K296" i="3" s="1"/>
  <c r="D309" i="7"/>
  <c r="I309" i="7"/>
  <c r="E309" i="7"/>
  <c r="F309" i="7"/>
  <c r="E296" i="3"/>
  <c r="H310" i="7"/>
  <c r="K297" i="3"/>
  <c r="D310" i="7"/>
  <c r="I310" i="7"/>
  <c r="E310" i="7"/>
  <c r="F310" i="7"/>
  <c r="E297" i="3"/>
  <c r="H311" i="7"/>
  <c r="K298" i="3" s="1"/>
  <c r="D311" i="7"/>
  <c r="M298" i="3" s="1"/>
  <c r="I311" i="7"/>
  <c r="E311" i="7"/>
  <c r="F311" i="7"/>
  <c r="E298" i="3"/>
  <c r="H312" i="7"/>
  <c r="K299" i="3"/>
  <c r="D312" i="7"/>
  <c r="I312" i="7"/>
  <c r="E312" i="7"/>
  <c r="F312" i="7"/>
  <c r="E299" i="3"/>
  <c r="K300" i="3"/>
  <c r="H314" i="7"/>
  <c r="K301" i="3" s="1"/>
  <c r="D314" i="7"/>
  <c r="I314" i="7"/>
  <c r="E314" i="7"/>
  <c r="F314" i="7"/>
  <c r="E301" i="3"/>
  <c r="H315" i="7"/>
  <c r="K302" i="3" s="1"/>
  <c r="D315" i="7"/>
  <c r="G315" i="7" s="1"/>
  <c r="I302" i="3" s="1"/>
  <c r="I315" i="7"/>
  <c r="E315" i="7"/>
  <c r="F315" i="7"/>
  <c r="E302" i="3"/>
  <c r="H316" i="7"/>
  <c r="K303" i="3" s="1"/>
  <c r="D316" i="7"/>
  <c r="I316" i="7"/>
  <c r="E316" i="7"/>
  <c r="G305" i="3" s="1"/>
  <c r="F316" i="7"/>
  <c r="H305" i="3" s="1"/>
  <c r="E303" i="3"/>
  <c r="H317" i="7"/>
  <c r="K304" i="3" s="1"/>
  <c r="D317" i="7"/>
  <c r="I317" i="7"/>
  <c r="E317" i="7"/>
  <c r="F317" i="7"/>
  <c r="E304" i="3"/>
  <c r="K305" i="3"/>
  <c r="H319" i="7"/>
  <c r="K306" i="3" s="1"/>
  <c r="D319" i="7"/>
  <c r="I319" i="7"/>
  <c r="E319" i="7"/>
  <c r="F319" i="7"/>
  <c r="E306" i="3"/>
  <c r="H320" i="7"/>
  <c r="K307" i="3" s="1"/>
  <c r="D320" i="7"/>
  <c r="F307" i="3" s="1"/>
  <c r="I320" i="7"/>
  <c r="E320" i="7"/>
  <c r="F320" i="7"/>
  <c r="E307" i="3"/>
  <c r="H321" i="7"/>
  <c r="K308" i="3"/>
  <c r="D321" i="7"/>
  <c r="I321" i="7"/>
  <c r="E321" i="7"/>
  <c r="F321" i="7"/>
  <c r="H308" i="3" s="1"/>
  <c r="E308" i="3"/>
  <c r="H322" i="7"/>
  <c r="K309" i="3" s="1"/>
  <c r="D322" i="7"/>
  <c r="I322" i="7"/>
  <c r="E322" i="7"/>
  <c r="G311" i="3" s="1"/>
  <c r="G309" i="3"/>
  <c r="F322" i="7"/>
  <c r="H309" i="3"/>
  <c r="E309" i="3"/>
  <c r="H323" i="7"/>
  <c r="K310" i="3" s="1"/>
  <c r="D323" i="7"/>
  <c r="I323" i="7"/>
  <c r="E323" i="7"/>
  <c r="F323" i="7"/>
  <c r="H310" i="3"/>
  <c r="E310" i="3"/>
  <c r="K311" i="3"/>
  <c r="H325" i="7"/>
  <c r="K312" i="3"/>
  <c r="D325" i="7"/>
  <c r="I325" i="7"/>
  <c r="F312" i="3" s="1"/>
  <c r="E325" i="7"/>
  <c r="F325" i="7"/>
  <c r="H312" i="3" s="1"/>
  <c r="E312" i="3"/>
  <c r="H326" i="7"/>
  <c r="K313" i="3" s="1"/>
  <c r="D326" i="7"/>
  <c r="I326" i="7"/>
  <c r="E326" i="7"/>
  <c r="G313" i="3" s="1"/>
  <c r="F326" i="7"/>
  <c r="E313" i="3"/>
  <c r="H327" i="7"/>
  <c r="K314" i="3"/>
  <c r="D327" i="7"/>
  <c r="I327" i="7"/>
  <c r="F314" i="3" s="1"/>
  <c r="E327" i="7"/>
  <c r="F327" i="7"/>
  <c r="M314" i="3" s="1"/>
  <c r="E314" i="3"/>
  <c r="H328" i="7"/>
  <c r="K315" i="3" s="1"/>
  <c r="D328" i="7"/>
  <c r="I328" i="7"/>
  <c r="E328" i="7"/>
  <c r="G315" i="3" s="1"/>
  <c r="F328" i="7"/>
  <c r="E315" i="3"/>
  <c r="H330" i="7"/>
  <c r="K317" i="3"/>
  <c r="D330" i="7"/>
  <c r="I330" i="7"/>
  <c r="F317" i="3" s="1"/>
  <c r="E330" i="7"/>
  <c r="F330" i="7"/>
  <c r="G330" i="7" s="1"/>
  <c r="I317" i="3" s="1"/>
  <c r="E317" i="3"/>
  <c r="H331" i="7"/>
  <c r="K318" i="3" s="1"/>
  <c r="D331" i="7"/>
  <c r="I331" i="7"/>
  <c r="E331" i="7"/>
  <c r="G318" i="3" s="1"/>
  <c r="F331" i="7"/>
  <c r="E318" i="3"/>
  <c r="H332" i="7"/>
  <c r="K319" i="3" s="1"/>
  <c r="D332" i="7"/>
  <c r="F319" i="3" s="1"/>
  <c r="I332" i="7"/>
  <c r="E332" i="7"/>
  <c r="F332" i="7"/>
  <c r="E319" i="3"/>
  <c r="H333" i="7"/>
  <c r="K320" i="3" s="1"/>
  <c r="D333" i="7"/>
  <c r="I333" i="7"/>
  <c r="F320" i="3"/>
  <c r="E333" i="7"/>
  <c r="F333" i="7"/>
  <c r="G333" i="7" s="1"/>
  <c r="I320" i="3" s="1"/>
  <c r="E320" i="3"/>
  <c r="K321" i="3"/>
  <c r="H335" i="7"/>
  <c r="K322" i="3" s="1"/>
  <c r="D335" i="7"/>
  <c r="I335" i="7"/>
  <c r="E335" i="7"/>
  <c r="F335" i="7"/>
  <c r="H322" i="3"/>
  <c r="E322" i="3"/>
  <c r="K323" i="3"/>
  <c r="D337" i="7"/>
  <c r="H337" i="7"/>
  <c r="I337" i="7"/>
  <c r="E337" i="7"/>
  <c r="F337" i="7"/>
  <c r="M324" i="3" s="1"/>
  <c r="E324" i="3"/>
  <c r="K324" i="3"/>
  <c r="H338" i="7"/>
  <c r="K325" i="3" s="1"/>
  <c r="D338" i="7"/>
  <c r="I338" i="7"/>
  <c r="F325" i="3"/>
  <c r="E338" i="7"/>
  <c r="F338" i="7"/>
  <c r="G338" i="7" s="1"/>
  <c r="I325" i="3" s="1"/>
  <c r="E325" i="3"/>
  <c r="K326" i="3"/>
  <c r="H340" i="7"/>
  <c r="K327" i="3" s="1"/>
  <c r="D340" i="7"/>
  <c r="M327" i="3" s="1"/>
  <c r="I340" i="7"/>
  <c r="E340" i="7"/>
  <c r="F340" i="7"/>
  <c r="E327" i="3"/>
  <c r="K328" i="3"/>
  <c r="H342" i="7"/>
  <c r="K329" i="3" s="1"/>
  <c r="D342" i="7"/>
  <c r="I342" i="7"/>
  <c r="E342" i="7"/>
  <c r="F342" i="7"/>
  <c r="G342" i="7"/>
  <c r="I329" i="3" s="1"/>
  <c r="E329" i="3"/>
  <c r="D343" i="7"/>
  <c r="F330" i="3" s="1"/>
  <c r="H343" i="7"/>
  <c r="K330" i="3" s="1"/>
  <c r="I343" i="7"/>
  <c r="E343" i="7"/>
  <c r="G330" i="3" s="1"/>
  <c r="F343" i="7"/>
  <c r="H330" i="3" s="1"/>
  <c r="G343" i="7"/>
  <c r="I330" i="3" s="1"/>
  <c r="E330" i="3"/>
  <c r="H344" i="7"/>
  <c r="K331" i="3" s="1"/>
  <c r="D344" i="7"/>
  <c r="I344" i="7"/>
  <c r="F331" i="3"/>
  <c r="E344" i="7"/>
  <c r="G333" i="3" s="1"/>
  <c r="F344" i="7"/>
  <c r="H333" i="3" s="1"/>
  <c r="E331" i="3"/>
  <c r="H345" i="7"/>
  <c r="K332" i="3"/>
  <c r="D345" i="7"/>
  <c r="I345" i="7"/>
  <c r="E345" i="7"/>
  <c r="F345" i="7"/>
  <c r="M332" i="3" s="1"/>
  <c r="E332" i="3"/>
  <c r="K333" i="3"/>
  <c r="H347" i="7"/>
  <c r="K334" i="3" s="1"/>
  <c r="D347" i="7"/>
  <c r="I347" i="7"/>
  <c r="F334" i="3"/>
  <c r="E347" i="7"/>
  <c r="F347" i="7"/>
  <c r="H334" i="3" s="1"/>
  <c r="E334" i="3"/>
  <c r="H348" i="7"/>
  <c r="K335" i="3" s="1"/>
  <c r="D348" i="7"/>
  <c r="I348" i="7"/>
  <c r="E348" i="7"/>
  <c r="F348" i="7"/>
  <c r="E335" i="3"/>
  <c r="H349" i="7"/>
  <c r="K336" i="3"/>
  <c r="D349" i="7"/>
  <c r="I349" i="7"/>
  <c r="F336" i="3" s="1"/>
  <c r="E349" i="7"/>
  <c r="F349" i="7"/>
  <c r="M336" i="3" s="1"/>
  <c r="E336" i="3"/>
  <c r="H350" i="7"/>
  <c r="D350" i="7"/>
  <c r="I350" i="7"/>
  <c r="E350" i="7"/>
  <c r="F350" i="7"/>
  <c r="M337" i="3" s="1"/>
  <c r="E337" i="3"/>
  <c r="H351" i="7"/>
  <c r="K337" i="3" s="1"/>
  <c r="D351" i="7"/>
  <c r="I351" i="7"/>
  <c r="E351" i="7"/>
  <c r="F351" i="7"/>
  <c r="M338" i="3" s="1"/>
  <c r="E338" i="3"/>
  <c r="H352" i="7"/>
  <c r="K338" i="3" s="1"/>
  <c r="D352" i="7"/>
  <c r="I352" i="7"/>
  <c r="E352" i="7"/>
  <c r="F352" i="7"/>
  <c r="E339" i="3"/>
  <c r="H353" i="7"/>
  <c r="K339" i="3" s="1"/>
  <c r="K340" i="3"/>
  <c r="D353" i="7"/>
  <c r="M340" i="3" s="1"/>
  <c r="I353" i="7"/>
  <c r="E353" i="7"/>
  <c r="F353" i="7"/>
  <c r="E340" i="3"/>
  <c r="H355" i="7"/>
  <c r="K341" i="3" s="1"/>
  <c r="D355" i="7"/>
  <c r="I355" i="7"/>
  <c r="E355" i="7"/>
  <c r="F355" i="7"/>
  <c r="E342" i="3"/>
  <c r="H356" i="7"/>
  <c r="D356" i="7"/>
  <c r="I356" i="7"/>
  <c r="E356" i="7"/>
  <c r="G356" i="7" s="1"/>
  <c r="F356" i="7"/>
  <c r="E343" i="3"/>
  <c r="H357" i="7"/>
  <c r="D357" i="7"/>
  <c r="I357" i="7"/>
  <c r="F344" i="3"/>
  <c r="E357" i="7"/>
  <c r="F357" i="7"/>
  <c r="M344" i="3" s="1"/>
  <c r="H344" i="3"/>
  <c r="E344" i="3"/>
  <c r="H358" i="7"/>
  <c r="K345" i="3"/>
  <c r="D358" i="7"/>
  <c r="I358" i="7"/>
  <c r="F345" i="3"/>
  <c r="E358" i="7"/>
  <c r="G345" i="3"/>
  <c r="F358" i="7"/>
  <c r="M345" i="3" s="1"/>
  <c r="H345" i="3"/>
  <c r="G358" i="7"/>
  <c r="E345" i="3"/>
  <c r="H361" i="7"/>
  <c r="K346" i="3" s="1"/>
  <c r="D361" i="7"/>
  <c r="I361" i="7"/>
  <c r="E361" i="7"/>
  <c r="F361" i="7"/>
  <c r="H346" i="3" s="1"/>
  <c r="E347" i="3"/>
  <c r="H362" i="7"/>
  <c r="K347" i="3" s="1"/>
  <c r="D362" i="7"/>
  <c r="I362" i="7"/>
  <c r="E362" i="7"/>
  <c r="F362" i="7"/>
  <c r="E348" i="3"/>
  <c r="H363" i="7"/>
  <c r="K348" i="3" s="1"/>
  <c r="D363" i="7"/>
  <c r="I363" i="7"/>
  <c r="E363" i="7"/>
  <c r="G348" i="3" s="1"/>
  <c r="F363" i="7"/>
  <c r="G363" i="7"/>
  <c r="I348" i="3" s="1"/>
  <c r="E349" i="3"/>
  <c r="H364" i="7"/>
  <c r="K349" i="3" s="1"/>
  <c r="D364" i="7"/>
  <c r="I364" i="7"/>
  <c r="E364" i="7"/>
  <c r="F364" i="7"/>
  <c r="M351" i="3" s="1"/>
  <c r="E350" i="3"/>
  <c r="H365" i="7"/>
  <c r="K350" i="3" s="1"/>
  <c r="D365" i="7"/>
  <c r="I365" i="7"/>
  <c r="E365" i="7"/>
  <c r="F365" i="7"/>
  <c r="H350" i="3" s="1"/>
  <c r="E351" i="3"/>
  <c r="H366" i="7"/>
  <c r="K351" i="3" s="1"/>
  <c r="D366" i="7"/>
  <c r="I366" i="7"/>
  <c r="E366" i="7"/>
  <c r="F366" i="7"/>
  <c r="E352" i="3"/>
  <c r="H367" i="7"/>
  <c r="K352" i="3" s="1"/>
  <c r="D367" i="7"/>
  <c r="I367" i="7"/>
  <c r="E367" i="7"/>
  <c r="F367" i="7"/>
  <c r="M354" i="3" s="1"/>
  <c r="E353" i="3"/>
  <c r="H368" i="7"/>
  <c r="K353" i="3" s="1"/>
  <c r="D368" i="7"/>
  <c r="I368" i="7"/>
  <c r="E368" i="7"/>
  <c r="F368" i="7"/>
  <c r="E354" i="3"/>
  <c r="H369" i="7"/>
  <c r="K354" i="3" s="1"/>
  <c r="D369" i="7"/>
  <c r="I369" i="7"/>
  <c r="E369" i="7"/>
  <c r="F369" i="7"/>
  <c r="H354" i="3" s="1"/>
  <c r="E355" i="3"/>
  <c r="H370" i="7"/>
  <c r="K355" i="3" s="1"/>
  <c r="D370" i="7"/>
  <c r="I370" i="7"/>
  <c r="E370" i="7"/>
  <c r="F370" i="7"/>
  <c r="E356" i="3"/>
  <c r="H371" i="7"/>
  <c r="K356" i="3" s="1"/>
  <c r="D371" i="7"/>
  <c r="M358" i="3" s="1"/>
  <c r="I371" i="7"/>
  <c r="E371" i="7"/>
  <c r="G356" i="3" s="1"/>
  <c r="F371" i="7"/>
  <c r="G371" i="7"/>
  <c r="I356" i="3" s="1"/>
  <c r="E357" i="3"/>
  <c r="H372" i="7"/>
  <c r="K357" i="3" s="1"/>
  <c r="D372" i="7"/>
  <c r="I372" i="7"/>
  <c r="F358" i="3"/>
  <c r="E372" i="7"/>
  <c r="G358" i="3"/>
  <c r="F372" i="7"/>
  <c r="H358" i="3"/>
  <c r="I358" i="3"/>
  <c r="E358" i="3"/>
  <c r="K359" i="3"/>
  <c r="E360" i="3"/>
  <c r="H375" i="7"/>
  <c r="K360" i="3" s="1"/>
  <c r="K361" i="3"/>
  <c r="D375" i="7"/>
  <c r="G375" i="7" s="1"/>
  <c r="I360" i="3" s="1"/>
  <c r="I375" i="7"/>
  <c r="F361" i="3"/>
  <c r="E375" i="7"/>
  <c r="G361" i="3"/>
  <c r="F375" i="7"/>
  <c r="H361" i="3"/>
  <c r="I361" i="3"/>
  <c r="E361" i="3"/>
  <c r="J361" i="3"/>
  <c r="L361" i="3" s="1"/>
  <c r="K362" i="3"/>
  <c r="K363" i="3"/>
  <c r="F363" i="3"/>
  <c r="J363" i="3" s="1"/>
  <c r="G363" i="3"/>
  <c r="H363" i="3"/>
  <c r="I363" i="3"/>
  <c r="E363" i="3"/>
  <c r="K364" i="3"/>
  <c r="K365" i="3"/>
  <c r="H380" i="7"/>
  <c r="K366" i="3"/>
  <c r="D380" i="7"/>
  <c r="G380" i="7" s="1"/>
  <c r="I380" i="7"/>
  <c r="F366" i="3"/>
  <c r="E380" i="7"/>
  <c r="G366" i="3"/>
  <c r="F380" i="7"/>
  <c r="H366" i="3"/>
  <c r="I366" i="3"/>
  <c r="E366" i="3"/>
  <c r="K367" i="3"/>
  <c r="F367" i="3"/>
  <c r="G367" i="3"/>
  <c r="H367" i="3"/>
  <c r="I367" i="3"/>
  <c r="E367" i="3"/>
  <c r="H384" i="7"/>
  <c r="D384" i="7"/>
  <c r="I384" i="7"/>
  <c r="E384" i="7"/>
  <c r="F384" i="7"/>
  <c r="H385" i="7"/>
  <c r="D385" i="7"/>
  <c r="I385" i="7"/>
  <c r="E385" i="7"/>
  <c r="F385" i="7"/>
  <c r="G385" i="7" s="1"/>
  <c r="H386" i="7"/>
  <c r="D386" i="7"/>
  <c r="I386" i="7"/>
  <c r="E386" i="7"/>
  <c r="F386" i="7"/>
  <c r="H387" i="7"/>
  <c r="D387" i="7"/>
  <c r="I387" i="7"/>
  <c r="E387" i="7"/>
  <c r="F387" i="7"/>
  <c r="G387" i="7" s="1"/>
  <c r="I389" i="7"/>
  <c r="E389" i="7"/>
  <c r="H391" i="7"/>
  <c r="D391" i="7"/>
  <c r="I391" i="7"/>
  <c r="E391" i="7"/>
  <c r="F391" i="7"/>
  <c r="G391" i="7"/>
  <c r="H392" i="7"/>
  <c r="D392" i="7"/>
  <c r="I392" i="7"/>
  <c r="E392" i="7"/>
  <c r="G392" i="7" s="1"/>
  <c r="F392" i="7"/>
  <c r="M31" i="3"/>
  <c r="M32" i="3"/>
  <c r="M33" i="3"/>
  <c r="M34" i="3"/>
  <c r="M35" i="3"/>
  <c r="M36" i="3"/>
  <c r="M37" i="3"/>
  <c r="M38" i="3"/>
  <c r="M39" i="3"/>
  <c r="M40" i="3"/>
  <c r="M41" i="3"/>
  <c r="M42" i="3"/>
  <c r="M43" i="3"/>
  <c r="M44" i="3"/>
  <c r="M45" i="3"/>
  <c r="M46" i="3"/>
  <c r="M47" i="3"/>
  <c r="M48" i="3"/>
  <c r="M49" i="3"/>
  <c r="M50" i="3"/>
  <c r="M51" i="3"/>
  <c r="M52" i="3"/>
  <c r="M54" i="3"/>
  <c r="M55" i="3"/>
  <c r="M56" i="3"/>
  <c r="M58" i="3"/>
  <c r="M59" i="3"/>
  <c r="M60" i="3"/>
  <c r="M62" i="3"/>
  <c r="M63" i="3"/>
  <c r="M64" i="3"/>
  <c r="M65" i="3"/>
  <c r="M66" i="3"/>
  <c r="M67" i="3"/>
  <c r="M68" i="3"/>
  <c r="M69" i="3"/>
  <c r="M70" i="3"/>
  <c r="M71" i="3"/>
  <c r="M72" i="3"/>
  <c r="M73" i="3"/>
  <c r="M74" i="3"/>
  <c r="M75" i="3"/>
  <c r="M76" i="3"/>
  <c r="M77" i="3"/>
  <c r="M78" i="3"/>
  <c r="M79" i="3"/>
  <c r="M80" i="3"/>
  <c r="M81" i="3"/>
  <c r="M82" i="3"/>
  <c r="M83" i="3"/>
  <c r="M84" i="3"/>
  <c r="M86" i="3"/>
  <c r="M87" i="3"/>
  <c r="M88"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8" i="3"/>
  <c r="M129" i="3"/>
  <c r="M130" i="3"/>
  <c r="M132" i="3"/>
  <c r="M134" i="3"/>
  <c r="M136" i="3"/>
  <c r="M138" i="3"/>
  <c r="M140" i="3"/>
  <c r="M141" i="3"/>
  <c r="M142" i="3"/>
  <c r="M143" i="3"/>
  <c r="M144" i="3"/>
  <c r="M145" i="3"/>
  <c r="M146" i="3"/>
  <c r="M147" i="3"/>
  <c r="M148" i="3"/>
  <c r="M149" i="3"/>
  <c r="M150" i="3"/>
  <c r="M152" i="3"/>
  <c r="M153" i="3"/>
  <c r="M154" i="3"/>
  <c r="M155" i="3"/>
  <c r="M156" i="3"/>
  <c r="M158" i="3"/>
  <c r="M160" i="3"/>
  <c r="M164" i="3"/>
  <c r="M166" i="3"/>
  <c r="M167" i="3"/>
  <c r="M168" i="3"/>
  <c r="M169" i="3"/>
  <c r="M170" i="3"/>
  <c r="M171" i="3"/>
  <c r="M174" i="3"/>
  <c r="M175" i="3"/>
  <c r="M176" i="3"/>
  <c r="M178" i="3"/>
  <c r="M179" i="3"/>
  <c r="M180" i="3"/>
  <c r="M181" i="3"/>
  <c r="M182" i="3"/>
  <c r="M183" i="3"/>
  <c r="M184" i="3"/>
  <c r="M185" i="3"/>
  <c r="M186" i="3"/>
  <c r="M187" i="3"/>
  <c r="M188" i="3"/>
  <c r="M189" i="3"/>
  <c r="M190" i="3"/>
  <c r="M191" i="3"/>
  <c r="M192" i="3"/>
  <c r="M193" i="3"/>
  <c r="M194" i="3"/>
  <c r="M195" i="3"/>
  <c r="M196" i="3"/>
  <c r="M197" i="3"/>
  <c r="M198" i="3"/>
  <c r="M199" i="3"/>
  <c r="M200" i="3"/>
  <c r="M202" i="3"/>
  <c r="M204" i="3"/>
  <c r="M206" i="3"/>
  <c r="M210" i="3"/>
  <c r="M211" i="3"/>
  <c r="M212" i="3"/>
  <c r="M215" i="3"/>
  <c r="M217" i="3"/>
  <c r="M219" i="3"/>
  <c r="M221" i="3"/>
  <c r="M223" i="3"/>
  <c r="M226" i="3"/>
  <c r="M230" i="3"/>
  <c r="M236" i="3"/>
  <c r="M237" i="3"/>
  <c r="M240" i="3"/>
  <c r="M244" i="3"/>
  <c r="M245" i="3"/>
  <c r="M246" i="3"/>
  <c r="M249" i="3"/>
  <c r="M250" i="3"/>
  <c r="M251" i="3"/>
  <c r="M252" i="3"/>
  <c r="M253" i="3"/>
  <c r="M254" i="3"/>
  <c r="M257" i="3"/>
  <c r="M261" i="3"/>
  <c r="M262" i="3"/>
  <c r="M263" i="3"/>
  <c r="M265" i="3"/>
  <c r="M266" i="3"/>
  <c r="M267" i="3"/>
  <c r="M268" i="3"/>
  <c r="M270" i="3"/>
  <c r="M271" i="3"/>
  <c r="M272" i="3"/>
  <c r="M273" i="3"/>
  <c r="M274" i="3"/>
  <c r="M275" i="3"/>
  <c r="M276" i="3"/>
  <c r="M277" i="3"/>
  <c r="M279" i="3"/>
  <c r="M282" i="3"/>
  <c r="M286" i="3"/>
  <c r="M290" i="3"/>
  <c r="M294" i="3"/>
  <c r="M295" i="3"/>
  <c r="M296" i="3"/>
  <c r="M300" i="3"/>
  <c r="M303" i="3"/>
  <c r="M305" i="3"/>
  <c r="M306" i="3"/>
  <c r="M310" i="3"/>
  <c r="M311" i="3"/>
  <c r="M315" i="3"/>
  <c r="M316" i="3"/>
  <c r="M318" i="3"/>
  <c r="M321" i="3"/>
  <c r="M322" i="3"/>
  <c r="M323" i="3"/>
  <c r="M326" i="3"/>
  <c r="M328" i="3"/>
  <c r="M331" i="3"/>
  <c r="M333" i="3"/>
  <c r="M335" i="3"/>
  <c r="M339" i="3"/>
  <c r="M343" i="3"/>
  <c r="M346" i="3"/>
  <c r="M347" i="3"/>
  <c r="M350" i="3"/>
  <c r="M352" i="3"/>
  <c r="M355" i="3"/>
  <c r="M360" i="3"/>
  <c r="M361" i="3"/>
  <c r="M363" i="3"/>
  <c r="M364" i="3"/>
  <c r="M365" i="3"/>
  <c r="M366" i="3"/>
  <c r="C15" i="7"/>
  <c r="J15" i="7"/>
  <c r="K15" i="7"/>
  <c r="C16" i="7"/>
  <c r="J16" i="7"/>
  <c r="K16" i="7"/>
  <c r="C17" i="7"/>
  <c r="J17" i="7"/>
  <c r="K17" i="7"/>
  <c r="C18" i="7"/>
  <c r="J18" i="7"/>
  <c r="K18" i="7"/>
  <c r="C19" i="7"/>
  <c r="J19" i="7"/>
  <c r="K19" i="7"/>
  <c r="C20" i="7"/>
  <c r="J20" i="7"/>
  <c r="K20" i="7"/>
  <c r="C21" i="7"/>
  <c r="J21" i="7"/>
  <c r="K21" i="7"/>
  <c r="C22" i="7"/>
  <c r="J22" i="7"/>
  <c r="K22" i="7"/>
  <c r="C23" i="7"/>
  <c r="J23" i="7"/>
  <c r="K23" i="7"/>
  <c r="C24" i="7"/>
  <c r="J24" i="7"/>
  <c r="K24" i="7"/>
  <c r="C25" i="7"/>
  <c r="J25" i="7"/>
  <c r="K25" i="7"/>
  <c r="C26" i="7"/>
  <c r="J26" i="7"/>
  <c r="K26" i="7"/>
  <c r="C27" i="7"/>
  <c r="J27" i="7"/>
  <c r="K27" i="7"/>
  <c r="C28" i="7"/>
  <c r="J28" i="7"/>
  <c r="K28" i="7"/>
  <c r="C29" i="7"/>
  <c r="J29" i="7"/>
  <c r="K29" i="7"/>
  <c r="C30" i="7"/>
  <c r="J30" i="7"/>
  <c r="K30" i="7"/>
  <c r="C31" i="7"/>
  <c r="J31" i="7"/>
  <c r="K31" i="7"/>
  <c r="C32" i="7"/>
  <c r="J32" i="7"/>
  <c r="K32" i="7"/>
  <c r="C33" i="7"/>
  <c r="J33" i="7"/>
  <c r="K33" i="7"/>
  <c r="C34" i="7"/>
  <c r="J34" i="7"/>
  <c r="K34" i="7"/>
  <c r="C35" i="7"/>
  <c r="J35" i="7"/>
  <c r="K35" i="7"/>
  <c r="C36" i="7"/>
  <c r="J36" i="7"/>
  <c r="K36" i="7"/>
  <c r="C37" i="7"/>
  <c r="J37" i="7"/>
  <c r="K37" i="7"/>
  <c r="C38" i="7"/>
  <c r="J38" i="7"/>
  <c r="K38" i="7"/>
  <c r="C39" i="7"/>
  <c r="J39" i="7"/>
  <c r="K39" i="7"/>
  <c r="C40" i="7"/>
  <c r="J40" i="7"/>
  <c r="K40" i="7"/>
  <c r="C41" i="7"/>
  <c r="J41" i="7"/>
  <c r="K41" i="7"/>
  <c r="C42" i="7"/>
  <c r="J42" i="7"/>
  <c r="K42" i="7"/>
  <c r="C43" i="7"/>
  <c r="J43" i="7"/>
  <c r="K43" i="7"/>
  <c r="C44" i="7"/>
  <c r="J44" i="7"/>
  <c r="K44" i="7"/>
  <c r="C45" i="7"/>
  <c r="J45" i="7"/>
  <c r="K45" i="7"/>
  <c r="C46" i="7"/>
  <c r="J46" i="7"/>
  <c r="K46" i="7"/>
  <c r="C47" i="7"/>
  <c r="J47" i="7"/>
  <c r="K47" i="7"/>
  <c r="C48" i="7"/>
  <c r="J48" i="7"/>
  <c r="K48" i="7"/>
  <c r="C49" i="7"/>
  <c r="J49" i="7"/>
  <c r="K49" i="7"/>
  <c r="C50" i="7"/>
  <c r="J50" i="7"/>
  <c r="K50" i="7"/>
  <c r="C51" i="7"/>
  <c r="J51" i="7"/>
  <c r="K51" i="7"/>
  <c r="C52" i="7"/>
  <c r="J52" i="7"/>
  <c r="K52" i="7"/>
  <c r="C53" i="7"/>
  <c r="J53" i="7"/>
  <c r="K53" i="7"/>
  <c r="C54" i="7"/>
  <c r="J54" i="7"/>
  <c r="K54" i="7"/>
  <c r="C55" i="7"/>
  <c r="J55" i="7"/>
  <c r="K55" i="7"/>
  <c r="C56" i="7"/>
  <c r="J56" i="7"/>
  <c r="K56" i="7"/>
  <c r="C57" i="7"/>
  <c r="J57" i="7"/>
  <c r="K57" i="7"/>
  <c r="C58" i="7"/>
  <c r="J58" i="7"/>
  <c r="K58" i="7"/>
  <c r="C59" i="7"/>
  <c r="J59" i="7"/>
  <c r="K59" i="7"/>
  <c r="C60" i="7"/>
  <c r="J60" i="7"/>
  <c r="K60" i="7"/>
  <c r="C61" i="7"/>
  <c r="J61" i="7"/>
  <c r="K61" i="7"/>
  <c r="C62" i="7"/>
  <c r="J62" i="7"/>
  <c r="K62" i="7"/>
  <c r="C63" i="7"/>
  <c r="J63" i="7"/>
  <c r="K63" i="7"/>
  <c r="C64" i="7"/>
  <c r="J64" i="7"/>
  <c r="K64" i="7"/>
  <c r="C65" i="7"/>
  <c r="J65" i="7"/>
  <c r="K65" i="7"/>
  <c r="C66" i="7"/>
  <c r="J66" i="7"/>
  <c r="K66" i="7"/>
  <c r="C67" i="7"/>
  <c r="J67" i="7"/>
  <c r="K67" i="7"/>
  <c r="C68" i="7"/>
  <c r="J68" i="7"/>
  <c r="K68" i="7"/>
  <c r="C69" i="7"/>
  <c r="J69" i="7"/>
  <c r="K69" i="7"/>
  <c r="C70" i="7"/>
  <c r="J70" i="7"/>
  <c r="K70" i="7"/>
  <c r="C71" i="7"/>
  <c r="J71" i="7"/>
  <c r="K71" i="7"/>
  <c r="C72" i="7"/>
  <c r="J72" i="7"/>
  <c r="K72" i="7"/>
  <c r="C73" i="7"/>
  <c r="J73" i="7"/>
  <c r="K73" i="7"/>
  <c r="C74" i="7"/>
  <c r="J74" i="7"/>
  <c r="K74" i="7"/>
  <c r="C75" i="7"/>
  <c r="J75" i="7"/>
  <c r="K75" i="7"/>
  <c r="C76" i="7"/>
  <c r="J76" i="7"/>
  <c r="K76" i="7"/>
  <c r="C77" i="7"/>
  <c r="J77" i="7"/>
  <c r="K77" i="7"/>
  <c r="C78" i="7"/>
  <c r="J78" i="7"/>
  <c r="K78" i="7"/>
  <c r="C79" i="7"/>
  <c r="J79" i="7"/>
  <c r="K79" i="7"/>
  <c r="C80" i="7"/>
  <c r="J80" i="7"/>
  <c r="K80" i="7"/>
  <c r="C81" i="7"/>
  <c r="J81" i="7"/>
  <c r="K81" i="7"/>
  <c r="C82" i="7"/>
  <c r="J82" i="7"/>
  <c r="K82" i="7"/>
  <c r="C83" i="7"/>
  <c r="J83" i="7"/>
  <c r="K83" i="7"/>
  <c r="C84" i="7"/>
  <c r="J84" i="7"/>
  <c r="K84" i="7"/>
  <c r="C85" i="7"/>
  <c r="J85" i="7"/>
  <c r="K85" i="7"/>
  <c r="C86" i="7"/>
  <c r="J86" i="7"/>
  <c r="K86" i="7"/>
  <c r="C87" i="7"/>
  <c r="J87" i="7"/>
  <c r="K87" i="7"/>
  <c r="C88" i="7"/>
  <c r="J88" i="7"/>
  <c r="K88" i="7"/>
  <c r="C89" i="7"/>
  <c r="J89" i="7"/>
  <c r="K89" i="7"/>
  <c r="C90" i="7"/>
  <c r="J90" i="7"/>
  <c r="K90" i="7"/>
  <c r="C91" i="7"/>
  <c r="J91" i="7"/>
  <c r="K91" i="7"/>
  <c r="C92" i="7"/>
  <c r="J92" i="7"/>
  <c r="K92" i="7"/>
  <c r="C93" i="7"/>
  <c r="J93" i="7"/>
  <c r="K93" i="7"/>
  <c r="C94" i="7"/>
  <c r="J94" i="7"/>
  <c r="K94" i="7"/>
  <c r="C95" i="7"/>
  <c r="J95" i="7"/>
  <c r="K95" i="7"/>
  <c r="C96" i="7"/>
  <c r="J96" i="7"/>
  <c r="K96" i="7"/>
  <c r="C97" i="7"/>
  <c r="J97" i="7"/>
  <c r="K97" i="7"/>
  <c r="C98" i="7"/>
  <c r="J98" i="7"/>
  <c r="K98" i="7"/>
  <c r="C99" i="7"/>
  <c r="J99" i="7"/>
  <c r="K99" i="7"/>
  <c r="C100" i="7"/>
  <c r="J100" i="7"/>
  <c r="K100" i="7"/>
  <c r="C101" i="7"/>
  <c r="J101" i="7"/>
  <c r="K101" i="7"/>
  <c r="C102" i="7"/>
  <c r="J102" i="7"/>
  <c r="K102" i="7"/>
  <c r="C103" i="7"/>
  <c r="J103" i="7"/>
  <c r="K103" i="7"/>
  <c r="C104" i="7"/>
  <c r="J104" i="7"/>
  <c r="K104" i="7"/>
  <c r="C105" i="7"/>
  <c r="J105" i="7"/>
  <c r="K105" i="7"/>
  <c r="C106" i="7"/>
  <c r="J106" i="7"/>
  <c r="K106" i="7"/>
  <c r="C107" i="7"/>
  <c r="J107" i="7"/>
  <c r="K107" i="7"/>
  <c r="C108" i="7"/>
  <c r="J108" i="7"/>
  <c r="K108" i="7"/>
  <c r="C109" i="7"/>
  <c r="J109" i="7"/>
  <c r="K109" i="7"/>
  <c r="C110" i="7"/>
  <c r="J110" i="7"/>
  <c r="K110" i="7"/>
  <c r="C111" i="7"/>
  <c r="J111" i="7"/>
  <c r="K111" i="7"/>
  <c r="C112" i="7"/>
  <c r="J112" i="7"/>
  <c r="K112" i="7"/>
  <c r="C113" i="7"/>
  <c r="J113" i="7"/>
  <c r="K113" i="7"/>
  <c r="C114" i="7"/>
  <c r="J114" i="7"/>
  <c r="K114" i="7"/>
  <c r="C115" i="7"/>
  <c r="J115" i="7"/>
  <c r="K115" i="7"/>
  <c r="C116" i="7"/>
  <c r="J116" i="7"/>
  <c r="K116" i="7"/>
  <c r="C117" i="7"/>
  <c r="J117" i="7"/>
  <c r="K117" i="7"/>
  <c r="C118" i="7"/>
  <c r="J118" i="7"/>
  <c r="K118" i="7"/>
  <c r="C119" i="7"/>
  <c r="J119" i="7"/>
  <c r="K119" i="7"/>
  <c r="C120" i="7"/>
  <c r="J120" i="7"/>
  <c r="K120" i="7"/>
  <c r="C121" i="7"/>
  <c r="J121" i="7"/>
  <c r="K121" i="7"/>
  <c r="C122" i="7"/>
  <c r="J122" i="7"/>
  <c r="K122" i="7"/>
  <c r="C123" i="7"/>
  <c r="J123" i="7"/>
  <c r="K123" i="7"/>
  <c r="C124" i="7"/>
  <c r="J124" i="7"/>
  <c r="K124" i="7"/>
  <c r="C125" i="7"/>
  <c r="J125" i="7"/>
  <c r="K125" i="7"/>
  <c r="C126" i="7"/>
  <c r="J126" i="7"/>
  <c r="K126" i="7"/>
  <c r="C127" i="7"/>
  <c r="J127" i="7"/>
  <c r="K127" i="7"/>
  <c r="C128" i="7"/>
  <c r="J128" i="7"/>
  <c r="K128" i="7"/>
  <c r="C129" i="7"/>
  <c r="J129" i="7"/>
  <c r="K129" i="7"/>
  <c r="C130" i="7"/>
  <c r="J130" i="7"/>
  <c r="K130" i="7"/>
  <c r="C131" i="7"/>
  <c r="J131" i="7"/>
  <c r="K131" i="7"/>
  <c r="C132" i="7"/>
  <c r="J132" i="7"/>
  <c r="K132" i="7"/>
  <c r="C133" i="7"/>
  <c r="J133" i="7"/>
  <c r="K133" i="7"/>
  <c r="C134" i="7"/>
  <c r="J134" i="7"/>
  <c r="K134" i="7"/>
  <c r="C135" i="7"/>
  <c r="J135" i="7"/>
  <c r="K135" i="7"/>
  <c r="C136" i="7"/>
  <c r="J136" i="7"/>
  <c r="K136" i="7"/>
  <c r="C137" i="7"/>
  <c r="J137" i="7"/>
  <c r="K137" i="7"/>
  <c r="C138" i="7"/>
  <c r="J138" i="7"/>
  <c r="K138" i="7"/>
  <c r="C139" i="7"/>
  <c r="J139" i="7"/>
  <c r="K139" i="7"/>
  <c r="C140" i="7"/>
  <c r="J140" i="7"/>
  <c r="K140" i="7"/>
  <c r="C141" i="7"/>
  <c r="J141" i="7"/>
  <c r="K141" i="7"/>
  <c r="C142" i="7"/>
  <c r="J142" i="7"/>
  <c r="K142" i="7"/>
  <c r="C143" i="7"/>
  <c r="J143" i="7"/>
  <c r="K143" i="7"/>
  <c r="C144" i="7"/>
  <c r="J144" i="7"/>
  <c r="K144" i="7"/>
  <c r="C145" i="7"/>
  <c r="J145" i="7"/>
  <c r="K145" i="7"/>
  <c r="C146" i="7"/>
  <c r="J146" i="7"/>
  <c r="K146" i="7"/>
  <c r="C147" i="7"/>
  <c r="J147" i="7"/>
  <c r="K147" i="7"/>
  <c r="C148" i="7"/>
  <c r="J148" i="7"/>
  <c r="K148" i="7"/>
  <c r="C149" i="7"/>
  <c r="J149" i="7"/>
  <c r="K149" i="7"/>
  <c r="C150" i="7"/>
  <c r="J150" i="7"/>
  <c r="K150" i="7"/>
  <c r="C151" i="7"/>
  <c r="J151" i="7"/>
  <c r="K151" i="7"/>
  <c r="C152" i="7"/>
  <c r="J152" i="7"/>
  <c r="K152" i="7"/>
  <c r="C153" i="7"/>
  <c r="J153" i="7"/>
  <c r="K153" i="7"/>
  <c r="C154" i="7"/>
  <c r="J154" i="7"/>
  <c r="K154" i="7"/>
  <c r="C155" i="7"/>
  <c r="J155" i="7"/>
  <c r="K155" i="7"/>
  <c r="C156" i="7"/>
  <c r="J156" i="7"/>
  <c r="K156" i="7"/>
  <c r="C157" i="7"/>
  <c r="J157" i="7"/>
  <c r="K157" i="7"/>
  <c r="C158" i="7"/>
  <c r="J158" i="7"/>
  <c r="K158" i="7"/>
  <c r="C159" i="7"/>
  <c r="J159" i="7"/>
  <c r="K159" i="7"/>
  <c r="C160" i="7"/>
  <c r="J160" i="7"/>
  <c r="K160" i="7"/>
  <c r="C161" i="7"/>
  <c r="J161" i="7"/>
  <c r="K161" i="7"/>
  <c r="C162" i="7"/>
  <c r="J162" i="7"/>
  <c r="K162" i="7"/>
  <c r="C163" i="7"/>
  <c r="J163" i="7"/>
  <c r="K163" i="7"/>
  <c r="C164" i="7"/>
  <c r="J164" i="7"/>
  <c r="K164" i="7"/>
  <c r="C165" i="7"/>
  <c r="J165" i="7"/>
  <c r="K165" i="7"/>
  <c r="C166" i="7"/>
  <c r="J166" i="7"/>
  <c r="K166" i="7"/>
  <c r="C167" i="7"/>
  <c r="J167" i="7"/>
  <c r="K167" i="7"/>
  <c r="C168" i="7"/>
  <c r="J168" i="7"/>
  <c r="K168" i="7"/>
  <c r="C169" i="7"/>
  <c r="J169" i="7"/>
  <c r="K169" i="7"/>
  <c r="C170" i="7"/>
  <c r="J170" i="7"/>
  <c r="K170" i="7"/>
  <c r="C171" i="7"/>
  <c r="J171" i="7"/>
  <c r="K171" i="7"/>
  <c r="C172" i="7"/>
  <c r="J172" i="7"/>
  <c r="K172" i="7"/>
  <c r="C173" i="7"/>
  <c r="J173" i="7"/>
  <c r="K173" i="7"/>
  <c r="C174" i="7"/>
  <c r="J174" i="7"/>
  <c r="K174" i="7"/>
  <c r="C175" i="7"/>
  <c r="J175" i="7"/>
  <c r="K175" i="7"/>
  <c r="C176" i="7"/>
  <c r="J176" i="7"/>
  <c r="K176" i="7"/>
  <c r="C177" i="7"/>
  <c r="J177" i="7"/>
  <c r="K177" i="7"/>
  <c r="C178" i="7"/>
  <c r="J178" i="7"/>
  <c r="K178" i="7"/>
  <c r="C179" i="7"/>
  <c r="J179" i="7"/>
  <c r="K179" i="7"/>
  <c r="C180" i="7"/>
  <c r="J180" i="7"/>
  <c r="K180" i="7"/>
  <c r="C181" i="7"/>
  <c r="J181" i="7"/>
  <c r="K181" i="7"/>
  <c r="C182" i="7"/>
  <c r="J182" i="7"/>
  <c r="K182" i="7"/>
  <c r="C183" i="7"/>
  <c r="J183" i="7"/>
  <c r="K183" i="7"/>
  <c r="C184" i="7"/>
  <c r="J184" i="7"/>
  <c r="K184" i="7"/>
  <c r="C185" i="7"/>
  <c r="J185" i="7"/>
  <c r="K185" i="7"/>
  <c r="C186" i="7"/>
  <c r="J186" i="7"/>
  <c r="K186" i="7"/>
  <c r="C187" i="7"/>
  <c r="J187" i="7"/>
  <c r="K187" i="7"/>
  <c r="C188" i="7"/>
  <c r="J188" i="7"/>
  <c r="K188" i="7"/>
  <c r="C189" i="7"/>
  <c r="J189" i="7"/>
  <c r="K189" i="7"/>
  <c r="C190" i="7"/>
  <c r="J190" i="7"/>
  <c r="K190" i="7"/>
  <c r="C191" i="7"/>
  <c r="J191" i="7"/>
  <c r="K191" i="7"/>
  <c r="C192" i="7"/>
  <c r="J192" i="7"/>
  <c r="K192" i="7"/>
  <c r="C193" i="7"/>
  <c r="J193" i="7"/>
  <c r="K193" i="7"/>
  <c r="C194" i="7"/>
  <c r="J194" i="7"/>
  <c r="K194" i="7"/>
  <c r="C195" i="7"/>
  <c r="J195" i="7"/>
  <c r="K195" i="7"/>
  <c r="C196" i="7"/>
  <c r="J196" i="7"/>
  <c r="K196" i="7"/>
  <c r="C197" i="7"/>
  <c r="J197" i="7"/>
  <c r="K197" i="7"/>
  <c r="C198" i="7"/>
  <c r="J198" i="7"/>
  <c r="K198" i="7"/>
  <c r="C199" i="7"/>
  <c r="J199" i="7"/>
  <c r="K199" i="7"/>
  <c r="C200" i="7"/>
  <c r="J200" i="7"/>
  <c r="K200" i="7"/>
  <c r="C201" i="7"/>
  <c r="J201" i="7"/>
  <c r="K201" i="7"/>
  <c r="C202" i="7"/>
  <c r="J202" i="7"/>
  <c r="K202" i="7"/>
  <c r="C203" i="7"/>
  <c r="J203" i="7"/>
  <c r="K203" i="7"/>
  <c r="C204" i="7"/>
  <c r="J204" i="7"/>
  <c r="K204" i="7"/>
  <c r="C205" i="7"/>
  <c r="J205" i="7"/>
  <c r="K205" i="7"/>
  <c r="C206" i="7"/>
  <c r="J206" i="7"/>
  <c r="K206" i="7"/>
  <c r="C207" i="7"/>
  <c r="J207" i="7"/>
  <c r="K207" i="7"/>
  <c r="C208" i="7"/>
  <c r="J208" i="7"/>
  <c r="K208" i="7"/>
  <c r="C209" i="7"/>
  <c r="J209" i="7"/>
  <c r="K209" i="7"/>
  <c r="C210" i="7"/>
  <c r="J210" i="7"/>
  <c r="K210" i="7"/>
  <c r="C211" i="7"/>
  <c r="J211" i="7"/>
  <c r="K211" i="7"/>
  <c r="C212" i="7"/>
  <c r="J212" i="7"/>
  <c r="K212" i="7"/>
  <c r="C213" i="7"/>
  <c r="J213" i="7"/>
  <c r="K213" i="7"/>
  <c r="C214" i="7"/>
  <c r="J214" i="7"/>
  <c r="K214" i="7"/>
  <c r="C215" i="7"/>
  <c r="J215" i="7"/>
  <c r="K215" i="7"/>
  <c r="C216" i="7"/>
  <c r="J216" i="7"/>
  <c r="K216" i="7"/>
  <c r="C217" i="7"/>
  <c r="J217" i="7"/>
  <c r="K217" i="7"/>
  <c r="C218" i="7"/>
  <c r="J218" i="7"/>
  <c r="K218" i="7"/>
  <c r="C219" i="7"/>
  <c r="J219" i="7"/>
  <c r="K219" i="7"/>
  <c r="C220" i="7"/>
  <c r="J220" i="7"/>
  <c r="K220" i="7"/>
  <c r="C221" i="7"/>
  <c r="J221" i="7"/>
  <c r="K221" i="7"/>
  <c r="C222" i="7"/>
  <c r="J222" i="7"/>
  <c r="K222" i="7"/>
  <c r="C223" i="7"/>
  <c r="J223" i="7"/>
  <c r="K223" i="7"/>
  <c r="C224" i="7"/>
  <c r="J224" i="7"/>
  <c r="K224" i="7"/>
  <c r="C225" i="7"/>
  <c r="J225" i="7"/>
  <c r="K225" i="7"/>
  <c r="C226" i="7"/>
  <c r="J226" i="7"/>
  <c r="K226" i="7"/>
  <c r="C227" i="7"/>
  <c r="J227" i="7"/>
  <c r="K227" i="7"/>
  <c r="C228" i="7"/>
  <c r="J228" i="7"/>
  <c r="K228" i="7"/>
  <c r="C229" i="7"/>
  <c r="J229" i="7"/>
  <c r="K229" i="7"/>
  <c r="C230" i="7"/>
  <c r="J230" i="7"/>
  <c r="K230" i="7"/>
  <c r="C231" i="7"/>
  <c r="J231" i="7"/>
  <c r="K231" i="7"/>
  <c r="C232" i="7"/>
  <c r="J232" i="7"/>
  <c r="K232" i="7"/>
  <c r="C233" i="7"/>
  <c r="J233" i="7"/>
  <c r="K233" i="7"/>
  <c r="C234" i="7"/>
  <c r="J234" i="7"/>
  <c r="K234" i="7"/>
  <c r="C235" i="7"/>
  <c r="J235" i="7"/>
  <c r="K235" i="7"/>
  <c r="C236" i="7"/>
  <c r="J236" i="7"/>
  <c r="K236" i="7"/>
  <c r="C237" i="7"/>
  <c r="J237" i="7"/>
  <c r="K237" i="7"/>
  <c r="C238" i="7"/>
  <c r="J238" i="7"/>
  <c r="K238" i="7"/>
  <c r="C239" i="7"/>
  <c r="J239" i="7"/>
  <c r="K239" i="7"/>
  <c r="C240" i="7"/>
  <c r="J240" i="7"/>
  <c r="K240" i="7"/>
  <c r="C241" i="7"/>
  <c r="J241" i="7"/>
  <c r="K241" i="7"/>
  <c r="C242" i="7"/>
  <c r="J242" i="7"/>
  <c r="K242" i="7"/>
  <c r="C243" i="7"/>
  <c r="J243" i="7"/>
  <c r="K243" i="7"/>
  <c r="C244" i="7"/>
  <c r="J244" i="7"/>
  <c r="K244" i="7"/>
  <c r="C245" i="7"/>
  <c r="J245" i="7"/>
  <c r="K245" i="7"/>
  <c r="C246" i="7"/>
  <c r="J246" i="7"/>
  <c r="K246" i="7"/>
  <c r="C247" i="7"/>
  <c r="J247" i="7"/>
  <c r="K247" i="7"/>
  <c r="C248" i="7"/>
  <c r="J248" i="7"/>
  <c r="K248" i="7"/>
  <c r="C249" i="7"/>
  <c r="J249" i="7"/>
  <c r="K249" i="7"/>
  <c r="C250" i="7"/>
  <c r="J250" i="7"/>
  <c r="K250" i="7"/>
  <c r="C251" i="7"/>
  <c r="J251" i="7"/>
  <c r="K251" i="7"/>
  <c r="C252" i="7"/>
  <c r="J252" i="7"/>
  <c r="K252" i="7"/>
  <c r="C253" i="7"/>
  <c r="J253" i="7"/>
  <c r="K253" i="7"/>
  <c r="C254" i="7"/>
  <c r="J254" i="7"/>
  <c r="K254" i="7"/>
  <c r="C255" i="7"/>
  <c r="J255" i="7"/>
  <c r="K255" i="7"/>
  <c r="C256" i="7"/>
  <c r="J256" i="7"/>
  <c r="K256" i="7"/>
  <c r="C257" i="7"/>
  <c r="J257" i="7"/>
  <c r="K257" i="7"/>
  <c r="C258" i="7"/>
  <c r="J258" i="7"/>
  <c r="K258" i="7"/>
  <c r="C259" i="7"/>
  <c r="J259" i="7"/>
  <c r="K259" i="7"/>
  <c r="C260" i="7"/>
  <c r="J260" i="7"/>
  <c r="K260" i="7"/>
  <c r="C261" i="7"/>
  <c r="J261" i="7"/>
  <c r="K261" i="7"/>
  <c r="C262" i="7"/>
  <c r="J262" i="7"/>
  <c r="K262" i="7"/>
  <c r="C263" i="7"/>
  <c r="J263" i="7"/>
  <c r="K263" i="7"/>
  <c r="C264" i="7"/>
  <c r="J264" i="7"/>
  <c r="K264" i="7"/>
  <c r="C265" i="7"/>
  <c r="J265" i="7"/>
  <c r="K265" i="7"/>
  <c r="C266" i="7"/>
  <c r="J266" i="7"/>
  <c r="K266" i="7"/>
  <c r="C267" i="7"/>
  <c r="J267" i="7"/>
  <c r="K267" i="7"/>
  <c r="C268" i="7"/>
  <c r="J268" i="7"/>
  <c r="K268" i="7"/>
  <c r="C269" i="7"/>
  <c r="J269" i="7"/>
  <c r="K269" i="7"/>
  <c r="C270" i="7"/>
  <c r="J270" i="7"/>
  <c r="K270" i="7"/>
  <c r="C271" i="7"/>
  <c r="J271" i="7"/>
  <c r="K271" i="7"/>
  <c r="C272" i="7"/>
  <c r="J272" i="7"/>
  <c r="K272" i="7"/>
  <c r="C273" i="7"/>
  <c r="J273" i="7"/>
  <c r="K273" i="7"/>
  <c r="C274" i="7"/>
  <c r="J274" i="7"/>
  <c r="K274" i="7"/>
  <c r="C275" i="7"/>
  <c r="J275" i="7"/>
  <c r="K275" i="7"/>
  <c r="C276" i="7"/>
  <c r="J276" i="7"/>
  <c r="K276" i="7"/>
  <c r="C277" i="7"/>
  <c r="J277" i="7"/>
  <c r="K277" i="7"/>
  <c r="C278" i="7"/>
  <c r="J278" i="7"/>
  <c r="K278" i="7"/>
  <c r="C279" i="7"/>
  <c r="J279" i="7"/>
  <c r="K279" i="7"/>
  <c r="C280" i="7"/>
  <c r="J280" i="7"/>
  <c r="K280" i="7"/>
  <c r="C281" i="7"/>
  <c r="J281" i="7"/>
  <c r="K281" i="7"/>
  <c r="C282" i="7"/>
  <c r="J282" i="7"/>
  <c r="K282" i="7"/>
  <c r="C283" i="7"/>
  <c r="J283" i="7"/>
  <c r="K283" i="7"/>
  <c r="C284" i="7"/>
  <c r="J284" i="7"/>
  <c r="K284" i="7"/>
  <c r="C285" i="7"/>
  <c r="J285" i="7"/>
  <c r="K285" i="7"/>
  <c r="C286" i="7"/>
  <c r="J286" i="7"/>
  <c r="K286" i="7"/>
  <c r="C287" i="7"/>
  <c r="J287" i="7"/>
  <c r="K287" i="7"/>
  <c r="C288" i="7"/>
  <c r="J288" i="7"/>
  <c r="K288" i="7"/>
  <c r="C289" i="7"/>
  <c r="J289" i="7"/>
  <c r="K289" i="7"/>
  <c r="C290" i="7"/>
  <c r="J290" i="7"/>
  <c r="K290" i="7"/>
  <c r="C291" i="7"/>
  <c r="J291" i="7"/>
  <c r="K291" i="7"/>
  <c r="C292" i="7"/>
  <c r="J292" i="7"/>
  <c r="K292" i="7"/>
  <c r="C293" i="7"/>
  <c r="J293" i="7"/>
  <c r="K293" i="7"/>
  <c r="C294" i="7"/>
  <c r="J294" i="7"/>
  <c r="K294" i="7"/>
  <c r="C295" i="7"/>
  <c r="J295" i="7"/>
  <c r="K295" i="7"/>
  <c r="C296" i="7"/>
  <c r="J296" i="7"/>
  <c r="K296" i="7"/>
  <c r="C297" i="7"/>
  <c r="J297" i="7"/>
  <c r="K297" i="7"/>
  <c r="C298" i="7"/>
  <c r="J298" i="7"/>
  <c r="K298" i="7"/>
  <c r="C299" i="7"/>
  <c r="J299" i="7"/>
  <c r="K299" i="7"/>
  <c r="C300" i="7"/>
  <c r="J300" i="7"/>
  <c r="K300" i="7"/>
  <c r="C301" i="7"/>
  <c r="J301" i="7"/>
  <c r="K301" i="7"/>
  <c r="C302" i="7"/>
  <c r="J302" i="7"/>
  <c r="K302" i="7"/>
  <c r="C303" i="7"/>
  <c r="J303" i="7"/>
  <c r="K303" i="7"/>
  <c r="C304" i="7"/>
  <c r="J304" i="7"/>
  <c r="K304" i="7"/>
  <c r="C305" i="7"/>
  <c r="J305" i="7"/>
  <c r="K305" i="7"/>
  <c r="C306" i="7"/>
  <c r="J306" i="7"/>
  <c r="K306" i="7"/>
  <c r="C307" i="7"/>
  <c r="J307" i="7"/>
  <c r="K307" i="7"/>
  <c r="C308" i="7"/>
  <c r="J308" i="7"/>
  <c r="K308" i="7"/>
  <c r="C309" i="7"/>
  <c r="J309" i="7"/>
  <c r="K309" i="7"/>
  <c r="C310" i="7"/>
  <c r="J310" i="7"/>
  <c r="K310" i="7"/>
  <c r="C311" i="7"/>
  <c r="J311" i="7"/>
  <c r="K311" i="7"/>
  <c r="C312" i="7"/>
  <c r="J312" i="7"/>
  <c r="K312" i="7"/>
  <c r="C313" i="7"/>
  <c r="J313" i="7"/>
  <c r="K313" i="7"/>
  <c r="C314" i="7"/>
  <c r="J314" i="7"/>
  <c r="K314" i="7"/>
  <c r="C315" i="7"/>
  <c r="J315" i="7"/>
  <c r="K315" i="7"/>
  <c r="C316" i="7"/>
  <c r="J316" i="7"/>
  <c r="K316" i="7"/>
  <c r="C317" i="7"/>
  <c r="J317" i="7"/>
  <c r="K317" i="7"/>
  <c r="C318" i="7"/>
  <c r="J318" i="7"/>
  <c r="K318" i="7"/>
  <c r="C319" i="7"/>
  <c r="J319" i="7"/>
  <c r="K319" i="7"/>
  <c r="C320" i="7"/>
  <c r="J320" i="7"/>
  <c r="K320" i="7"/>
  <c r="C321" i="7"/>
  <c r="J321" i="7"/>
  <c r="K321" i="7"/>
  <c r="C322" i="7"/>
  <c r="J322" i="7"/>
  <c r="K322" i="7"/>
  <c r="C323" i="7"/>
  <c r="J323" i="7"/>
  <c r="K323" i="7"/>
  <c r="C324" i="7"/>
  <c r="J324" i="7"/>
  <c r="K324" i="7"/>
  <c r="C325" i="7"/>
  <c r="J325" i="7"/>
  <c r="K325" i="7"/>
  <c r="C326" i="7"/>
  <c r="J326" i="7"/>
  <c r="K326" i="7"/>
  <c r="C327" i="7"/>
  <c r="J327" i="7"/>
  <c r="K327" i="7"/>
  <c r="C328" i="7"/>
  <c r="J328" i="7"/>
  <c r="K328" i="7"/>
  <c r="C329" i="7"/>
  <c r="J329" i="7"/>
  <c r="K329" i="7"/>
  <c r="C330" i="7"/>
  <c r="J330" i="7"/>
  <c r="K330" i="7"/>
  <c r="C331" i="7"/>
  <c r="J331" i="7"/>
  <c r="K331" i="7"/>
  <c r="C332" i="7"/>
  <c r="J332" i="7"/>
  <c r="K332" i="7"/>
  <c r="C333" i="7"/>
  <c r="J333" i="7"/>
  <c r="K333" i="7"/>
  <c r="C334" i="7"/>
  <c r="J334" i="7"/>
  <c r="K334" i="7"/>
  <c r="C335" i="7"/>
  <c r="J335" i="7"/>
  <c r="K335" i="7"/>
  <c r="C336" i="7"/>
  <c r="J336" i="7"/>
  <c r="K336" i="7"/>
  <c r="C337" i="7"/>
  <c r="J337" i="7"/>
  <c r="K337" i="7"/>
  <c r="C338" i="7"/>
  <c r="J338" i="7"/>
  <c r="K338" i="7"/>
  <c r="C339" i="7"/>
  <c r="J339" i="7"/>
  <c r="K339" i="7"/>
  <c r="C340" i="7"/>
  <c r="J340" i="7"/>
  <c r="K340" i="7"/>
  <c r="C341" i="7"/>
  <c r="J341" i="7"/>
  <c r="K341" i="7"/>
  <c r="C342" i="7"/>
  <c r="J342" i="7"/>
  <c r="K342" i="7"/>
  <c r="C343" i="7"/>
  <c r="J343" i="7"/>
  <c r="K343" i="7"/>
  <c r="C344" i="7"/>
  <c r="J344" i="7"/>
  <c r="K344" i="7"/>
  <c r="C345" i="7"/>
  <c r="J345" i="7"/>
  <c r="K345" i="7"/>
  <c r="C346" i="7"/>
  <c r="J346" i="7"/>
  <c r="K346" i="7"/>
  <c r="C347" i="7"/>
  <c r="J347" i="7"/>
  <c r="K347" i="7"/>
  <c r="C348" i="7"/>
  <c r="J348" i="7"/>
  <c r="K348" i="7"/>
  <c r="C349" i="7"/>
  <c r="J349" i="7"/>
  <c r="K349" i="7"/>
  <c r="C350" i="7"/>
  <c r="J350" i="7"/>
  <c r="K350" i="7"/>
  <c r="C351" i="7"/>
  <c r="J351" i="7"/>
  <c r="K351" i="7"/>
  <c r="C352" i="7"/>
  <c r="J352" i="7"/>
  <c r="K352" i="7"/>
  <c r="C353" i="7"/>
  <c r="J353" i="7"/>
  <c r="K353" i="7"/>
  <c r="C354" i="7"/>
  <c r="J354" i="7"/>
  <c r="K354" i="7"/>
  <c r="C355" i="7"/>
  <c r="J355" i="7"/>
  <c r="K355" i="7"/>
  <c r="C356" i="7"/>
  <c r="J356" i="7"/>
  <c r="K356" i="7"/>
  <c r="C357" i="7"/>
  <c r="J357" i="7"/>
  <c r="K357" i="7"/>
  <c r="C358" i="7"/>
  <c r="J358" i="7"/>
  <c r="K358" i="7"/>
  <c r="C359" i="7"/>
  <c r="J359" i="7"/>
  <c r="K359" i="7"/>
  <c r="C360" i="7"/>
  <c r="J360" i="7"/>
  <c r="K360" i="7"/>
  <c r="C361" i="7"/>
  <c r="J361" i="7"/>
  <c r="K361" i="7"/>
  <c r="C362" i="7"/>
  <c r="J362" i="7"/>
  <c r="K362" i="7"/>
  <c r="C363" i="7"/>
  <c r="J363" i="7"/>
  <c r="K363" i="7"/>
  <c r="C364" i="7"/>
  <c r="J364" i="7"/>
  <c r="K364" i="7"/>
  <c r="C365" i="7"/>
  <c r="J365" i="7"/>
  <c r="K365" i="7"/>
  <c r="C366" i="7"/>
  <c r="J366" i="7"/>
  <c r="K366" i="7"/>
  <c r="C367" i="7"/>
  <c r="J367" i="7"/>
  <c r="K367" i="7"/>
  <c r="C368" i="7"/>
  <c r="J368" i="7"/>
  <c r="K368" i="7"/>
  <c r="C369" i="7"/>
  <c r="J369" i="7"/>
  <c r="K369" i="7"/>
  <c r="C370" i="7"/>
  <c r="J370" i="7"/>
  <c r="K370" i="7"/>
  <c r="C371" i="7"/>
  <c r="J371" i="7"/>
  <c r="K371" i="7"/>
  <c r="C372" i="7"/>
  <c r="J372" i="7"/>
  <c r="K372" i="7"/>
  <c r="C373" i="7"/>
  <c r="J373" i="7"/>
  <c r="K373" i="7"/>
  <c r="C374" i="7"/>
  <c r="J374" i="7"/>
  <c r="K374" i="7"/>
  <c r="C375" i="7"/>
  <c r="J375" i="7"/>
  <c r="K375" i="7"/>
  <c r="C376" i="7"/>
  <c r="J376" i="7"/>
  <c r="K376" i="7"/>
  <c r="C377" i="7"/>
  <c r="J377" i="7"/>
  <c r="K377" i="7"/>
  <c r="C378" i="7"/>
  <c r="J378" i="7"/>
  <c r="K378" i="7"/>
  <c r="C379" i="7"/>
  <c r="J379" i="7"/>
  <c r="K379" i="7"/>
  <c r="C380" i="7"/>
  <c r="J380" i="7"/>
  <c r="K380" i="7"/>
  <c r="C381" i="7"/>
  <c r="J381" i="7"/>
  <c r="K381" i="7"/>
  <c r="C382" i="7"/>
  <c r="J382" i="7"/>
  <c r="K382" i="7"/>
  <c r="C383" i="7"/>
  <c r="J383" i="7"/>
  <c r="K383" i="7"/>
  <c r="C384" i="7"/>
  <c r="J384" i="7"/>
  <c r="K384" i="7"/>
  <c r="C385" i="7"/>
  <c r="J385" i="7"/>
  <c r="K385" i="7"/>
  <c r="C386" i="7"/>
  <c r="J386" i="7"/>
  <c r="K386" i="7"/>
  <c r="C387" i="7"/>
  <c r="J387" i="7"/>
  <c r="K387" i="7"/>
  <c r="C388" i="7"/>
  <c r="J388" i="7"/>
  <c r="K388" i="7"/>
  <c r="C389" i="7"/>
  <c r="J389" i="7"/>
  <c r="K389" i="7"/>
  <c r="C390" i="7"/>
  <c r="J390" i="7"/>
  <c r="K390" i="7"/>
  <c r="C391" i="7"/>
  <c r="J391" i="7"/>
  <c r="K391" i="7"/>
  <c r="C392" i="7"/>
  <c r="J392" i="7"/>
  <c r="K392" i="7"/>
  <c r="K24" i="10"/>
  <c r="H24" i="10"/>
  <c r="E39" i="8"/>
  <c r="H55" i="12"/>
  <c r="I55" i="12"/>
  <c r="J55" i="12"/>
  <c r="H56" i="12"/>
  <c r="I56" i="12"/>
  <c r="J56" i="12"/>
  <c r="H47" i="12"/>
  <c r="I47" i="12"/>
  <c r="J47" i="12"/>
  <c r="D58" i="12"/>
  <c r="J330" i="3" l="1"/>
  <c r="L330" i="3" s="1"/>
  <c r="G317" i="7"/>
  <c r="M285" i="3"/>
  <c r="G255" i="7"/>
  <c r="I242" i="3" s="1"/>
  <c r="M227" i="3"/>
  <c r="M207" i="3"/>
  <c r="M137" i="3"/>
  <c r="M133" i="3"/>
  <c r="G82" i="3"/>
  <c r="G80" i="3"/>
  <c r="G78" i="3"/>
  <c r="G51" i="3"/>
  <c r="G41" i="3"/>
  <c r="G39" i="3"/>
  <c r="G37" i="3"/>
  <c r="G47" i="7"/>
  <c r="K33" i="3"/>
  <c r="F33" i="3"/>
  <c r="F19" i="3"/>
  <c r="G32" i="7"/>
  <c r="I19" i="3" s="1"/>
  <c r="F14" i="3"/>
  <c r="F6" i="3"/>
  <c r="G19" i="7"/>
  <c r="I6" i="3" s="1"/>
  <c r="M6" i="3"/>
  <c r="L31" i="8"/>
  <c r="J366" i="3"/>
  <c r="L366" i="3" s="1"/>
  <c r="G357" i="7"/>
  <c r="G347" i="7"/>
  <c r="I334" i="3" s="1"/>
  <c r="G304" i="7"/>
  <c r="I291" i="3" s="1"/>
  <c r="M362" i="3"/>
  <c r="M334" i="3"/>
  <c r="M330" i="3"/>
  <c r="M320" i="3"/>
  <c r="M312" i="3"/>
  <c r="M302" i="3"/>
  <c r="M292" i="3"/>
  <c r="M284" i="3"/>
  <c r="M280" i="3"/>
  <c r="M260" i="3"/>
  <c r="M248" i="3"/>
  <c r="M242" i="3"/>
  <c r="M228" i="3"/>
  <c r="M224" i="3"/>
  <c r="M222" i="3"/>
  <c r="M220" i="3"/>
  <c r="M216" i="3"/>
  <c r="M208" i="3"/>
  <c r="G386" i="7"/>
  <c r="G384" i="7"/>
  <c r="J367" i="3"/>
  <c r="H360" i="3"/>
  <c r="G360" i="3"/>
  <c r="M359" i="3"/>
  <c r="G369" i="7"/>
  <c r="I354" i="3" s="1"/>
  <c r="G354" i="3"/>
  <c r="M356" i="3"/>
  <c r="G352" i="3"/>
  <c r="G350" i="3"/>
  <c r="G361" i="7"/>
  <c r="I346" i="3" s="1"/>
  <c r="G346" i="3"/>
  <c r="M348" i="3"/>
  <c r="G353" i="7"/>
  <c r="I339" i="3" s="1"/>
  <c r="G338" i="3"/>
  <c r="G350" i="7"/>
  <c r="F335" i="3"/>
  <c r="H331" i="3"/>
  <c r="F329" i="3"/>
  <c r="H325" i="3"/>
  <c r="F322" i="3"/>
  <c r="G335" i="7"/>
  <c r="I322" i="3" s="1"/>
  <c r="H320" i="3"/>
  <c r="H318" i="3"/>
  <c r="F318" i="3"/>
  <c r="G317" i="3"/>
  <c r="H315" i="3"/>
  <c r="F315" i="3"/>
  <c r="G326" i="7"/>
  <c r="I313" i="3" s="1"/>
  <c r="F313" i="3"/>
  <c r="G312" i="3"/>
  <c r="F310" i="3"/>
  <c r="G323" i="7"/>
  <c r="I310" i="3" s="1"/>
  <c r="F309" i="3"/>
  <c r="F308" i="3"/>
  <c r="H307" i="3"/>
  <c r="F306" i="3"/>
  <c r="G316" i="7"/>
  <c r="G307" i="7"/>
  <c r="I294" i="3" s="1"/>
  <c r="G292" i="3"/>
  <c r="M288" i="3"/>
  <c r="F284" i="3"/>
  <c r="G281" i="3"/>
  <c r="F281" i="3"/>
  <c r="G289" i="7"/>
  <c r="I276" i="3" s="1"/>
  <c r="H272" i="3"/>
  <c r="G265" i="3"/>
  <c r="G264" i="3"/>
  <c r="F263" i="3"/>
  <c r="F256" i="3"/>
  <c r="M256" i="3"/>
  <c r="G267" i="7"/>
  <c r="I254" i="3" s="1"/>
  <c r="G266" i="7"/>
  <c r="I253" i="3" s="1"/>
  <c r="G265" i="7"/>
  <c r="I252" i="3" s="1"/>
  <c r="G264" i="7"/>
  <c r="I251" i="3" s="1"/>
  <c r="G263" i="7"/>
  <c r="I250" i="3" s="1"/>
  <c r="F246" i="3"/>
  <c r="F244" i="3"/>
  <c r="G257" i="7"/>
  <c r="I244" i="3" s="1"/>
  <c r="F243" i="3"/>
  <c r="F238" i="3"/>
  <c r="F237" i="3"/>
  <c r="G249" i="7"/>
  <c r="I236" i="3" s="1"/>
  <c r="F235" i="3"/>
  <c r="G247" i="7"/>
  <c r="I234" i="3" s="1"/>
  <c r="F233" i="3"/>
  <c r="G245" i="7"/>
  <c r="I232" i="3" s="1"/>
  <c r="G231" i="3"/>
  <c r="F231" i="3"/>
  <c r="F230" i="3"/>
  <c r="F226" i="3"/>
  <c r="G224" i="3"/>
  <c r="F224" i="3"/>
  <c r="G236" i="7"/>
  <c r="I223" i="3" s="1"/>
  <c r="G222" i="3"/>
  <c r="F222" i="3"/>
  <c r="G234" i="7"/>
  <c r="I221" i="3" s="1"/>
  <c r="H217" i="3"/>
  <c r="H215" i="3"/>
  <c r="G227" i="7"/>
  <c r="I214" i="3" s="1"/>
  <c r="G213" i="3"/>
  <c r="F213" i="3"/>
  <c r="F210" i="3"/>
  <c r="F205" i="3"/>
  <c r="F204" i="3"/>
  <c r="F203" i="3"/>
  <c r="F202" i="3"/>
  <c r="F201" i="3"/>
  <c r="G200" i="3"/>
  <c r="G199" i="3"/>
  <c r="G198" i="3"/>
  <c r="G197" i="3"/>
  <c r="G196" i="3"/>
  <c r="G195" i="3"/>
  <c r="G194" i="3"/>
  <c r="G193" i="3"/>
  <c r="G192" i="3"/>
  <c r="G191" i="3"/>
  <c r="G190" i="3"/>
  <c r="G189" i="3"/>
  <c r="G188" i="3"/>
  <c r="H184" i="3"/>
  <c r="H183" i="3"/>
  <c r="G179" i="3"/>
  <c r="F173" i="3"/>
  <c r="G181" i="7"/>
  <c r="M162" i="3"/>
  <c r="G166" i="7"/>
  <c r="I153" i="3" s="1"/>
  <c r="F150" i="3"/>
  <c r="G148" i="3"/>
  <c r="F148" i="3"/>
  <c r="F147" i="3"/>
  <c r="G146" i="3"/>
  <c r="F146" i="3"/>
  <c r="G145" i="3"/>
  <c r="F145" i="3"/>
  <c r="G144" i="3"/>
  <c r="F144" i="3"/>
  <c r="G143" i="3"/>
  <c r="F143" i="3"/>
  <c r="G142" i="3"/>
  <c r="F142" i="3"/>
  <c r="G141" i="3"/>
  <c r="F141" i="3"/>
  <c r="F140" i="3"/>
  <c r="F136" i="3"/>
  <c r="F132" i="3"/>
  <c r="F129" i="3"/>
  <c r="G139" i="7"/>
  <c r="H125" i="3"/>
  <c r="G126" i="7"/>
  <c r="I113" i="3" s="1"/>
  <c r="G107" i="7"/>
  <c r="I94" i="3" s="1"/>
  <c r="G92" i="3"/>
  <c r="F92" i="3"/>
  <c r="F91" i="3"/>
  <c r="F86" i="3"/>
  <c r="I85" i="3"/>
  <c r="F74" i="3"/>
  <c r="G85" i="7"/>
  <c r="I72" i="3" s="1"/>
  <c r="F72" i="3"/>
  <c r="G70" i="3"/>
  <c r="F70" i="3"/>
  <c r="F69" i="3"/>
  <c r="G81" i="7"/>
  <c r="I68" i="3" s="1"/>
  <c r="G66" i="3"/>
  <c r="F66" i="3"/>
  <c r="F65" i="3"/>
  <c r="G77" i="7"/>
  <c r="I64" i="3" s="1"/>
  <c r="F62" i="3"/>
  <c r="I61" i="3"/>
  <c r="F58" i="3"/>
  <c r="I57" i="3"/>
  <c r="F54" i="3"/>
  <c r="I53" i="3"/>
  <c r="G62" i="7"/>
  <c r="I49" i="3" s="1"/>
  <c r="F49" i="3"/>
  <c r="G47" i="3"/>
  <c r="F47" i="3"/>
  <c r="F46" i="3"/>
  <c r="G58" i="7"/>
  <c r="I45" i="3" s="1"/>
  <c r="F43" i="3"/>
  <c r="G33" i="3"/>
  <c r="G46" i="7"/>
  <c r="I33" i="3" s="1"/>
  <c r="G19" i="3"/>
  <c r="F9" i="3"/>
  <c r="G22" i="7"/>
  <c r="I9" i="3" s="1"/>
  <c r="M9" i="3"/>
  <c r="G6" i="3"/>
  <c r="F3" i="3"/>
  <c r="G16" i="7"/>
  <c r="I3" i="3" s="1"/>
  <c r="M3" i="3"/>
  <c r="G35" i="3"/>
  <c r="G30" i="3"/>
  <c r="H30" i="3"/>
  <c r="G28" i="3"/>
  <c r="F27" i="3"/>
  <c r="G25" i="3"/>
  <c r="G22" i="3"/>
  <c r="G21" i="3"/>
  <c r="H21" i="3"/>
  <c r="M19" i="3"/>
  <c r="G30" i="7"/>
  <c r="I17" i="3" s="1"/>
  <c r="G15" i="3"/>
  <c r="H15" i="3"/>
  <c r="G27" i="7"/>
  <c r="I14" i="3" s="1"/>
  <c r="G5" i="3"/>
  <c r="H5" i="3"/>
  <c r="G2" i="3"/>
  <c r="H2" i="3"/>
  <c r="M23" i="9"/>
  <c r="N23" i="9" s="1"/>
  <c r="P39" i="9" s="1"/>
  <c r="I275" i="3"/>
  <c r="H275" i="3"/>
  <c r="G382" i="7"/>
  <c r="M369" i="3"/>
  <c r="J368" i="3"/>
  <c r="J365" i="3"/>
  <c r="L365" i="3" s="1"/>
  <c r="G283" i="7"/>
  <c r="I270" i="3" s="1"/>
  <c r="F275" i="3"/>
  <c r="G275" i="3"/>
  <c r="I6" i="8"/>
  <c r="H6" i="8"/>
  <c r="I12" i="8"/>
  <c r="H12" i="8"/>
  <c r="G12" i="8"/>
  <c r="L12" i="8" s="1"/>
  <c r="I14" i="8"/>
  <c r="H14" i="8"/>
  <c r="G389" i="7"/>
  <c r="J364" i="3"/>
  <c r="L364" i="3" s="1"/>
  <c r="G7" i="8"/>
  <c r="L7" i="8" s="1"/>
  <c r="G334" i="7"/>
  <c r="G6" i="8"/>
  <c r="L6" i="8" s="1"/>
  <c r="G169" i="3"/>
  <c r="G31" i="8"/>
  <c r="G286" i="7"/>
  <c r="G14" i="8"/>
  <c r="L14" i="8" s="1"/>
  <c r="G103" i="7"/>
  <c r="G275" i="7"/>
  <c r="F268" i="3"/>
  <c r="G274" i="7"/>
  <c r="M368" i="3"/>
  <c r="G46" i="8"/>
  <c r="I46" i="8"/>
  <c r="G42" i="8"/>
  <c r="I42" i="8"/>
  <c r="I57" i="12"/>
  <c r="J57" i="12"/>
  <c r="H57" i="12"/>
  <c r="I54" i="12"/>
  <c r="J54" i="12"/>
  <c r="H54" i="12"/>
  <c r="I50" i="12"/>
  <c r="J50" i="12"/>
  <c r="I45" i="12"/>
  <c r="J45" i="12"/>
  <c r="M1275" i="9"/>
  <c r="N1275" i="9" s="1"/>
  <c r="M1271" i="9"/>
  <c r="N1271" i="9" s="1"/>
  <c r="G48" i="8"/>
  <c r="I48" i="8"/>
  <c r="G44" i="8"/>
  <c r="I44" i="8"/>
  <c r="I39" i="8" s="1"/>
  <c r="H45" i="12"/>
  <c r="H50" i="12"/>
  <c r="I52" i="12"/>
  <c r="J52" i="12"/>
  <c r="I48" i="12"/>
  <c r="J48" i="12"/>
  <c r="K1275" i="9"/>
  <c r="K1274" i="9"/>
  <c r="M1274" i="9" s="1"/>
  <c r="N1274" i="9" s="1"/>
  <c r="K1273" i="9"/>
  <c r="M1273" i="9" s="1"/>
  <c r="N1273" i="9" s="1"/>
  <c r="K1272" i="9"/>
  <c r="M1272" i="9" s="1"/>
  <c r="N1272" i="9" s="1"/>
  <c r="I46" i="12"/>
  <c r="I49" i="12"/>
  <c r="I51" i="12"/>
  <c r="I53" i="12"/>
  <c r="J25" i="3"/>
  <c r="L25" i="3" s="1"/>
  <c r="J358" i="3"/>
  <c r="L358" i="3" s="1"/>
  <c r="I170" i="3"/>
  <c r="I168" i="3"/>
  <c r="H351" i="3"/>
  <c r="G366" i="7"/>
  <c r="I351" i="3" s="1"/>
  <c r="M353" i="3"/>
  <c r="H341" i="3"/>
  <c r="G355" i="7"/>
  <c r="I341" i="3" s="1"/>
  <c r="G260" i="7"/>
  <c r="I247" i="3" s="1"/>
  <c r="H247" i="3"/>
  <c r="M247" i="3"/>
  <c r="K177" i="3"/>
  <c r="G177" i="3"/>
  <c r="H151" i="3"/>
  <c r="G164" i="7"/>
  <c r="I151" i="3" s="1"/>
  <c r="M151" i="3"/>
  <c r="F2" i="3"/>
  <c r="M2" i="3"/>
  <c r="G15" i="7"/>
  <c r="I2" i="3" s="1"/>
  <c r="H297" i="3"/>
  <c r="M297" i="3"/>
  <c r="G295" i="3"/>
  <c r="G293" i="3"/>
  <c r="I267" i="3"/>
  <c r="I257" i="3"/>
  <c r="I255" i="3"/>
  <c r="G252" i="7"/>
  <c r="I239" i="3" s="1"/>
  <c r="H239" i="3"/>
  <c r="M239" i="3"/>
  <c r="K239" i="3"/>
  <c r="F239" i="3"/>
  <c r="G239" i="3"/>
  <c r="G240" i="3"/>
  <c r="G238" i="3"/>
  <c r="G237" i="3"/>
  <c r="G250" i="7"/>
  <c r="I237" i="3" s="1"/>
  <c r="G248" i="7"/>
  <c r="I235" i="3" s="1"/>
  <c r="M235" i="3"/>
  <c r="G246" i="7"/>
  <c r="I233" i="3" s="1"/>
  <c r="M233" i="3"/>
  <c r="H225" i="3"/>
  <c r="M225" i="3"/>
  <c r="G186" i="3"/>
  <c r="G184" i="3"/>
  <c r="G197" i="7"/>
  <c r="G185" i="3"/>
  <c r="G183" i="3"/>
  <c r="G182" i="3"/>
  <c r="G195" i="7"/>
  <c r="I182" i="3" s="1"/>
  <c r="I181" i="3"/>
  <c r="I179" i="3"/>
  <c r="K175" i="3"/>
  <c r="G175" i="3"/>
  <c r="H175" i="3"/>
  <c r="H166" i="3"/>
  <c r="H164" i="3"/>
  <c r="G177" i="7"/>
  <c r="H160" i="3"/>
  <c r="G173" i="7"/>
  <c r="I160" i="3" s="1"/>
  <c r="H156" i="3"/>
  <c r="G169" i="7"/>
  <c r="I156" i="3" s="1"/>
  <c r="K154" i="3"/>
  <c r="F154" i="3"/>
  <c r="H154" i="3"/>
  <c r="G154" i="3"/>
  <c r="K125" i="3"/>
  <c r="F125" i="3"/>
  <c r="G123" i="3"/>
  <c r="G136" i="7"/>
  <c r="I123" i="3" s="1"/>
  <c r="G119" i="3"/>
  <c r="G132" i="7"/>
  <c r="I119" i="3" s="1"/>
  <c r="G115" i="3"/>
  <c r="G128" i="7"/>
  <c r="I115" i="3" s="1"/>
  <c r="G121" i="7"/>
  <c r="I108" i="3" s="1"/>
  <c r="H108" i="3"/>
  <c r="K75" i="3"/>
  <c r="F75" i="3"/>
  <c r="H75" i="3"/>
  <c r="K32" i="3"/>
  <c r="F32" i="3"/>
  <c r="H32" i="3"/>
  <c r="F15" i="3"/>
  <c r="G28" i="7"/>
  <c r="I15" i="3" s="1"/>
  <c r="M15" i="3"/>
  <c r="G282" i="7"/>
  <c r="I269" i="3" s="1"/>
  <c r="M269" i="3"/>
  <c r="G140" i="7"/>
  <c r="M127" i="3"/>
  <c r="M291" i="3"/>
  <c r="M342" i="3"/>
  <c r="M307" i="3"/>
  <c r="H335" i="3"/>
  <c r="F288" i="3"/>
  <c r="F285" i="3"/>
  <c r="I262" i="3"/>
  <c r="J244" i="3"/>
  <c r="L244" i="3" s="1"/>
  <c r="G242" i="3"/>
  <c r="J242" i="3" s="1"/>
  <c r="L242" i="3" s="1"/>
  <c r="F236" i="3"/>
  <c r="J236" i="3" s="1"/>
  <c r="L236" i="3" s="1"/>
  <c r="G235" i="3"/>
  <c r="F234" i="3"/>
  <c r="J234" i="3" s="1"/>
  <c r="L234" i="3" s="1"/>
  <c r="G233" i="3"/>
  <c r="F232" i="3"/>
  <c r="J232" i="3" s="1"/>
  <c r="L232" i="3" s="1"/>
  <c r="F227" i="3"/>
  <c r="J222" i="3"/>
  <c r="L222" i="3" s="1"/>
  <c r="F207" i="3"/>
  <c r="F155" i="3"/>
  <c r="F137" i="3"/>
  <c r="F133" i="3"/>
  <c r="G316" i="3"/>
  <c r="G314" i="3"/>
  <c r="G322" i="7"/>
  <c r="M309" i="3"/>
  <c r="I295" i="3"/>
  <c r="I293" i="3"/>
  <c r="G273" i="3"/>
  <c r="G271" i="3"/>
  <c r="M259" i="3"/>
  <c r="G272" i="7"/>
  <c r="H258" i="3"/>
  <c r="G271" i="7"/>
  <c r="I258" i="3" s="1"/>
  <c r="M243" i="3"/>
  <c r="G256" i="7"/>
  <c r="G254" i="7"/>
  <c r="I241" i="3" s="1"/>
  <c r="J241" i="3" s="1"/>
  <c r="L241" i="3" s="1"/>
  <c r="M241" i="3"/>
  <c r="H231" i="3"/>
  <c r="G244" i="7"/>
  <c r="I231" i="3" s="1"/>
  <c r="M231" i="3"/>
  <c r="I206" i="3"/>
  <c r="I204" i="3"/>
  <c r="H174" i="3"/>
  <c r="H172" i="3"/>
  <c r="G185" i="7"/>
  <c r="H158" i="3"/>
  <c r="G171" i="7"/>
  <c r="I158" i="3" s="1"/>
  <c r="G121" i="3"/>
  <c r="G134" i="7"/>
  <c r="I121" i="3" s="1"/>
  <c r="G117" i="3"/>
  <c r="G130" i="7"/>
  <c r="I117" i="3" s="1"/>
  <c r="G119" i="7"/>
  <c r="I106" i="3" s="1"/>
  <c r="H106" i="3"/>
  <c r="F5" i="3"/>
  <c r="M5" i="3"/>
  <c r="G18" i="7"/>
  <c r="I5" i="3" s="1"/>
  <c r="G354" i="7"/>
  <c r="I340" i="3" s="1"/>
  <c r="M341" i="3"/>
  <c r="H355" i="3"/>
  <c r="G370" i="7"/>
  <c r="I355" i="3" s="1"/>
  <c r="M357" i="3"/>
  <c r="H347" i="3"/>
  <c r="G362" i="7"/>
  <c r="I347" i="3" s="1"/>
  <c r="M349" i="3"/>
  <c r="H326" i="3"/>
  <c r="H324" i="3"/>
  <c r="H300" i="3"/>
  <c r="H298" i="3"/>
  <c r="G291" i="7"/>
  <c r="I278" i="3" s="1"/>
  <c r="H278" i="3"/>
  <c r="K278" i="3"/>
  <c r="F278" i="3"/>
  <c r="G278" i="3"/>
  <c r="G274" i="3"/>
  <c r="G272" i="3"/>
  <c r="H349" i="3"/>
  <c r="G364" i="7"/>
  <c r="I349" i="3" s="1"/>
  <c r="H329" i="3"/>
  <c r="M329" i="3"/>
  <c r="G314" i="7"/>
  <c r="I301" i="3" s="1"/>
  <c r="M301" i="3"/>
  <c r="H295" i="3"/>
  <c r="H293" i="3"/>
  <c r="M293" i="3"/>
  <c r="H289" i="3"/>
  <c r="J289" i="3" s="1"/>
  <c r="L289" i="3" s="1"/>
  <c r="M289" i="3"/>
  <c r="G231" i="7"/>
  <c r="I218" i="3" s="1"/>
  <c r="H218" i="3"/>
  <c r="K218" i="3"/>
  <c r="F218" i="3"/>
  <c r="G218" i="3"/>
  <c r="G216" i="3"/>
  <c r="G229" i="7"/>
  <c r="I216" i="3" s="1"/>
  <c r="H205" i="3"/>
  <c r="M205" i="3"/>
  <c r="H206" i="3"/>
  <c r="H204" i="3"/>
  <c r="H203" i="3"/>
  <c r="M203" i="3"/>
  <c r="H201" i="3"/>
  <c r="M201" i="3"/>
  <c r="H180" i="3"/>
  <c r="G191" i="7"/>
  <c r="H178" i="3"/>
  <c r="K178" i="3"/>
  <c r="F178" i="3"/>
  <c r="G178" i="3"/>
  <c r="H173" i="3"/>
  <c r="G186" i="7"/>
  <c r="I173" i="3" s="1"/>
  <c r="M173" i="3"/>
  <c r="H163" i="3"/>
  <c r="G176" i="7"/>
  <c r="I163" i="3" s="1"/>
  <c r="M163" i="3"/>
  <c r="H159" i="3"/>
  <c r="G172" i="7"/>
  <c r="I159" i="3" s="1"/>
  <c r="M159" i="3"/>
  <c r="K153" i="3"/>
  <c r="G153" i="3"/>
  <c r="H153" i="3"/>
  <c r="G149" i="3"/>
  <c r="G147" i="3"/>
  <c r="H130" i="3"/>
  <c r="G143" i="7"/>
  <c r="I130" i="3" s="1"/>
  <c r="K130" i="3"/>
  <c r="F130" i="3"/>
  <c r="G93" i="3"/>
  <c r="G106" i="7"/>
  <c r="I93" i="3" s="1"/>
  <c r="F89" i="3"/>
  <c r="M89" i="3"/>
  <c r="K73" i="3"/>
  <c r="F73" i="3"/>
  <c r="H73" i="3"/>
  <c r="G65" i="3"/>
  <c r="G78" i="7"/>
  <c r="I65" i="3" s="1"/>
  <c r="F61" i="3"/>
  <c r="M61" i="3"/>
  <c r="F53" i="3"/>
  <c r="M53" i="3"/>
  <c r="G46" i="3"/>
  <c r="G59" i="7"/>
  <c r="I46" i="3" s="1"/>
  <c r="L367" i="3"/>
  <c r="I304" i="3"/>
  <c r="G372" i="7"/>
  <c r="M232" i="3"/>
  <c r="G365" i="7"/>
  <c r="I350" i="3" s="1"/>
  <c r="G344" i="3"/>
  <c r="J344" i="3" s="1"/>
  <c r="L344" i="3" s="1"/>
  <c r="H336" i="3"/>
  <c r="H332" i="3"/>
  <c r="G329" i="3"/>
  <c r="H327" i="3"/>
  <c r="F324" i="3"/>
  <c r="G332" i="7"/>
  <c r="G331" i="7"/>
  <c r="I318" i="3" s="1"/>
  <c r="J318" i="3" s="1"/>
  <c r="L318" i="3" s="1"/>
  <c r="G328" i="7"/>
  <c r="I315" i="3" s="1"/>
  <c r="J315" i="3" s="1"/>
  <c r="L315" i="3" s="1"/>
  <c r="G327" i="7"/>
  <c r="G325" i="7"/>
  <c r="I312" i="3" s="1"/>
  <c r="J312" i="3" s="1"/>
  <c r="L312" i="3" s="1"/>
  <c r="G310" i="3"/>
  <c r="J310" i="3" s="1"/>
  <c r="G319" i="7"/>
  <c r="I306" i="3" s="1"/>
  <c r="H299" i="3"/>
  <c r="H296" i="3"/>
  <c r="F291" i="3"/>
  <c r="J291" i="3" s="1"/>
  <c r="L291" i="3" s="1"/>
  <c r="M367" i="3"/>
  <c r="M319" i="3"/>
  <c r="M308" i="3"/>
  <c r="M304" i="3"/>
  <c r="M299" i="3"/>
  <c r="M283" i="3"/>
  <c r="M278" i="3"/>
  <c r="M234" i="3"/>
  <c r="L363" i="3"/>
  <c r="G367" i="7"/>
  <c r="I352" i="3" s="1"/>
  <c r="G340" i="3"/>
  <c r="G352" i="7"/>
  <c r="I338" i="3" s="1"/>
  <c r="G349" i="7"/>
  <c r="I336" i="3" s="1"/>
  <c r="G348" i="7"/>
  <c r="I335" i="3" s="1"/>
  <c r="G334" i="3"/>
  <c r="J334" i="3" s="1"/>
  <c r="L334" i="3" s="1"/>
  <c r="G345" i="7"/>
  <c r="I332" i="3" s="1"/>
  <c r="F332" i="3"/>
  <c r="G331" i="3"/>
  <c r="G340" i="7"/>
  <c r="I327" i="3" s="1"/>
  <c r="F327" i="3"/>
  <c r="G325" i="3"/>
  <c r="J325" i="3" s="1"/>
  <c r="L325" i="3" s="1"/>
  <c r="G337" i="7"/>
  <c r="G322" i="3"/>
  <c r="J322" i="3" s="1"/>
  <c r="L322" i="3" s="1"/>
  <c r="G320" i="3"/>
  <c r="J320" i="3" s="1"/>
  <c r="L320" i="3" s="1"/>
  <c r="H319" i="3"/>
  <c r="G308" i="3"/>
  <c r="G307" i="3"/>
  <c r="H306" i="3"/>
  <c r="H304" i="3"/>
  <c r="F304" i="3"/>
  <c r="G303" i="3"/>
  <c r="H302" i="3"/>
  <c r="F302" i="3"/>
  <c r="G301" i="3"/>
  <c r="G312" i="7"/>
  <c r="I299" i="3" s="1"/>
  <c r="F299" i="3"/>
  <c r="G311" i="7"/>
  <c r="F298" i="3"/>
  <c r="G310" i="7"/>
  <c r="I297" i="3" s="1"/>
  <c r="F297" i="3"/>
  <c r="G309" i="7"/>
  <c r="I296" i="3" s="1"/>
  <c r="F296" i="3"/>
  <c r="G294" i="3"/>
  <c r="H292" i="3"/>
  <c r="J292" i="3" s="1"/>
  <c r="L292" i="3" s="1"/>
  <c r="G300" i="7"/>
  <c r="I287" i="3" s="1"/>
  <c r="J287" i="3" s="1"/>
  <c r="L287" i="3" s="1"/>
  <c r="G296" i="7"/>
  <c r="I283" i="3" s="1"/>
  <c r="G276" i="3"/>
  <c r="G284" i="7"/>
  <c r="F267" i="3"/>
  <c r="F255" i="3"/>
  <c r="J254" i="3"/>
  <c r="L254" i="3" s="1"/>
  <c r="G238" i="7"/>
  <c r="I225" i="3" s="1"/>
  <c r="G237" i="7"/>
  <c r="I224" i="3" s="1"/>
  <c r="J224" i="3" s="1"/>
  <c r="L224" i="3" s="1"/>
  <c r="G233" i="7"/>
  <c r="I220" i="3" s="1"/>
  <c r="J220" i="3" s="1"/>
  <c r="L220" i="3" s="1"/>
  <c r="G217" i="3"/>
  <c r="J217" i="3" s="1"/>
  <c r="L217" i="3" s="1"/>
  <c r="G215" i="3"/>
  <c r="J215" i="3" s="1"/>
  <c r="L215" i="3" s="1"/>
  <c r="H214" i="3"/>
  <c r="F214" i="3"/>
  <c r="H202" i="3"/>
  <c r="J199" i="3"/>
  <c r="L199" i="3" s="1"/>
  <c r="J197" i="3"/>
  <c r="L197" i="3" s="1"/>
  <c r="J195" i="3"/>
  <c r="L195" i="3" s="1"/>
  <c r="J193" i="3"/>
  <c r="L193" i="3" s="1"/>
  <c r="J191" i="3"/>
  <c r="L191" i="3" s="1"/>
  <c r="J189" i="3"/>
  <c r="L189" i="3" s="1"/>
  <c r="F175" i="3"/>
  <c r="H337" i="3"/>
  <c r="G351" i="7"/>
  <c r="I337" i="3" s="1"/>
  <c r="I264" i="3"/>
  <c r="K247" i="3"/>
  <c r="F247" i="3"/>
  <c r="G247" i="3"/>
  <c r="G190" i="7"/>
  <c r="I177" i="3" s="1"/>
  <c r="H177" i="3"/>
  <c r="M177" i="3"/>
  <c r="G170" i="3"/>
  <c r="G168" i="3"/>
  <c r="H162" i="3"/>
  <c r="G175" i="7"/>
  <c r="I162" i="3" s="1"/>
  <c r="H112" i="3"/>
  <c r="G123" i="7"/>
  <c r="H110" i="3"/>
  <c r="H268" i="3"/>
  <c r="G279" i="7"/>
  <c r="I268" i="3" s="1"/>
  <c r="H22" i="8"/>
  <c r="I22" i="8"/>
  <c r="G22" i="8"/>
  <c r="L22" i="8" s="1"/>
  <c r="H353" i="3"/>
  <c r="G368" i="7"/>
  <c r="I353" i="3" s="1"/>
  <c r="G326" i="3"/>
  <c r="G324" i="3"/>
  <c r="H317" i="3"/>
  <c r="J317" i="3" s="1"/>
  <c r="L317" i="3" s="1"/>
  <c r="M317" i="3"/>
  <c r="H316" i="3"/>
  <c r="H314" i="3"/>
  <c r="H313" i="3"/>
  <c r="J313" i="3" s="1"/>
  <c r="L313" i="3" s="1"/>
  <c r="M313" i="3"/>
  <c r="G300" i="3"/>
  <c r="G298" i="3"/>
  <c r="I282" i="3"/>
  <c r="I280" i="3"/>
  <c r="H269" i="3"/>
  <c r="H267" i="3"/>
  <c r="G276" i="7"/>
  <c r="I263" i="3" s="1"/>
  <c r="H263" i="3"/>
  <c r="K263" i="3"/>
  <c r="G263" i="3"/>
  <c r="H257" i="3"/>
  <c r="H255" i="3"/>
  <c r="M255" i="3"/>
  <c r="H213" i="3"/>
  <c r="G226" i="7"/>
  <c r="I213" i="3" s="1"/>
  <c r="M213" i="3"/>
  <c r="H212" i="3"/>
  <c r="G225" i="7"/>
  <c r="I212" i="3" s="1"/>
  <c r="G189" i="7"/>
  <c r="I176" i="3" s="1"/>
  <c r="H176" i="3"/>
  <c r="K176" i="3"/>
  <c r="F176" i="3"/>
  <c r="G176" i="3"/>
  <c r="H167" i="3"/>
  <c r="H165" i="3"/>
  <c r="G178" i="7"/>
  <c r="M165" i="3"/>
  <c r="H161" i="3"/>
  <c r="G174" i="7"/>
  <c r="I161" i="3" s="1"/>
  <c r="M161" i="3"/>
  <c r="H157" i="3"/>
  <c r="G170" i="7"/>
  <c r="I157" i="3" s="1"/>
  <c r="M157" i="3"/>
  <c r="K155" i="3"/>
  <c r="G155" i="3"/>
  <c r="H155" i="3"/>
  <c r="H152" i="3"/>
  <c r="H150" i="3"/>
  <c r="G163" i="7"/>
  <c r="I149" i="3"/>
  <c r="I147" i="3"/>
  <c r="G141" i="7"/>
  <c r="I128" i="3" s="1"/>
  <c r="H128" i="3"/>
  <c r="F85" i="3"/>
  <c r="M85" i="3"/>
  <c r="G69" i="3"/>
  <c r="G82" i="7"/>
  <c r="I69" i="3" s="1"/>
  <c r="F57" i="3"/>
  <c r="M57" i="3"/>
  <c r="M258" i="3"/>
  <c r="H340" i="3"/>
  <c r="G336" i="3"/>
  <c r="G335" i="3"/>
  <c r="G332" i="3"/>
  <c r="G327" i="3"/>
  <c r="G319" i="3"/>
  <c r="L310" i="3"/>
  <c r="G321" i="7"/>
  <c r="I308" i="3" s="1"/>
  <c r="G320" i="7"/>
  <c r="I307" i="3" s="1"/>
  <c r="G306" i="3"/>
  <c r="G304" i="3"/>
  <c r="H303" i="3"/>
  <c r="F303" i="3"/>
  <c r="G302" i="3"/>
  <c r="H301" i="3"/>
  <c r="F301" i="3"/>
  <c r="G299" i="3"/>
  <c r="G297" i="3"/>
  <c r="G296" i="3"/>
  <c r="H294" i="3"/>
  <c r="F294" i="3"/>
  <c r="J293" i="3"/>
  <c r="L293" i="3" s="1"/>
  <c r="H276" i="3"/>
  <c r="F276" i="3"/>
  <c r="G285" i="7"/>
  <c r="I260" i="3"/>
  <c r="J260" i="3" s="1"/>
  <c r="L260" i="3" s="1"/>
  <c r="J253" i="3"/>
  <c r="L253" i="3" s="1"/>
  <c r="J251" i="3"/>
  <c r="L251" i="3" s="1"/>
  <c r="G259" i="7"/>
  <c r="I246" i="3" s="1"/>
  <c r="J246" i="3" s="1"/>
  <c r="L246" i="3" s="1"/>
  <c r="G214" i="3"/>
  <c r="J200" i="3"/>
  <c r="L200" i="3" s="1"/>
  <c r="F177" i="3"/>
  <c r="H17" i="8"/>
  <c r="G17" i="8"/>
  <c r="L17" i="8" s="1"/>
  <c r="I17" i="8"/>
  <c r="I30" i="8"/>
  <c r="H30" i="8"/>
  <c r="G30" i="8"/>
  <c r="L30" i="8" s="1"/>
  <c r="H16" i="8"/>
  <c r="G16" i="8"/>
  <c r="L16" i="8" s="1"/>
  <c r="I11" i="8"/>
  <c r="G11" i="8"/>
  <c r="L11" i="8" s="1"/>
  <c r="H11" i="8"/>
  <c r="I21" i="8"/>
  <c r="H21" i="8"/>
  <c r="G21" i="8"/>
  <c r="L21" i="8" s="1"/>
  <c r="G25" i="7"/>
  <c r="M12" i="3"/>
  <c r="G369" i="3"/>
  <c r="H369" i="3"/>
  <c r="K369" i="3"/>
  <c r="H282" i="3"/>
  <c r="H280" i="3"/>
  <c r="G257" i="3"/>
  <c r="G255" i="3"/>
  <c r="H211" i="3"/>
  <c r="G222" i="7"/>
  <c r="H181" i="3"/>
  <c r="H179" i="3"/>
  <c r="G174" i="3"/>
  <c r="G172" i="3"/>
  <c r="G167" i="3"/>
  <c r="G165" i="3"/>
  <c r="G166" i="3"/>
  <c r="G164" i="3"/>
  <c r="G152" i="3"/>
  <c r="G150" i="3"/>
  <c r="H149" i="3"/>
  <c r="H147" i="3"/>
  <c r="G142" i="7"/>
  <c r="I129" i="3" s="1"/>
  <c r="H129" i="3"/>
  <c r="K126" i="3"/>
  <c r="F126" i="3"/>
  <c r="G124" i="3"/>
  <c r="G122" i="3"/>
  <c r="G135" i="7"/>
  <c r="G118" i="3"/>
  <c r="G131" i="7"/>
  <c r="I118" i="3" s="1"/>
  <c r="G114" i="3"/>
  <c r="G127" i="7"/>
  <c r="I114" i="3" s="1"/>
  <c r="H111" i="3"/>
  <c r="G122" i="7"/>
  <c r="H109" i="3"/>
  <c r="G118" i="7"/>
  <c r="I105" i="3" s="1"/>
  <c r="H105" i="3"/>
  <c r="G91" i="3"/>
  <c r="G104" i="7"/>
  <c r="I91" i="3" s="1"/>
  <c r="G94" i="7"/>
  <c r="I81" i="3" s="1"/>
  <c r="H81" i="3"/>
  <c r="G92" i="7"/>
  <c r="I79" i="3" s="1"/>
  <c r="H79" i="3"/>
  <c r="G90" i="7"/>
  <c r="I77" i="3" s="1"/>
  <c r="H77" i="3"/>
  <c r="G67" i="3"/>
  <c r="G80" i="7"/>
  <c r="I67" i="3" s="1"/>
  <c r="K48" i="3"/>
  <c r="F48" i="3"/>
  <c r="H42" i="3"/>
  <c r="G53" i="7"/>
  <c r="H40" i="3"/>
  <c r="G51" i="7"/>
  <c r="I38" i="3" s="1"/>
  <c r="H38" i="3"/>
  <c r="G49" i="7"/>
  <c r="I36" i="3" s="1"/>
  <c r="H36" i="3"/>
  <c r="K20" i="3"/>
  <c r="G20" i="3"/>
  <c r="K17" i="3"/>
  <c r="G17" i="3"/>
  <c r="G29" i="7"/>
  <c r="I16" i="3" s="1"/>
  <c r="H16" i="3"/>
  <c r="M16" i="3"/>
  <c r="K11" i="3"/>
  <c r="G11" i="3"/>
  <c r="G23" i="7"/>
  <c r="I10" i="3" s="1"/>
  <c r="H10" i="3"/>
  <c r="M10" i="3"/>
  <c r="K8" i="3"/>
  <c r="G8" i="3"/>
  <c r="G20" i="7"/>
  <c r="I7" i="3" s="1"/>
  <c r="H7" i="3"/>
  <c r="M7" i="3"/>
  <c r="G17" i="7"/>
  <c r="I4" i="3" s="1"/>
  <c r="M4" i="3"/>
  <c r="H4" i="3"/>
  <c r="F279" i="3"/>
  <c r="F277" i="3"/>
  <c r="G290" i="7"/>
  <c r="M325" i="3"/>
  <c r="M281" i="3"/>
  <c r="H356" i="3"/>
  <c r="G355" i="3"/>
  <c r="H352" i="3"/>
  <c r="G351" i="3"/>
  <c r="H348" i="3"/>
  <c r="G347" i="3"/>
  <c r="G339" i="3"/>
  <c r="H338" i="3"/>
  <c r="G337" i="3"/>
  <c r="G344" i="7"/>
  <c r="G321" i="3"/>
  <c r="H311" i="3"/>
  <c r="G301" i="7"/>
  <c r="G298" i="7"/>
  <c r="I285" i="3" s="1"/>
  <c r="F280" i="3"/>
  <c r="H265" i="3"/>
  <c r="F265" i="3"/>
  <c r="G261" i="3"/>
  <c r="G269" i="7"/>
  <c r="I256" i="3" s="1"/>
  <c r="J256" i="3" s="1"/>
  <c r="L256" i="3" s="1"/>
  <c r="H248" i="3"/>
  <c r="F248" i="3"/>
  <c r="G251" i="7"/>
  <c r="G242" i="7"/>
  <c r="I229" i="3" s="1"/>
  <c r="J229" i="3" s="1"/>
  <c r="L229" i="3" s="1"/>
  <c r="G240" i="7"/>
  <c r="I227" i="3" s="1"/>
  <c r="J223" i="3"/>
  <c r="L223" i="3" s="1"/>
  <c r="J221" i="3"/>
  <c r="L221" i="3" s="1"/>
  <c r="H219" i="3"/>
  <c r="F219" i="3"/>
  <c r="G220" i="7"/>
  <c r="I207" i="3" s="1"/>
  <c r="G205" i="3"/>
  <c r="G203" i="3"/>
  <c r="G201" i="3"/>
  <c r="H187" i="3"/>
  <c r="F187" i="3"/>
  <c r="G196" i="7"/>
  <c r="F179" i="3"/>
  <c r="G173" i="3"/>
  <c r="G163" i="3"/>
  <c r="G162" i="3"/>
  <c r="G161" i="3"/>
  <c r="G160" i="3"/>
  <c r="G159" i="3"/>
  <c r="G158" i="3"/>
  <c r="G157" i="3"/>
  <c r="G156" i="3"/>
  <c r="G151" i="3"/>
  <c r="H148" i="3"/>
  <c r="J148" i="3" s="1"/>
  <c r="L148" i="3" s="1"/>
  <c r="H146" i="3"/>
  <c r="J146" i="3" s="1"/>
  <c r="L146" i="3" s="1"/>
  <c r="H145" i="3"/>
  <c r="J145" i="3" s="1"/>
  <c r="L145" i="3" s="1"/>
  <c r="H144" i="3"/>
  <c r="J144" i="3" s="1"/>
  <c r="L144" i="3" s="1"/>
  <c r="H143" i="3"/>
  <c r="J143" i="3" s="1"/>
  <c r="L143" i="3" s="1"/>
  <c r="H142" i="3"/>
  <c r="J142" i="3" s="1"/>
  <c r="L142" i="3" s="1"/>
  <c r="H141" i="3"/>
  <c r="J141" i="3" s="1"/>
  <c r="L141" i="3" s="1"/>
  <c r="G152" i="7"/>
  <c r="I139" i="3" s="1"/>
  <c r="J139" i="3" s="1"/>
  <c r="L139" i="3" s="1"/>
  <c r="G150" i="7"/>
  <c r="I137" i="3" s="1"/>
  <c r="G148" i="7"/>
  <c r="I135" i="3" s="1"/>
  <c r="J135" i="3" s="1"/>
  <c r="L135" i="3" s="1"/>
  <c r="G146" i="7"/>
  <c r="I133" i="3" s="1"/>
  <c r="G144" i="7"/>
  <c r="I131" i="3" s="1"/>
  <c r="J131" i="3" s="1"/>
  <c r="L131" i="3" s="1"/>
  <c r="J113" i="3"/>
  <c r="L113" i="3" s="1"/>
  <c r="I104" i="3"/>
  <c r="I103" i="3"/>
  <c r="I102" i="3"/>
  <c r="I101" i="3"/>
  <c r="I100" i="3"/>
  <c r="I99" i="3"/>
  <c r="I98" i="3"/>
  <c r="I97" i="3"/>
  <c r="G81" i="3"/>
  <c r="G79" i="3"/>
  <c r="G77" i="3"/>
  <c r="G40" i="3"/>
  <c r="G38" i="3"/>
  <c r="G36" i="3"/>
  <c r="G32" i="3"/>
  <c r="G43" i="7"/>
  <c r="I30" i="3" s="1"/>
  <c r="G37" i="7"/>
  <c r="I24" i="3" s="1"/>
  <c r="J22" i="3"/>
  <c r="L22" i="3" s="1"/>
  <c r="J9" i="3"/>
  <c r="L9" i="3" s="1"/>
  <c r="J6" i="3"/>
  <c r="L6" i="3" s="1"/>
  <c r="G269" i="3"/>
  <c r="G267" i="3"/>
  <c r="H266" i="3"/>
  <c r="H264" i="3"/>
  <c r="G206" i="3"/>
  <c r="G204" i="3"/>
  <c r="H170" i="3"/>
  <c r="H168" i="3"/>
  <c r="G120" i="3"/>
  <c r="G133" i="7"/>
  <c r="I120" i="3" s="1"/>
  <c r="G116" i="3"/>
  <c r="G129" i="7"/>
  <c r="I116" i="3" s="1"/>
  <c r="G120" i="7"/>
  <c r="I107" i="3" s="1"/>
  <c r="H107" i="3"/>
  <c r="K104" i="3"/>
  <c r="H104" i="3"/>
  <c r="H103" i="3"/>
  <c r="K103" i="3"/>
  <c r="K102" i="3"/>
  <c r="H102" i="3"/>
  <c r="H101" i="3"/>
  <c r="K101" i="3"/>
  <c r="K100" i="3"/>
  <c r="H100" i="3"/>
  <c r="H99" i="3"/>
  <c r="K99" i="3"/>
  <c r="K98" i="3"/>
  <c r="H98" i="3"/>
  <c r="H97" i="3"/>
  <c r="K97" i="3"/>
  <c r="K95" i="3"/>
  <c r="F95" i="3"/>
  <c r="G95" i="7"/>
  <c r="I82" i="3" s="1"/>
  <c r="H82" i="3"/>
  <c r="G93" i="7"/>
  <c r="I80" i="3" s="1"/>
  <c r="H80" i="3"/>
  <c r="G91" i="7"/>
  <c r="I78" i="3" s="1"/>
  <c r="H78" i="3"/>
  <c r="G71" i="3"/>
  <c r="G84" i="7"/>
  <c r="I71" i="3" s="1"/>
  <c r="G44" i="3"/>
  <c r="G57" i="7"/>
  <c r="I44" i="3" s="1"/>
  <c r="G54" i="7"/>
  <c r="I41" i="3" s="1"/>
  <c r="H41" i="3"/>
  <c r="G52" i="7"/>
  <c r="I39" i="3" s="1"/>
  <c r="H39" i="3"/>
  <c r="G50" i="7"/>
  <c r="I37" i="3" s="1"/>
  <c r="H37" i="3"/>
  <c r="G48" i="7"/>
  <c r="I35" i="3" s="1"/>
  <c r="H35" i="3"/>
  <c r="K34" i="3"/>
  <c r="F34" i="3"/>
  <c r="G16" i="3"/>
  <c r="F16" i="3"/>
  <c r="G10" i="3"/>
  <c r="F10" i="3"/>
  <c r="G7" i="3"/>
  <c r="F7" i="3"/>
  <c r="G4" i="3"/>
  <c r="F4" i="3"/>
  <c r="G353" i="3"/>
  <c r="G349" i="3"/>
  <c r="J345" i="3"/>
  <c r="L345" i="3" s="1"/>
  <c r="G341" i="3"/>
  <c r="H339" i="3"/>
  <c r="H321" i="3"/>
  <c r="K316" i="3"/>
  <c r="G299" i="7"/>
  <c r="I286" i="3" s="1"/>
  <c r="J286" i="3" s="1"/>
  <c r="L286" i="3" s="1"/>
  <c r="G297" i="7"/>
  <c r="I284" i="3" s="1"/>
  <c r="J284" i="3" s="1"/>
  <c r="L284" i="3" s="1"/>
  <c r="G283" i="3"/>
  <c r="F264" i="3"/>
  <c r="J252" i="3"/>
  <c r="L252" i="3" s="1"/>
  <c r="J250" i="3"/>
  <c r="L250" i="3" s="1"/>
  <c r="H249" i="3"/>
  <c r="F249" i="3"/>
  <c r="G243" i="7"/>
  <c r="I230" i="3" s="1"/>
  <c r="J230" i="3" s="1"/>
  <c r="L230" i="3" s="1"/>
  <c r="G241" i="7"/>
  <c r="I228" i="3" s="1"/>
  <c r="J228" i="3" s="1"/>
  <c r="L228" i="3" s="1"/>
  <c r="G239" i="7"/>
  <c r="I226" i="3" s="1"/>
  <c r="J226" i="3" s="1"/>
  <c r="L226" i="3" s="1"/>
  <c r="G225" i="3"/>
  <c r="G223" i="7"/>
  <c r="I210" i="3" s="1"/>
  <c r="J210" i="3" s="1"/>
  <c r="L210" i="3" s="1"/>
  <c r="G221" i="7"/>
  <c r="I208" i="3" s="1"/>
  <c r="J208" i="3" s="1"/>
  <c r="L208" i="3" s="1"/>
  <c r="G202" i="3"/>
  <c r="J198" i="3"/>
  <c r="L198" i="3" s="1"/>
  <c r="J196" i="3"/>
  <c r="L196" i="3" s="1"/>
  <c r="J194" i="3"/>
  <c r="L194" i="3" s="1"/>
  <c r="J192" i="3"/>
  <c r="L192" i="3" s="1"/>
  <c r="J190" i="3"/>
  <c r="L190" i="3" s="1"/>
  <c r="H188" i="3"/>
  <c r="F188" i="3"/>
  <c r="F165" i="3"/>
  <c r="F164" i="3"/>
  <c r="F163" i="3"/>
  <c r="F162" i="3"/>
  <c r="F161" i="3"/>
  <c r="F160" i="3"/>
  <c r="F159" i="3"/>
  <c r="F158" i="3"/>
  <c r="F157" i="3"/>
  <c r="F156" i="3"/>
  <c r="G153" i="7"/>
  <c r="I140" i="3" s="1"/>
  <c r="J140" i="3" s="1"/>
  <c r="L140" i="3" s="1"/>
  <c r="G151" i="7"/>
  <c r="I138" i="3" s="1"/>
  <c r="J138" i="3" s="1"/>
  <c r="L138" i="3" s="1"/>
  <c r="G149" i="7"/>
  <c r="I136" i="3" s="1"/>
  <c r="J136" i="3" s="1"/>
  <c r="L136" i="3" s="1"/>
  <c r="G147" i="7"/>
  <c r="I134" i="3" s="1"/>
  <c r="J134" i="3" s="1"/>
  <c r="L134" i="3" s="1"/>
  <c r="G145" i="7"/>
  <c r="I132" i="3" s="1"/>
  <c r="J132" i="3" s="1"/>
  <c r="L132" i="3" s="1"/>
  <c r="G130" i="3"/>
  <c r="G75" i="3"/>
  <c r="G73" i="3"/>
  <c r="G110" i="3"/>
  <c r="K110" i="3"/>
  <c r="G109" i="3"/>
  <c r="K109" i="3"/>
  <c r="G108" i="3"/>
  <c r="K108" i="3"/>
  <c r="G107" i="3"/>
  <c r="K107" i="3"/>
  <c r="G106" i="3"/>
  <c r="K106" i="3"/>
  <c r="G105" i="3"/>
  <c r="K105" i="3"/>
  <c r="F30" i="3"/>
  <c r="J30" i="3" s="1"/>
  <c r="M30" i="3"/>
  <c r="G42" i="7"/>
  <c r="I29" i="3" s="1"/>
  <c r="H29" i="3"/>
  <c r="M29" i="3"/>
  <c r="G26" i="3"/>
  <c r="F26" i="3"/>
  <c r="F24" i="3"/>
  <c r="M24" i="3"/>
  <c r="G36" i="7"/>
  <c r="I23" i="3" s="1"/>
  <c r="M23" i="3"/>
  <c r="H23" i="3"/>
  <c r="F18" i="3"/>
  <c r="J18" i="3" s="1"/>
  <c r="M18" i="3"/>
  <c r="G13" i="3"/>
  <c r="F13" i="3"/>
  <c r="G279" i="3"/>
  <c r="G277" i="3"/>
  <c r="H261" i="3"/>
  <c r="G103" i="3"/>
  <c r="G101" i="3"/>
  <c r="G99" i="3"/>
  <c r="G97" i="3"/>
  <c r="H96" i="3"/>
  <c r="J96" i="3" s="1"/>
  <c r="L96" i="3" s="1"/>
  <c r="I95" i="3"/>
  <c r="H74" i="3"/>
  <c r="I73" i="3"/>
  <c r="J72" i="3"/>
  <c r="L72" i="3" s="1"/>
  <c r="J68" i="3"/>
  <c r="L68" i="3" s="1"/>
  <c r="J64" i="3"/>
  <c r="L64" i="3" s="1"/>
  <c r="J47" i="3"/>
  <c r="L47" i="3" s="1"/>
  <c r="I34" i="3"/>
  <c r="J33" i="3"/>
  <c r="L33" i="3" s="1"/>
  <c r="H31" i="3"/>
  <c r="J28" i="3"/>
  <c r="F17" i="3"/>
  <c r="F11" i="3"/>
  <c r="E32" i="8"/>
  <c r="I55" i="8" s="1"/>
  <c r="H127" i="3"/>
  <c r="G138" i="7"/>
  <c r="G64" i="7"/>
  <c r="I51" i="3" s="1"/>
  <c r="H51" i="3"/>
  <c r="G29" i="3"/>
  <c r="F29" i="3"/>
  <c r="G39" i="7"/>
  <c r="I26" i="3" s="1"/>
  <c r="H26" i="3"/>
  <c r="M26" i="3"/>
  <c r="G23" i="3"/>
  <c r="F23" i="3"/>
  <c r="F21" i="3"/>
  <c r="J21" i="3" s="1"/>
  <c r="M21" i="3"/>
  <c r="G26" i="7"/>
  <c r="I13" i="3" s="1"/>
  <c r="H13" i="3"/>
  <c r="M13" i="3"/>
  <c r="F323" i="3"/>
  <c r="H323" i="3"/>
  <c r="H171" i="3"/>
  <c r="G182" i="7"/>
  <c r="H169" i="3"/>
  <c r="H270" i="3"/>
  <c r="G270" i="3"/>
  <c r="F270" i="3"/>
  <c r="I126" i="3"/>
  <c r="G104" i="3"/>
  <c r="G102" i="3"/>
  <c r="G100" i="3"/>
  <c r="G98" i="3"/>
  <c r="J94" i="3"/>
  <c r="L94" i="3" s="1"/>
  <c r="I75" i="3"/>
  <c r="J70" i="3"/>
  <c r="L70" i="3" s="1"/>
  <c r="J66" i="3"/>
  <c r="L66" i="3" s="1"/>
  <c r="J49" i="3"/>
  <c r="L49" i="3" s="1"/>
  <c r="I32" i="3"/>
  <c r="J31" i="3"/>
  <c r="L31" i="3" s="1"/>
  <c r="F20" i="3"/>
  <c r="J19" i="3"/>
  <c r="L19" i="3" s="1"/>
  <c r="F8" i="3"/>
  <c r="J3" i="3"/>
  <c r="L3" i="3" s="1"/>
  <c r="J275" i="3"/>
  <c r="J23" i="8" s="1"/>
  <c r="L368" i="3"/>
  <c r="H90" i="3"/>
  <c r="I76" i="3"/>
  <c r="I50" i="3"/>
  <c r="G50" i="3"/>
  <c r="H12" i="3"/>
  <c r="G328" i="3"/>
  <c r="G51" i="8"/>
  <c r="G49" i="8"/>
  <c r="G112" i="3"/>
  <c r="G111" i="3"/>
  <c r="H89" i="3"/>
  <c r="H88" i="3"/>
  <c r="H87" i="3"/>
  <c r="J87" i="3" s="1"/>
  <c r="L87" i="3" s="1"/>
  <c r="H86" i="3"/>
  <c r="J86" i="3" s="1"/>
  <c r="L86" i="3" s="1"/>
  <c r="H85" i="3"/>
  <c r="J85" i="3" s="1"/>
  <c r="L85" i="3" s="1"/>
  <c r="H84" i="3"/>
  <c r="J84" i="3" s="1"/>
  <c r="L84" i="3" s="1"/>
  <c r="H83" i="3"/>
  <c r="J83" i="3" s="1"/>
  <c r="L83" i="3" s="1"/>
  <c r="K82" i="3"/>
  <c r="K81" i="3"/>
  <c r="K80" i="3"/>
  <c r="K79" i="3"/>
  <c r="K78" i="3"/>
  <c r="K77" i="3"/>
  <c r="I74" i="3"/>
  <c r="G74" i="3"/>
  <c r="H63" i="3"/>
  <c r="J63" i="3" s="1"/>
  <c r="L63" i="3" s="1"/>
  <c r="H62" i="3"/>
  <c r="J62" i="3" s="1"/>
  <c r="L62" i="3" s="1"/>
  <c r="H61" i="3"/>
  <c r="J61" i="3" s="1"/>
  <c r="L61" i="3" s="1"/>
  <c r="H60" i="3"/>
  <c r="J60" i="3" s="1"/>
  <c r="L60" i="3" s="1"/>
  <c r="H59" i="3"/>
  <c r="J59" i="3" s="1"/>
  <c r="H58" i="3"/>
  <c r="J58" i="3" s="1"/>
  <c r="L58" i="3" s="1"/>
  <c r="H57" i="3"/>
  <c r="H56" i="3"/>
  <c r="J56" i="3" s="1"/>
  <c r="L56" i="3" s="1"/>
  <c r="H55" i="3"/>
  <c r="J55" i="3" s="1"/>
  <c r="L55" i="3" s="1"/>
  <c r="H54" i="3"/>
  <c r="J54" i="3" s="1"/>
  <c r="L54" i="3" s="1"/>
  <c r="H53" i="3"/>
  <c r="H52" i="3"/>
  <c r="J52" i="3" s="1"/>
  <c r="L52" i="3" s="1"/>
  <c r="K51" i="3"/>
  <c r="I48" i="3"/>
  <c r="G48" i="3"/>
  <c r="H43" i="3"/>
  <c r="J43" i="3" s="1"/>
  <c r="L43" i="3" s="1"/>
  <c r="K41" i="3"/>
  <c r="K40" i="3"/>
  <c r="K39" i="3"/>
  <c r="K38" i="3"/>
  <c r="K37" i="3"/>
  <c r="K36" i="3"/>
  <c r="K35" i="3"/>
  <c r="K30" i="3"/>
  <c r="H27" i="3"/>
  <c r="J27" i="3" s="1"/>
  <c r="L27" i="3" s="1"/>
  <c r="K24" i="3"/>
  <c r="K21" i="3"/>
  <c r="M20" i="3"/>
  <c r="H20" i="3"/>
  <c r="K18" i="3"/>
  <c r="M17" i="3"/>
  <c r="H17" i="3"/>
  <c r="M14" i="3"/>
  <c r="H14" i="3"/>
  <c r="J14" i="3" s="1"/>
  <c r="L14" i="3" s="1"/>
  <c r="M11" i="3"/>
  <c r="H11" i="3"/>
  <c r="H8" i="3"/>
  <c r="K5" i="3"/>
  <c r="K2" i="3"/>
  <c r="H328" i="3"/>
  <c r="F328" i="3"/>
  <c r="G171" i="3"/>
  <c r="F171" i="3"/>
  <c r="G125" i="3"/>
  <c r="H124" i="3"/>
  <c r="J92" i="3"/>
  <c r="L92" i="3" s="1"/>
  <c r="G101" i="7"/>
  <c r="G90" i="3"/>
  <c r="H76" i="3"/>
  <c r="H50" i="3"/>
  <c r="J45" i="3"/>
  <c r="L45" i="3" s="1"/>
  <c r="L28" i="3"/>
  <c r="M27" i="3"/>
  <c r="K15" i="3"/>
  <c r="G24" i="7"/>
  <c r="M8" i="3"/>
  <c r="G339" i="7"/>
  <c r="I328" i="3" s="1"/>
  <c r="H277" i="3"/>
  <c r="G268" i="3"/>
  <c r="I3" i="8"/>
  <c r="J281" i="3"/>
  <c r="L281" i="3" s="1"/>
  <c r="L59" i="3"/>
  <c r="F338" i="3"/>
  <c r="F337" i="3"/>
  <c r="I343" i="3"/>
  <c r="H343" i="3"/>
  <c r="G343" i="3"/>
  <c r="K343" i="3"/>
  <c r="I342" i="3"/>
  <c r="H342" i="3"/>
  <c r="G342" i="3"/>
  <c r="K342" i="3"/>
  <c r="I357" i="3"/>
  <c r="I359" i="3"/>
  <c r="H357" i="3"/>
  <c r="H359" i="3"/>
  <c r="G357" i="3"/>
  <c r="G359" i="3"/>
  <c r="F359" i="3"/>
  <c r="F333" i="3"/>
  <c r="F326" i="3"/>
  <c r="F321" i="3"/>
  <c r="F316" i="3"/>
  <c r="F311" i="3"/>
  <c r="F305" i="3"/>
  <c r="F300" i="3"/>
  <c r="F295" i="3"/>
  <c r="F290" i="3"/>
  <c r="F282" i="3"/>
  <c r="F274" i="3"/>
  <c r="F273" i="3"/>
  <c r="F269" i="3"/>
  <c r="F266" i="3"/>
  <c r="F262" i="3"/>
  <c r="F261" i="3"/>
  <c r="F257" i="3"/>
  <c r="F245" i="3"/>
  <c r="F240" i="3"/>
  <c r="F211" i="3"/>
  <c r="F206" i="3"/>
  <c r="F186" i="3"/>
  <c r="F185" i="3"/>
  <c r="F181" i="3"/>
  <c r="F180" i="3"/>
  <c r="F174" i="3"/>
  <c r="F170" i="3"/>
  <c r="F167" i="3"/>
  <c r="F166" i="3"/>
  <c r="F152" i="3"/>
  <c r="F149" i="3"/>
  <c r="F127" i="3"/>
  <c r="F124" i="3"/>
  <c r="F112" i="3"/>
  <c r="F111" i="3"/>
  <c r="F90" i="3"/>
  <c r="F76" i="3"/>
  <c r="F50" i="3"/>
  <c r="F42" i="3"/>
  <c r="F12" i="3"/>
  <c r="I362" i="3"/>
  <c r="H362" i="3"/>
  <c r="G362" i="3"/>
  <c r="J362" i="3" s="1"/>
  <c r="L362" i="3" s="1"/>
  <c r="F360" i="3"/>
  <c r="J360" i="3" s="1"/>
  <c r="L360" i="3" s="1"/>
  <c r="F357" i="3"/>
  <c r="F356" i="3"/>
  <c r="F355" i="3"/>
  <c r="F354" i="3"/>
  <c r="J354" i="3" s="1"/>
  <c r="L354" i="3" s="1"/>
  <c r="F352" i="3"/>
  <c r="F351" i="3"/>
  <c r="F350" i="3"/>
  <c r="F349" i="3"/>
  <c r="F348" i="3"/>
  <c r="F347" i="3"/>
  <c r="F346" i="3"/>
  <c r="J346" i="3" s="1"/>
  <c r="L346" i="3" s="1"/>
  <c r="F343" i="3"/>
  <c r="F342" i="3"/>
  <c r="F341" i="3"/>
  <c r="F339" i="3"/>
  <c r="F362" i="3"/>
  <c r="F353" i="3"/>
  <c r="J115" i="3" l="1"/>
  <c r="L115" i="3" s="1"/>
  <c r="J123" i="3"/>
  <c r="L123" i="3" s="1"/>
  <c r="J182" i="3"/>
  <c r="L182" i="3" s="1"/>
  <c r="H39" i="8"/>
  <c r="I54" i="8"/>
  <c r="D54" i="8"/>
  <c r="G54" i="8"/>
  <c r="P40" i="9"/>
  <c r="Q40" i="9" s="1"/>
  <c r="J264" i="3"/>
  <c r="L264" i="3" s="1"/>
  <c r="J116" i="3"/>
  <c r="L116" i="3" s="1"/>
  <c r="J301" i="3"/>
  <c r="L301" i="3" s="1"/>
  <c r="J119" i="3"/>
  <c r="L119" i="3" s="1"/>
  <c r="J58" i="12"/>
  <c r="P41" i="9"/>
  <c r="Q41" i="9" s="1"/>
  <c r="P38" i="9"/>
  <c r="Q39" i="9" s="1"/>
  <c r="J2" i="3"/>
  <c r="I305" i="3"/>
  <c r="J305" i="3" s="1"/>
  <c r="L305" i="3" s="1"/>
  <c r="I303" i="3"/>
  <c r="J104" i="3"/>
  <c r="L104" i="3" s="1"/>
  <c r="L18" i="3"/>
  <c r="J51" i="3"/>
  <c r="J101" i="3"/>
  <c r="J79" i="3"/>
  <c r="L79" i="3" s="1"/>
  <c r="J67" i="3"/>
  <c r="L67" i="3" s="1"/>
  <c r="J13" i="3"/>
  <c r="J350" i="3"/>
  <c r="L350" i="3" s="1"/>
  <c r="J353" i="3"/>
  <c r="L353" i="3" s="1"/>
  <c r="J348" i="3"/>
  <c r="L348" i="3" s="1"/>
  <c r="J328" i="3"/>
  <c r="J297" i="3"/>
  <c r="L297" i="3" s="1"/>
  <c r="J306" i="3"/>
  <c r="L306" i="3" s="1"/>
  <c r="J69" i="3"/>
  <c r="L69" i="3" s="1"/>
  <c r="J213" i="3"/>
  <c r="L213" i="3" s="1"/>
  <c r="J263" i="3"/>
  <c r="J216" i="3"/>
  <c r="L216" i="3" s="1"/>
  <c r="J121" i="3"/>
  <c r="L121" i="3" s="1"/>
  <c r="J258" i="3"/>
  <c r="L258" i="3" s="1"/>
  <c r="J137" i="3"/>
  <c r="L137" i="3" s="1"/>
  <c r="J235" i="3"/>
  <c r="L235" i="3" s="1"/>
  <c r="J108" i="3"/>
  <c r="J237" i="3"/>
  <c r="L237" i="3" s="1"/>
  <c r="L51" i="3"/>
  <c r="J129" i="3"/>
  <c r="L129" i="3" s="1"/>
  <c r="J338" i="3"/>
  <c r="L338" i="3" s="1"/>
  <c r="J53" i="3"/>
  <c r="L53" i="3" s="1"/>
  <c r="J57" i="3"/>
  <c r="L57" i="3" s="1"/>
  <c r="J168" i="3"/>
  <c r="L168" i="3" s="1"/>
  <c r="L108" i="3"/>
  <c r="J341" i="3"/>
  <c r="L341" i="3" s="1"/>
  <c r="J351" i="3"/>
  <c r="L351" i="3" s="1"/>
  <c r="J187" i="3"/>
  <c r="L187" i="3" s="1"/>
  <c r="J231" i="3"/>
  <c r="L231" i="3" s="1"/>
  <c r="J181" i="3"/>
  <c r="J295" i="3"/>
  <c r="L295" i="3" s="1"/>
  <c r="J357" i="3"/>
  <c r="L357" i="3" s="1"/>
  <c r="J268" i="3"/>
  <c r="J21" i="8" s="1"/>
  <c r="J37" i="3"/>
  <c r="J203" i="3"/>
  <c r="L203" i="3" s="1"/>
  <c r="J36" i="3"/>
  <c r="L36" i="3" s="1"/>
  <c r="J329" i="3"/>
  <c r="L329" i="3" s="1"/>
  <c r="J89" i="3"/>
  <c r="L89" i="3" s="1"/>
  <c r="J335" i="3"/>
  <c r="L335" i="3" s="1"/>
  <c r="J356" i="3"/>
  <c r="J31" i="8" s="1"/>
  <c r="L101" i="3"/>
  <c r="J107" i="3"/>
  <c r="J205" i="3"/>
  <c r="L205" i="3" s="1"/>
  <c r="J285" i="3"/>
  <c r="L285" i="3" s="1"/>
  <c r="J257" i="3"/>
  <c r="J8" i="3"/>
  <c r="J188" i="3"/>
  <c r="L188" i="3" s="1"/>
  <c r="J35" i="3"/>
  <c r="L35" i="3" s="1"/>
  <c r="J227" i="3"/>
  <c r="L227" i="3" s="1"/>
  <c r="J248" i="3"/>
  <c r="L248" i="3" s="1"/>
  <c r="J118" i="3"/>
  <c r="L118" i="3" s="1"/>
  <c r="J294" i="3"/>
  <c r="L294" i="3" s="1"/>
  <c r="J307" i="3"/>
  <c r="L307" i="3" s="1"/>
  <c r="J65" i="3"/>
  <c r="L65" i="3" s="1"/>
  <c r="J207" i="3"/>
  <c r="L207" i="3" s="1"/>
  <c r="J23" i="3"/>
  <c r="L23" i="3" s="1"/>
  <c r="J283" i="3"/>
  <c r="L283" i="3" s="1"/>
  <c r="J16" i="3"/>
  <c r="L16" i="3" s="1"/>
  <c r="J39" i="3"/>
  <c r="L39" i="3" s="1"/>
  <c r="J78" i="3"/>
  <c r="L78" i="3" s="1"/>
  <c r="J126" i="3"/>
  <c r="L126" i="3" s="1"/>
  <c r="J349" i="3"/>
  <c r="L349" i="3" s="1"/>
  <c r="J76" i="3"/>
  <c r="L76" i="3" s="1"/>
  <c r="J206" i="3"/>
  <c r="L206" i="3" s="1"/>
  <c r="J269" i="3"/>
  <c r="L269" i="3" s="1"/>
  <c r="J20" i="3"/>
  <c r="L20" i="3" s="1"/>
  <c r="J97" i="3"/>
  <c r="L97" i="3" s="1"/>
  <c r="J225" i="3"/>
  <c r="L225" i="3" s="1"/>
  <c r="J249" i="3"/>
  <c r="L249" i="3" s="1"/>
  <c r="J41" i="3"/>
  <c r="L41" i="3" s="1"/>
  <c r="J71" i="3"/>
  <c r="L71" i="3" s="1"/>
  <c r="J179" i="3"/>
  <c r="L179" i="3" s="1"/>
  <c r="J201" i="3"/>
  <c r="L201" i="3" s="1"/>
  <c r="J336" i="3"/>
  <c r="L336" i="3" s="1"/>
  <c r="J340" i="3"/>
  <c r="L340" i="3" s="1"/>
  <c r="J117" i="3"/>
  <c r="L117" i="3" s="1"/>
  <c r="J133" i="3"/>
  <c r="L133" i="3" s="1"/>
  <c r="J48" i="3"/>
  <c r="L48" i="3" s="1"/>
  <c r="J99" i="3"/>
  <c r="L99" i="3" s="1"/>
  <c r="J24" i="3"/>
  <c r="L24" i="3" s="1"/>
  <c r="J82" i="3"/>
  <c r="L82" i="3" s="1"/>
  <c r="J212" i="3"/>
  <c r="L212" i="3" s="1"/>
  <c r="J233" i="3"/>
  <c r="L233" i="3" s="1"/>
  <c r="J342" i="3"/>
  <c r="L342" i="3" s="1"/>
  <c r="J352" i="3"/>
  <c r="L352" i="3" s="1"/>
  <c r="J103" i="3"/>
  <c r="L103" i="3" s="1"/>
  <c r="L37" i="3"/>
  <c r="J95" i="3"/>
  <c r="L95" i="3" s="1"/>
  <c r="J100" i="3"/>
  <c r="L100" i="3" s="1"/>
  <c r="J255" i="3"/>
  <c r="L255" i="3" s="1"/>
  <c r="J299" i="3"/>
  <c r="L299" i="3" s="1"/>
  <c r="J308" i="3"/>
  <c r="L308" i="3" s="1"/>
  <c r="J46" i="3"/>
  <c r="L46" i="3" s="1"/>
  <c r="J153" i="3"/>
  <c r="L153" i="3" s="1"/>
  <c r="J347" i="3"/>
  <c r="L347" i="3" s="1"/>
  <c r="J355" i="3"/>
  <c r="L355" i="3" s="1"/>
  <c r="I90" i="3"/>
  <c r="I88" i="3"/>
  <c r="J88" i="3" s="1"/>
  <c r="L88" i="3" s="1"/>
  <c r="I333" i="3"/>
  <c r="J333" i="3" s="1"/>
  <c r="L333" i="3" s="1"/>
  <c r="I331" i="3"/>
  <c r="J331" i="3" s="1"/>
  <c r="L331" i="3" s="1"/>
  <c r="I124" i="3"/>
  <c r="I122" i="3"/>
  <c r="J122" i="3" s="1"/>
  <c r="L122" i="3" s="1"/>
  <c r="I326" i="3"/>
  <c r="J326" i="3" s="1"/>
  <c r="I324" i="3"/>
  <c r="J324" i="3" s="1"/>
  <c r="L324" i="3" s="1"/>
  <c r="I180" i="3"/>
  <c r="J180" i="3" s="1"/>
  <c r="L180" i="3" s="1"/>
  <c r="I178" i="3"/>
  <c r="J178" i="3" s="1"/>
  <c r="L178" i="3" s="1"/>
  <c r="I12" i="3"/>
  <c r="J12" i="3" s="1"/>
  <c r="L12" i="3" s="1"/>
  <c r="I11" i="3"/>
  <c r="J11" i="3" s="1"/>
  <c r="L11" i="3" s="1"/>
  <c r="I127" i="3"/>
  <c r="J127" i="3" s="1"/>
  <c r="L127" i="3" s="1"/>
  <c r="I125" i="3"/>
  <c r="J125" i="3" s="1"/>
  <c r="L125" i="3" s="1"/>
  <c r="I290" i="3"/>
  <c r="J290" i="3" s="1"/>
  <c r="L290" i="3" s="1"/>
  <c r="I288" i="3"/>
  <c r="J288" i="3" s="1"/>
  <c r="L288" i="3" s="1"/>
  <c r="I279" i="3"/>
  <c r="J279" i="3" s="1"/>
  <c r="L279" i="3" s="1"/>
  <c r="I277" i="3"/>
  <c r="J277" i="3" s="1"/>
  <c r="L277" i="3" s="1"/>
  <c r="I42" i="3"/>
  <c r="J42" i="3" s="1"/>
  <c r="L42" i="3" s="1"/>
  <c r="I40" i="3"/>
  <c r="J40" i="3" s="1"/>
  <c r="L40" i="3" s="1"/>
  <c r="J124" i="3"/>
  <c r="L124" i="3" s="1"/>
  <c r="J343" i="3"/>
  <c r="L343" i="3" s="1"/>
  <c r="J90" i="3"/>
  <c r="L90" i="3" s="1"/>
  <c r="J359" i="3"/>
  <c r="L359" i="3" s="1"/>
  <c r="J29" i="3"/>
  <c r="L29" i="3" s="1"/>
  <c r="J17" i="3"/>
  <c r="L17" i="3" s="1"/>
  <c r="J105" i="3"/>
  <c r="L105" i="3" s="1"/>
  <c r="L107" i="3"/>
  <c r="J267" i="3"/>
  <c r="L267" i="3" s="1"/>
  <c r="J81" i="3"/>
  <c r="L81" i="3" s="1"/>
  <c r="J156" i="3"/>
  <c r="L156" i="3" s="1"/>
  <c r="J160" i="3"/>
  <c r="L160" i="3" s="1"/>
  <c r="L275" i="3"/>
  <c r="J114" i="3"/>
  <c r="L114" i="3" s="1"/>
  <c r="J214" i="3"/>
  <c r="L214" i="3" s="1"/>
  <c r="J276" i="3"/>
  <c r="L276" i="3" s="1"/>
  <c r="L263" i="3"/>
  <c r="J202" i="3"/>
  <c r="L202" i="3" s="1"/>
  <c r="J302" i="3"/>
  <c r="L302" i="3" s="1"/>
  <c r="J296" i="3"/>
  <c r="L296" i="3" s="1"/>
  <c r="J93" i="3"/>
  <c r="L93" i="3" s="1"/>
  <c r="J159" i="3"/>
  <c r="L159" i="3" s="1"/>
  <c r="J278" i="3"/>
  <c r="L278" i="3" s="1"/>
  <c r="J5" i="3"/>
  <c r="L5" i="3" s="1"/>
  <c r="J155" i="3"/>
  <c r="L155" i="3" s="1"/>
  <c r="J15" i="3"/>
  <c r="L15" i="3" s="1"/>
  <c r="J75" i="3"/>
  <c r="L75" i="3" s="1"/>
  <c r="I274" i="3"/>
  <c r="J274" i="3" s="1"/>
  <c r="L274" i="3" s="1"/>
  <c r="I272" i="3"/>
  <c r="J272" i="3" s="1"/>
  <c r="I167" i="3"/>
  <c r="J167" i="3" s="1"/>
  <c r="I165" i="3"/>
  <c r="J165" i="3" s="1"/>
  <c r="I245" i="3"/>
  <c r="J245" i="3" s="1"/>
  <c r="L245" i="3" s="1"/>
  <c r="I243" i="3"/>
  <c r="J243" i="3" s="1"/>
  <c r="L243" i="3" s="1"/>
  <c r="I211" i="3"/>
  <c r="J211" i="3" s="1"/>
  <c r="L211" i="3" s="1"/>
  <c r="I209" i="3"/>
  <c r="J209" i="3" s="1"/>
  <c r="L209" i="3" s="1"/>
  <c r="I152" i="3"/>
  <c r="J152" i="3" s="1"/>
  <c r="L152" i="3" s="1"/>
  <c r="I150" i="3"/>
  <c r="J150" i="3" s="1"/>
  <c r="L150" i="3" s="1"/>
  <c r="I273" i="3"/>
  <c r="J273" i="3" s="1"/>
  <c r="L273" i="3" s="1"/>
  <c r="I271" i="3"/>
  <c r="J271" i="3" s="1"/>
  <c r="L271" i="3" s="1"/>
  <c r="I316" i="3"/>
  <c r="J316" i="3" s="1"/>
  <c r="L316" i="3" s="1"/>
  <c r="I314" i="3"/>
  <c r="J314" i="3" s="1"/>
  <c r="L314" i="3" s="1"/>
  <c r="I311" i="3"/>
  <c r="J311" i="3" s="1"/>
  <c r="L311" i="3" s="1"/>
  <c r="I309" i="3"/>
  <c r="J309" i="3" s="1"/>
  <c r="L309" i="3" s="1"/>
  <c r="L13" i="3"/>
  <c r="J163" i="3"/>
  <c r="L163" i="3" s="1"/>
  <c r="J218" i="3"/>
  <c r="L218" i="3" s="1"/>
  <c r="J270" i="3"/>
  <c r="L270" i="3" s="1"/>
  <c r="L21" i="3"/>
  <c r="J4" i="3"/>
  <c r="L4" i="3" s="1"/>
  <c r="J10" i="3"/>
  <c r="L10" i="3" s="1"/>
  <c r="J34" i="3"/>
  <c r="L34" i="3" s="1"/>
  <c r="J77" i="3"/>
  <c r="L77" i="3" s="1"/>
  <c r="J158" i="3"/>
  <c r="L158" i="3" s="1"/>
  <c r="J162" i="3"/>
  <c r="L162" i="3" s="1"/>
  <c r="J219" i="3"/>
  <c r="L219" i="3" s="1"/>
  <c r="J265" i="3"/>
  <c r="L265" i="3" s="1"/>
  <c r="L8" i="3"/>
  <c r="J128" i="3"/>
  <c r="L128" i="3" s="1"/>
  <c r="J157" i="3"/>
  <c r="L157" i="3" s="1"/>
  <c r="J247" i="3"/>
  <c r="L247" i="3" s="1"/>
  <c r="I266" i="3"/>
  <c r="J266" i="3" s="1"/>
  <c r="J304" i="3"/>
  <c r="L304" i="3" s="1"/>
  <c r="J73" i="3"/>
  <c r="L73" i="3" s="1"/>
  <c r="J173" i="3"/>
  <c r="L173" i="3" s="1"/>
  <c r="L2" i="3"/>
  <c r="J177" i="3"/>
  <c r="L177" i="3" s="1"/>
  <c r="I185" i="3"/>
  <c r="J185" i="3" s="1"/>
  <c r="L185" i="3" s="1"/>
  <c r="I183" i="3"/>
  <c r="J183" i="3" s="1"/>
  <c r="L183" i="3" s="1"/>
  <c r="I300" i="3"/>
  <c r="J300" i="3" s="1"/>
  <c r="L300" i="3" s="1"/>
  <c r="I298" i="3"/>
  <c r="J298" i="3" s="1"/>
  <c r="L298" i="3" s="1"/>
  <c r="I261" i="3"/>
  <c r="J261" i="3" s="1"/>
  <c r="L261" i="3" s="1"/>
  <c r="I259" i="3"/>
  <c r="J259" i="3" s="1"/>
  <c r="L259" i="3" s="1"/>
  <c r="I171" i="3"/>
  <c r="J171" i="3" s="1"/>
  <c r="L171" i="3" s="1"/>
  <c r="I169" i="3"/>
  <c r="J169" i="3" s="1"/>
  <c r="L169" i="3" s="1"/>
  <c r="I240" i="3"/>
  <c r="J240" i="3" s="1"/>
  <c r="L240" i="3" s="1"/>
  <c r="I238" i="3"/>
  <c r="J238" i="3" s="1"/>
  <c r="I111" i="3"/>
  <c r="J111" i="3" s="1"/>
  <c r="L111" i="3" s="1"/>
  <c r="I109" i="3"/>
  <c r="J109" i="3" s="1"/>
  <c r="I112" i="3"/>
  <c r="J112" i="3" s="1"/>
  <c r="L112" i="3" s="1"/>
  <c r="I110" i="3"/>
  <c r="J110" i="3" s="1"/>
  <c r="L110" i="3" s="1"/>
  <c r="I321" i="3"/>
  <c r="J321" i="3" s="1"/>
  <c r="J28" i="8" s="1"/>
  <c r="I319" i="3"/>
  <c r="J319" i="3" s="1"/>
  <c r="L319" i="3" s="1"/>
  <c r="I174" i="3"/>
  <c r="J174" i="3" s="1"/>
  <c r="L174" i="3" s="1"/>
  <c r="I172" i="3"/>
  <c r="J172" i="3" s="1"/>
  <c r="L172" i="3" s="1"/>
  <c r="I166" i="3"/>
  <c r="J166" i="3" s="1"/>
  <c r="L166" i="3" s="1"/>
  <c r="I164" i="3"/>
  <c r="J164" i="3" s="1"/>
  <c r="I186" i="3"/>
  <c r="J186" i="3" s="1"/>
  <c r="L186" i="3" s="1"/>
  <c r="I184" i="3"/>
  <c r="J184" i="3" s="1"/>
  <c r="L184" i="3" s="1"/>
  <c r="J239" i="3"/>
  <c r="L239" i="3" s="1"/>
  <c r="J50" i="3"/>
  <c r="L50" i="3" s="1"/>
  <c r="J282" i="3"/>
  <c r="L282" i="3" s="1"/>
  <c r="I32" i="8"/>
  <c r="J74" i="3"/>
  <c r="L74" i="3" s="1"/>
  <c r="L30" i="3"/>
  <c r="J80" i="3"/>
  <c r="L80" i="3" s="1"/>
  <c r="J98" i="3"/>
  <c r="L98" i="3" s="1"/>
  <c r="J102" i="3"/>
  <c r="L102" i="3" s="1"/>
  <c r="J339" i="3"/>
  <c r="L339" i="3" s="1"/>
  <c r="J149" i="3"/>
  <c r="L149" i="3" s="1"/>
  <c r="J170" i="3"/>
  <c r="L170" i="3" s="1"/>
  <c r="J262" i="3"/>
  <c r="L262" i="3" s="1"/>
  <c r="J337" i="3"/>
  <c r="L337" i="3" s="1"/>
  <c r="J323" i="3"/>
  <c r="L323" i="3" s="1"/>
  <c r="J26" i="3"/>
  <c r="L26" i="3" s="1"/>
  <c r="J7" i="3"/>
  <c r="L7" i="3" s="1"/>
  <c r="J44" i="3"/>
  <c r="L44" i="3" s="1"/>
  <c r="J120" i="3"/>
  <c r="L120" i="3" s="1"/>
  <c r="J280" i="3"/>
  <c r="L280" i="3" s="1"/>
  <c r="J38" i="3"/>
  <c r="L38" i="3" s="1"/>
  <c r="J91" i="3"/>
  <c r="L91" i="3" s="1"/>
  <c r="J369" i="3"/>
  <c r="L369" i="3" s="1"/>
  <c r="J161" i="3"/>
  <c r="L161" i="3" s="1"/>
  <c r="J176" i="3"/>
  <c r="L176" i="3" s="1"/>
  <c r="J303" i="3"/>
  <c r="L303" i="3" s="1"/>
  <c r="J327" i="3"/>
  <c r="L327" i="3" s="1"/>
  <c r="J332" i="3"/>
  <c r="L332" i="3" s="1"/>
  <c r="J130" i="3"/>
  <c r="L130" i="3" s="1"/>
  <c r="J147" i="3"/>
  <c r="L147" i="3" s="1"/>
  <c r="J204" i="3"/>
  <c r="L204" i="3" s="1"/>
  <c r="J106" i="3"/>
  <c r="L106" i="3" s="1"/>
  <c r="J32" i="3"/>
  <c r="L32" i="3" s="1"/>
  <c r="J154" i="3"/>
  <c r="L154" i="3" s="1"/>
  <c r="J175" i="3"/>
  <c r="L175" i="3" s="1"/>
  <c r="J151" i="3"/>
  <c r="L151" i="3" s="1"/>
  <c r="L328" i="3"/>
  <c r="L181" i="3"/>
  <c r="L257" i="3"/>
  <c r="J61" i="12" l="1"/>
  <c r="F61" i="12" s="1"/>
  <c r="I71" i="12"/>
  <c r="D61" i="12"/>
  <c r="J20" i="8"/>
  <c r="J27" i="8"/>
  <c r="J30" i="8"/>
  <c r="J24" i="8"/>
  <c r="J14" i="8"/>
  <c r="L268" i="3"/>
  <c r="J18" i="8"/>
  <c r="L356" i="3"/>
  <c r="J9" i="8"/>
  <c r="J4" i="8"/>
  <c r="L266" i="3"/>
  <c r="J19" i="8"/>
  <c r="J17" i="8"/>
  <c r="J25" i="8"/>
  <c r="J26" i="8"/>
  <c r="J8" i="8"/>
  <c r="J5" i="8"/>
  <c r="J12" i="8"/>
  <c r="L167" i="3"/>
  <c r="L238" i="3"/>
  <c r="J16" i="8"/>
  <c r="L165" i="3"/>
  <c r="J11" i="8"/>
  <c r="L326" i="3"/>
  <c r="J29" i="8"/>
  <c r="L164" i="3"/>
  <c r="J10" i="8"/>
  <c r="L109" i="3"/>
  <c r="O31" i="3" s="1"/>
  <c r="J7" i="8"/>
  <c r="L272" i="3"/>
  <c r="J22" i="8"/>
  <c r="L321" i="3"/>
  <c r="J15" i="8"/>
  <c r="J13" i="8"/>
  <c r="J6" i="8"/>
  <c r="J3" i="8"/>
  <c r="O34" i="3"/>
  <c r="O33" i="3" l="1"/>
  <c r="O32" i="3"/>
  <c r="O30" i="3"/>
  <c r="P32" i="3" l="1"/>
  <c r="P33" i="3"/>
  <c r="P31" i="3"/>
</calcChain>
</file>

<file path=xl/comments1.xml><?xml version="1.0" encoding="utf-8"?>
<comments xmlns="http://schemas.openxmlformats.org/spreadsheetml/2006/main">
  <authors>
    <author>vishalh</author>
  </authors>
  <commentList>
    <comment ref="I46" authorId="0">
      <text>
        <r>
          <rPr>
            <b/>
            <sz val="8"/>
            <color indexed="81"/>
            <rFont val="Tahoma"/>
            <family val="2"/>
          </rPr>
          <t>vishalh:</t>
        </r>
        <r>
          <rPr>
            <sz val="8"/>
            <color indexed="81"/>
            <rFont val="Tahoma"/>
            <family val="2"/>
          </rPr>
          <t xml:space="preserve">
Does not account for admin charges and exit load etc</t>
        </r>
      </text>
    </comment>
  </commentList>
</comments>
</file>

<file path=xl/comments2.xml><?xml version="1.0" encoding="utf-8"?>
<comments xmlns="http://schemas.openxmlformats.org/spreadsheetml/2006/main">
  <authors>
    <author>vishalh</author>
  </authors>
  <commentList>
    <comment ref="G52" authorId="0">
      <text>
        <r>
          <rPr>
            <b/>
            <sz val="8"/>
            <color indexed="81"/>
            <rFont val="Tahoma"/>
            <family val="2"/>
          </rPr>
          <t>vishalh:</t>
        </r>
        <r>
          <rPr>
            <sz val="8"/>
            <color indexed="81"/>
            <rFont val="Tahoma"/>
            <family val="2"/>
          </rPr>
          <t xml:space="preserve">
Includes Company contributyion</t>
        </r>
      </text>
    </comment>
  </commentList>
</comments>
</file>

<file path=xl/connections.xml><?xml version="1.0" encoding="utf-8"?>
<connections xmlns="http://schemas.openxmlformats.org/spreadsheetml/2006/main">
  <connection id="1" name="Connection" type="1" refreshedVersion="4" background="1" refreshOnLoad="1" saveData="1">
    <dbPr connection="DSN=portfolio;DBQ=C:\Vishal\Projects\FirmFinancials\portfolio.mdb;DefaultDir=C:\Vishal\Projects\FirmFinancials;DriverId=25;FIL=MS Access;MaxBufferSize=2048;PageTimeout=5;UID=admin;" command="SELECT Companysnap.icicicode, Companysnap.Name, Companysnap.Sector, Companysnap.actual, Companysnap.EPS1, Companysnap.EPS2, Companysnap.ClosePrice, Companysnap.DividendYield, Companysnap.ROE, Companysnap.PE, Companysnap.LastUpdated, portfolio.Remarks_x000d__x000a_FROM `C:\Vishal\Projects\FirmFinancials\portfolio`.Companysnap Companysnap _x000d__x000a__x000d__x000a_LEFT JOIN_x000d__x000a_`C:\Vishal\Projects\FirmFinancials\portfolio`.portfolio portfolio ON portfolio.icicicode=companysnap.icicicode_x000d__x000a_ORDER BY Companysnap.icicicode"/>
  </connection>
  <connection id="2" name="Connection1" type="1" refreshedVersion="4" background="1" refreshOnLoad="1" saveData="1">
    <dbPr connection="DSN=portfolio;DBQ=C:\Vishal\Projects\FirmFinancials\portfolio.mdb;DriverId=25;FIL=MS Access;MaxBufferSize=2048;PageTimeout=5;" command="SELECT MutualFund.FundFamily, MutualFund.FundName, MutualFund.Sector, MutualFund.FundType, MutualFund.NAV, MutualFund.searchString, MutualFund.LastUpdated_x000d__x000a_FROM `C:\Vishal\Projects\FirmFinancials\portfolio`.MutualFund MutualFund_x000d__x000a_ORDER BY MutualFund.FundFamily"/>
  </connection>
  <connection id="3" name="Connection10" type="1" refreshedVersion="4" background="1" refreshOnLoad="1" saveData="1">
    <dbPr connection="DSN=portfolio;DBQ=C:\Vishal\Projects\FirmFinancials\portfolio.mdb;DriverId=25;FIL=MS Access;MaxBufferSize=2048;PageTimeout=5;" command="SELECT USPortfolio.symbol, USPortfolio.Number, USPortfolio.BuyPrice, USPortfolio.BuyDate, USOptions.Price, USPortfolio.LastUpdated, USPortfolio.AnnualizedGrowth, USPortfolio.AbsoluteGrowth, USPortfolio.Profit, USOptions.Delta, USPortfolio.Remarks, USPortfolio.ExcercisePositionValue_x000d__x000a_FROM `C:\Vishal\Projects\FirmFinancials\portfolio`.USOptions USOptions, `C:\Vishal\Projects\FirmFinancials\portfolio`.USPortfolio USPortfolio_x000d__x000a_WHERE USOptions.Symbol = USPortfolio.symbol"/>
  </connection>
  <connection id="4" name="Connection11" type="1" refreshedVersion="2" background="1" saveData="1">
    <dbPr connection="DSN=portfolio;DBQ=C:\Vishal\Projects\FirmFinancials\portfolio.mdb;DriverId=25;FIL=MS Access;MaxBufferSize=2048;PageTimeout=5;" command="SELECT top 20 USStocks.symbol, USStocks.Name, USStocks.Sector, USStocks.RollingAVG, USStocks.Volatility,_x000d__x000a_ (USStocks.closePrice/USStocks.MedTarget) as PriceToTarget_x000d__x000a_FROM `C:\Vishal\Projects\FirmFinancials\portfolio`.USStocks USStocks _x000d__x000a_where USStocks.RollingAVG is NOT NULL_x000d__x000a_order by USStocks.RollingAVG ASC_x000d__x000a_"/>
  </connection>
  <connection id="5" name="Connection12" type="1" refreshedVersion="4" background="1" refreshOnLoad="1" saveData="1">
    <dbPr connection="DSN=portfolio;DBQ=C:\Vishal\Projects\FirmFinancials\portfolio.mdb;DriverId=25;FIL=MS Access;MaxBufferSize=2048;PageTimeout=5;" command="SELECT USStocks.symbol, USStocks.Name, USStocks.Beta, USStocks.Volatility, USStocks.ClosePrice, (USStocks.closePrice/USStocks.MedTarget) AS 'PriceToTarget', USStocks.AnalystOpinion, USStocks.brokers, USStocks.RollingAVG_x000d__x000a_FROM `C:\Vishal\Projects\FirmFinancials\portfolio`.USStocks USStocks_x000d__x000a_WHERE (USStocks.Beta&gt;1.5) AND (USStocks.MedTarget&gt;1.3*closePrice) AND (USStocks.AnalystOpinion&lt;2.5) AND (USStocks.brokers&gt;1)_x000d__x000a_ORDER BY (USStocks.closePrice/USStocks.MedTarget)"/>
  </connection>
  <connection id="6" name="Connection13" type="1" refreshedVersion="4" background="1" refreshOnLoad="1" saveData="1">
    <dbPr connection="DSN=portfolio;DBQ=C:\Vishal\Projects\FirmFinancials\portfolio.mdb;DriverId=25;FIL=MS Access;MaxBufferSize=2048;PageTimeout=5;" command="SELECT top 20 USStocks.symbol, USStocks.Name, USStocks.Sector, USStocks.RollingAVG, USStocks.Volatility_x000d__x000a_FROM `C:\Vishal\Projects\FirmFinancials\portfolio`.USStocks USStocks order by USStocks.RollingAVG DESC"/>
  </connection>
  <connection id="7" name="Connection14" type="1" refreshedVersion="4" background="1" saveData="1">
    <dbPr connection="DSN=portfolio;DBQ=C:\Vishal\Projects\FirmFinancials\portfolio.mdb;DriverId=25;FIL=MS Access;MaxBufferSize=2048;PageTimeout=5;" command="SELECT top 20 USStocks.symbol, USStocks.Name, USStocks.Sector, USStocks.RollingAVG, USStocks.Volatility_x000d__x000a_FROM `C:\Vishal\Projects\FirmFinancials\portfolio`.USStocks USStocks order by USStocks.Volatility DESC"/>
  </connection>
  <connection id="8" name="Connection15" type="1" refreshedVersion="4" background="1" refreshOnLoad="1" saveData="1">
    <dbPr connection="DSN=portfolio;DBQ=C:\Vishal\Projects\FirmFinancials\portfolio.mdb;DriverId=25;FIL=MS Access;MaxBufferSize=2048;PageTimeout=5;" command="SELECT `US Alerts GAIN`.Change, `US Alerts GAIN`.daysAgo, `US Alerts GAIN`.symbol, `US Alerts GAIN`.Gain, `US Alerts GAIN`.PriceToTarget_x000d__x000a_FROM `C:\Vishal\Projects\FirmFinancials\portfolio`.`US Alerts GAIN` `US Alerts GAIN`_x000d__x000a_ORDER BY `US Alerts GAIN`.daysAgo"/>
  </connection>
  <connection id="9" name="Connection2" type="1" refreshedVersion="4" background="1" refreshOnLoad="1" saveData="1">
    <dbPr connection="DSN=portfolio;DBQ=C:\Vishal\Projects\FirmFinancials\portfolio.mdb;DriverId=25;FIL=MS Access;MaxBufferSize=2048;PageTimeout=5;" command="SELECT DCF.icicicode_x000d__x000a_FROM `C:\Vishal\Projects\FirmFinancials\portfolio`.dcfanalysis DCF_x000d__x000a_ORDER BY DCF.icicicode"/>
  </connection>
  <connection id="10" name="Connection3" type="1" refreshedVersion="4" background="1" refreshOnLoad="1" saveData="1">
    <dbPr connection="DSN=portfolio;DBQ=C:\Vishal\Projects\FirmFinancials\portfolio.mdb;DriverId=25;FIL=MS Access;MaxBufferSize=2048;PageTimeout=5;" command="SELECT DCF.Volatility, DCF.RSQR, Companysnap.icicicode, DCF.Beta_x000d__x000a_FROM `C:\Vishal\Projects\FirmFinancials\portfolio`.Companysnap Companysnap, `C:\Vishal\Projects\FirmFinancials\portfolio`.DCFAnalysis DCF_x000d__x000a_WHERE (Companysnap.icicicode=dcf.icicicode)_x000d__x000a_ORDER BY Companysnap.icicicode"/>
  </connection>
  <connection id="11" name="Connection4" type="1" refreshedVersion="4" background="1" refreshOnLoad="1" saveData="1">
    <dbPr connection="DSN=portfolio;DBQ=C:\Vishal\Projects\FirmFinancials\portfolio.mdb;DriverId=25;FIL=MS Access;MaxBufferSize=2048;PageTimeout=5;" command="SELECT Portfolio.icicicode, Portfolio.Number, Portfolio.BuyPrice, Portfolio.BuyDate_x000d__x000a_FROM `C:\Vishal\Projects\FirmFinancials\portfolio`.MutualFund MutualFund, `C:\Vishal\Projects\FirmFinancials\portfolio`.Portfolio Portfolio_x000d__x000a_WHERE Portfolio.icicicode = MutualFund.FundFamily"/>
  </connection>
  <connection id="12" name="Connection5" type="1" refreshedVersion="4" background="1" refreshOnLoad="1" saveData="1">
    <dbPr connection="DSN=portfolio;DBQ=C:\Vishal\Projects\FirmFinancials\portfolio.mdb;DriverId=25;FIL=MS Access;MaxBufferSize=2048;PageTimeout=5;" command="SELECT Portfolio.icicicode, Portfolio.Number, Portfolio.BuyPrice, Portfolio.BuyDate_x000d__x000a_FROM `C:\Vishal\Projects\FirmFinancials\portfolio`.Companysnap Companysnap, `C:\Vishal\Projects\FirmFinancials\portfolio`.Portfolio Portfolio_x000d__x000a_WHERE Portfolio.icicicode = Companysnap.icicicode_x000d__x000a_ORDER BY Portfolio.icicicode"/>
  </connection>
  <connection id="13" name="Connection6" type="1" refreshedVersion="4" background="1" refreshOnLoad="1" saveData="1">
    <dbPr connection="DSN=portfolio;DBQ=C:\Vishal\Projects\FirmFinancials\portfolio.mdb;DriverId=25;FIL=MS Access;MaxBufferSize=2048;PageTimeout=5;" command="SELECT USStocks.symbol, USStocks.Name, USStocks.Beta, USStocks.EPS, USStocks.DividendYield, USStocks.PEForward, USStocks.PEG5, USStocks.ClosePrice, USStocks.MedTarget, USStocks.AnalystOpinion_x000d__x000a_FROM `C:\Vishal\Projects\FirmFinancials\portfolio`.USStocks USStocks"/>
  </connection>
  <connection id="14" name="Connection7" type="1" refreshedVersion="4" background="1" refreshOnLoad="1" saveData="1">
    <dbPr connection="DSN=portfolio;DBQ=C:\Vishal\Projects\FirmFinancials\portfolio.mdb;DriverId=25;FIL=MS Access;MaxBufferSize=2048;PageTimeout=5;" command="SELECT ConfigParameters.Name, ConfigParameters.Value1, ConfigParameters.LastUpdated, ConfigParameters.Value3_x000d__x000a_FROM `C:\Vishal\Projects\FirmFinancials\portfolio`.ConfigParameters ConfigParameters_x000d__x000a_WHERE (ConfigParameters.Value3='US')_x000d__x000a_ORDER BY ConfigParameters.Name"/>
  </connection>
  <connection id="15" name="Connection8" type="1" refreshedVersion="4" background="1" refreshOnLoad="1" saveData="1">
    <dbPr connection="DSN=portfolio;DBQ=C:\Vishal\Projects\FirmFinancials\portfolio.mdb;DriverId=25;FIL=MS Access;MaxBufferSize=2048;PageTimeout=5;" command="SELECT USFund.symbol, USPortfolio.Number, USPortfolio.BuyPrice, USPortfolio.BuyDate, USFund.NAV, USFund.LastUpdated, USPortfolio.AnnualizedGrowth, USPortfolio.AbsoluteGrowth, USPortfolio.Profit, USFund.Yield_x000d__x000a_FROM `C:\Vishal\Projects\FirmFinancials\portfolio`.USFund USFund, `C:\Vishal\Projects\FirmFinancials\portfolio`.USPortfolio USPortfolio_x000d__x000a_WHERE USFund.symbol = USPortfolio.symbol"/>
  </connection>
  <connection id="16" name="Connection9" type="1" refreshedVersion="4" background="1" refreshOnLoad="1" saveData="1">
    <dbPr connection="DSN=portfolio;DBQ=C:\Vishal\Projects\FirmFinancials\portfolio.mdb;DriverId=25;FIL=MS Access;MaxBufferSize=2048;PageTimeout=5;" command="SELECT USPortfolio.ID, USPortfolio.symbol, USPortfolio.Number, USPortfolio.BuyPrice, USPortfolio.BuyDate, USStocks.ClosePrice, USPortfolio.AnnualizedGrowth, USPortfolio.AbsoluteGrowth, USPortfolio.Profit, USStocks.Beta, USStocks.Volatility, USStocks.MedTarget_x000d__x000a_FROM `C:\Vishal\Projects\FirmFinancials\portfolio`.USPortfolio USPortfolio, `C:\Vishal\Projects\FirmFinancials\portfolio`.USStocks USStocks_x000d__x000a_WHERE USPortfolio.symbol = USStocks.symbol"/>
  </connection>
  <connection id="17" sourceFile="C:\Vishal\Projects\FirmFinancials\portfolio.mdb" keepAlive="1" name="portfolio1" type="5" refreshedVersion="4" background="1" saveData="1">
    <dbPr connection="Provider=Microsoft.ACE.OLEDB.12.0;User ID=Admin;Data Source=C:\Vishal\Projects\FirmFinancials\portfolio.mdb;Mode=Share Deny Write;Extended Properties=&quot;&quot;;Jet OLEDB:System database=&quot;&quot;;Jet OLEDB:Registry Path=&quot;&quot;;Jet OLEDB:Engine Type=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US Stocks SELL" commandType="3"/>
  </connection>
</connections>
</file>

<file path=xl/sharedStrings.xml><?xml version="1.0" encoding="utf-8"?>
<sst xmlns="http://schemas.openxmlformats.org/spreadsheetml/2006/main" count="8118" uniqueCount="5439">
  <si>
    <t>Time Technoplast Ltd.</t>
  </si>
  <si>
    <t>TRAINT</t>
  </si>
  <si>
    <t xml:space="preserve"> Bhushan Steel &amp; Strips     </t>
  </si>
  <si>
    <t xml:space="preserve"> Bihar Sponge Iron     </t>
  </si>
  <si>
    <t>JAMRAN</t>
  </si>
  <si>
    <t>NEULAB</t>
  </si>
  <si>
    <t>NGLFIN</t>
  </si>
  <si>
    <t>NIRLON</t>
  </si>
  <si>
    <t>NIRMA</t>
  </si>
  <si>
    <t>NOVPET</t>
  </si>
  <si>
    <t>NRC</t>
  </si>
  <si>
    <t>ORBEXP</t>
  </si>
  <si>
    <t>ORIHOT</t>
  </si>
  <si>
    <t>OSWSUG</t>
  </si>
  <si>
    <t>OUDSUG</t>
  </si>
  <si>
    <t>PADTEL</t>
  </si>
  <si>
    <t>PANPOL</t>
  </si>
  <si>
    <t>PARDRU</t>
  </si>
  <si>
    <t>PARPET</t>
  </si>
  <si>
    <t>PASACR</t>
  </si>
  <si>
    <t>Hatsun Agro Products Ltd.</t>
  </si>
  <si>
    <t>HIMFUT</t>
  </si>
  <si>
    <t>Himachal Futuristic Communications Ltd.</t>
  </si>
  <si>
    <t>HINCOP</t>
  </si>
  <si>
    <t>Hindustan Copper Ltd.</t>
  </si>
  <si>
    <t>IMPPOW</t>
  </si>
  <si>
    <t>IMP Powers Ltd.</t>
  </si>
  <si>
    <t>INDIBA</t>
  </si>
  <si>
    <t>Indian Bank</t>
  </si>
  <si>
    <t>INDREL</t>
  </si>
  <si>
    <t>Indiabulls Real Estate Ltd.</t>
  </si>
  <si>
    <t>INVTRU</t>
  </si>
  <si>
    <t> 3.3% real annual GDP growth is roughly the historical U.S. average.</t>
  </si>
  <si>
    <t>High Beta, Buy Opinion, Target NOT met, 2 or more brokers</t>
  </si>
  <si>
    <t>Alpic Finance Ltd.</t>
  </si>
  <si>
    <t>Alpha Graphic India Ltd.</t>
  </si>
  <si>
    <t>Alpine Industries Ltd.</t>
  </si>
  <si>
    <t>Amajin Agro Exports Ltd.</t>
  </si>
  <si>
    <t xml:space="preserve"> Sunflag Iron &amp; Steel Co.     </t>
  </si>
  <si>
    <t xml:space="preserve"> Super Sales Agencies     </t>
  </si>
  <si>
    <t xml:space="preserve"> Super Spinning Mills     </t>
  </si>
  <si>
    <t>SO</t>
  </si>
  <si>
    <t>Intrinsic</t>
  </si>
  <si>
    <t>Evaluation Parameters</t>
  </si>
  <si>
    <t>1. Return on Equty to be greater than Cost of Equity</t>
  </si>
  <si>
    <t>FMC Corporation Common Stock</t>
  </si>
  <si>
    <t>FRX</t>
  </si>
  <si>
    <t>Forest Laboratories, Inc. Class</t>
  </si>
  <si>
    <t>FTI</t>
  </si>
  <si>
    <t>FMC Technologies, Inc. Common S</t>
  </si>
  <si>
    <t>FTR</t>
  </si>
  <si>
    <t>Frontier Communications Corpora</t>
  </si>
  <si>
    <t>GAS</t>
  </si>
  <si>
    <t>Nicor, Inc. Common Stock</t>
  </si>
  <si>
    <t>GD</t>
  </si>
  <si>
    <t>General Dynamics Corporation Co</t>
  </si>
  <si>
    <t>GENZ</t>
  </si>
  <si>
    <t>Tata Chemicals</t>
  </si>
  <si>
    <t>Profit / Loss</t>
  </si>
  <si>
    <t xml:space="preserve"> ATN INTERNATIONAL</t>
  </si>
  <si>
    <t xml:space="preserve"> ATUL AUTO </t>
  </si>
  <si>
    <t xml:space="preserve"> Auro Laboratories       </t>
  </si>
  <si>
    <t xml:space="preserve"> Tayo Rolls     </t>
  </si>
  <si>
    <t xml:space="preserve"> Teledata Informatics    </t>
  </si>
  <si>
    <t xml:space="preserve"> TELEPHOTO ENTERTAINMENT</t>
  </si>
  <si>
    <t xml:space="preserve"> Thambbi Modern Spg. Mills     </t>
  </si>
  <si>
    <t>TAKSOL</t>
  </si>
  <si>
    <t>TASBIT</t>
  </si>
  <si>
    <t>Tasty Bite Eatables Ltd.</t>
  </si>
  <si>
    <t>TIMWAT</t>
  </si>
  <si>
    <t>TOUIND</t>
  </si>
  <si>
    <t>TRASYS</t>
  </si>
  <si>
    <t>Accel Transmatic Ltd.</t>
  </si>
  <si>
    <t>TRIIND</t>
  </si>
  <si>
    <t>GATI Ltd.</t>
  </si>
  <si>
    <t>GEOSEC</t>
  </si>
  <si>
    <t>Geojit Financial Services Ltd.</t>
  </si>
  <si>
    <t>GITGEM</t>
  </si>
  <si>
    <t>Gitanjali Gems Ltd.</t>
  </si>
  <si>
    <t xml:space="preserve">GNFC </t>
  </si>
  <si>
    <t xml:space="preserve"> Tata Coffee      </t>
  </si>
  <si>
    <t xml:space="preserve"> Coral Laboratories       </t>
  </si>
  <si>
    <t>Calls or Puts</t>
  </si>
  <si>
    <t>Calls &amp; Puts</t>
  </si>
  <si>
    <t>Alstom Projects India Limited</t>
  </si>
  <si>
    <t>ADHMET</t>
  </si>
  <si>
    <t>Adhunik Metaliks Limited</t>
  </si>
  <si>
    <t>ADVOER</t>
  </si>
  <si>
    <t>Ador Welding Ltd.</t>
  </si>
  <si>
    <t>ALECHE</t>
  </si>
  <si>
    <t>Strategy = Buy a call option</t>
  </si>
  <si>
    <t>Market Opportunity = Look for a bullish market where a rise above the breakeven is anticipated</t>
  </si>
  <si>
    <t>8. Calculate the maximum potential risk by multiplying the value per point by the difference in strike prices and subtracting the net credit received.</t>
  </si>
  <si>
    <t>TIL Limited</t>
  </si>
  <si>
    <t>Titan Industries Limited</t>
  </si>
  <si>
    <t>Adarsh Derivatives Ltd.</t>
  </si>
  <si>
    <t xml:space="preserve"> Prag Bosimi Synthetics     </t>
  </si>
  <si>
    <t xml:space="preserve"> PRADEEP METALS </t>
  </si>
  <si>
    <t xml:space="preserve"> Pratappur Sugar &amp; Inds</t>
  </si>
  <si>
    <t>Sturdy Industries Ltd.</t>
  </si>
  <si>
    <t>However dividends are considered in calculating BETA (levered) for the firm???</t>
  </si>
  <si>
    <t xml:space="preserve"> Garware Shipping Corpn. </t>
  </si>
  <si>
    <t xml:space="preserve"> Entertainment Network (India) Ltd</t>
  </si>
  <si>
    <t>ESAIND</t>
  </si>
  <si>
    <t xml:space="preserve"> Anjani Fabrics     </t>
  </si>
  <si>
    <t xml:space="preserve"> Anjani Portland Cement</t>
  </si>
  <si>
    <t>YESBAN</t>
  </si>
  <si>
    <t>CARUNI</t>
  </si>
  <si>
    <t>DRECOR</t>
  </si>
  <si>
    <t>GRINOR</t>
  </si>
  <si>
    <t>JINVIJ</t>
  </si>
  <si>
    <t>MONISP</t>
  </si>
  <si>
    <t>ALFLAV</t>
  </si>
  <si>
    <t>RATMET</t>
  </si>
  <si>
    <t>TV18</t>
  </si>
  <si>
    <t>Total</t>
  </si>
  <si>
    <t xml:space="preserve"> HINDUSTAN HARDY SPICER LTD</t>
  </si>
  <si>
    <t>3 Current DCF Valuation to be Undervalue by 20% or more</t>
  </si>
  <si>
    <t>Maximiser Fund</t>
  </si>
  <si>
    <t>Orient Paper &amp; Industries Limited</t>
  </si>
  <si>
    <t>Pantaloon Retail (India) Limited</t>
  </si>
  <si>
    <t>Paramount Communications Ltd.</t>
  </si>
  <si>
    <t>Patel Engineering Limited</t>
  </si>
  <si>
    <t>Jain Irrigation Systems Limited</t>
  </si>
  <si>
    <t>Uni Abex Alloy Products Ltd.</t>
  </si>
  <si>
    <t>VCKCAP</t>
  </si>
  <si>
    <t>Shoppers Stop Limited</t>
  </si>
  <si>
    <t>Shringar Cinemas Ltd.</t>
  </si>
  <si>
    <t>Shriram Transport Finance Company Ltd.</t>
  </si>
  <si>
    <t>Sintex Industries Limited</t>
  </si>
  <si>
    <t xml:space="preserve"> Man Industries (India)     </t>
  </si>
  <si>
    <t xml:space="preserve"> Marico Industries      </t>
  </si>
  <si>
    <t xml:space="preserve"> MARUTI UDYOG LTD</t>
  </si>
  <si>
    <t>LKPMER</t>
  </si>
  <si>
    <t>LKP Merchant Financing Ltd.</t>
  </si>
  <si>
    <t>NAGFER</t>
  </si>
  <si>
    <t>Nagarjuna Fertilisers &amp; Chemicals Ltd.</t>
  </si>
  <si>
    <t>PENSTE</t>
  </si>
  <si>
    <t>Pennar Industries Ltd.</t>
  </si>
  <si>
    <t>PRAIND</t>
  </si>
  <si>
    <t>Prakash Industries Ltd.</t>
  </si>
  <si>
    <t>Punjab Bank</t>
  </si>
  <si>
    <t>RADKHA</t>
  </si>
  <si>
    <t>Ramsarup Industries Ltd.</t>
  </si>
  <si>
    <t>SANAGR</t>
  </si>
  <si>
    <t>Gol Linhas Aereas Inteligentes</t>
  </si>
  <si>
    <t>GPI</t>
  </si>
  <si>
    <t>Group 1 Automotive, Inc. Common</t>
  </si>
  <si>
    <t>GR</t>
  </si>
  <si>
    <t>Goodrich Corporation (The) Comm</t>
  </si>
  <si>
    <t>GTE</t>
  </si>
  <si>
    <t>Gran Tierra Energy Inc. Common</t>
  </si>
  <si>
    <t>GWR</t>
  </si>
  <si>
    <t>Genesee &amp; Wyoming Inc. Class A</t>
  </si>
  <si>
    <t>GY</t>
  </si>
  <si>
    <t>GenCorp Inc. Common Stock</t>
  </si>
  <si>
    <t>GYMB</t>
  </si>
  <si>
    <t>The Gymboree Corporation</t>
  </si>
  <si>
    <t>HAL</t>
  </si>
  <si>
    <t>Halliburton Company Common Stoc</t>
  </si>
  <si>
    <t>HGG</t>
  </si>
  <si>
    <t>HHGregg, Inc. Common Stock</t>
  </si>
  <si>
    <t>HIBB</t>
  </si>
  <si>
    <t>Hibbett Sports, Inc.</t>
  </si>
  <si>
    <t>HLF</t>
  </si>
  <si>
    <t>Herbalife Ltd. Common Stock</t>
  </si>
  <si>
    <t>HOGS</t>
  </si>
  <si>
    <t>Zhongpin Inc.</t>
  </si>
  <si>
    <t>HSNI</t>
  </si>
  <si>
    <t>HSN, Inc.</t>
  </si>
  <si>
    <t>HWCC</t>
  </si>
  <si>
    <t>Houston Wire &amp; Cable Company</t>
  </si>
  <si>
    <t>International Assets Holding Co</t>
  </si>
  <si>
    <t>IBA</t>
  </si>
  <si>
    <t>Industrias Bachoco, S.A.B. de C</t>
  </si>
  <si>
    <t>ICA</t>
  </si>
  <si>
    <t>Empresas Ica Soc Contrladora Co</t>
  </si>
  <si>
    <t>ICO</t>
  </si>
  <si>
    <t>Scrip has fallen by -91.0%</t>
  </si>
  <si>
    <t>American Equity Investment Life</t>
  </si>
  <si>
    <t>AER</t>
  </si>
  <si>
    <t>Aercap Holdings N.V. Ordinary S</t>
  </si>
  <si>
    <t>AES</t>
  </si>
  <si>
    <t>The AES Corporation Common Stoc</t>
  </si>
  <si>
    <t>AFG</t>
  </si>
  <si>
    <t>American Financial Group, Inc.</t>
  </si>
  <si>
    <t>AHCI</t>
  </si>
  <si>
    <t>Allied HealthCare International</t>
  </si>
  <si>
    <t>AIMC</t>
  </si>
  <si>
    <t>Altra Holdings, Inc.</t>
  </si>
  <si>
    <t>AIN</t>
  </si>
  <si>
    <t>Albany International Corporatio</t>
  </si>
  <si>
    <t>AIR</t>
  </si>
  <si>
    <t>AAR Corp. Common Stock</t>
  </si>
  <si>
    <t>AIRM</t>
  </si>
  <si>
    <t>Air Methods Corporation</t>
  </si>
  <si>
    <t>ALR</t>
  </si>
  <si>
    <t>Alere Inc. Common Stock</t>
  </si>
  <si>
    <t>AMG</t>
  </si>
  <si>
    <t>Methode Electronics, Inc. Commo</t>
  </si>
  <si>
    <t>MET</t>
  </si>
  <si>
    <t>MetLife, Inc. Common Stock</t>
  </si>
  <si>
    <t>MFB</t>
  </si>
  <si>
    <t>Maidenform Brands, Inc. Common</t>
  </si>
  <si>
    <t>MFG</t>
  </si>
  <si>
    <t>Mizuho Financial Group, Inc. Sp</t>
  </si>
  <si>
    <t>MIC</t>
  </si>
  <si>
    <t>Macquarie Infrastructure Compan</t>
  </si>
  <si>
    <t>MIDD</t>
  </si>
  <si>
    <t>The Middleby Corporation</t>
  </si>
  <si>
    <t>MKSI</t>
  </si>
  <si>
    <t>MKS Instruments, Inc.</t>
  </si>
  <si>
    <t>MORN</t>
  </si>
  <si>
    <t>Morningstar, Inc.</t>
  </si>
  <si>
    <t>MRVL</t>
  </si>
  <si>
    <t>Marvell Technology Group, Ltd.</t>
  </si>
  <si>
    <t>MSCC</t>
  </si>
  <si>
    <t>Microsemi Corporation</t>
  </si>
  <si>
    <t>MSCI</t>
  </si>
  <si>
    <t>MSCI Inc Class A Common Stock</t>
  </si>
  <si>
    <t>MSM</t>
  </si>
  <si>
    <t>MSC Industrial Direct Company,</t>
  </si>
  <si>
    <t>MTL</t>
  </si>
  <si>
    <t>Mechel OAO Mechel OAO American</t>
  </si>
  <si>
    <t>MTN</t>
  </si>
  <si>
    <t xml:space="preserve"> Dishman Pharmaceuticals &amp; Chemicals       </t>
  </si>
  <si>
    <t xml:space="preserve"> DiviS Laboratories       </t>
  </si>
  <si>
    <t xml:space="preserve"> D-Link (India)    </t>
  </si>
  <si>
    <t xml:space="preserve"> Donear Industries     </t>
  </si>
  <si>
    <t xml:space="preserve"> D I L       </t>
  </si>
  <si>
    <t xml:space="preserve"> Solvay Pharma India       </t>
  </si>
  <si>
    <t xml:space="preserve"> DYNAMATIC TECHNOLOGIES </t>
  </si>
  <si>
    <t xml:space="preserve"> Birla Power</t>
  </si>
  <si>
    <t xml:space="preserve"> B I T S    </t>
  </si>
  <si>
    <t>Polyplex Corporation Limited</t>
  </si>
  <si>
    <t xml:space="preserve"> Power Trading Corp</t>
  </si>
  <si>
    <t>PREINS</t>
  </si>
  <si>
    <t xml:space="preserve"> PRICOL LTD.</t>
  </si>
  <si>
    <t>PROGAM</t>
  </si>
  <si>
    <t xml:space="preserve"> Procter &amp; Gamble Hygiene &amp; Health Care      </t>
  </si>
  <si>
    <t>PUNTRA</t>
  </si>
  <si>
    <t xml:space="preserve"> Punjab Tractors</t>
  </si>
  <si>
    <t>PVRLIM</t>
  </si>
  <si>
    <t xml:space="preserve"> PVR  Ltd</t>
  </si>
  <si>
    <t xml:space="preserve"> Ranbaxy Laboratories       </t>
  </si>
  <si>
    <t xml:space="preserve"> Raymond     </t>
  </si>
  <si>
    <t>Health Management Associates, I</t>
  </si>
  <si>
    <t>HZO</t>
  </si>
  <si>
    <t>MarineMax, Inc. Common Stock</t>
  </si>
  <si>
    <t>IFSIA</t>
  </si>
  <si>
    <t>Interface, Inc.</t>
  </si>
  <si>
    <t>Impac Mortgage Holdings, Inc. C</t>
  </si>
  <si>
    <t>BANAMA</t>
  </si>
  <si>
    <t>DRC</t>
  </si>
  <si>
    <t>Triveni Engineering &amp; Industries Ltd.</t>
  </si>
  <si>
    <t>Tube Investments of India Limited</t>
  </si>
  <si>
    <t>Tudor India Ltd.</t>
  </si>
  <si>
    <t>UCO Bank Limited</t>
  </si>
  <si>
    <t>Meadwestvaco Corporation Common</t>
  </si>
  <si>
    <t>MWW</t>
  </si>
  <si>
    <t>Monster Worldwide, Inc. Common</t>
  </si>
  <si>
    <t>MYL</t>
  </si>
  <si>
    <t>Mylan Inc.</t>
  </si>
  <si>
    <t>NBL</t>
  </si>
  <si>
    <t>Noble Energy Inc. Common Stock</t>
  </si>
  <si>
    <t>NBR</t>
  </si>
  <si>
    <t>Nabors Industries, Inc. New Com</t>
  </si>
  <si>
    <t>NDAQ</t>
  </si>
  <si>
    <t>The NASDAQ OMX Group, Inc.</t>
  </si>
  <si>
    <t>NEM</t>
  </si>
  <si>
    <t>Newmont Mining Corporation (Hol</t>
  </si>
  <si>
    <t>NI</t>
  </si>
  <si>
    <t>NiSource Inc Common Stock</t>
  </si>
  <si>
    <t>NKE</t>
  </si>
  <si>
    <t>Nike, Inc. Common Stock</t>
  </si>
  <si>
    <t>NOC</t>
  </si>
  <si>
    <t>Northrop Grumman Corporation Co</t>
  </si>
  <si>
    <t>NOVL</t>
  </si>
  <si>
    <t>Novell, Inc.</t>
  </si>
  <si>
    <t>NRG</t>
  </si>
  <si>
    <t>NRG Energy, Inc. Common Stock</t>
  </si>
  <si>
    <t>NSM</t>
  </si>
  <si>
    <t>National Semiconductor Corporat</t>
  </si>
  <si>
    <t>2. All future EPS estimes from Multex and Quadratic Trend analysis from Excel</t>
  </si>
  <si>
    <t xml:space="preserve">4. FCFE after Y2 or E-FCFE  assumed at constant growth at rate of  Long term economy growth </t>
  </si>
  <si>
    <t>Long Condor which uses short, ATM options to serve as the body and long ITM and OTM options to serve as the wings.</t>
  </si>
  <si>
    <t>since 1975</t>
  </si>
  <si>
    <t>WMT</t>
  </si>
  <si>
    <t>PRASUG</t>
  </si>
  <si>
    <t>PRICE</t>
  </si>
  <si>
    <t>PRICEM</t>
  </si>
  <si>
    <t>PRINAN</t>
  </si>
  <si>
    <t>PRUPHA</t>
  </si>
  <si>
    <t>PSIDAT</t>
  </si>
  <si>
    <t>ACTFIN</t>
  </si>
  <si>
    <t>Power Grid Corporation of India Ltd.</t>
  </si>
  <si>
    <t>PRIFOC</t>
  </si>
  <si>
    <t>Prime Focus Ltd.</t>
  </si>
  <si>
    <t>PROVOG</t>
  </si>
  <si>
    <t>KMX</t>
  </si>
  <si>
    <t>CarMax</t>
  </si>
  <si>
    <t>MBLX</t>
  </si>
  <si>
    <t>Metabolix</t>
  </si>
  <si>
    <t>VeriSign, Inc.</t>
  </si>
  <si>
    <t>VTR</t>
  </si>
  <si>
    <t>Ventas, Inc. Common Stock</t>
  </si>
  <si>
    <t>WAG</t>
  </si>
  <si>
    <t>Walgreen Company Common Stock</t>
  </si>
  <si>
    <t>WAT</t>
  </si>
  <si>
    <t>Waters Corporation Common Stock</t>
  </si>
  <si>
    <t>WDC</t>
  </si>
  <si>
    <t>Western Digital Corporation Com</t>
  </si>
  <si>
    <t>WEC</t>
  </si>
  <si>
    <t>Wisconsin Energy Corporation Co</t>
  </si>
  <si>
    <t>WHR</t>
  </si>
  <si>
    <t>Whirlpool Corporation Common St</t>
  </si>
  <si>
    <t>WIN</t>
  </si>
  <si>
    <t>Windstream Corporation</t>
  </si>
  <si>
    <t>WPI</t>
  </si>
  <si>
    <t>Navarre Corporation</t>
  </si>
  <si>
    <t>NEWP</t>
  </si>
  <si>
    <t>Newport Corporation</t>
  </si>
  <si>
    <t>NFX</t>
  </si>
  <si>
    <t>Newfield Exploration Company Co</t>
  </si>
  <si>
    <t>NGD</t>
  </si>
  <si>
    <t xml:space="preserve"> BIMETAL BEARINGS LTD</t>
  </si>
  <si>
    <t>Option Types</t>
  </si>
  <si>
    <t>To increase protection, covered calls can be combined with buying long-term puts (over 6 months).</t>
  </si>
  <si>
    <t>Steps to Using a Bull Call Spread</t>
  </si>
  <si>
    <t>B L Kashyap &amp; Sons Ltd</t>
  </si>
  <si>
    <t xml:space="preserve"> Bombay Dyeing &amp; Mfg. Co.     </t>
  </si>
  <si>
    <t>APWR110319C00008000</t>
  </si>
  <si>
    <t>VNDA110319C00011000</t>
  </si>
  <si>
    <t>YONG110716P00012000</t>
  </si>
  <si>
    <t>AVNR110319C00005000</t>
  </si>
  <si>
    <t xml:space="preserve"> Maral Overseas     </t>
  </si>
  <si>
    <t>Sterlite Optical Technologies Limited</t>
  </si>
  <si>
    <t>Sun TV Network Ltd.</t>
  </si>
  <si>
    <t>JPM</t>
  </si>
  <si>
    <t>5 Yr Expected Growth %</t>
  </si>
  <si>
    <t xml:space="preserve"> Jindal Poly Films     </t>
  </si>
  <si>
    <t>Walchandnagar Industries Ltd.</t>
  </si>
  <si>
    <t>Shree Cement</t>
  </si>
  <si>
    <t xml:space="preserve">PRECISION PIPES &amp; PROFILES COMPANY </t>
  </si>
  <si>
    <t>UFI</t>
  </si>
  <si>
    <t>Unifi, Inc. Common Stock</t>
  </si>
  <si>
    <t>VCI</t>
  </si>
  <si>
    <t>Valassis Communications, Inc. C</t>
  </si>
  <si>
    <t>VECO</t>
  </si>
  <si>
    <t>Veeco Instruments Inc.</t>
  </si>
  <si>
    <t>WYN</t>
  </si>
  <si>
    <t>Wyndham Worldwide Corp Common</t>
  </si>
  <si>
    <t>Bright Brothers Ltd.</t>
  </si>
  <si>
    <t>CEAFIN</t>
  </si>
  <si>
    <t>CENBAN</t>
  </si>
  <si>
    <t>CININD</t>
  </si>
  <si>
    <t>SLV</t>
  </si>
  <si>
    <t>Silver</t>
  </si>
  <si>
    <t>Alfavision Overseas (India) Ltd.</t>
  </si>
  <si>
    <t>Rap Media Ltd.</t>
  </si>
  <si>
    <t xml:space="preserve"> Bharti Tele-Ventures       </t>
  </si>
  <si>
    <t>ACCEXP</t>
  </si>
  <si>
    <t>UTI</t>
  </si>
  <si>
    <t>SBI</t>
  </si>
  <si>
    <t>DISHTV</t>
  </si>
  <si>
    <t>Dish TV India Ltd.</t>
  </si>
  <si>
    <t>DLFLIM</t>
  </si>
  <si>
    <t>DLF Ltd.</t>
  </si>
  <si>
    <t>DOLINV</t>
  </si>
  <si>
    <t>MF-SBI</t>
  </si>
  <si>
    <t>MF-Sundaram</t>
  </si>
  <si>
    <t>MF-TATA</t>
  </si>
  <si>
    <t>MF-UTI</t>
  </si>
  <si>
    <t>Kotak%2030</t>
  </si>
  <si>
    <t>AJ Brothers Ltd.</t>
  </si>
  <si>
    <t>Ajcon Global Services Ltd.</t>
  </si>
  <si>
    <t>Akanksha Finvest Ltd.</t>
  </si>
  <si>
    <t>Akar Polymatik Ltd.</t>
  </si>
  <si>
    <t>TMR</t>
  </si>
  <si>
    <t>Meridian Resource Corporation (</t>
  </si>
  <si>
    <t>MGT</t>
  </si>
  <si>
    <t>MGT Capital Investments Inc Com</t>
  </si>
  <si>
    <t>IFON</t>
  </si>
  <si>
    <t>InfoSonics Corp</t>
  </si>
  <si>
    <t>HH</t>
  </si>
  <si>
    <t>Hooper Holmes, Inc. Common Stoc</t>
  </si>
  <si>
    <t>NYNY</t>
  </si>
  <si>
    <t>Empire Resorts, Inc.</t>
  </si>
  <si>
    <t>ZAAP.OB</t>
  </si>
  <si>
    <t>ZAP</t>
  </si>
  <si>
    <t>NPWZ.OB</t>
  </si>
  <si>
    <t>NEAH POWER SYSTEMS</t>
  </si>
  <si>
    <t>AVNR</t>
  </si>
  <si>
    <t>Avanir Pharmaceuticals, Inc</t>
  </si>
  <si>
    <t>NLTX</t>
  </si>
  <si>
    <t>Nile Therapeutics, Inc.</t>
  </si>
  <si>
    <t>NPHC.OB</t>
  </si>
  <si>
    <t>NUTRA PHARMA CORP</t>
  </si>
  <si>
    <t>INO</t>
  </si>
  <si>
    <t>Inovio Biomedical Corporation C</t>
  </si>
  <si>
    <t>CYCC</t>
  </si>
  <si>
    <t>Cyclacel Pharmaceuticals, Inc.</t>
  </si>
  <si>
    <t>NVAX</t>
  </si>
  <si>
    <t>Novavax, Inc.</t>
  </si>
  <si>
    <t>NTWK</t>
  </si>
  <si>
    <t>Stock Price (Close Price)</t>
  </si>
  <si>
    <t>R T Exports Ltd.</t>
  </si>
  <si>
    <t>RUCINF</t>
  </si>
  <si>
    <t>SAKEXP</t>
  </si>
  <si>
    <t>Yearly Terms</t>
  </si>
  <si>
    <t xml:space="preserve"> Torrent Gujarat Biotech       </t>
  </si>
  <si>
    <t xml:space="preserve"> Transchem       </t>
  </si>
  <si>
    <t>CPWR</t>
  </si>
  <si>
    <t>GMT</t>
  </si>
  <si>
    <t>GTI</t>
  </si>
  <si>
    <t>HCP</t>
  </si>
  <si>
    <t>Modern India Ltd.</t>
  </si>
  <si>
    <t>MOTOSW</t>
  </si>
  <si>
    <t>Corporation Bank</t>
  </si>
  <si>
    <t>COUCLU</t>
  </si>
  <si>
    <t>Sadbhav Engineering Ltd.</t>
  </si>
  <si>
    <t>SAYHOT</t>
  </si>
  <si>
    <t xml:space="preserve"> Surya Pharmaceutical       </t>
  </si>
  <si>
    <t>SUZENE</t>
  </si>
  <si>
    <t xml:space="preserve"> Suzlon Energy Ltd</t>
  </si>
  <si>
    <t>SWAMAZ</t>
  </si>
  <si>
    <t xml:space="preserve"> SWARAJ MAZDA LTD</t>
  </si>
  <si>
    <t>TAJGVK</t>
  </si>
  <si>
    <t xml:space="preserve"> Taj G V K Hotels &amp; Resorts      </t>
  </si>
  <si>
    <t>TASPHA</t>
  </si>
  <si>
    <t>GUJALK</t>
  </si>
  <si>
    <t>Net 1 UEPS Technologies, Inc.</t>
  </si>
  <si>
    <t>UFPI</t>
  </si>
  <si>
    <t>Universal Forest Products, Inc.</t>
  </si>
  <si>
    <t>UHS</t>
  </si>
  <si>
    <t>Universal Health Services, Inc.</t>
  </si>
  <si>
    <t>ULTA</t>
  </si>
  <si>
    <t>Ulta Salon, Cosmetics &amp; Fragran</t>
  </si>
  <si>
    <t>USTR</t>
  </si>
  <si>
    <t>United Stationers Inc.</t>
  </si>
  <si>
    <t>UTIW</t>
  </si>
  <si>
    <t>UTi Worldwide Inc.</t>
  </si>
  <si>
    <t>VE</t>
  </si>
  <si>
    <t>Veolia Environn American Deposi</t>
  </si>
  <si>
    <t>VMI</t>
  </si>
  <si>
    <t>Valmont Industries, Inc. Common</t>
  </si>
  <si>
    <t>VPHM</t>
  </si>
  <si>
    <t>ViroPharma Incorporated</t>
  </si>
  <si>
    <t>VPRT</t>
  </si>
  <si>
    <t>Vistaprint N.V.</t>
  </si>
  <si>
    <t>WGOV</t>
  </si>
  <si>
    <t>China Southern Airlines Limited (ADR)  </t>
  </si>
  <si>
    <t>INFOSYSTECH.(INFY)</t>
  </si>
  <si>
    <t>MTE</t>
  </si>
  <si>
    <t>MTNL(MTE)</t>
  </si>
  <si>
    <t>PTI</t>
  </si>
  <si>
    <t>PATNICOMPUTERS(PTI)</t>
  </si>
  <si>
    <t>RDY</t>
  </si>
  <si>
    <t>DRREDDY(RDY)</t>
  </si>
  <si>
    <t>REDF</t>
  </si>
  <si>
    <t>REDIFF.COM(REDF)</t>
  </si>
  <si>
    <t>SIFY</t>
  </si>
  <si>
    <t>SATYAMINFOWAY(SIFY)</t>
  </si>
  <si>
    <t>SYNT</t>
  </si>
  <si>
    <t>Syntel</t>
  </si>
  <si>
    <t>TCL</t>
  </si>
  <si>
    <t>TATA COMM.(TCL)</t>
  </si>
  <si>
    <t>TTM</t>
  </si>
  <si>
    <t>TATAMOTORS(TTM)</t>
  </si>
  <si>
    <t>WNS</t>
  </si>
  <si>
    <t>ADR</t>
  </si>
  <si>
    <t>PUNLLO</t>
  </si>
  <si>
    <t>RAICAL</t>
  </si>
  <si>
    <t>RALIND</t>
  </si>
  <si>
    <t>REIAGR</t>
  </si>
  <si>
    <t>RIDSID</t>
  </si>
  <si>
    <t>RPGTRA</t>
  </si>
  <si>
    <t>Earnings Growth Rate</t>
  </si>
  <si>
    <t>SANMOV</t>
  </si>
  <si>
    <t>SARELE</t>
  </si>
  <si>
    <t>SASCOM</t>
  </si>
  <si>
    <t>SAVCHE</t>
  </si>
  <si>
    <t>SELEXP</t>
  </si>
  <si>
    <t>SHIVAN</t>
  </si>
  <si>
    <t>SHOSTO</t>
  </si>
  <si>
    <t>SHRCIN</t>
  </si>
  <si>
    <t>SHRTRA</t>
  </si>
  <si>
    <t>Maxwell Industries Ltd.</t>
  </si>
  <si>
    <t>JAYDY</t>
  </si>
  <si>
    <t>JGFIN</t>
  </si>
  <si>
    <t>BioLase Technology, Inc.</t>
  </si>
  <si>
    <t>CERS</t>
  </si>
  <si>
    <t xml:space="preserve"> Melstar Information Technologies    </t>
  </si>
  <si>
    <t xml:space="preserve"> MENON BEARINGS </t>
  </si>
  <si>
    <t xml:space="preserve"> Mercator Lines </t>
  </si>
  <si>
    <t xml:space="preserve"> Mindteck (India)    </t>
  </si>
  <si>
    <t xml:space="preserve"> Minaxi Textiles     </t>
  </si>
  <si>
    <t xml:space="preserve"> Modipon     </t>
  </si>
  <si>
    <t xml:space="preserve"> Modern Steels     </t>
  </si>
  <si>
    <t xml:space="preserve"> Mohit Industries     </t>
  </si>
  <si>
    <t xml:space="preserve"> Morepen Laboratories       </t>
  </si>
  <si>
    <t xml:space="preserve"> Moschip Semiconductor Technology    </t>
  </si>
  <si>
    <t xml:space="preserve"> Ankur Drugs &amp; Pharma       </t>
  </si>
  <si>
    <t xml:space="preserve"> MUKTA ARTS</t>
  </si>
  <si>
    <t xml:space="preserve"> Mukat Pipes     </t>
  </si>
  <si>
    <t xml:space="preserve"> MUNJAL SHOWA LTD</t>
  </si>
  <si>
    <t xml:space="preserve"> Hanjer Fibres     </t>
  </si>
  <si>
    <t xml:space="preserve"> HARIG CRANKSHAFTS LTD</t>
  </si>
  <si>
    <t>Alfa Laval (India) Ltd.</t>
  </si>
  <si>
    <t xml:space="preserve"> Sandu Pharmaceuticals       </t>
  </si>
  <si>
    <t>NeurogesX, Inc.</t>
  </si>
  <si>
    <t>GFRE</t>
  </si>
  <si>
    <t>Gulf Resources, Inc.</t>
  </si>
  <si>
    <t>Cost of Equity</t>
  </si>
  <si>
    <t>Asahi India Glass Ltd.</t>
  </si>
  <si>
    <t>Centurion Bank of Punjab Ltd</t>
  </si>
  <si>
    <t xml:space="preserve"> Shasun Chemicals &amp; Drugs       </t>
  </si>
  <si>
    <t xml:space="preserve"> Shamken Multifab     </t>
  </si>
  <si>
    <t xml:space="preserve"> S K S (Ship) </t>
  </si>
  <si>
    <t xml:space="preserve"> Shamken Spinners     </t>
  </si>
  <si>
    <t xml:space="preserve"> Shiva Cement</t>
  </si>
  <si>
    <t xml:space="preserve"> Shree Digvijay Cement Co.</t>
  </si>
  <si>
    <t xml:space="preserve"> Shri Dinesh Mills     </t>
  </si>
  <si>
    <t xml:space="preserve"> Krishna Lifestyle Technologies     </t>
  </si>
  <si>
    <t xml:space="preserve"> Shree Precoated Steels     </t>
  </si>
  <si>
    <t xml:space="preserve"> Shree Rajasthan Syntex     </t>
  </si>
  <si>
    <t>Market Opportunity = Look for a bullish to neutral market where a slow rise in the price of the underlying is anticipated with little risk of decline</t>
  </si>
  <si>
    <t xml:space="preserve"> R P G Life Sciences       </t>
  </si>
  <si>
    <t xml:space="preserve"> Seasons Textiles     </t>
  </si>
  <si>
    <t>Adhunik Yarns Ltd.</t>
  </si>
  <si>
    <t>JAIASS</t>
  </si>
  <si>
    <t>JAIHYD</t>
  </si>
  <si>
    <t>JAIIND</t>
  </si>
  <si>
    <t>JAIIRR</t>
  </si>
  <si>
    <t xml:space="preserve">JAIPR </t>
  </si>
  <si>
    <t>JAIPRO</t>
  </si>
  <si>
    <t>JAJENT</t>
  </si>
  <si>
    <t>JALISP</t>
  </si>
  <si>
    <t>JAMKAS</t>
  </si>
  <si>
    <t>JANCAS</t>
  </si>
  <si>
    <t>JASIND</t>
  </si>
  <si>
    <t>Prime Textiles Limited</t>
  </si>
  <si>
    <t>Autolite (India) Ltd</t>
  </si>
  <si>
    <t>Cinemax India Ltd.</t>
  </si>
  <si>
    <t>Duncans Industries Ltd</t>
  </si>
  <si>
    <t>Jolly Board Ltd.</t>
  </si>
  <si>
    <t>SAYCY.PK</t>
  </si>
  <si>
    <t>VTRO</t>
  </si>
  <si>
    <t>Over Value</t>
  </si>
  <si>
    <t>Even Value</t>
  </si>
  <si>
    <t>Under Value</t>
  </si>
  <si>
    <t>AKRNIR</t>
  </si>
  <si>
    <t>6. Choose a higher strike call to buy and a lower strike call to sell with the same expiration date.</t>
  </si>
  <si>
    <t>VSTIND</t>
  </si>
  <si>
    <t>KERAYU</t>
  </si>
  <si>
    <t>FundFamily</t>
  </si>
  <si>
    <t>FundName</t>
  </si>
  <si>
    <t>Jamna Auto Industries Ltd.</t>
  </si>
  <si>
    <t>JAYHOT</t>
  </si>
  <si>
    <t>2. Average daility Volatility less than 2% (USA), Hyper Volatile 5-10%</t>
  </si>
  <si>
    <t>GMRVAS</t>
  </si>
  <si>
    <t>DELL</t>
  </si>
  <si>
    <t>CSCO</t>
  </si>
  <si>
    <t>Anixter International Inc. Comm</t>
  </si>
  <si>
    <t>YONG110122C00009000</t>
  </si>
  <si>
    <t>MedTarget</t>
  </si>
  <si>
    <t>AnalystOpinion</t>
  </si>
  <si>
    <t>AXAHY.PK</t>
  </si>
  <si>
    <t>CDSCY.PK</t>
  </si>
  <si>
    <t>CNIT</t>
  </si>
  <si>
    <t>China Information tech</t>
  </si>
  <si>
    <t>IMH</t>
  </si>
  <si>
    <t>NEE</t>
  </si>
  <si>
    <t>NextEra Energy</t>
  </si>
  <si>
    <t>Hanesbrands Inc. Common Stock</t>
  </si>
  <si>
    <t>HGSI</t>
  </si>
  <si>
    <t>Human Genome Sciences, Inc.</t>
  </si>
  <si>
    <t>HMA</t>
  </si>
  <si>
    <t>Market Scenario</t>
  </si>
  <si>
    <t>Dena Bank</t>
  </si>
  <si>
    <t>TATTEL</t>
  </si>
  <si>
    <t>Avaya Global Connect Ltd.</t>
  </si>
  <si>
    <t>UTIBAN</t>
  </si>
  <si>
    <t>AARDRU</t>
  </si>
  <si>
    <t>ACKKNI</t>
  </si>
  <si>
    <t>ADDIND</t>
  </si>
  <si>
    <t>ADVLAB</t>
  </si>
  <si>
    <t>ADVSYN</t>
  </si>
  <si>
    <t>AEKTRA</t>
  </si>
  <si>
    <t>AHLPAR</t>
  </si>
  <si>
    <t>AJAPHA</t>
  </si>
  <si>
    <t>NEW GOLD INC.</t>
  </si>
  <si>
    <t>NGLS</t>
  </si>
  <si>
    <t>Targa Resources Partners LP Com</t>
  </si>
  <si>
    <t>NJ</t>
  </si>
  <si>
    <t>Nidec Corporation (Nihon Densan</t>
  </si>
  <si>
    <t>NOV</t>
  </si>
  <si>
    <t>National Oilwell Varco, Inc. Co</t>
  </si>
  <si>
    <t>NP</t>
  </si>
  <si>
    <t>Neenah Paper, Inc. Common Stock</t>
  </si>
  <si>
    <t>NPO</t>
  </si>
  <si>
    <t>Enpro Industries Inc</t>
  </si>
  <si>
    <t>NSC</t>
  </si>
  <si>
    <t>Norfolk Souther Corporation Com</t>
  </si>
  <si>
    <t>NTES</t>
  </si>
  <si>
    <t>NetEase.com, Inc.</t>
  </si>
  <si>
    <t>NUS</t>
  </si>
  <si>
    <t>Nu Skin Enterprises, Inc. Commo</t>
  </si>
  <si>
    <t>NX</t>
  </si>
  <si>
    <t>Quanex Building Products Corpor</t>
  </si>
  <si>
    <t>OFIX</t>
  </si>
  <si>
    <t>Orthofix International N.V.</t>
  </si>
  <si>
    <t>OI</t>
  </si>
  <si>
    <t>Owens-Illinois, Inc. Common Sto</t>
  </si>
  <si>
    <t>OIS</t>
  </si>
  <si>
    <t>Oil States International, Inc.</t>
  </si>
  <si>
    <t>OLN</t>
  </si>
  <si>
    <t>Olin Corporation Common Stock</t>
  </si>
  <si>
    <t>OMC</t>
  </si>
  <si>
    <t>Omnicom Group Inc. Common Stock</t>
  </si>
  <si>
    <t>ONNN</t>
  </si>
  <si>
    <t>ON Semiconductor Corporation</t>
  </si>
  <si>
    <t>OPY</t>
  </si>
  <si>
    <t>Voltamp Transformers Ltd.</t>
  </si>
  <si>
    <t>WALCAP</t>
  </si>
  <si>
    <t>Walchand Peoplefirst Ltd.</t>
  </si>
  <si>
    <t>WALIND</t>
  </si>
  <si>
    <t>Action Financial Services (India) Ltd.</t>
  </si>
  <si>
    <t>ALFICA</t>
  </si>
  <si>
    <t>Alfa Ica (India) Ltd.</t>
  </si>
  <si>
    <t>Laminates</t>
  </si>
  <si>
    <t>ALKAMI</t>
  </si>
  <si>
    <t>Breakeven= Call strike price + net debit</t>
  </si>
  <si>
    <t>Margin= Required. The amount is subject to your broker's discretion.</t>
  </si>
  <si>
    <t>Sideways</t>
  </si>
  <si>
    <t>BUTTERFLY STRATEGY REVIEW</t>
  </si>
  <si>
    <t xml:space="preserve"> BANCO PRODUCTS (INDIA) LTD.</t>
  </si>
  <si>
    <t xml:space="preserve"> Banswara Syntex     </t>
  </si>
  <si>
    <t>Everest Kanto Cylinder Ltd.</t>
  </si>
  <si>
    <t>HDFBAN</t>
  </si>
  <si>
    <t>JAYMAR</t>
  </si>
  <si>
    <t>TamilNadu Newsprint &amp; Papers Limited</t>
  </si>
  <si>
    <t>8. Black Scholes model :  refers to the riskfree interest rate even for risky investments - assumes using the risk-neutral probability measure of replicating portfolios</t>
  </si>
  <si>
    <t>Thor Industries, Inc. Common St</t>
  </si>
  <si>
    <t>TIF</t>
  </si>
  <si>
    <t>Manulife Financial Corporation (USA)  </t>
  </si>
  <si>
    <t>MT</t>
  </si>
  <si>
    <t>ArcelorMittal (ADR)  </t>
  </si>
  <si>
    <t>PL</t>
  </si>
  <si>
    <t>Protective Life Corp.  </t>
  </si>
  <si>
    <t>PTR</t>
  </si>
  <si>
    <t>Petro China</t>
  </si>
  <si>
    <t>TRN</t>
  </si>
  <si>
    <t>Trinity Industries, Inc.  </t>
  </si>
  <si>
    <t>UFS</t>
  </si>
  <si>
    <t>Domtar Corp. (USA)  </t>
  </si>
  <si>
    <t>WF</t>
  </si>
  <si>
    <t>Woori Finance Holdings Co., Ltd. (ADR)  </t>
  </si>
  <si>
    <t>Strategy = Buy 1 ITM option, sell 2 ATM options and buy 1 OTM option</t>
  </si>
  <si>
    <t>Pharmaceuticals</t>
  </si>
  <si>
    <t>Finance</t>
  </si>
  <si>
    <t>Trading</t>
  </si>
  <si>
    <t>Transport</t>
  </si>
  <si>
    <t>GVK Power &amp; Infrastructure Ltd.</t>
  </si>
  <si>
    <t>Havells India Ltd.</t>
  </si>
  <si>
    <t>HDFC Bank Ltd.</t>
  </si>
  <si>
    <t>Housing Development Finance Corporation Ltd.</t>
  </si>
  <si>
    <t>Housing Development &amp; Infrastructure Ltd.</t>
  </si>
  <si>
    <t xml:space="preserve"> Ultratech Cemco</t>
  </si>
  <si>
    <t>13. Watch the market closely as it fluctuates. The profit on this strategy is limited-a loss occurs if the underlying stock rises to or above breakeven point.</t>
  </si>
  <si>
    <t xml:space="preserve"> Tulsyan N E C     </t>
  </si>
  <si>
    <t xml:space="preserve"> T V S Electronics    </t>
  </si>
  <si>
    <t xml:space="preserve"> T V TODAY NETWORK</t>
  </si>
  <si>
    <t>UTI Equity tax savings plan dividend reinvestment - Folio 510229959806</t>
  </si>
  <si>
    <t xml:space="preserve"> TALBROS AUTOMOTIVE COMPONENTS LTD</t>
  </si>
  <si>
    <t xml:space="preserve"> Tata Honeywell     </t>
  </si>
  <si>
    <t xml:space="preserve"> Tata Sponge Iron     </t>
  </si>
  <si>
    <t>Amazon</t>
  </si>
  <si>
    <t>Astra Zeneca</t>
  </si>
  <si>
    <t>14. To exit the trade, you need to sell the lower strike put and buy the higher strike put or simply let the options expire.</t>
  </si>
  <si>
    <t>LONG PUT STRATEGY REVIEW</t>
  </si>
  <si>
    <t>LINPH</t>
  </si>
  <si>
    <t>LITPHA</t>
  </si>
  <si>
    <t>GONPEI</t>
  </si>
  <si>
    <t>GRANUL</t>
  </si>
  <si>
    <t>GRASIL</t>
  </si>
  <si>
    <t>GTNTEX</t>
  </si>
  <si>
    <t>GUJCYC</t>
  </si>
  <si>
    <t>GUJTHE</t>
  </si>
  <si>
    <t>HANERA</t>
  </si>
  <si>
    <t>HANFIB</t>
  </si>
  <si>
    <t>HARCRA</t>
  </si>
  <si>
    <t>KALBRA</t>
  </si>
  <si>
    <t>growth</t>
  </si>
  <si>
    <t>MAKLAB</t>
  </si>
  <si>
    <t>MALCOT</t>
  </si>
  <si>
    <t>MAROVE</t>
  </si>
  <si>
    <t>MAWSUG</t>
  </si>
  <si>
    <t xml:space="preserve"> Siemens</t>
  </si>
  <si>
    <t>MPT</t>
  </si>
  <si>
    <t xml:space="preserve"> HCC</t>
  </si>
  <si>
    <t>SUNTV</t>
  </si>
  <si>
    <t>GMRINF</t>
  </si>
  <si>
    <t>GMR Infrasructure</t>
  </si>
  <si>
    <t>MEDBIO</t>
  </si>
  <si>
    <t>MEDCAP</t>
  </si>
  <si>
    <t>MEGLTD</t>
  </si>
  <si>
    <t>MELINF</t>
  </si>
  <si>
    <t>MENBEA</t>
  </si>
  <si>
    <t>MINLTD</t>
  </si>
  <si>
    <t>MINTEX</t>
  </si>
  <si>
    <t>BHP</t>
  </si>
  <si>
    <t>BHP Billiton Limited Common Sto</t>
  </si>
  <si>
    <t>BID</t>
  </si>
  <si>
    <t>Sotheby's Common Stock</t>
  </si>
  <si>
    <t>BIG</t>
  </si>
  <si>
    <t>Big Lots, Inc. Common Stock</t>
  </si>
  <si>
    <t>BIO</t>
  </si>
  <si>
    <t>Bio-Rad Laboratories, Inc. Clas</t>
  </si>
  <si>
    <t>BIOS</t>
  </si>
  <si>
    <t>BioScrip, Inc.</t>
  </si>
  <si>
    <t>BMRN</t>
  </si>
  <si>
    <t>BioMarin Pharmaceutical Inc.</t>
  </si>
  <si>
    <t>BPOP</t>
  </si>
  <si>
    <t>Popular, Inc.</t>
  </si>
  <si>
    <t>BT</t>
  </si>
  <si>
    <t>BT GROUP PLC</t>
  </si>
  <si>
    <t>BTH</t>
  </si>
  <si>
    <t>Blyth, Inc. New Common Stock</t>
  </si>
  <si>
    <t>BTU</t>
  </si>
  <si>
    <t>Peabody Energy Corporation Comm</t>
  </si>
  <si>
    <t>CAAS</t>
  </si>
  <si>
    <t>China Automotive Systems, Inc.</t>
  </si>
  <si>
    <t>CAJ</t>
  </si>
  <si>
    <t>Canon, Inc. American Depositary</t>
  </si>
  <si>
    <t>CATM</t>
  </si>
  <si>
    <t>Cardtronics, Inc.</t>
  </si>
  <si>
    <t>CBE</t>
  </si>
  <si>
    <t>Cooper Industries, plc (Irelan</t>
  </si>
  <si>
    <t>CBEH</t>
  </si>
  <si>
    <t>China Integrated Energy, Inc</t>
  </si>
  <si>
    <t>CBOU</t>
  </si>
  <si>
    <t>Caribou Coffee Company, Inc.</t>
  </si>
  <si>
    <t>CCH</t>
  </si>
  <si>
    <t>COCA COLA HELLENIC BOTTLING CO</t>
  </si>
  <si>
    <t>CCMP</t>
  </si>
  <si>
    <t>Cabot Microelectronics Corporat</t>
  </si>
  <si>
    <t>CEA</t>
  </si>
  <si>
    <t>China Eastern Airlines Corporat</t>
  </si>
  <si>
    <t>CEC</t>
  </si>
  <si>
    <t>CEC Entertainment, Inc. Common</t>
  </si>
  <si>
    <t>CELL</t>
  </si>
  <si>
    <t>Brightpoint, Inc.</t>
  </si>
  <si>
    <t>CEO</t>
  </si>
  <si>
    <t>CNOOC Limited Common Stock</t>
  </si>
  <si>
    <t>CHDN</t>
  </si>
  <si>
    <t>Churchill Downs, Incorporated</t>
  </si>
  <si>
    <t>CIM</t>
  </si>
  <si>
    <t>1010068176680</t>
  </si>
  <si>
    <t>031100869</t>
  </si>
  <si>
    <t>Maximum Risk = Limited to the difference between the strikes minus the net credit</t>
  </si>
  <si>
    <t>Kansai Nerolac Paints Ltd.</t>
  </si>
  <si>
    <t>Saregama India Ltd.</t>
  </si>
  <si>
    <t>Greaves Cotton Ltd.</t>
  </si>
  <si>
    <t>Grindwell Norton Ltd.</t>
  </si>
  <si>
    <t>Gujarat State Fertilizer &amp; Chemicals Ltd.</t>
  </si>
  <si>
    <t>Gujarat State Petronet Ltd.</t>
  </si>
  <si>
    <t>Gujarat Gas Company Ltd.</t>
  </si>
  <si>
    <t>YONG110716P00010000</t>
  </si>
  <si>
    <t>Security Transaction Tax For 2005/08/16</t>
  </si>
  <si>
    <t>9 </t>
  </si>
  <si>
    <t>17/08/2005</t>
  </si>
  <si>
    <t>22/08/2005</t>
  </si>
  <si>
    <t>RELIANCE INDUSTRIES LTD</t>
  </si>
  <si>
    <t>20 </t>
  </si>
  <si>
    <t>11 </t>
  </si>
  <si>
    <t>Siddhartha Tubes Ltd.</t>
  </si>
  <si>
    <t>SKUMIN</t>
  </si>
  <si>
    <t>SRIJAY</t>
  </si>
  <si>
    <t xml:space="preserve"> UTV SOFTWARE COMM.</t>
  </si>
  <si>
    <t xml:space="preserve"> Varun Shipping </t>
  </si>
  <si>
    <t>VSNL</t>
  </si>
  <si>
    <t>Assured Guaranty Ltd Common Sto</t>
  </si>
  <si>
    <t>TWIN</t>
  </si>
  <si>
    <t>Twin Disc, Incorporated</t>
  </si>
  <si>
    <t>FUQI</t>
  </si>
  <si>
    <t>Fuqi International, Inc.</t>
  </si>
  <si>
    <t>ETM</t>
  </si>
  <si>
    <t>Entercom Communications Corpora</t>
  </si>
  <si>
    <t>MED</t>
  </si>
  <si>
    <t>MEDIFAST INC Common Stock</t>
  </si>
  <si>
    <t>EXXI</t>
  </si>
  <si>
    <t>Energy XXI (Bermuda) Limited</t>
  </si>
  <si>
    <t>OXM</t>
  </si>
  <si>
    <t>Oxford Industries, Inc. Common</t>
  </si>
  <si>
    <t>BELM</t>
  </si>
  <si>
    <t>Bell Microproducts Inc.</t>
  </si>
  <si>
    <t>AI</t>
  </si>
  <si>
    <t>Ambuja Shipyard and Software Ltd.</t>
  </si>
  <si>
    <t xml:space="preserve"> Pentasoft Technologies    </t>
  </si>
  <si>
    <t xml:space="preserve"> Pentamedia Graphics    </t>
  </si>
  <si>
    <t xml:space="preserve"> Pharmaids Pharmaceuticals       </t>
  </si>
  <si>
    <t xml:space="preserve"> PHOENIX LAMPS LTD</t>
  </si>
  <si>
    <t>HATAGR</t>
  </si>
  <si>
    <t xml:space="preserve"> Alok Industries     </t>
  </si>
  <si>
    <t xml:space="preserve"> Amarjothi Spinning Mills     </t>
  </si>
  <si>
    <t xml:space="preserve"> Ambalal Sarabhai Enterprises       </t>
  </si>
  <si>
    <t xml:space="preserve"> AMFORGE INDUSTRIES LTD</t>
  </si>
  <si>
    <t xml:space="preserve"> Amit Spinning Inds.     </t>
  </si>
  <si>
    <t>SHASPI</t>
  </si>
  <si>
    <t>SHICEM</t>
  </si>
  <si>
    <t>SHRDIG</t>
  </si>
  <si>
    <t>SHRDIN</t>
  </si>
  <si>
    <t>SHRKRI</t>
  </si>
  <si>
    <t>SHRPRE</t>
  </si>
  <si>
    <t>14. To exit the trade, you need to sell the higher strike put and buy the lower strike put or simply let the options expire. The maximum profit occurs when the price of the underlying stock falls below the short put strike price. If and when the short put is exercised by the assigned option holder, you can exercise the long put to sell the shares purchased from the option holder at the higher long put price, pocketing the difference plus the premium of the short put.</t>
  </si>
  <si>
    <t>Mahindra Gesco Developers Limited</t>
  </si>
  <si>
    <t xml:space="preserve"> Hindoostan Spinning &amp; Wvg. Mills     </t>
  </si>
  <si>
    <t>*  Check if tax rate to apply before or after deducting Interest expenses</t>
  </si>
  <si>
    <t>EPS0</t>
  </si>
  <si>
    <t>EPS1</t>
  </si>
  <si>
    <t>EPS2</t>
  </si>
  <si>
    <t>E-EPS</t>
  </si>
  <si>
    <t>MAHSE</t>
  </si>
  <si>
    <t>MAHSHR</t>
  </si>
  <si>
    <t>PSMSPI</t>
  </si>
  <si>
    <t>GMR Infrastructure, GVK Power , KEC infra</t>
  </si>
  <si>
    <t>TVSELE</t>
  </si>
  <si>
    <t>TVTNET</t>
  </si>
  <si>
    <t>UGASUG</t>
  </si>
  <si>
    <t>UPPGAN</t>
  </si>
  <si>
    <t>USHBEL</t>
  </si>
  <si>
    <t>UTTSTE</t>
  </si>
  <si>
    <t>VALSTE</t>
  </si>
  <si>
    <t>VARIND</t>
  </si>
  <si>
    <t>VARPO</t>
  </si>
  <si>
    <t>VARSPI</t>
  </si>
  <si>
    <t>VBCFER</t>
  </si>
  <si>
    <t>VENREM</t>
  </si>
  <si>
    <t>VENSUG</t>
  </si>
  <si>
    <t>VISPHA</t>
  </si>
  <si>
    <t>VJICON</t>
  </si>
  <si>
    <t>VXLIN</t>
  </si>
  <si>
    <t>VXLINS</t>
  </si>
  <si>
    <t>VYBAUT</t>
  </si>
  <si>
    <t>WEBENE</t>
  </si>
  <si>
    <t>WELSYN</t>
  </si>
  <si>
    <t>WESHAT</t>
  </si>
  <si>
    <t>International Hometex Ltd.</t>
  </si>
  <si>
    <t>TUTALK</t>
  </si>
  <si>
    <t>India Prima Fund - (G)</t>
  </si>
  <si>
    <t>Upside Breakeven = Lower strike price call (short call) plus the net credit</t>
  </si>
  <si>
    <t xml:space="preserve"> Dalmia Cement (Bharat)</t>
  </si>
  <si>
    <t>DECCEM</t>
  </si>
  <si>
    <t xml:space="preserve"> Deccan Cements</t>
  </si>
  <si>
    <t>DHARSU</t>
  </si>
  <si>
    <t xml:space="preserve"> BHARAT SEATS </t>
  </si>
  <si>
    <t xml:space="preserve">HDIL </t>
  </si>
  <si>
    <t xml:space="preserve">HINFC </t>
  </si>
  <si>
    <t>HINPET</t>
  </si>
  <si>
    <t xml:space="preserve">IFCI </t>
  </si>
  <si>
    <t>ILFINV</t>
  </si>
  <si>
    <t>INDMER</t>
  </si>
  <si>
    <t>City Union Bank Ltd</t>
  </si>
  <si>
    <t>JAICOR</t>
  </si>
  <si>
    <t>KEMIND</t>
  </si>
  <si>
    <t>KGKHOS</t>
  </si>
  <si>
    <t>LANINF</t>
  </si>
  <si>
    <t>LOKHOU</t>
  </si>
  <si>
    <t>Centuary Bank?</t>
  </si>
  <si>
    <t>MADALU</t>
  </si>
  <si>
    <t>MAHFIN</t>
  </si>
  <si>
    <t>MERLIN</t>
  </si>
  <si>
    <t>MONCHE</t>
  </si>
  <si>
    <t>MORGOK</t>
  </si>
  <si>
    <t>NAVBHA</t>
  </si>
  <si>
    <t>NICCOR</t>
  </si>
  <si>
    <t>GEOY</t>
  </si>
  <si>
    <t>SNV</t>
  </si>
  <si>
    <t>SPMD</t>
  </si>
  <si>
    <t>Selan Exploration Technology Ltd.</t>
  </si>
  <si>
    <t>GAJBEV</t>
  </si>
  <si>
    <t>GANSPE</t>
  </si>
  <si>
    <t>GANTEX</t>
  </si>
  <si>
    <t>GARCEM</t>
  </si>
  <si>
    <t>GARPAP</t>
  </si>
  <si>
    <t>GARSHI</t>
  </si>
  <si>
    <t>GARSIL</t>
  </si>
  <si>
    <t>GDRSOF</t>
  </si>
  <si>
    <t xml:space="preserve"> K SERA SERA PRODUCTIONS</t>
  </si>
  <si>
    <t xml:space="preserve"> Matrix Laboratories       </t>
  </si>
  <si>
    <t>Gujarat Carbon &amp; Industries Ltd.</t>
  </si>
  <si>
    <t xml:space="preserve">GUJPO </t>
  </si>
  <si>
    <t>Scrip has fallen by -76.0%</t>
  </si>
  <si>
    <t>ADIPOL</t>
  </si>
  <si>
    <t>ADIRAS</t>
  </si>
  <si>
    <t>ADVMUL</t>
  </si>
  <si>
    <t>ADVPET</t>
  </si>
  <si>
    <t>AEGCHE</t>
  </si>
  <si>
    <t>AFTBUS</t>
  </si>
  <si>
    <t>AJBROT</t>
  </si>
  <si>
    <t>AJCCAP</t>
  </si>
  <si>
    <t>AKAFIN</t>
  </si>
  <si>
    <t>AKAPOL</t>
  </si>
  <si>
    <t>HINZIN</t>
  </si>
  <si>
    <t xml:space="preserve"> Hindustan Zinc     </t>
  </si>
  <si>
    <t>HOEMAR</t>
  </si>
  <si>
    <t xml:space="preserve"> Aventis Pharma       </t>
  </si>
  <si>
    <t>HOTLEE</t>
  </si>
  <si>
    <t xml:space="preserve"> Hotel Leelaventure      </t>
  </si>
  <si>
    <t>Info Edge (India) Ltd.</t>
  </si>
  <si>
    <t>IVRPRI</t>
  </si>
  <si>
    <t>IVR Prime Urban Developers Ltd.</t>
  </si>
  <si>
    <t>JAIBAL</t>
  </si>
  <si>
    <t>Jai Balaji Industries Ltd.</t>
  </si>
  <si>
    <t>HTMT Global Solutions Ltd.</t>
  </si>
  <si>
    <t>IDECEL</t>
  </si>
  <si>
    <t>Idea Cellular Ltd.</t>
  </si>
  <si>
    <t>6. Ignores Debt to equity ratio or (Interest Cover) used in calculating FCFE</t>
  </si>
  <si>
    <t xml:space="preserve">16 TAX Rate assumed mostly </t>
  </si>
  <si>
    <t>Assumption</t>
  </si>
  <si>
    <t>Amgen Inc.</t>
  </si>
  <si>
    <t>AMT</t>
  </si>
  <si>
    <t>American Tower Corporation Comm</t>
  </si>
  <si>
    <t>AN</t>
  </si>
  <si>
    <t>AutoNation, Inc. Common Stock</t>
  </si>
  <si>
    <t>ANF</t>
  </si>
  <si>
    <t>Abercrombie &amp; Fitch Company Com</t>
  </si>
  <si>
    <t>AON</t>
  </si>
  <si>
    <t>Aon Corporation Common Stock</t>
  </si>
  <si>
    <t>APD</t>
  </si>
  <si>
    <t>Air Products and Chemicals, Inc</t>
  </si>
  <si>
    <t>APH</t>
  </si>
  <si>
    <t>Amphenol Corporation Common Sto</t>
  </si>
  <si>
    <t>APOL</t>
  </si>
  <si>
    <t>Apollo Group, Inc.</t>
  </si>
  <si>
    <t>ARG</t>
  </si>
  <si>
    <t>Cenveo Inc</t>
  </si>
  <si>
    <t>ISR</t>
  </si>
  <si>
    <t>IsoRay, Inc. Common Stock</t>
  </si>
  <si>
    <t>FEED</t>
  </si>
  <si>
    <t>AgFeed Industries, Inc.</t>
  </si>
  <si>
    <t>PKD</t>
  </si>
  <si>
    <t>Market Opportunity = Look for a range-bound market that is expected to stay between the calculated breakeven points</t>
  </si>
  <si>
    <t>Stock price trades within a narrow range (but slightly less so than long butterfly) through expiration.</t>
  </si>
  <si>
    <t>Strategy</t>
  </si>
  <si>
    <t>Calendar spread with short nearer term option used to off-set cost of longer-term, long option.</t>
  </si>
  <si>
    <t>UNITEC</t>
  </si>
  <si>
    <t>USHMAR</t>
  </si>
  <si>
    <t>VAMORG</t>
  </si>
  <si>
    <t>VIJBAN</t>
  </si>
  <si>
    <t>VIMLAB</t>
  </si>
  <si>
    <t>VYSBAN</t>
  </si>
  <si>
    <t>WSINDU</t>
  </si>
  <si>
    <t>Dwarkesh Finance Ltd.</t>
  </si>
  <si>
    <t>Dynavision Ltd.</t>
  </si>
  <si>
    <t>SB</t>
  </si>
  <si>
    <t>SFE</t>
  </si>
  <si>
    <t>SSRX</t>
  </si>
  <si>
    <t>ALD</t>
  </si>
  <si>
    <t>Allied Capital</t>
  </si>
  <si>
    <t>BNI</t>
  </si>
  <si>
    <t>Burlington Northern Railroad</t>
  </si>
  <si>
    <t>Cadbury</t>
  </si>
  <si>
    <t>COMS</t>
  </si>
  <si>
    <t>3Com</t>
  </si>
  <si>
    <t>DDUP</t>
  </si>
  <si>
    <t>Data Domain</t>
  </si>
  <si>
    <t>DLB</t>
  </si>
  <si>
    <t>Dolby Laboratories</t>
  </si>
  <si>
    <t>GME</t>
  </si>
  <si>
    <t>TJ Maxx?</t>
  </si>
  <si>
    <t>TSO</t>
  </si>
  <si>
    <t>Tesoro</t>
  </si>
  <si>
    <t>TXI</t>
  </si>
  <si>
    <t>Texas Inst</t>
  </si>
  <si>
    <t>TYC</t>
  </si>
  <si>
    <t>Tyco</t>
  </si>
  <si>
    <t>UPL</t>
  </si>
  <si>
    <t>Ultra Oil</t>
  </si>
  <si>
    <t>UPS</t>
  </si>
  <si>
    <t>United Parcel</t>
  </si>
  <si>
    <t>VLO</t>
  </si>
  <si>
    <t>Valero</t>
  </si>
  <si>
    <t>Abbott Labs</t>
  </si>
  <si>
    <t>CRUS</t>
  </si>
  <si>
    <t>FREE</t>
  </si>
  <si>
    <t>GSBC</t>
  </si>
  <si>
    <t>Great Southern Bancorp</t>
  </si>
  <si>
    <t>LMT</t>
  </si>
  <si>
    <t>Lockheed Martin</t>
  </si>
  <si>
    <t>RA</t>
  </si>
  <si>
    <t>Jacobs Engineering Group Inc. C</t>
  </si>
  <si>
    <t>JNPR</t>
  </si>
  <si>
    <t>Juniper Networks, Inc. Common S</t>
  </si>
  <si>
    <t>JNS</t>
  </si>
  <si>
    <t>Janus Capital Group, Inc. Cmn S</t>
  </si>
  <si>
    <t>JWN</t>
  </si>
  <si>
    <t>Nordstrom, Inc. Common Stock</t>
  </si>
  <si>
    <t>K</t>
  </si>
  <si>
    <t>Kellogg Company Common Stock</t>
  </si>
  <si>
    <t>KEY</t>
  </si>
  <si>
    <t>KeyCorp Common Stock</t>
  </si>
  <si>
    <t>KG</t>
  </si>
  <si>
    <t>King Pharmaceuticals, Inc. Comm</t>
  </si>
  <si>
    <t>KIM</t>
  </si>
  <si>
    <t>Kimco Realty Corporation Common</t>
  </si>
  <si>
    <t>KLAC</t>
  </si>
  <si>
    <t>KLA-Tencor Corporation</t>
  </si>
  <si>
    <t>KMB</t>
  </si>
  <si>
    <t>Kimberly-Clark Corporation Comm</t>
  </si>
  <si>
    <t>KR</t>
  </si>
  <si>
    <t>Kroger Company (The) Common Sto</t>
  </si>
  <si>
    <t>KSS</t>
  </si>
  <si>
    <t>Kohl's Corporation Common Stock</t>
  </si>
  <si>
    <t>LEN</t>
  </si>
  <si>
    <t>Lennar Corporation Class A Comm</t>
  </si>
  <si>
    <t>LH</t>
  </si>
  <si>
    <t>Laboratory Corporation of Ameri</t>
  </si>
  <si>
    <t>LIFE</t>
  </si>
  <si>
    <t>Life Technologies Corporation</t>
  </si>
  <si>
    <t>LLL</t>
  </si>
  <si>
    <t>L-3 Communications Holdings, In</t>
  </si>
  <si>
    <t>LLTC</t>
  </si>
  <si>
    <t>Linear Technology Corporation</t>
  </si>
  <si>
    <t>LLY</t>
  </si>
  <si>
    <t>Eli Lilly and Company Common St</t>
  </si>
  <si>
    <t>LM</t>
  </si>
  <si>
    <t>Legg Mason, Inc. Common Stock</t>
  </si>
  <si>
    <t>LNC</t>
  </si>
  <si>
    <t>Lincoln National Corporation Co</t>
  </si>
  <si>
    <t>LO</t>
  </si>
  <si>
    <t>Lorillard, Inc Common Stock</t>
  </si>
  <si>
    <t>LSI</t>
  </si>
  <si>
    <t>LSI Corporation Common Stock</t>
  </si>
  <si>
    <t>LTD</t>
  </si>
  <si>
    <t>Limited Brands, Inc.</t>
  </si>
  <si>
    <t>LUV</t>
  </si>
  <si>
    <t>Southwest Airlines Company Comm</t>
  </si>
  <si>
    <t>LXK</t>
  </si>
  <si>
    <t>Lexmark International, Inc. Com</t>
  </si>
  <si>
    <t>MAR</t>
  </si>
  <si>
    <t>Marriot International Common St</t>
  </si>
  <si>
    <t>MAS</t>
  </si>
  <si>
    <t>Masco Corporation Common Stock</t>
  </si>
  <si>
    <t>MCHP</t>
  </si>
  <si>
    <t>Microchip Technology Incorporat</t>
  </si>
  <si>
    <t>ULTCEM</t>
  </si>
  <si>
    <t>Maximum Profit = Limited to the credit received from the short call option + (short call strike price - price of long underlying asset) times value per point</t>
  </si>
  <si>
    <t>DSP%20BR%20equity</t>
  </si>
  <si>
    <t xml:space="preserve"> HI-TECH GEARS LTD</t>
  </si>
  <si>
    <t xml:space="preserve"> H M T     </t>
  </si>
  <si>
    <t xml:space="preserve"> H P Cotton Textile Mills     </t>
  </si>
  <si>
    <t>McKesson Corporation Common Sto</t>
  </si>
  <si>
    <t>MCO</t>
  </si>
  <si>
    <t>Moody's Corporation Common Stoc</t>
  </si>
  <si>
    <t>MDP</t>
  </si>
  <si>
    <t>Meredith Corporation Common Sto</t>
  </si>
  <si>
    <t>MEE</t>
  </si>
  <si>
    <t>Massey Energy Company Common St</t>
  </si>
  <si>
    <t>MFE</t>
  </si>
  <si>
    <t>MCAFEE, Inc</t>
  </si>
  <si>
    <t>MHP</t>
  </si>
  <si>
    <t>McGraw-Hill Companies, Inc. (Th</t>
  </si>
  <si>
    <t>MI</t>
  </si>
  <si>
    <t>New M&amp;I Corporation Common Stoc</t>
  </si>
  <si>
    <t>MJN</t>
  </si>
  <si>
    <t>Mead Johnson Nutrition Company</t>
  </si>
  <si>
    <t>MKC</t>
  </si>
  <si>
    <t>McCormick &amp; Company, Incorporat</t>
  </si>
  <si>
    <t>MMC</t>
  </si>
  <si>
    <t>Marsh &amp; McLennan Companies, Inc</t>
  </si>
  <si>
    <t>MOLX</t>
  </si>
  <si>
    <t>Molex Incorporated</t>
  </si>
  <si>
    <t>MON</t>
  </si>
  <si>
    <t>Monsanto Company Common Stock</t>
  </si>
  <si>
    <t>MOT</t>
  </si>
  <si>
    <t>Motorola, Inc. Common Stock</t>
  </si>
  <si>
    <t>MRO</t>
  </si>
  <si>
    <t xml:space="preserve"> Thermax     </t>
  </si>
  <si>
    <t xml:space="preserve"> Tata Iron &amp; Steel Co.     </t>
  </si>
  <si>
    <t>TRENT</t>
  </si>
  <si>
    <t xml:space="preserve"> Trent     </t>
  </si>
  <si>
    <t>TULITS</t>
  </si>
  <si>
    <t>Gulf Oil Corporation Ltd.</t>
  </si>
  <si>
    <t xml:space="preserve"> Kirloskar Oil Engins</t>
  </si>
  <si>
    <t>KPISYS</t>
  </si>
  <si>
    <t xml:space="preserve"> K P I T Cummins Infosystems    </t>
  </si>
  <si>
    <t xml:space="preserve"> Larsen &amp; Toubro     </t>
  </si>
  <si>
    <t xml:space="preserve"> Lupin       </t>
  </si>
  <si>
    <t>Long Butterfly which uses short, ATM options to serve as the body and long ITM and OTM options to serve as the wings.</t>
  </si>
  <si>
    <t>Metalco</t>
  </si>
  <si>
    <t>NM</t>
  </si>
  <si>
    <t>NAVIOS MARITIME</t>
  </si>
  <si>
    <t>PDS</t>
  </si>
  <si>
    <t>PRECISION DRILL TRST</t>
  </si>
  <si>
    <t>Blackberry</t>
  </si>
  <si>
    <t>SLG</t>
  </si>
  <si>
    <t>SL GREEN REALTY CP</t>
  </si>
  <si>
    <t>TARGET</t>
  </si>
  <si>
    <t>Jaiprakash Hydro-Power Ltd.</t>
  </si>
  <si>
    <t>APWR</t>
  </si>
  <si>
    <t>BOLT</t>
  </si>
  <si>
    <t>Technology</t>
  </si>
  <si>
    <t>CMFO</t>
  </si>
  <si>
    <t>SBLK</t>
  </si>
  <si>
    <t>Shipping carriers</t>
  </si>
  <si>
    <t>VIT</t>
  </si>
  <si>
    <t>GOOG</t>
  </si>
  <si>
    <t>Advanced Semi</t>
  </si>
  <si>
    <t>Sterlite Industries India Ltd</t>
  </si>
  <si>
    <t>ACUR</t>
  </si>
  <si>
    <t>Acura Pharma</t>
  </si>
  <si>
    <t>AIS</t>
  </si>
  <si>
    <t>ANTARES Medical</t>
  </si>
  <si>
    <t>APAC</t>
  </si>
  <si>
    <t>Business Services</t>
  </si>
  <si>
    <t>DAC</t>
  </si>
  <si>
    <t>Danos Shipping Corp</t>
  </si>
  <si>
    <t>DXR</t>
  </si>
  <si>
    <t>Impax Lab</t>
  </si>
  <si>
    <t>ISBC</t>
  </si>
  <si>
    <t xml:space="preserve"> JAY BHARAT MARUTI LTD</t>
  </si>
  <si>
    <t>Pearl Engineering Polymers Ltd.</t>
  </si>
  <si>
    <t xml:space="preserve">PENPR </t>
  </si>
  <si>
    <t>Scrip has fallen by -11.0%</t>
  </si>
  <si>
    <t>E</t>
  </si>
  <si>
    <t>Italy-based ENI</t>
  </si>
  <si>
    <t>USO</t>
  </si>
  <si>
    <t>U.S. Oil Fund ETF</t>
  </si>
  <si>
    <t xml:space="preserve"> Ingersoll-Rand (India)     </t>
  </si>
  <si>
    <t xml:space="preserve"> I C S A (India)    </t>
  </si>
  <si>
    <t>Koninklijke Philips Electronics</t>
  </si>
  <si>
    <t>PII</t>
  </si>
  <si>
    <t>Polaris Industries Inc. Common</t>
  </si>
  <si>
    <t>PIR</t>
  </si>
  <si>
    <t>Pier 1 Imports, Inc. Common Sto</t>
  </si>
  <si>
    <t>PKG</t>
  </si>
  <si>
    <t>Packaging Corporation of Americ</t>
  </si>
  <si>
    <t>PLT</t>
  </si>
  <si>
    <t>Plantronics, Inc. Common Stock</t>
  </si>
  <si>
    <t>POL</t>
  </si>
  <si>
    <t>PolyOne Corporation Common Stoc</t>
  </si>
  <si>
    <t>POWI</t>
  </si>
  <si>
    <t>Power Integrations, Inc.</t>
  </si>
  <si>
    <t>PRAA</t>
  </si>
  <si>
    <t>Portfolio Recovery Associates,</t>
  </si>
  <si>
    <t>PRGS</t>
  </si>
  <si>
    <t>Progress Software Corporation</t>
  </si>
  <si>
    <t>PRXL</t>
  </si>
  <si>
    <t>PAREXEL International Corporati</t>
  </si>
  <si>
    <t>PUK</t>
  </si>
  <si>
    <t>Prudential Public Limited Compa</t>
  </si>
  <si>
    <t xml:space="preserve"> Panacea Biotec       </t>
  </si>
  <si>
    <t>Torrent Pharmaceuticals Limited</t>
  </si>
  <si>
    <t>LAKOVE</t>
  </si>
  <si>
    <t>Lakshmi Energy &amp; Foods Ltd.</t>
  </si>
  <si>
    <t>LUPCHE</t>
  </si>
  <si>
    <t>Lupin Ltd.</t>
  </si>
  <si>
    <t>MAHELE</t>
  </si>
  <si>
    <t xml:space="preserve"> RICO AUTO INDS. LTD</t>
  </si>
  <si>
    <t xml:space="preserve"> Rolta</t>
  </si>
  <si>
    <t>ELEENG</t>
  </si>
  <si>
    <t>EMCTRA</t>
  </si>
  <si>
    <t>ENGIND</t>
  </si>
  <si>
    <t>ESSPAC</t>
  </si>
  <si>
    <t>EVEKAN</t>
  </si>
  <si>
    <t>Ambuja Zinc Ltd.</t>
  </si>
  <si>
    <t>Andhra Bank</t>
  </si>
  <si>
    <t>Mahindra &amp; Mahindra Ltd.</t>
  </si>
  <si>
    <t>Mather &amp; Platt Pumps Limited</t>
  </si>
  <si>
    <t>Max India Limited</t>
  </si>
  <si>
    <t>United Spirits Limited</t>
  </si>
  <si>
    <t>McLeod Russel India Limited</t>
  </si>
  <si>
    <t>SLM Corporation, Common Stock</t>
  </si>
  <si>
    <t>SLW</t>
  </si>
  <si>
    <t>Silver Wheaton Corp Common Shar</t>
  </si>
  <si>
    <t>Cummins Inc. Common Stock</t>
  </si>
  <si>
    <t>CMS</t>
  </si>
  <si>
    <t>CMS Energy Corporation Common S</t>
  </si>
  <si>
    <t>CNP</t>
  </si>
  <si>
    <t>CenterPoint Energy, Inc (Holdin</t>
  </si>
  <si>
    <t>CNX</t>
  </si>
  <si>
    <t>CONSOL Energy Inc. Common Stock</t>
  </si>
  <si>
    <t>COF</t>
  </si>
  <si>
    <t>Capital One Financial Corporati</t>
  </si>
  <si>
    <t>COG</t>
  </si>
  <si>
    <t>Cabot Oil &amp; Gas Corporation Com</t>
  </si>
  <si>
    <t>COL</t>
  </si>
  <si>
    <t>Rockwell Collins, Inc. Common S</t>
  </si>
  <si>
    <t>COP</t>
  </si>
  <si>
    <t>ConocoPhillips Common Stock</t>
  </si>
  <si>
    <t>CPB</t>
  </si>
  <si>
    <t>Campbell Soup Company Common St</t>
  </si>
  <si>
    <t>CRM</t>
  </si>
  <si>
    <t>Salesforce.com Inc Common Stock</t>
  </si>
  <si>
    <t>CSC</t>
  </si>
  <si>
    <t>Computer Sciences Corporation C</t>
  </si>
  <si>
    <t>CTAS</t>
  </si>
  <si>
    <t>Cintas Corporation</t>
  </si>
  <si>
    <t>CTL</t>
  </si>
  <si>
    <t>CenturyLink, Inc. Common Stock</t>
  </si>
  <si>
    <t>CTXS</t>
  </si>
  <si>
    <t>Citrix Systems, Inc.</t>
  </si>
  <si>
    <t>CVH</t>
  </si>
  <si>
    <t>Coventry Health Care, Inc. Comm</t>
  </si>
  <si>
    <t>D</t>
  </si>
  <si>
    <t>Dominion Resources, Inc. Common</t>
  </si>
  <si>
    <t>DF</t>
  </si>
  <si>
    <t>Dean Foods Company Common Stock</t>
  </si>
  <si>
    <t>DFS</t>
  </si>
  <si>
    <t>Discover Financial Services Com</t>
  </si>
  <si>
    <t>DGX</t>
  </si>
  <si>
    <t>Quest Diagnostics Incorporated</t>
  </si>
  <si>
    <t>DHI</t>
  </si>
  <si>
    <t>GES</t>
  </si>
  <si>
    <t>Guess</t>
  </si>
  <si>
    <t>GPS</t>
  </si>
  <si>
    <t>Gap</t>
  </si>
  <si>
    <t>HOC</t>
  </si>
  <si>
    <t>Holly energy</t>
  </si>
  <si>
    <t>IP</t>
  </si>
  <si>
    <t>International Paper</t>
  </si>
  <si>
    <t>KMP</t>
  </si>
  <si>
    <t>Kinder Morgan Energy Partners</t>
  </si>
  <si>
    <t>MO</t>
  </si>
  <si>
    <t>Altria</t>
  </si>
  <si>
    <t>OXY</t>
  </si>
  <si>
    <t>Petroleum</t>
  </si>
  <si>
    <t>PSA</t>
  </si>
  <si>
    <t>Pubic Storage</t>
  </si>
  <si>
    <t>RTN</t>
  </si>
  <si>
    <t>Raytheon</t>
  </si>
  <si>
    <t>UNP</t>
  </si>
  <si>
    <t>Union Pacific</t>
  </si>
  <si>
    <t>WLT</t>
  </si>
  <si>
    <t xml:space="preserve"> Pearl Global     </t>
  </si>
  <si>
    <t xml:space="preserve"> Pennar Aluminium Co.     </t>
  </si>
  <si>
    <t>Market Opportunity = Look for a bearish or stable market where a decline in the price of the underlying is anticipated with little risk of the market rising</t>
  </si>
  <si>
    <t>Maximum Risk = Unlimited to the upside</t>
  </si>
  <si>
    <t>Maximum Profit = Limited to the credit received on the short put option plus (price of the short underlying asset - put option strike price) times the value per point</t>
  </si>
  <si>
    <t>Dewan Housing Finance Corporation Ltd.</t>
  </si>
  <si>
    <t xml:space="preserve">ELEIN </t>
  </si>
  <si>
    <t>Electrotherm (India) Ltd.</t>
  </si>
  <si>
    <t xml:space="preserve">ENGIC </t>
  </si>
  <si>
    <t xml:space="preserve"> Priyadarshini Spinning Mills     </t>
  </si>
  <si>
    <t xml:space="preserve"> Pyramid Saimira</t>
  </si>
  <si>
    <t xml:space="preserve"> Raipur Alloys &amp; Steel     </t>
  </si>
  <si>
    <t xml:space="preserve"> Raj Rayon     </t>
  </si>
  <si>
    <t>Reliance Petro</t>
  </si>
  <si>
    <t>BHASEA</t>
  </si>
  <si>
    <t>BHISPI</t>
  </si>
  <si>
    <t>BHUST</t>
  </si>
  <si>
    <t>ESTIND</t>
  </si>
  <si>
    <t>ABG Heavy Industries Ltd.</t>
  </si>
  <si>
    <t>ABG Shipyard Ltd.</t>
  </si>
  <si>
    <t>Accurate Exports Ltd.</t>
  </si>
  <si>
    <t>Acrysil Ltd.</t>
  </si>
  <si>
    <t xml:space="preserve"> HT Media Ltd</t>
  </si>
  <si>
    <t>HUGTEL</t>
  </si>
  <si>
    <t>Sayaji Hotels Ltd.</t>
  </si>
  <si>
    <t xml:space="preserve">SEACH </t>
  </si>
  <si>
    <t>United Phosphorous Ltd.</t>
  </si>
  <si>
    <t>SHAWAL</t>
  </si>
  <si>
    <t>Shaw Wallace &amp; Company Ltd.</t>
  </si>
  <si>
    <t xml:space="preserve">SHAWG </t>
  </si>
  <si>
    <t xml:space="preserve">SHRKP </t>
  </si>
  <si>
    <t>Adani Enterprises Ltd.</t>
  </si>
  <si>
    <t>UNICAB</t>
  </si>
  <si>
    <t>UNILAB</t>
  </si>
  <si>
    <t>Finolex Cables Ltd.</t>
  </si>
  <si>
    <t>Finolex Industries Ltd.</t>
  </si>
  <si>
    <t>EL</t>
  </si>
  <si>
    <t>Estee Lauder Companies, Inc. (T</t>
  </si>
  <si>
    <t>EMC</t>
  </si>
  <si>
    <t>EMC Corporation Common Stock</t>
  </si>
  <si>
    <t>EMN</t>
  </si>
  <si>
    <t>Eastman Chemical Company Common</t>
  </si>
  <si>
    <t>EMR</t>
  </si>
  <si>
    <t>Emerson Electric Company Common</t>
  </si>
  <si>
    <t>EP</t>
  </si>
  <si>
    <t>El Paso Corporation Common Stoc</t>
  </si>
  <si>
    <t>EQR</t>
  </si>
  <si>
    <t>Equity Residential Common Share</t>
  </si>
  <si>
    <t>EQT</t>
  </si>
  <si>
    <t>EQT Corporation Common Stock</t>
  </si>
  <si>
    <t>ERTS</t>
  </si>
  <si>
    <t>Electronic Arts Inc.</t>
  </si>
  <si>
    <t>ETFC</t>
  </si>
  <si>
    <t>E*TRADE Financial Corporation</t>
  </si>
  <si>
    <t>ETN</t>
  </si>
  <si>
    <t>Eaton Corporation Common Stock</t>
  </si>
  <si>
    <t>ETR</t>
  </si>
  <si>
    <t>Entergy Corporation Common Stoc</t>
  </si>
  <si>
    <t>EXPD</t>
  </si>
  <si>
    <t>Expeditors International of Was</t>
  </si>
  <si>
    <t>EXPE</t>
  </si>
  <si>
    <t>Expedia, Inc.</t>
  </si>
  <si>
    <t>F</t>
  </si>
  <si>
    <t>Ford Motor Company Common Stock</t>
  </si>
  <si>
    <t>FAST</t>
  </si>
  <si>
    <t>Fastenal Company</t>
  </si>
  <si>
    <t>FCX</t>
  </si>
  <si>
    <t>Freeport-McMoRan Copper &amp; Gold,</t>
  </si>
  <si>
    <t>FDO</t>
  </si>
  <si>
    <t>KHASEC</t>
  </si>
  <si>
    <t>7. Standard Error = daily volatility /square root of (2*n) , n is number of observations in sample</t>
  </si>
  <si>
    <t xml:space="preserve">8 Riskfree Rate </t>
  </si>
  <si>
    <t>9 Expected Market return Rm</t>
  </si>
  <si>
    <t>Arvind Mills</t>
  </si>
  <si>
    <t>19. Volatility is computed daily by SD of Ln(Si/Si-1) and Expo weighted moving average model parameter Lambda=0.95</t>
  </si>
  <si>
    <t xml:space="preserve"> F A G Bearings India     </t>
  </si>
  <si>
    <t xml:space="preserve"> F D C       </t>
  </si>
  <si>
    <t xml:space="preserve"> Filatex India     </t>
  </si>
  <si>
    <t xml:space="preserve"> Financial Technologies (India)    </t>
  </si>
  <si>
    <t xml:space="preserve"> Forbes Gokak     </t>
  </si>
  <si>
    <t xml:space="preserve"> Fulford (India)       </t>
  </si>
  <si>
    <t xml:space="preserve"> GAJRA BEVEL GEARS </t>
  </si>
  <si>
    <t xml:space="preserve"> Gandhi Special Tubes     </t>
  </si>
  <si>
    <t xml:space="preserve"> Gangotri Textiles     </t>
  </si>
  <si>
    <t xml:space="preserve"> Hindustan Bio Sciences    </t>
  </si>
  <si>
    <t>PHOLAM</t>
  </si>
  <si>
    <t>PHOMIL</t>
  </si>
  <si>
    <t>PICAGR</t>
  </si>
  <si>
    <t>PICSUG</t>
  </si>
  <si>
    <t>PRABOS</t>
  </si>
  <si>
    <t>PRAMET</t>
  </si>
  <si>
    <t xml:space="preserve"> Prudential Pharmaceuticals       </t>
  </si>
  <si>
    <t xml:space="preserve"> P S I Data Systems    </t>
  </si>
  <si>
    <t>GREAVE</t>
  </si>
  <si>
    <t>GUJGAS</t>
  </si>
  <si>
    <t>GUJNRE</t>
  </si>
  <si>
    <t>GVKPOW</t>
  </si>
  <si>
    <t>HAVIND</t>
  </si>
  <si>
    <t>HININK</t>
  </si>
  <si>
    <t>HUGSOF</t>
  </si>
  <si>
    <t>ICIIND</t>
  </si>
  <si>
    <t>ILFVEN</t>
  </si>
  <si>
    <t>INDBAN</t>
  </si>
  <si>
    <t>INDBUL</t>
  </si>
  <si>
    <t>INDGAS</t>
  </si>
  <si>
    <t>INDOVE</t>
  </si>
  <si>
    <t>INDREM</t>
  </si>
  <si>
    <t>AARDR</t>
  </si>
  <si>
    <t>ABB</t>
  </si>
  <si>
    <t>ACRIN</t>
  </si>
  <si>
    <t>AFL</t>
  </si>
  <si>
    <t>BASF</t>
  </si>
  <si>
    <t>CEAT</t>
  </si>
  <si>
    <t>CESC</t>
  </si>
  <si>
    <t>CONCF</t>
  </si>
  <si>
    <t>DBINT</t>
  </si>
  <si>
    <t>Thermo Fisher Scientific Inc Co</t>
  </si>
  <si>
    <t>TROW</t>
  </si>
  <si>
    <t>T. Rowe Price Group, Inc.</t>
  </si>
  <si>
    <t>TSN</t>
  </si>
  <si>
    <t>Tyson Foods, Inc. Common Stock</t>
  </si>
  <si>
    <t>TSS</t>
  </si>
  <si>
    <t>Total System Services, Inc. Com</t>
  </si>
  <si>
    <t>TWC</t>
  </si>
  <si>
    <t>Time Warner Cable Inc Common St</t>
  </si>
  <si>
    <t>TWX</t>
  </si>
  <si>
    <t>Time Warner Inc. New Common Sto</t>
  </si>
  <si>
    <t>TXN</t>
  </si>
  <si>
    <t>Texas Instruments Incorporated</t>
  </si>
  <si>
    <t>TXT</t>
  </si>
  <si>
    <t>Textron Inc. Common Stock</t>
  </si>
  <si>
    <t>UNM</t>
  </si>
  <si>
    <t>6. Account for Change in CapEx and WC</t>
  </si>
  <si>
    <t>ICICI - Insurance</t>
  </si>
  <si>
    <t>Pension</t>
  </si>
  <si>
    <t>Flexi cap</t>
  </si>
  <si>
    <t>BSES</t>
  </si>
  <si>
    <t>CIPLA</t>
  </si>
  <si>
    <t>DISPHA</t>
  </si>
  <si>
    <t>DRREDD</t>
  </si>
  <si>
    <t>GESHIP</t>
  </si>
  <si>
    <t>HCLTEC</t>
  </si>
  <si>
    <t>HINLEV</t>
  </si>
  <si>
    <t>IFLEX</t>
  </si>
  <si>
    <t>INFTEC</t>
  </si>
  <si>
    <t>LARTOU</t>
  </si>
  <si>
    <t>MAHMAH</t>
  </si>
  <si>
    <t>MARIN</t>
  </si>
  <si>
    <t>MARUTI</t>
  </si>
  <si>
    <t>MASSYS</t>
  </si>
  <si>
    <t>MASTEK</t>
  </si>
  <si>
    <t>PFIZER</t>
  </si>
  <si>
    <t>RANLAB</t>
  </si>
  <si>
    <t>RAYMON</t>
  </si>
  <si>
    <t>RELCOM</t>
  </si>
  <si>
    <t>RELIND</t>
  </si>
  <si>
    <t>SATCOM</t>
  </si>
  <si>
    <t>SHRCEM</t>
  </si>
  <si>
    <t>TATTEA</t>
  </si>
  <si>
    <t>UTVSOF</t>
  </si>
  <si>
    <t>VARSHI</t>
  </si>
  <si>
    <t>WOCKHA</t>
  </si>
  <si>
    <t>ZEETEL</t>
  </si>
  <si>
    <t>ARVMIL</t>
  </si>
  <si>
    <t>ASIPAI</t>
  </si>
  <si>
    <t>BANIND</t>
  </si>
  <si>
    <t xml:space="preserve"> Renuka Sugar</t>
  </si>
  <si>
    <t xml:space="preserve"> Agro Tech Foods      </t>
  </si>
  <si>
    <t>Drug Manufacturers - Other</t>
  </si>
  <si>
    <t>Medical Instruments &amp; Supplies</t>
  </si>
  <si>
    <t>Healthcare Information Services</t>
  </si>
  <si>
    <t>Jindal Iron &amp; Steel Co. Ltd</t>
  </si>
  <si>
    <t>Reliance%20Natural%20Resource</t>
  </si>
  <si>
    <t>MBT</t>
  </si>
  <si>
    <t>MICC</t>
  </si>
  <si>
    <t>SEATEX</t>
  </si>
  <si>
    <t>ASHLEY</t>
  </si>
  <si>
    <t xml:space="preserve"> ASHOK LEYLAND LTD</t>
  </si>
  <si>
    <t>AURPHA</t>
  </si>
  <si>
    <t>7. No terminal / salvage value considered (assuming perpetual economic rents)</t>
  </si>
  <si>
    <t>SAIL</t>
  </si>
  <si>
    <t>Sesa Goa</t>
  </si>
  <si>
    <t>Asian Paints</t>
  </si>
  <si>
    <t>KALSPI</t>
  </si>
  <si>
    <t>KALSTE</t>
  </si>
  <si>
    <t>KANSPI</t>
  </si>
  <si>
    <t>KARWOO</t>
  </si>
  <si>
    <t>KATUDY</t>
  </si>
  <si>
    <t>Ameriprise Financial, Inc. Comm</t>
  </si>
  <si>
    <t>ANR</t>
  </si>
  <si>
    <t>FundType</t>
  </si>
  <si>
    <t>NAV</t>
  </si>
  <si>
    <t>searchString</t>
  </si>
  <si>
    <t>Computers</t>
  </si>
  <si>
    <t xml:space="preserve"> Associated Profiles &amp; Aluminium     </t>
  </si>
  <si>
    <t>LIBPHO</t>
  </si>
  <si>
    <t>RAMPHO</t>
  </si>
  <si>
    <t>Stock price trades within a narrow range through expiration.</t>
  </si>
  <si>
    <t>MYSCEM</t>
  </si>
  <si>
    <t>NAGENG</t>
  </si>
  <si>
    <t>NAGEXP</t>
  </si>
  <si>
    <t>BONREF</t>
  </si>
  <si>
    <t>BSL</t>
  </si>
  <si>
    <t>SM</t>
  </si>
  <si>
    <t>SM Energy Company Common Stock</t>
  </si>
  <si>
    <t>SMOD</t>
  </si>
  <si>
    <t>SMART Modular Technologies (WWH</t>
  </si>
  <si>
    <t>SMS</t>
  </si>
  <si>
    <t>Sims Metal Management Ltd Spons</t>
  </si>
  <si>
    <t>SMSC</t>
  </si>
  <si>
    <t>Standard Microsystems Corporati</t>
  </si>
  <si>
    <t>SNA</t>
  </si>
  <si>
    <t>AMBSHI</t>
  </si>
  <si>
    <t>AMBZIN</t>
  </si>
  <si>
    <t>ANDBAN</t>
  </si>
  <si>
    <t>ANDPRA</t>
  </si>
  <si>
    <t>ANGEXP</t>
  </si>
  <si>
    <t>Toronto Dominion Bank (The) Com</t>
  </si>
  <si>
    <t>TDY</t>
  </si>
  <si>
    <t>Teledyne Technologies Incorpora</t>
  </si>
  <si>
    <t>TGI</t>
  </si>
  <si>
    <t>Triumph Group, Inc. Common Stoc</t>
  </si>
  <si>
    <t>TGS</t>
  </si>
  <si>
    <t>Transportadora de Gas del Sur S</t>
  </si>
  <si>
    <t>THO</t>
  </si>
  <si>
    <t>Peerless Abasan Finance Ltd.</t>
  </si>
  <si>
    <t>PIDIND</t>
  </si>
  <si>
    <t>Pidilite Industries Ltd.</t>
  </si>
  <si>
    <t>POWGRI</t>
  </si>
  <si>
    <t>PEG5</t>
  </si>
  <si>
    <t>ACI</t>
  </si>
  <si>
    <t xml:space="preserve"> Wyeth       </t>
  </si>
  <si>
    <t>Sri Jayalakshmi Spinning Mills Ltd.</t>
  </si>
  <si>
    <t>Shree Rama Multi-Tech Ltd.</t>
  </si>
  <si>
    <t>STUPOL</t>
  </si>
  <si>
    <t>IDLIND</t>
  </si>
  <si>
    <t>GRASIM</t>
  </si>
  <si>
    <t xml:space="preserve"> Grasim Industries</t>
  </si>
  <si>
    <t>GUJAMB</t>
  </si>
  <si>
    <t xml:space="preserve"> Gujarat Ambuja Cements</t>
  </si>
  <si>
    <r>
      <t xml:space="preserve">10 Levered BETA regressed only for 2 yrs monthly stock averages -&gt; </t>
    </r>
    <r>
      <rPr>
        <b/>
        <sz val="10"/>
        <color indexed="10"/>
        <rFont val="Arial"/>
        <family val="2"/>
      </rPr>
      <t>This should be checked periodically bec firms change with time</t>
    </r>
  </si>
  <si>
    <t xml:space="preserve"> Heritage Foods (India)      </t>
  </si>
  <si>
    <t xml:space="preserve"> Mawana Sugars Ltd</t>
  </si>
  <si>
    <t xml:space="preserve"> Medicamen Biotech       </t>
  </si>
  <si>
    <t>BIHSPO</t>
  </si>
  <si>
    <t xml:space="preserve"> Sri Lakshmi Saraswathi Textiles (Arni)     </t>
  </si>
  <si>
    <t xml:space="preserve"> Sri Nachammai Cotton Mills     </t>
  </si>
  <si>
    <t xml:space="preserve"> Sri Ramakrishna Mills (Coimbatore)     </t>
  </si>
  <si>
    <t xml:space="preserve"> S S Organics       </t>
  </si>
  <si>
    <t>State Bank</t>
  </si>
  <si>
    <t xml:space="preserve"> Steelco Gujarat     </t>
  </si>
  <si>
    <t>3. Review call options premiums by expiration dates and strike prices.</t>
  </si>
  <si>
    <t>3. Discount Rate same as cost of EQUITY: Model Used--&gt; 2 - Stage growth with FCFE Real Cash Flow Only)</t>
  </si>
  <si>
    <t xml:space="preserve"> Gujarat Industries Power</t>
  </si>
  <si>
    <t>sundaram</t>
  </si>
  <si>
    <t xml:space="preserve"> Nova Petrochemicals     </t>
  </si>
  <si>
    <t xml:space="preserve"> N R C     </t>
  </si>
  <si>
    <t>Parlux Fragrances, Inc.</t>
  </si>
  <si>
    <t>SMRT</t>
  </si>
  <si>
    <t>Stein Mart, Inc.</t>
  </si>
  <si>
    <t>TSL</t>
  </si>
  <si>
    <t>Trina Solar Limited Sponsored A</t>
  </si>
  <si>
    <t>ENTG</t>
  </si>
  <si>
    <t>Entegris, Inc.</t>
  </si>
  <si>
    <t>CSR</t>
  </si>
  <si>
    <t>China Security &amp; Surveillance T</t>
  </si>
  <si>
    <t>PBIO</t>
  </si>
  <si>
    <t>Pressure BioSciences, Inc.</t>
  </si>
  <si>
    <t>KINHON</t>
  </si>
  <si>
    <t>KLGSYS</t>
  </si>
  <si>
    <t>KNOPHA</t>
  </si>
  <si>
    <t>KONSYN</t>
  </si>
  <si>
    <t>KOPRAN</t>
  </si>
  <si>
    <t>KOVLAK</t>
  </si>
  <si>
    <t>KREBIO</t>
  </si>
  <si>
    <t>BATIND</t>
  </si>
  <si>
    <t>BDHIND</t>
  </si>
  <si>
    <t>BELSTE</t>
  </si>
  <si>
    <t>JJEXPO</t>
  </si>
  <si>
    <t>Tata%20growing%20economies</t>
  </si>
  <si>
    <t>DHATEX</t>
  </si>
  <si>
    <t>Dhar Textile Mills Ltd.</t>
  </si>
  <si>
    <t>DIACHE</t>
  </si>
  <si>
    <t>Diamines &amp; Chemicals Ltd.</t>
  </si>
  <si>
    <t>DSMAGR</t>
  </si>
  <si>
    <t xml:space="preserve"> Maharashtra Seamless     </t>
  </si>
  <si>
    <t>MAHSPI</t>
  </si>
  <si>
    <t>HMT</t>
  </si>
  <si>
    <t>Reliance Industrial InfraStructure Ltd.</t>
  </si>
  <si>
    <t>SHRRAJ</t>
  </si>
  <si>
    <t>SHRVAA</t>
  </si>
  <si>
    <t>SILKTE</t>
  </si>
  <si>
    <t xml:space="preserve"> Bharat Earth Movers     </t>
  </si>
  <si>
    <t>Breakeven = Price of the underlying asset at initiation - short call premium received</t>
  </si>
  <si>
    <t>Margin = Required. The amount is subject to your broker's discretion</t>
  </si>
  <si>
    <t>Plethico Pharmaceuticals Ltd.</t>
  </si>
  <si>
    <t>Assumotions and Obssevations</t>
  </si>
  <si>
    <t>C</t>
  </si>
  <si>
    <t>ADBE</t>
  </si>
  <si>
    <t>ADS</t>
  </si>
  <si>
    <t>AGU</t>
  </si>
  <si>
    <t xml:space="preserve"> Balrampur Chini </t>
  </si>
  <si>
    <t>BALTEL</t>
  </si>
  <si>
    <t xml:space="preserve"> BALAJI TELEFILMS</t>
  </si>
  <si>
    <t>BEML</t>
  </si>
  <si>
    <t>Sree Rayalseema Alkalies &amp; Allied Chemicals Ltd.</t>
  </si>
  <si>
    <t>STEAPP</t>
  </si>
  <si>
    <t>Triton Corp Ltd.</t>
  </si>
  <si>
    <t>TATSPO</t>
  </si>
  <si>
    <t>TATTIM</t>
  </si>
  <si>
    <t>TATYOD</t>
  </si>
  <si>
    <t>TELENT</t>
  </si>
  <si>
    <t>THAMOD</t>
  </si>
  <si>
    <t>TONPHA</t>
  </si>
  <si>
    <t>5. Average P/E around 10-  20 (larger the company more the P/E) and Average P/S 1.3: PE varies from below 10 in bear to &gt; 22 in bull</t>
  </si>
  <si>
    <t>DECAVI</t>
  </si>
  <si>
    <t>DECBEA</t>
  </si>
  <si>
    <t>DECCER</t>
  </si>
  <si>
    <t>DECMIC</t>
  </si>
  <si>
    <t>AA</t>
  </si>
  <si>
    <t>5. Explore past price trends and liquidity by reviewing price and volume charts over the last year.</t>
  </si>
  <si>
    <t>Strategy = Buy a long-term call option and sell a shorter-term call option with the same strike price</t>
  </si>
  <si>
    <t>CBR</t>
  </si>
  <si>
    <t>Yield</t>
  </si>
  <si>
    <t>REE</t>
  </si>
  <si>
    <t>Rare Earth Metals</t>
  </si>
  <si>
    <t>Retail</t>
  </si>
  <si>
    <t>Personal Products</t>
  </si>
  <si>
    <t>Electronics Wholesale</t>
  </si>
  <si>
    <t>Change</t>
  </si>
  <si>
    <t>daysAgo</t>
  </si>
  <si>
    <t>Gain</t>
  </si>
  <si>
    <t>Growing Economies Infrastructure - Plan A (G)</t>
  </si>
  <si>
    <t>Jupiter Industries and Leasing Ltd</t>
  </si>
  <si>
    <t>Opto Circuits India Ltd.</t>
  </si>
  <si>
    <t xml:space="preserve"> Samrat Pharmachem       </t>
  </si>
  <si>
    <t xml:space="preserve"> SAMKRG PISTONS &amp; RINGS LTD</t>
  </si>
  <si>
    <t xml:space="preserve"> Sambandam Spinning Mills     </t>
  </si>
  <si>
    <t xml:space="preserve"> SANDESH</t>
  </si>
  <si>
    <t xml:space="preserve"> I T C      </t>
  </si>
  <si>
    <t>JBCHEM</t>
  </si>
  <si>
    <t xml:space="preserve"> J B Chemicals &amp; Pharmaceuticals       </t>
  </si>
  <si>
    <t>JCTIND</t>
  </si>
  <si>
    <t xml:space="preserve"> J C T     </t>
  </si>
  <si>
    <t>JYOSTR</t>
  </si>
  <si>
    <t xml:space="preserve"> Jyoti structures</t>
  </si>
  <si>
    <t>KADLEA</t>
  </si>
  <si>
    <t xml:space="preserve"> Spanco Telesystems &amp; Solutions    </t>
  </si>
  <si>
    <t>KECINT</t>
  </si>
  <si>
    <t>CITUNI</t>
  </si>
  <si>
    <t>IFCI</t>
  </si>
  <si>
    <t>Rel Energy , Rel Power</t>
  </si>
  <si>
    <t>Annualized</t>
  </si>
  <si>
    <t>CISG</t>
  </si>
  <si>
    <t>CSKI</t>
  </si>
  <si>
    <t>CTFO</t>
  </si>
  <si>
    <t>CTRP</t>
  </si>
  <si>
    <t>CYTK</t>
  </si>
  <si>
    <t>DBTK</t>
  </si>
  <si>
    <t>DECK</t>
  </si>
  <si>
    <t>DVR</t>
  </si>
  <si>
    <t>EBIX</t>
  </si>
  <si>
    <t>EJ</t>
  </si>
  <si>
    <t>7 if P/E ration = 1 means???</t>
  </si>
  <si>
    <t>Maximum Profit = Limited to the net credit</t>
  </si>
  <si>
    <t>CDI</t>
  </si>
  <si>
    <t>PNC</t>
  </si>
  <si>
    <t>PNC Bank</t>
  </si>
  <si>
    <t>United Tech</t>
  </si>
  <si>
    <t>Wells</t>
  </si>
  <si>
    <t>Walmart</t>
  </si>
  <si>
    <t>Exxon</t>
  </si>
  <si>
    <t>FOR</t>
  </si>
  <si>
    <t>GTLS</t>
  </si>
  <si>
    <t>HGRD</t>
  </si>
  <si>
    <t>HMIN</t>
  </si>
  <si>
    <t>HPT</t>
  </si>
  <si>
    <t>HRBN</t>
  </si>
  <si>
    <t>ICON</t>
  </si>
  <si>
    <t>IPHS</t>
  </si>
  <si>
    <t>JRJC</t>
  </si>
  <si>
    <t>JST</t>
  </si>
  <si>
    <t>KB</t>
  </si>
  <si>
    <t>KERX</t>
  </si>
  <si>
    <t>LMLP</t>
  </si>
  <si>
    <t>LULU</t>
  </si>
  <si>
    <t>Wyeth Ltd.</t>
  </si>
  <si>
    <t>DCL Finance Ltd</t>
  </si>
  <si>
    <t>Deltron</t>
  </si>
  <si>
    <t>Divine Entertainment Ltd</t>
  </si>
  <si>
    <t>DS Kulkarni Developers Ltd.</t>
  </si>
  <si>
    <t>PIXTRA</t>
  </si>
  <si>
    <t>13. Watch the market closely as it fluctuates. The profit on this strategy is limited-a loss occurs if the underlying stock closes at or below the breakeven point.</t>
  </si>
  <si>
    <t xml:space="preserve"> Siyaram Silk Mills     </t>
  </si>
  <si>
    <t xml:space="preserve"> Sky Industries     </t>
  </si>
  <si>
    <t xml:space="preserve"> S S I    </t>
  </si>
  <si>
    <t xml:space="preserve"> Softsol India    </t>
  </si>
  <si>
    <t xml:space="preserve"> Soma Textiles &amp; Inds.     </t>
  </si>
  <si>
    <t>sasken</t>
  </si>
  <si>
    <t xml:space="preserve"> Arora Fibres     </t>
  </si>
  <si>
    <t xml:space="preserve"> Arunoday Mills     </t>
  </si>
  <si>
    <t>Airgas, Inc. Common Stock</t>
  </si>
  <si>
    <t>ATI</t>
  </si>
  <si>
    <t>Allegheny Technologies Incorpor</t>
  </si>
  <si>
    <t>AVB</t>
  </si>
  <si>
    <t>AvalonBay Communities, Inc. Com</t>
  </si>
  <si>
    <t>AVP</t>
  </si>
  <si>
    <t>Avon Products, Inc. Common Stoc</t>
  </si>
  <si>
    <t>AYE</t>
  </si>
  <si>
    <t>Allegheny Energy, Inc. Common S</t>
  </si>
  <si>
    <t>AZO</t>
  </si>
  <si>
    <t>AutoZone, Inc. Common Stock</t>
  </si>
  <si>
    <t>BAX</t>
  </si>
  <si>
    <t>Baxter International Inc. Commo</t>
  </si>
  <si>
    <t>BBBY</t>
  </si>
  <si>
    <t>Bed Bath &amp; Beyond Inc.</t>
  </si>
  <si>
    <t>BBT</t>
  </si>
  <si>
    <t>BB&amp;T Corporation Common Stock</t>
  </si>
  <si>
    <t>BBY</t>
  </si>
  <si>
    <t>Best Buy Co., Inc. Common Stock</t>
  </si>
  <si>
    <t>BCR</t>
  </si>
  <si>
    <t>C.R. Bard, Inc. Common Stock</t>
  </si>
  <si>
    <t>BDX</t>
  </si>
  <si>
    <t>Becton, Dickinson and Company C</t>
  </si>
  <si>
    <t>BEN</t>
  </si>
  <si>
    <t>Franklin Resources, Inc. Common</t>
  </si>
  <si>
    <t>BF-B</t>
  </si>
  <si>
    <t>BROWN-FORMAN CORPORATION</t>
  </si>
  <si>
    <t>BIIB</t>
  </si>
  <si>
    <t>Biogen Idec Inc</t>
  </si>
  <si>
    <t>BJS</t>
  </si>
  <si>
    <t>BJ Services Company Common Stoc</t>
  </si>
  <si>
    <t>BK</t>
  </si>
  <si>
    <t>Bank of New York Mellon Corpora</t>
  </si>
  <si>
    <t>BLL</t>
  </si>
  <si>
    <t>Ball Corporation Common Stock</t>
  </si>
  <si>
    <t>BMC</t>
  </si>
  <si>
    <t>BMC Software, Inc.</t>
  </si>
  <si>
    <t>BMS</t>
  </si>
  <si>
    <t>Bemis Company, Inc. Common Stoc</t>
  </si>
  <si>
    <t>BXP</t>
  </si>
  <si>
    <t>Boston Properties, Inc. Common</t>
  </si>
  <si>
    <t>CA</t>
  </si>
  <si>
    <t>CA Inc.</t>
  </si>
  <si>
    <t>CAG</t>
  </si>
  <si>
    <t>ConAgra Foods, Inc. Common Stoc</t>
  </si>
  <si>
    <t>CAH</t>
  </si>
  <si>
    <t>Cardinal Health, Inc. Common St</t>
  </si>
  <si>
    <t>CB</t>
  </si>
  <si>
    <t>RAIL AMERICA</t>
  </si>
  <si>
    <t>RIG</t>
  </si>
  <si>
    <t xml:space="preserve"> Oudh Sugar Mills</t>
  </si>
  <si>
    <t xml:space="preserve"> PADMALAYA TELEFILMS</t>
  </si>
  <si>
    <t xml:space="preserve"> Oxford Industries     </t>
  </si>
  <si>
    <t xml:space="preserve"> Parenteral Drugs (India)       </t>
  </si>
  <si>
    <t xml:space="preserve"> Paras Petrofils     </t>
  </si>
  <si>
    <t xml:space="preserve"> Pasupati Acrylon     </t>
  </si>
  <si>
    <t>PWRM.OB</t>
  </si>
  <si>
    <t>POWER 3 MEDICAL PROD</t>
  </si>
  <si>
    <t>SCRA.OB</t>
  </si>
  <si>
    <t>SECUREALERT, INC</t>
  </si>
  <si>
    <t>TRANSOCEAN</t>
  </si>
  <si>
    <t>TBL</t>
  </si>
  <si>
    <t>TIMBERLAND</t>
  </si>
  <si>
    <t>Permanent Magnets Ltd.</t>
  </si>
  <si>
    <t>PIODIS</t>
  </si>
  <si>
    <t>Morgan Stanley</t>
  </si>
  <si>
    <t>MSSR</t>
  </si>
  <si>
    <t>NIHD</t>
  </si>
  <si>
    <t>NII Holdings</t>
  </si>
  <si>
    <t>PEG</t>
  </si>
  <si>
    <t>PGN</t>
  </si>
  <si>
    <t>ROST</t>
  </si>
  <si>
    <t>Ross</t>
  </si>
  <si>
    <t>SLAB</t>
  </si>
  <si>
    <t>Sillicon Labs</t>
  </si>
  <si>
    <t>SUN</t>
  </si>
  <si>
    <t>Sunoco</t>
  </si>
  <si>
    <t>VOXX</t>
  </si>
  <si>
    <t>Audiovox</t>
  </si>
  <si>
    <t>WCG</t>
  </si>
  <si>
    <t>Health</t>
  </si>
  <si>
    <t>WM</t>
  </si>
  <si>
    <t>Waste Management</t>
  </si>
  <si>
    <t>WYNN</t>
  </si>
  <si>
    <t>Wynn Resorts</t>
  </si>
  <si>
    <t>Sakuma Exports Ltd.</t>
  </si>
  <si>
    <t>SAMIND</t>
  </si>
  <si>
    <t>Sam Industries Ltd.</t>
  </si>
  <si>
    <t>SCHENG</t>
  </si>
  <si>
    <t>Schlafhorst Engineering (India) Ltd.</t>
  </si>
  <si>
    <t>SGNCAB</t>
  </si>
  <si>
    <t>SGN Telecoms Ltd.</t>
  </si>
  <si>
    <t>SNL Bearings Ltd.</t>
  </si>
  <si>
    <t>SIDTUB</t>
  </si>
  <si>
    <t>PENSOF</t>
  </si>
  <si>
    <t>RAMIN</t>
  </si>
  <si>
    <t>RCF</t>
  </si>
  <si>
    <t>RSSOFT</t>
  </si>
  <si>
    <t>SELMAN</t>
  </si>
  <si>
    <t>SHRNEE</t>
  </si>
  <si>
    <t>SILIND</t>
  </si>
  <si>
    <t>PROTALEX INC</t>
  </si>
  <si>
    <t>ADLS.OB</t>
  </si>
  <si>
    <t>ADVANCED LIFE SCIENC</t>
  </si>
  <si>
    <t>REOS.OB</t>
  </si>
  <si>
    <t>REOSTAR ENERGY CORP</t>
  </si>
  <si>
    <t xml:space="preserve"> Z F STEERING GEAR (INDIA) LTD</t>
  </si>
  <si>
    <t xml:space="preserve"> Zicom Electronic Security Systems     </t>
  </si>
  <si>
    <t>Datasoft Application Software</t>
  </si>
  <si>
    <t>Citi</t>
  </si>
  <si>
    <t>Colgate</t>
  </si>
  <si>
    <t>CTS</t>
  </si>
  <si>
    <t>Google</t>
  </si>
  <si>
    <t>HP</t>
  </si>
  <si>
    <t>MBI</t>
  </si>
  <si>
    <t>M B I A INC</t>
  </si>
  <si>
    <t>Dolphin Medical Services Ltd.</t>
  </si>
  <si>
    <t>Telecommunications</t>
  </si>
  <si>
    <t>Construction</t>
  </si>
  <si>
    <t>Power</t>
  </si>
  <si>
    <t>Ceramics</t>
  </si>
  <si>
    <t>Diversified</t>
  </si>
  <si>
    <t>Fertilisers</t>
  </si>
  <si>
    <t>Plantations</t>
  </si>
  <si>
    <t>Services</t>
  </si>
  <si>
    <t>Fasteners</t>
  </si>
  <si>
    <t>Cables</t>
  </si>
  <si>
    <t>Diamond</t>
  </si>
  <si>
    <t>Oil</t>
  </si>
  <si>
    <t>IBM</t>
  </si>
  <si>
    <t xml:space="preserve"> Haria Exports     </t>
  </si>
  <si>
    <t>5. Volatile SMILE is assumed not present</t>
  </si>
  <si>
    <t>KEC Infrastructures Ltd</t>
  </si>
  <si>
    <t>KSBPUM</t>
  </si>
  <si>
    <t>LAKMIL</t>
  </si>
  <si>
    <t>CEEDAI</t>
  </si>
  <si>
    <t>CELFAS</t>
  </si>
  <si>
    <t>CENENK</t>
  </si>
  <si>
    <t>CENFIN</t>
  </si>
  <si>
    <t xml:space="preserve"> Bellary Steels &amp; Alloys     </t>
  </si>
  <si>
    <t>RCL</t>
  </si>
  <si>
    <t>Royal Caribbean Cruises Ltd. Co</t>
  </si>
  <si>
    <t>RCRC</t>
  </si>
  <si>
    <t>RC2 Corporation</t>
  </si>
  <si>
    <t>SYUT</t>
  </si>
  <si>
    <t>Synutra International, Inc.</t>
  </si>
  <si>
    <t>TEN</t>
  </si>
  <si>
    <t>Tenneco Inc. Common Stock</t>
  </si>
  <si>
    <t>TIN</t>
  </si>
  <si>
    <t>Temple-Inland Inc. Common Stock</t>
  </si>
  <si>
    <t>TX</t>
  </si>
  <si>
    <t xml:space="preserve"> Videsh Sanchar Nigam       </t>
  </si>
  <si>
    <t xml:space="preserve">WHERE ((Companysnap.actual&lt;&gt;'null') AND (Companysnap.EPS1&lt;&gt;'null') AND (Companysnap.EPS2&lt;&gt;'null')) ORDER BY Companysnap.icicicode </t>
  </si>
  <si>
    <t>INDCOU</t>
  </si>
  <si>
    <t>INDFOI</t>
  </si>
  <si>
    <t>MF-OAKIX</t>
  </si>
  <si>
    <t>MF-TBTBX</t>
  </si>
  <si>
    <t>MODLUF</t>
  </si>
  <si>
    <t>MOSBAE</t>
  </si>
  <si>
    <t>MROTEK</t>
  </si>
  <si>
    <t>NAGCON</t>
  </si>
  <si>
    <t>NAHIND</t>
  </si>
  <si>
    <t>NAVPUB</t>
  </si>
  <si>
    <t>NITTIL</t>
  </si>
  <si>
    <t>NOITOL</t>
  </si>
  <si>
    <t>ORIBAN</t>
  </si>
  <si>
    <t>ORIPAP</t>
  </si>
  <si>
    <t>PARCOM</t>
  </si>
  <si>
    <t>POLCOR</t>
  </si>
  <si>
    <t>PRAENG</t>
  </si>
  <si>
    <t>Igarashi Motors India Ltd.</t>
  </si>
  <si>
    <t>IWF</t>
  </si>
  <si>
    <t>iShares Russell 1000 Growth Index</t>
  </si>
  <si>
    <t>PREWIR</t>
  </si>
  <si>
    <t>PRIINF</t>
  </si>
  <si>
    <t>PSLHOL</t>
  </si>
  <si>
    <t>JKCORP</t>
  </si>
  <si>
    <t>REPORT</t>
  </si>
  <si>
    <t>Records</t>
  </si>
  <si>
    <t>Dravya Industrial Chemicals Ltd.</t>
  </si>
  <si>
    <t>Drillco Metal Carbides Ltd</t>
  </si>
  <si>
    <t>Jag Finance</t>
  </si>
  <si>
    <t xml:space="preserve">14 FCFE = Net Income(EBIT - taxes - Interest expenses) - dividends  </t>
  </si>
  <si>
    <t>DY %</t>
  </si>
  <si>
    <t>5 Dividends Accounted see point 14</t>
  </si>
  <si>
    <t>ROE</t>
  </si>
  <si>
    <t>DALCEM</t>
  </si>
  <si>
    <t>Einstein Noah Restaurant Group,</t>
  </si>
  <si>
    <t>GPK</t>
  </si>
  <si>
    <t>Graphic Packaging Holding Compa</t>
  </si>
  <si>
    <t>OMN</t>
  </si>
  <si>
    <t>OMNOVA Solutions Inc. Common St</t>
  </si>
  <si>
    <t>ABG</t>
  </si>
  <si>
    <t>Asbury Automotive Group Inc Com</t>
  </si>
  <si>
    <t>GLNG</t>
  </si>
  <si>
    <t>Golar LNG Limited</t>
  </si>
  <si>
    <t>INDORG</t>
  </si>
  <si>
    <t>INDSHA</t>
  </si>
  <si>
    <t>INDSW</t>
  </si>
  <si>
    <t>INGRAN</t>
  </si>
  <si>
    <t>INNCOM</t>
  </si>
  <si>
    <t>INVLAB</t>
  </si>
  <si>
    <t>SYY</t>
  </si>
  <si>
    <t>TGT</t>
  </si>
  <si>
    <t>IPRING</t>
  </si>
  <si>
    <t>ISIBAR</t>
  </si>
  <si>
    <t>ISPIND</t>
  </si>
  <si>
    <t>ITCAGR</t>
  </si>
  <si>
    <t>ITMIC</t>
  </si>
  <si>
    <t>JAGIND</t>
  </si>
  <si>
    <t>JAGPHA</t>
  </si>
  <si>
    <t>JAGPRA</t>
  </si>
  <si>
    <t>JAIPAR</t>
  </si>
  <si>
    <t>Dhampur Sugar (Kashipur) Ltd.</t>
  </si>
  <si>
    <t>DUNCAN</t>
  </si>
  <si>
    <t>EASSIL</t>
  </si>
  <si>
    <t>ELTROL</t>
  </si>
  <si>
    <t>Shree Mahaganga Sugar Mills Ltd.</t>
  </si>
  <si>
    <t>EMTIND</t>
  </si>
  <si>
    <t>Emtex Industries (India) Ltd.</t>
  </si>
  <si>
    <t>CHAFER</t>
  </si>
  <si>
    <t xml:space="preserve"> Zensar Technologies    </t>
  </si>
  <si>
    <t>GABIND</t>
  </si>
  <si>
    <t xml:space="preserve"> GABRIEL INDIA LTD</t>
  </si>
  <si>
    <t xml:space="preserve"> G A I L (India) </t>
  </si>
  <si>
    <t>GAMIND</t>
  </si>
  <si>
    <t xml:space="preserve"> Gammon India     </t>
  </si>
  <si>
    <t>GECALS</t>
  </si>
  <si>
    <t>GEOSOF</t>
  </si>
  <si>
    <t>GSFC</t>
  </si>
  <si>
    <t>GSPL</t>
  </si>
  <si>
    <t>GUJIP</t>
  </si>
  <si>
    <t>GUJMI</t>
  </si>
  <si>
    <t>HTMED</t>
  </si>
  <si>
    <t>INOX</t>
  </si>
  <si>
    <t>Arlington Asset Investment Corp</t>
  </si>
  <si>
    <t>SNIC</t>
  </si>
  <si>
    <t>Sonic Solutions</t>
  </si>
  <si>
    <t>RFMD</t>
  </si>
  <si>
    <t>RF Micro Devices, Inc.</t>
  </si>
  <si>
    <t>GHM</t>
  </si>
  <si>
    <t>Graham Corporation Common Stock</t>
  </si>
  <si>
    <t>KOG</t>
  </si>
  <si>
    <t>Kodiak Oil &amp; Gas Corp Common St</t>
  </si>
  <si>
    <t>QTM</t>
  </si>
  <si>
    <t>Quantum Corporation Common Stoc</t>
  </si>
  <si>
    <t>PLAB</t>
  </si>
  <si>
    <t>Photronics, Inc.</t>
  </si>
  <si>
    <t>OC</t>
  </si>
  <si>
    <t>Owens Corning Inc Common Stock</t>
  </si>
  <si>
    <t>LZB</t>
  </si>
  <si>
    <t>Everonn Systems India Ltd.</t>
  </si>
  <si>
    <t>EXPLEA</t>
  </si>
  <si>
    <t xml:space="preserve"> Netvista Information Technology    </t>
  </si>
  <si>
    <t xml:space="preserve"> Neuland Laboratories       </t>
  </si>
  <si>
    <t xml:space="preserve"> JAI PARABOLIC SPRINGS LTD</t>
  </si>
  <si>
    <t>CHINA</t>
  </si>
  <si>
    <t>Decoratives</t>
  </si>
  <si>
    <t>BuyPrice</t>
  </si>
  <si>
    <t>FROM `C:\Vishal\Projects\FirmFinancials\portfolio`.Companysnap Companysnap</t>
  </si>
  <si>
    <t>Mukesh Strips Ltd.</t>
  </si>
  <si>
    <t>NITSPI</t>
  </si>
  <si>
    <t>NRAGAR</t>
  </si>
  <si>
    <t>N R Agarwal Industries Ltd.</t>
  </si>
  <si>
    <t>ORIPRE</t>
  </si>
  <si>
    <t>Orient Press Ltd.</t>
  </si>
  <si>
    <t>PACCOT</t>
  </si>
  <si>
    <t>Nagarjuna Construction Co Ltd</t>
  </si>
  <si>
    <t>Nahar Industrial Enterprises Limited</t>
  </si>
  <si>
    <t>RELPOW</t>
  </si>
  <si>
    <t>Reliance Power</t>
  </si>
  <si>
    <t>Nava Bharat Ventures Ltd.</t>
  </si>
  <si>
    <t>Navneet Publications (India) Limited</t>
  </si>
  <si>
    <t>CELG</t>
  </si>
  <si>
    <t>CEPH</t>
  </si>
  <si>
    <t>COST</t>
  </si>
  <si>
    <t>Costco</t>
  </si>
  <si>
    <t>DRYS</t>
  </si>
  <si>
    <t>FAIRX</t>
  </si>
  <si>
    <t>Fairholme</t>
  </si>
  <si>
    <t>HANS</t>
  </si>
  <si>
    <t>ISRG</t>
  </si>
  <si>
    <t>NOK</t>
  </si>
  <si>
    <t>Nokia</t>
  </si>
  <si>
    <t>NVS</t>
  </si>
  <si>
    <t>Novartis</t>
  </si>
  <si>
    <t>PAYX</t>
  </si>
  <si>
    <t>Paychex</t>
  </si>
  <si>
    <t>7. Calculate the maximum potential profit by multiplying the value per point by the difference in strike prices and subtracting the net debit paid.</t>
  </si>
  <si>
    <t>PWER</t>
  </si>
  <si>
    <t>Power-One, Inc.</t>
  </si>
  <si>
    <t>QLTY</t>
  </si>
  <si>
    <t>Quality Distribution, Inc.</t>
  </si>
  <si>
    <t>RAVN</t>
  </si>
  <si>
    <t>Raven Industries, Inc.</t>
  </si>
  <si>
    <t>RAX</t>
  </si>
  <si>
    <t>Rackspace Hosting, Inc Common S</t>
  </si>
  <si>
    <t>RDEN</t>
  </si>
  <si>
    <t>Elizabeth Arden, Inc.</t>
  </si>
  <si>
    <t>RELL</t>
  </si>
  <si>
    <t>Richardson Electronics, Ltd.</t>
  </si>
  <si>
    <t>REX</t>
  </si>
  <si>
    <t>REX American Resources Corporat</t>
  </si>
  <si>
    <t>RGA</t>
  </si>
  <si>
    <t>Reinsurance Group of America, I</t>
  </si>
  <si>
    <t>RHB</t>
  </si>
  <si>
    <t>Rehabcare Group, Inc. Common St</t>
  </si>
  <si>
    <t>RIO</t>
  </si>
  <si>
    <t>Rio Tinto Plc Common Stock</t>
  </si>
  <si>
    <t>RMBS</t>
  </si>
  <si>
    <t>Rambus, Inc.</t>
  </si>
  <si>
    <t>ROG</t>
  </si>
  <si>
    <t>Rogers Corporation Common Stock</t>
  </si>
  <si>
    <t>ROSE</t>
  </si>
  <si>
    <t>Rosetta Resources Inc.</t>
  </si>
  <si>
    <t>ROVI</t>
  </si>
  <si>
    <t>Rovi Corporation</t>
  </si>
  <si>
    <t>RPM</t>
  </si>
  <si>
    <t>RPM International, Inc. Common</t>
  </si>
  <si>
    <t>RRD</t>
  </si>
  <si>
    <t>equity (dividend)</t>
  </si>
  <si>
    <t>PRIMA FUND - Div</t>
  </si>
  <si>
    <t>Monthly income</t>
  </si>
  <si>
    <t>HSBC</t>
  </si>
  <si>
    <t xml:space="preserve"> Eq - Div</t>
  </si>
  <si>
    <t>Opportunities growth SIP</t>
  </si>
  <si>
    <t>equity - growth SIP</t>
  </si>
  <si>
    <t>Rate of % gain/ yearly terms</t>
  </si>
  <si>
    <t>Absolute % growth</t>
  </si>
  <si>
    <t>Absolute</t>
  </si>
  <si>
    <t>% Growth</t>
  </si>
  <si>
    <t>Stan Chart MF</t>
  </si>
  <si>
    <t xml:space="preserve">Kotak Oppr </t>
  </si>
  <si>
    <t>Growth</t>
  </si>
  <si>
    <t xml:space="preserve"> Jupiter Bioscience       </t>
  </si>
  <si>
    <t xml:space="preserve"> Jyoti Overseas     </t>
  </si>
  <si>
    <t xml:space="preserve"> Vardhman Polytex     </t>
  </si>
  <si>
    <t xml:space="preserve"> Vardhman Spinning &amp; General Mills     </t>
  </si>
  <si>
    <t>BEAR</t>
  </si>
  <si>
    <t>COVERED PUT STRATEGY REVIEW</t>
  </si>
  <si>
    <t>SUJIND</t>
  </si>
  <si>
    <t>9. Calculate the breakeven by subtracting the net debit from the higher strike price.</t>
  </si>
  <si>
    <t>DUPPHA</t>
  </si>
  <si>
    <t>ELDHEA</t>
  </si>
  <si>
    <t>ELECAS</t>
  </si>
  <si>
    <t>ELFORG</t>
  </si>
  <si>
    <t>ELGEQU</t>
  </si>
  <si>
    <t>EMERCK</t>
  </si>
  <si>
    <t>EMPSUG</t>
  </si>
  <si>
    <t>ENCSOF</t>
  </si>
  <si>
    <t>ENNFOU</t>
  </si>
  <si>
    <t>EONSOF</t>
  </si>
  <si>
    <t>ESSOIL</t>
  </si>
  <si>
    <t>ESSSTE</t>
  </si>
  <si>
    <t>ESTINF</t>
  </si>
  <si>
    <t>EURIND</t>
  </si>
  <si>
    <t>FAGPRE</t>
  </si>
  <si>
    <t>FDC</t>
  </si>
  <si>
    <t>FILIND</t>
  </si>
  <si>
    <t>FINTEC</t>
  </si>
  <si>
    <t>FORGOK</t>
  </si>
  <si>
    <t>FULIND</t>
  </si>
  <si>
    <t>Amar Alcoholi Ltd.</t>
  </si>
  <si>
    <t>Amal Products Ltd.</t>
  </si>
  <si>
    <t>Amar Remedies Ltd.</t>
  </si>
  <si>
    <t>CC</t>
  </si>
  <si>
    <t>DERIVATIVES</t>
  </si>
  <si>
    <t>Commission</t>
  </si>
  <si>
    <t>w Commission</t>
  </si>
  <si>
    <t>ITI</t>
  </si>
  <si>
    <t>JAIIN</t>
  </si>
  <si>
    <t>JAYAG</t>
  </si>
  <si>
    <t>Breakeven = Price of the underlying asset + short put premium received</t>
  </si>
  <si>
    <t>D.R. Horton, Inc. Common Stock</t>
  </si>
  <si>
    <t>DHR</t>
  </si>
  <si>
    <t>Danaher Corporation Common Stoc</t>
  </si>
  <si>
    <t>DNB</t>
  </si>
  <si>
    <t>Dun &amp; Bradstreet Corporation (T</t>
  </si>
  <si>
    <t>DO</t>
  </si>
  <si>
    <t>Diamond Offshore Drilling, Inc.</t>
  </si>
  <si>
    <t>DOV</t>
  </si>
  <si>
    <t>Dover Corporation Common Stock</t>
  </si>
  <si>
    <t>Dow Chemical Company (The) Comm</t>
  </si>
  <si>
    <t>DPS</t>
  </si>
  <si>
    <t>Dr Pepper Snapple Group, Inc Dr</t>
  </si>
  <si>
    <t>DRI</t>
  </si>
  <si>
    <t>Darden Restaurants, Inc. Common</t>
  </si>
  <si>
    <t>DTE</t>
  </si>
  <si>
    <t>DTE Energy Company Common Stock</t>
  </si>
  <si>
    <t>DTV</t>
  </si>
  <si>
    <t>DIRECTV</t>
  </si>
  <si>
    <t>DUK</t>
  </si>
  <si>
    <t>Duke Energy Corporation (Holdin</t>
  </si>
  <si>
    <t>DV</t>
  </si>
  <si>
    <t>DeVry Inc. Common Stock</t>
  </si>
  <si>
    <t>DVA</t>
  </si>
  <si>
    <t>DaVita Inc. Common Stock</t>
  </si>
  <si>
    <t>DVN</t>
  </si>
  <si>
    <t>Devon Energy Corporation Common</t>
  </si>
  <si>
    <t>EBAY</t>
  </si>
  <si>
    <t>eBay Inc.</t>
  </si>
  <si>
    <t>ECL</t>
  </si>
  <si>
    <t>Ecolab Inc. Common Stock</t>
  </si>
  <si>
    <t>ED</t>
  </si>
  <si>
    <t>Consolidated Edison, Inc. Commo</t>
  </si>
  <si>
    <t>EFX</t>
  </si>
  <si>
    <t xml:space="preserve"> Rajasthan Spinning &amp; Wvg. Mills     </t>
  </si>
  <si>
    <t xml:space="preserve"> Rajshree Sugars &amp; Chemicals</t>
  </si>
  <si>
    <t xml:space="preserve"> Ramco Systems    </t>
  </si>
  <si>
    <t xml:space="preserve"> RANE BRAKE LININGS </t>
  </si>
  <si>
    <t xml:space="preserve"> RANE ENGINE VALVES LTD</t>
  </si>
  <si>
    <t>Diedrich Coffee</t>
  </si>
  <si>
    <t>DTG</t>
  </si>
  <si>
    <t>Dollar Thrifty Automotive Group</t>
  </si>
  <si>
    <t>LIWA</t>
  </si>
  <si>
    <t>Lihua International Inc.</t>
  </si>
  <si>
    <t>OGXI</t>
  </si>
  <si>
    <t>OncoGenex Pharmaceuticals</t>
  </si>
  <si>
    <t>OPXA</t>
  </si>
  <si>
    <t>Opexa Therapeutics</t>
  </si>
  <si>
    <t>VNDA</t>
  </si>
  <si>
    <t>Vanda Pharmaceuticals</t>
  </si>
  <si>
    <t>Ballarpur Industries Ltd.</t>
  </si>
  <si>
    <t>Balchand</t>
  </si>
  <si>
    <t xml:space="preserve"> Onward Technologies    </t>
  </si>
  <si>
    <t xml:space="preserve"> Orbit Exports     </t>
  </si>
  <si>
    <t xml:space="preserve"> Oriental Hotels      </t>
  </si>
  <si>
    <t>AAPL</t>
  </si>
  <si>
    <t>Salora international</t>
  </si>
  <si>
    <t xml:space="preserve"> Ugar Sugar Works</t>
  </si>
  <si>
    <t>Union Bank</t>
  </si>
  <si>
    <t xml:space="preserve"> Upper Ganges Sugar &amp; Inds.</t>
  </si>
  <si>
    <t xml:space="preserve"> Usha Martin     </t>
  </si>
  <si>
    <t>UTI BANK</t>
  </si>
  <si>
    <t xml:space="preserve"> Uttam Galva Steels     </t>
  </si>
  <si>
    <t xml:space="preserve"> Vallabh Steels     </t>
  </si>
  <si>
    <t xml:space="preserve"> Vardhman Acrylics     </t>
  </si>
  <si>
    <t xml:space="preserve"> RANE (MADRAS) LTD</t>
  </si>
  <si>
    <t xml:space="preserve"> Rana Sugars</t>
  </si>
  <si>
    <t xml:space="preserve"> Neyveli Lignite </t>
  </si>
  <si>
    <t>NICPIR</t>
  </si>
  <si>
    <t xml:space="preserve"> Nicholas Piramal India       </t>
  </si>
  <si>
    <t>NIIT</t>
  </si>
  <si>
    <t>Era Infra Engineering Ltd.</t>
  </si>
  <si>
    <t>ESCORT</t>
  </si>
  <si>
    <t>Escorts Ltd.</t>
  </si>
  <si>
    <t>GM</t>
  </si>
  <si>
    <t>General Motors</t>
  </si>
  <si>
    <t>Travellers Insurance</t>
  </si>
  <si>
    <t xml:space="preserve"> Prism Cement</t>
  </si>
  <si>
    <t xml:space="preserve"> Priyadarshini Cement</t>
  </si>
  <si>
    <t xml:space="preserve"> PRITISH NANDY COMM.</t>
  </si>
  <si>
    <t>Chambal Fertilizers</t>
  </si>
  <si>
    <t>Cummings India</t>
  </si>
  <si>
    <t>TV 18</t>
  </si>
  <si>
    <t>KESENT</t>
  </si>
  <si>
    <t>KEWKIR</t>
  </si>
  <si>
    <t>KGDENI</t>
  </si>
  <si>
    <t>Maximum Profit = Limited to the downside as the underlying stock falls to zero</t>
  </si>
  <si>
    <t>Breakeven = Put strike price - put premium</t>
  </si>
  <si>
    <t>Margin = None</t>
  </si>
  <si>
    <t>Karnataka Bank Ltd.</t>
  </si>
  <si>
    <t>Karur Vysya Bank Ltd.</t>
  </si>
  <si>
    <t>Kemrock Industries &amp; Exports Ltd.</t>
  </si>
  <si>
    <t xml:space="preserve"> Sangam (India)     </t>
  </si>
  <si>
    <t xml:space="preserve"> Welspun-Gujarat Stahl Rohren     </t>
  </si>
  <si>
    <t>WELIND</t>
  </si>
  <si>
    <t xml:space="preserve"> Welspun India Ltd.</t>
  </si>
  <si>
    <t xml:space="preserve"> Wipro</t>
  </si>
  <si>
    <t xml:space="preserve"> Wockhardt       </t>
  </si>
  <si>
    <t xml:space="preserve"> ZEE ENTERTAINMENT</t>
  </si>
  <si>
    <t>ZICELE</t>
  </si>
  <si>
    <t>ClosePrice</t>
  </si>
  <si>
    <t>LastUpdated</t>
  </si>
  <si>
    <t>SHRSHI</t>
  </si>
  <si>
    <t xml:space="preserve"> Shreyas Shipping </t>
  </si>
  <si>
    <t xml:space="preserve"> N I I T </t>
  </si>
  <si>
    <t>Siemens</t>
  </si>
  <si>
    <t>Purchase (Self Contribution Only)</t>
  </si>
  <si>
    <t>Curr Value (Including Company Contribution)</t>
  </si>
  <si>
    <t>ID</t>
  </si>
  <si>
    <t>symbol</t>
  </si>
  <si>
    <t>Number</t>
  </si>
  <si>
    <t>BuyDate</t>
  </si>
  <si>
    <t>AnnualizedGrowth</t>
  </si>
  <si>
    <t>AbsoluteGrowth</t>
  </si>
  <si>
    <t>Profit</t>
  </si>
  <si>
    <t>13. Watch the market closely as it fluctuates. The profit on this strategy is limited-a loss occurs if the underlying stock falls to or below the breakeven point.</t>
  </si>
  <si>
    <t>TRV</t>
  </si>
  <si>
    <t>DECCHR</t>
  </si>
  <si>
    <t>DENBAN</t>
  </si>
  <si>
    <t>AIG</t>
  </si>
  <si>
    <t>HPQ</t>
  </si>
  <si>
    <t>UTX</t>
  </si>
  <si>
    <t>This screen finds stocks that have betas less than or equal to 0.5. It also looks for operating margins greater than or equal to 5% and profit margins greater than or equal to 5%. Finally, it screens for companies with a forward price-earnings ratio less than or equal to 15 and market capitalizations greater than or equal to $250 million</t>
  </si>
  <si>
    <t>ADP -401</t>
  </si>
  <si>
    <t>China GengSheng Minerals, Inc.</t>
  </si>
  <si>
    <t>CHUX</t>
  </si>
  <si>
    <t>O'Charley's Inc.</t>
  </si>
  <si>
    <t>CTV</t>
  </si>
  <si>
    <t>CommScope, Inc. Common Stock</t>
  </si>
  <si>
    <t>DNDN</t>
  </si>
  <si>
    <t>Dendreon Corporation</t>
  </si>
  <si>
    <t>ENTR</t>
  </si>
  <si>
    <t>Entropic Communications, Inc.</t>
  </si>
  <si>
    <t>FLEX</t>
  </si>
  <si>
    <t>Flextronics International Ltd.</t>
  </si>
  <si>
    <t>FTWR</t>
  </si>
  <si>
    <t>FiberTower Corporation</t>
  </si>
  <si>
    <t>GCI</t>
  </si>
  <si>
    <t>Gannett Co., Inc. Common Stock</t>
  </si>
  <si>
    <t>GIII</t>
  </si>
  <si>
    <t>G-III Apparel Group, LTD.</t>
  </si>
  <si>
    <t>HBI</t>
  </si>
  <si>
    <t>A.H. Belo Corporation Common St</t>
  </si>
  <si>
    <t>ARUN</t>
  </si>
  <si>
    <t xml:space="preserve"> I T Microsystems (India)    </t>
  </si>
  <si>
    <t xml:space="preserve"> Jagatjit Industries      </t>
  </si>
  <si>
    <t xml:space="preserve"> Jagsonpal Pharmaceuticals       </t>
  </si>
  <si>
    <t>Alpha Natural Resources, inc. c</t>
  </si>
  <si>
    <t>ANW</t>
  </si>
  <si>
    <t>Aegean Marine Petroleum Network</t>
  </si>
  <si>
    <t>AOB</t>
  </si>
  <si>
    <t>American Oriental Bioengineerin</t>
  </si>
  <si>
    <t>APC</t>
  </si>
  <si>
    <t>Anadarko Petroleum Corporation</t>
  </si>
  <si>
    <t>ARB</t>
  </si>
  <si>
    <t>Arbitron Inc. Common Stock</t>
  </si>
  <si>
    <t>ARCC</t>
  </si>
  <si>
    <t>Ares Capital Corporation</t>
  </si>
  <si>
    <t>ARW</t>
  </si>
  <si>
    <t>Arrow Electronics, Inc. Common</t>
  </si>
  <si>
    <t>ASGN</t>
  </si>
  <si>
    <t>On Assignment, Inc.</t>
  </si>
  <si>
    <t>ASH</t>
  </si>
  <si>
    <t>Ashland Inc. (NEW) Common Stock</t>
  </si>
  <si>
    <t>ATLS</t>
  </si>
  <si>
    <t>Atlas Energy, Inc.</t>
  </si>
  <si>
    <t>ATU</t>
  </si>
  <si>
    <t>Actuant Corporation Common Stoc</t>
  </si>
  <si>
    <t>AVY</t>
  </si>
  <si>
    <t>Avery Dennison Corporation Comm</t>
  </si>
  <si>
    <t>AWI</t>
  </si>
  <si>
    <t>Armstrong World Industries Inc</t>
  </si>
  <si>
    <t>AXE</t>
  </si>
  <si>
    <t>HTMGLO</t>
  </si>
  <si>
    <t xml:space="preserve"> K I C Metaliks     </t>
  </si>
  <si>
    <t xml:space="preserve"> STEEL STRIPS WHEELS </t>
  </si>
  <si>
    <t>Nexstar Broadcasting Group, Inc</t>
  </si>
  <si>
    <t>HTZ</t>
  </si>
  <si>
    <t>Hertz Global Holdings, Inc Comm</t>
  </si>
  <si>
    <t>PARL</t>
  </si>
  <si>
    <t>EIH Associated Hotels Ltd.</t>
  </si>
  <si>
    <t>Eimco Elecon (India) Ltd.</t>
  </si>
  <si>
    <t>LNET</t>
  </si>
  <si>
    <t>LodgeNet Interactive Corporatio</t>
  </si>
  <si>
    <t>AGO</t>
  </si>
  <si>
    <t>11. Write down the trade in your trader's journal before placing the trade with your broker to minimize mistakes made in placing the order and to keep a record of the trade.</t>
  </si>
  <si>
    <t>12. Contact your broker to buy and sell the chosen call options.</t>
  </si>
  <si>
    <t>Pollution Control Equipment</t>
  </si>
  <si>
    <t xml:space="preserve">WILIN </t>
  </si>
  <si>
    <t>Willard India Ltd.</t>
  </si>
  <si>
    <t>Tata Investment Corporation Ltd.</t>
  </si>
  <si>
    <t>ALPIND</t>
  </si>
  <si>
    <t>AMAAGR</t>
  </si>
  <si>
    <t>AMAALC</t>
  </si>
  <si>
    <t>AMAPRO</t>
  </si>
  <si>
    <t>FCS</t>
  </si>
  <si>
    <t>Fairchild Semiconductor International</t>
  </si>
  <si>
    <t>WSM</t>
  </si>
  <si>
    <t>Williams-Sonoma</t>
  </si>
  <si>
    <t>Snap-On Incorporated Common Sto</t>
  </si>
  <si>
    <t>SNX</t>
  </si>
  <si>
    <t>Synnex Corporation Common Stock</t>
  </si>
  <si>
    <t>SOA</t>
  </si>
  <si>
    <t>Solutia Inc Solutia Inc New Com</t>
  </si>
  <si>
    <t>SOLF</t>
  </si>
  <si>
    <t>Solarfun Power Holdings Co., Lt</t>
  </si>
  <si>
    <t>SOLR</t>
  </si>
  <si>
    <t>GT Solar International, Inc.</t>
  </si>
  <si>
    <t>SONO</t>
  </si>
  <si>
    <t>SonoSite, Inc.</t>
  </si>
  <si>
    <t>SPG</t>
  </si>
  <si>
    <t>Simon Property Group, Inc. Comm</t>
  </si>
  <si>
    <t>STEI</t>
  </si>
  <si>
    <t>Stewart Enterprises, Inc.</t>
  </si>
  <si>
    <t>STLD</t>
  </si>
  <si>
    <t>Steel Dynamics, Inc.</t>
  </si>
  <si>
    <t>STN</t>
  </si>
  <si>
    <t>Stantec Inc Common Stock</t>
  </si>
  <si>
    <t>STO</t>
  </si>
  <si>
    <t>Statoil ASA</t>
  </si>
  <si>
    <t>STT</t>
  </si>
  <si>
    <t>State Street Corporation Common</t>
  </si>
  <si>
    <t>SWC</t>
  </si>
  <si>
    <t>Stillwater Mining Company Commo</t>
  </si>
  <si>
    <t>SWK</t>
  </si>
  <si>
    <t>Stanley Black &amp; Decker, Inc Com</t>
  </si>
  <si>
    <t>SYKE</t>
  </si>
  <si>
    <t>Sykes Enterprises, Incorporated</t>
  </si>
  <si>
    <t>SYX</t>
  </si>
  <si>
    <t>Systemax Inc. Common Stock</t>
  </si>
  <si>
    <t>TAL</t>
  </si>
  <si>
    <t>TAL International Group, Inc. C</t>
  </si>
  <si>
    <t>TAST</t>
  </si>
  <si>
    <t>Carrols Restaurant Group, Inc.</t>
  </si>
  <si>
    <t>TD</t>
  </si>
  <si>
    <t xml:space="preserve"> Tata Teleservices (Maharashtra)       </t>
  </si>
  <si>
    <t xml:space="preserve"> I-Flex Solutions    </t>
  </si>
  <si>
    <t>INDCEM</t>
  </si>
  <si>
    <t xml:space="preserve"> India Cements</t>
  </si>
  <si>
    <t>INDHOT</t>
  </si>
  <si>
    <t>9. Calculate the breakeven by adding the net credit to the lower strike price.</t>
  </si>
  <si>
    <t>IWM</t>
  </si>
  <si>
    <t>iShares Russell 2000 Index (IWM)</t>
  </si>
  <si>
    <t>VXX</t>
  </si>
  <si>
    <t>iPath S&amp;P 500 VIX Short-Term Futures ETN (VXX)</t>
  </si>
  <si>
    <t>Upside Breakeven = Higher strike price put (short put) minus the net debit</t>
  </si>
  <si>
    <t>Strategies for Sideways Markets</t>
  </si>
  <si>
    <t>CAE</t>
  </si>
  <si>
    <t>Relative</t>
  </si>
  <si>
    <t>MADCEM</t>
  </si>
  <si>
    <t xml:space="preserve"> Madras Cements</t>
  </si>
  <si>
    <t>MADREF</t>
  </si>
  <si>
    <t>Madras Aluminium Company Ltd.</t>
  </si>
  <si>
    <t>Madhucon Projects Ltd.</t>
  </si>
  <si>
    <t xml:space="preserve"> Tonira Pharma       </t>
  </si>
  <si>
    <t>Jagsons Airlines Ltd</t>
  </si>
  <si>
    <t>Jaiprakash Associates Limited</t>
  </si>
  <si>
    <t>Jai Corp Ltd.</t>
  </si>
  <si>
    <t>Tech Mahindra Ltd.</t>
  </si>
  <si>
    <t>THOCOO</t>
  </si>
  <si>
    <t xml:space="preserve"> Jamshri Ranjitsinghji Spg. &amp; Wvg. Mills Co.     </t>
  </si>
  <si>
    <t>Thomas Cook (India) Ltd.</t>
  </si>
  <si>
    <t>TILIND</t>
  </si>
  <si>
    <t>Tilak Nagar Industries Ltd.</t>
  </si>
  <si>
    <t>TIMTEC</t>
  </si>
  <si>
    <t>Realized Profit/Loss</t>
  </si>
  <si>
    <t>FRANKLIN INDIA OPPORTUNITIES FUND - GROWTH</t>
  </si>
  <si>
    <t>FRANKLIN INDIA FLEXI CAP FUND - GROWTH</t>
  </si>
  <si>
    <t>NAV Price</t>
  </si>
  <si>
    <t>REALISED</t>
  </si>
  <si>
    <t>Blue chip</t>
  </si>
  <si>
    <t>PUNBAN</t>
  </si>
  <si>
    <t>GMR Industries</t>
  </si>
  <si>
    <t>??</t>
  </si>
  <si>
    <t>6. Quick Ratio more than 1 better</t>
  </si>
  <si>
    <t>PBV = 1  ?? = Value of the enterprise (if debt ratio is 0) is equal to net company assets (Total Assets - Total Libilities)</t>
  </si>
  <si>
    <t>The company has no future cash flows (value) or no trust in investors that company is long lasting</t>
  </si>
  <si>
    <t>Maximum Risk = Limited to the net debit paid</t>
  </si>
  <si>
    <t>Maximum Risk = Very high, but limited to the downside below the breakeven all the way to zero</t>
  </si>
  <si>
    <t>FEDBAN</t>
  </si>
  <si>
    <t>FINCAB</t>
  </si>
  <si>
    <t>ANTBEA</t>
  </si>
  <si>
    <t>APAIND</t>
  </si>
  <si>
    <t>APOHOS</t>
  </si>
  <si>
    <t>APOTYR</t>
  </si>
  <si>
    <t>ASAIND</t>
  </si>
  <si>
    <t>BAJELE</t>
  </si>
  <si>
    <t>BAJHIN</t>
  </si>
  <si>
    <t>Morgan Industries Ltd.</t>
  </si>
  <si>
    <t>Sector</t>
  </si>
  <si>
    <t>Granites/Marbles</t>
  </si>
  <si>
    <t>Sanwaria Agro Oils Ltd.</t>
  </si>
  <si>
    <t>SANGHI</t>
  </si>
  <si>
    <t>Sanghi Industries Ltd.</t>
  </si>
  <si>
    <t>Southern Petrochemicals Industries Corporation Ltd</t>
  </si>
  <si>
    <t>SRERAY</t>
  </si>
  <si>
    <t>Jhagadia Copper Ltd.</t>
  </si>
  <si>
    <t>Akruti Nirman</t>
  </si>
  <si>
    <t>TANCON</t>
  </si>
  <si>
    <t>Tantia Constructions Ltd.</t>
  </si>
  <si>
    <t xml:space="preserve">TINCO </t>
  </si>
  <si>
    <t>Tinplate Company of India Ltd.</t>
  </si>
  <si>
    <t>TRLG</t>
  </si>
  <si>
    <t>TYPE</t>
  </si>
  <si>
    <t>UTA</t>
  </si>
  <si>
    <t>WATG</t>
  </si>
  <si>
    <t>WMS</t>
  </si>
  <si>
    <t>WRLD</t>
  </si>
  <si>
    <t>YONG</t>
  </si>
  <si>
    <t>YZC</t>
  </si>
  <si>
    <t>TISCO</t>
  </si>
  <si>
    <t>TELCO</t>
  </si>
  <si>
    <t>GAIL</t>
  </si>
  <si>
    <t>Sundram Mutual</t>
  </si>
  <si>
    <t>Reliance</t>
  </si>
  <si>
    <t>Opportunities growth (Sangeeta)</t>
  </si>
  <si>
    <t>Opportunities dividend (Mansi)</t>
  </si>
  <si>
    <t>Kratos Defense &amp; Security Solut</t>
  </si>
  <si>
    <t>KUB</t>
  </si>
  <si>
    <t>Kubota Corporation Common Stock</t>
  </si>
  <si>
    <t>KYO</t>
  </si>
  <si>
    <t>Kyocera Corporation Common Stoc</t>
  </si>
  <si>
    <t>L</t>
  </si>
  <si>
    <t>Loews Corporation Common Stock</t>
  </si>
  <si>
    <t>LB</t>
  </si>
  <si>
    <t>LaBarge, Inc. Common Stock</t>
  </si>
  <si>
    <t>LBTYA</t>
  </si>
  <si>
    <t>Liberty Global, Inc.</t>
  </si>
  <si>
    <t>LCAPA</t>
  </si>
  <si>
    <t>Liberty Media Corporation</t>
  </si>
  <si>
    <t>LCC</t>
  </si>
  <si>
    <t>US Airways Group, Inc. New US A</t>
  </si>
  <si>
    <t>LDSH</t>
  </si>
  <si>
    <t>Ladish Co., Inc.</t>
  </si>
  <si>
    <t>LEG</t>
  </si>
  <si>
    <t>Leggett &amp; Platt, Incorporated C</t>
  </si>
  <si>
    <t>LFUS</t>
  </si>
  <si>
    <t>Littelfuse, Inc.</t>
  </si>
  <si>
    <t>LINTA</t>
  </si>
  <si>
    <t>LIOX</t>
  </si>
  <si>
    <t>Lionbridge Technologies, Inc.</t>
  </si>
  <si>
    <t>LOW</t>
  </si>
  <si>
    <t>Lowe's Companies, Inc. Common S</t>
  </si>
  <si>
    <t>LQDT</t>
  </si>
  <si>
    <t>Liquidity Services, Inc.</t>
  </si>
  <si>
    <t>LTM</t>
  </si>
  <si>
    <t>Life Time Fitness Common Stock</t>
  </si>
  <si>
    <t>LUFK</t>
  </si>
  <si>
    <t>Lufkin Industries, Inc.</t>
  </si>
  <si>
    <t>LUX</t>
  </si>
  <si>
    <t>Luxottica Group, S.p.A. Common</t>
  </si>
  <si>
    <t>LVB</t>
  </si>
  <si>
    <t>Steinway Musical Instruments, I</t>
  </si>
  <si>
    <t>LXU</t>
  </si>
  <si>
    <t>LSB Industries, Inc. Common Sto</t>
  </si>
  <si>
    <t>M</t>
  </si>
  <si>
    <t>Macy's Inc Common Stock</t>
  </si>
  <si>
    <t>MA</t>
  </si>
  <si>
    <t>Mastercard Incorporated Common</t>
  </si>
  <si>
    <t>MALL</t>
  </si>
  <si>
    <t>PC Mall, Inc.</t>
  </si>
  <si>
    <t>MAN</t>
  </si>
  <si>
    <t>Manpower Inc Common Stock</t>
  </si>
  <si>
    <t>MAT</t>
  </si>
  <si>
    <t>Mattel, Inc.</t>
  </si>
  <si>
    <t>MCRS</t>
  </si>
  <si>
    <t>Flowserve Corporation Common St</t>
  </si>
  <si>
    <t>FMX</t>
  </si>
  <si>
    <t>Fomento Economico Mexicano S.A.</t>
  </si>
  <si>
    <t>FO</t>
  </si>
  <si>
    <t>Fortune Brands, Inc. Common Sto</t>
  </si>
  <si>
    <t>FOSL</t>
  </si>
  <si>
    <t>Fossil, Inc.</t>
  </si>
  <si>
    <t>FRM</t>
  </si>
  <si>
    <t>Furmanite Corporation Common St</t>
  </si>
  <si>
    <t>FRPT</t>
  </si>
  <si>
    <t>Force Protection, Inc.</t>
  </si>
  <si>
    <t>FST</t>
  </si>
  <si>
    <t>Forest Oil Corporation Common S</t>
  </si>
  <si>
    <t>FSTR</t>
  </si>
  <si>
    <t>L.B. Foster Company</t>
  </si>
  <si>
    <t>FUN</t>
  </si>
  <si>
    <t>Cedar Fair, L.P. Common Stock</t>
  </si>
  <si>
    <t>FWLT</t>
  </si>
  <si>
    <t>Foster Wheeler AG.</t>
  </si>
  <si>
    <t>GAIA</t>
  </si>
  <si>
    <t>Gaiam, Inc.</t>
  </si>
  <si>
    <t>GBX</t>
  </si>
  <si>
    <t>Greenbrier Companies, Inc. (The</t>
  </si>
  <si>
    <t>GCO</t>
  </si>
  <si>
    <t>Genesco Inc. Common Stock</t>
  </si>
  <si>
    <t>GDI</t>
  </si>
  <si>
    <t>Gardner Denver, Inc. Common Sto</t>
  </si>
  <si>
    <t>GEF</t>
  </si>
  <si>
    <t>Greif Inc. Class A Common Stock</t>
  </si>
  <si>
    <t>GFF</t>
  </si>
  <si>
    <t>Griffon Corporation Common Stoc</t>
  </si>
  <si>
    <t>GLPW</t>
  </si>
  <si>
    <t>Global Power Equipment Group In</t>
  </si>
  <si>
    <t>GLT</t>
  </si>
  <si>
    <t>Glatfelter Common Stock</t>
  </si>
  <si>
    <t>GLW</t>
  </si>
  <si>
    <t>Corning Incorporated Common Sto</t>
  </si>
  <si>
    <t>GNTX</t>
  </si>
  <si>
    <t>Gentex Corporation</t>
  </si>
  <si>
    <t>GOL</t>
  </si>
  <si>
    <t>Beverages</t>
  </si>
  <si>
    <t>Personal</t>
  </si>
  <si>
    <t>Metals</t>
  </si>
  <si>
    <t>Auto</t>
  </si>
  <si>
    <t>Chemicals</t>
  </si>
  <si>
    <t>Paper</t>
  </si>
  <si>
    <t>Bearings</t>
  </si>
  <si>
    <t>Hospitals</t>
  </si>
  <si>
    <t>Tyres</t>
  </si>
  <si>
    <t>Glass</t>
  </si>
  <si>
    <t>Hotels</t>
  </si>
  <si>
    <t>Paints/Varnishes</t>
  </si>
  <si>
    <t>Sugar</t>
  </si>
  <si>
    <t>Electronics</t>
  </si>
  <si>
    <t>Indian Overseas Bank</t>
  </si>
  <si>
    <t>Indoco Remedies Ltd</t>
  </si>
  <si>
    <t>Indo Tech Transformers Ltd.</t>
  </si>
  <si>
    <t>International Combustion (India) Ltd.</t>
  </si>
  <si>
    <t>ITI Ltd.</t>
  </si>
  <si>
    <t xml:space="preserve"> Genesys International Corpn.    </t>
  </si>
  <si>
    <t xml:space="preserve"> Ahlcon Parenterals (India)       </t>
  </si>
  <si>
    <t xml:space="preserve"> Ajanta Pharma       </t>
  </si>
  <si>
    <t xml:space="preserve"> Albert David       </t>
  </si>
  <si>
    <t xml:space="preserve"> Alembic       </t>
  </si>
  <si>
    <t xml:space="preserve"> Alka India     </t>
  </si>
  <si>
    <t>JSW Steel Ltd</t>
  </si>
  <si>
    <t>JK Cement</t>
  </si>
  <si>
    <t>JK Lakshmi Cement Limited</t>
  </si>
  <si>
    <t>JK Tyre &amp; Industries Ltd.</t>
  </si>
  <si>
    <t xml:space="preserve"> Arvind Remedies       </t>
  </si>
  <si>
    <t xml:space="preserve"> Ashirwad Steels &amp; Inds.     </t>
  </si>
  <si>
    <t xml:space="preserve"> Ashima     </t>
  </si>
  <si>
    <t xml:space="preserve"> Asian Hotels      </t>
  </si>
  <si>
    <t>RRC</t>
  </si>
  <si>
    <t>Range Resources</t>
  </si>
  <si>
    <t>SWN</t>
  </si>
  <si>
    <t>South West Energy</t>
  </si>
  <si>
    <t>XTO</t>
  </si>
  <si>
    <t>XTO Energy</t>
  </si>
  <si>
    <t>A</t>
  </si>
  <si>
    <t>Agilent Technologies, Inc. Comm</t>
  </si>
  <si>
    <t>ACET</t>
  </si>
  <si>
    <t>Aceto Corporation</t>
  </si>
  <si>
    <t>ACO</t>
  </si>
  <si>
    <t>Amcol International Corporation</t>
  </si>
  <si>
    <t>ACXM</t>
  </si>
  <si>
    <t>Acxiom Corporation</t>
  </si>
  <si>
    <t>ADI</t>
  </si>
  <si>
    <t>Analog Devices, Inc. Common Sto</t>
  </si>
  <si>
    <t>ADPI</t>
  </si>
  <si>
    <t>American Dental Partners, Inc.</t>
  </si>
  <si>
    <t>ADTN</t>
  </si>
  <si>
    <t>ADTRAN, Inc.</t>
  </si>
  <si>
    <t>AEIS</t>
  </si>
  <si>
    <t>Advanced Energy Industries, Inc</t>
  </si>
  <si>
    <t>AEL</t>
  </si>
  <si>
    <t>Kirloskar Pneumatic Ltd.</t>
  </si>
  <si>
    <t>Kotak Mahindra Bank Ltd.</t>
  </si>
  <si>
    <t>Lanco Infratech Ltd.</t>
  </si>
  <si>
    <t>Lok Housing &amp; Constructions Ltd.</t>
  </si>
  <si>
    <t>Engineers India Ltd.</t>
  </si>
  <si>
    <t xml:space="preserve"> Astrazeneca Pharma India       </t>
  </si>
  <si>
    <t xml:space="preserve"> Atlas Copco (India)     </t>
  </si>
  <si>
    <t>ABC Bearings Ltd.</t>
  </si>
  <si>
    <t>Apar Industries Ltd.</t>
  </si>
  <si>
    <t>Apollo Hospitals Enterprise Ltd.</t>
  </si>
  <si>
    <t>Apollo Tyres Ltd.</t>
  </si>
  <si>
    <t>Bajaj Electricals?</t>
  </si>
  <si>
    <t>IT People (India) Ltd.</t>
  </si>
  <si>
    <t>Bank of Baroda</t>
  </si>
  <si>
    <t>Bank of Maharashtra</t>
  </si>
  <si>
    <t>Bank of Rajasthan Ltd.</t>
  </si>
  <si>
    <t xml:space="preserve"> Mahalaxmi Seamless     </t>
  </si>
  <si>
    <t xml:space="preserve"> Maharaja Shree Umaid Mills     </t>
  </si>
  <si>
    <t xml:space="preserve"> Maikaal Fibres     </t>
  </si>
  <si>
    <t xml:space="preserve"> MAJESTIC AUTO LTD</t>
  </si>
  <si>
    <t>Vijaya Bank</t>
  </si>
  <si>
    <t>Vimta Labs Ltd</t>
  </si>
  <si>
    <t>Visa Steel Limited</t>
  </si>
  <si>
    <t>The Voltas</t>
  </si>
  <si>
    <t>UnRealized Profit/Loss</t>
  </si>
  <si>
    <t>NAV / Share Buy COST</t>
  </si>
  <si>
    <t>ITC</t>
  </si>
  <si>
    <t>ICICIBank</t>
  </si>
  <si>
    <t>PF</t>
  </si>
  <si>
    <t>Rs</t>
  </si>
  <si>
    <t>ICICI</t>
  </si>
  <si>
    <t>BPO</t>
  </si>
  <si>
    <t>CAM</t>
  </si>
  <si>
    <t>CLF</t>
  </si>
  <si>
    <t>CNQ</t>
  </si>
  <si>
    <t>Bharat Shipping?</t>
  </si>
  <si>
    <t>Geodesic Information Systems Ltd.</t>
  </si>
  <si>
    <t>Canara Bank</t>
  </si>
  <si>
    <t>EID Parry (India) Ltd.</t>
  </si>
  <si>
    <t>Federal Bank Ltd.</t>
  </si>
  <si>
    <t xml:space="preserve"> Sybly Industries     </t>
  </si>
  <si>
    <t xml:space="preserve"> Syncom Formulations (India)       </t>
  </si>
  <si>
    <t xml:space="preserve"> V B C Ferro Alloys     </t>
  </si>
  <si>
    <t>ING Vysya Bank Limited</t>
  </si>
  <si>
    <t>WS Industries India Limited</t>
  </si>
  <si>
    <t>Yes Bank</t>
  </si>
  <si>
    <t>Zee News Ltd.</t>
  </si>
  <si>
    <t>Zuari Industries Ltd</t>
  </si>
  <si>
    <t>RELNAT</t>
  </si>
  <si>
    <t>14. To exit the trade, you need to sell the lower strike call and buy the higher strike call or simply let the options expire. The maximum profit occurs when the underlying stock rises above the short call strike price. If and when the short call is assigned, you can exercise the long call and deliver those shares at the lower long call price, pocketing the difference plus the premium from the short call.</t>
  </si>
  <si>
    <t>NAHEXP</t>
  </si>
  <si>
    <t>NAHSPI</t>
  </si>
  <si>
    <t>NAKTEX</t>
  </si>
  <si>
    <t>NATPHA</t>
  </si>
  <si>
    <t>NATRAD</t>
  </si>
  <si>
    <t>NATSTE</t>
  </si>
  <si>
    <t>NCLIND</t>
  </si>
  <si>
    <t>NEPIND</t>
  </si>
  <si>
    <t>NETINF</t>
  </si>
  <si>
    <t>Syndicate Bank Ltd.</t>
  </si>
  <si>
    <t>Prithvi Information Solutions Ltd.</t>
  </si>
  <si>
    <t>PSL Limited</t>
  </si>
  <si>
    <t>Punj Lloyd Limited</t>
  </si>
  <si>
    <t>Remarks</t>
  </si>
  <si>
    <t>Puravankara Projects Ltd.</t>
  </si>
  <si>
    <t xml:space="preserve">Also at least 5% of these stocks are held by institutions with a total debt to equity ratio less than or equal to 0.5. </t>
  </si>
  <si>
    <t>This screen looks for stocks with total debt to equity ratios of less than or equal to 0.5 and operating margins greater than or equal to 0. It also seeks earnings growth estimates for the next five years of greater than or equal to 15% and average daily volume greater than or equal to 100,000 shares</t>
  </si>
  <si>
    <t xml:space="preserve"> Elder Health Care       </t>
  </si>
  <si>
    <t xml:space="preserve"> Electrosteel Castings     </t>
  </si>
  <si>
    <t>Parker-Hannifin Corporation Com</t>
  </si>
  <si>
    <t>PHM</t>
  </si>
  <si>
    <t>PulteGroup, Inc. Common Stock</t>
  </si>
  <si>
    <t>PKI</t>
  </si>
  <si>
    <t>PerkinElmer, Inc. Common Stock</t>
  </si>
  <si>
    <t>PLD</t>
  </si>
  <si>
    <t>ProLogis Share of Beneficial In</t>
  </si>
  <si>
    <t>PLL</t>
  </si>
  <si>
    <t>INDLAB</t>
  </si>
  <si>
    <t>INDNIP</t>
  </si>
  <si>
    <t>CNL</t>
  </si>
  <si>
    <t>Cleco Corp</t>
  </si>
  <si>
    <t>COYR.OB</t>
  </si>
  <si>
    <t>Gold</t>
  </si>
  <si>
    <t>CVI</t>
  </si>
  <si>
    <t>CVR Energy</t>
  </si>
  <si>
    <t>DYNAVI</t>
  </si>
  <si>
    <t>EIDPAR</t>
  </si>
  <si>
    <t>EIMELE</t>
  </si>
  <si>
    <t>MICROS Systems, Inc.</t>
  </si>
  <si>
    <t>MCS</t>
  </si>
  <si>
    <t>Marcus Corporation (The) Common</t>
  </si>
  <si>
    <t>MD</t>
  </si>
  <si>
    <t>Mednax, Inc. Common Stock</t>
  </si>
  <si>
    <t>MDR</t>
  </si>
  <si>
    <t>McDermott International, Inc. C</t>
  </si>
  <si>
    <t>MDRX</t>
  </si>
  <si>
    <t>Allscripts Healthcare Solutions</t>
  </si>
  <si>
    <t>MDU</t>
  </si>
  <si>
    <t>MDU Resources Group, Inc. Commo</t>
  </si>
  <si>
    <t>MEI</t>
  </si>
  <si>
    <t>TCS CONSULTANCY SERV LTD</t>
  </si>
  <si>
    <t>100 </t>
  </si>
  <si>
    <t>7 </t>
  </si>
  <si>
    <t>Service Tax For 2005/08/16</t>
  </si>
  <si>
    <t>8 </t>
  </si>
  <si>
    <t>BOOM</t>
  </si>
  <si>
    <t>Gaming</t>
  </si>
  <si>
    <t>AKAM</t>
  </si>
  <si>
    <t>Akamai</t>
  </si>
  <si>
    <t>AMED</t>
  </si>
  <si>
    <t>Amedisys</t>
  </si>
  <si>
    <t>ATHR</t>
  </si>
  <si>
    <t>Atheros Semiconductor</t>
  </si>
  <si>
    <t>BYI</t>
  </si>
  <si>
    <t>Bally tech</t>
  </si>
  <si>
    <t>CLH</t>
  </si>
  <si>
    <t>Clean Harbors</t>
  </si>
  <si>
    <t>CMG</t>
  </si>
  <si>
    <t>Chipotle Rest</t>
  </si>
  <si>
    <t>GMCR</t>
  </si>
  <si>
    <t>Green Mt Coffee</t>
  </si>
  <si>
    <t>JASO</t>
  </si>
  <si>
    <t>JA Solar</t>
  </si>
  <si>
    <t>LL</t>
  </si>
  <si>
    <t>Lumber liquidators</t>
  </si>
  <si>
    <t>MCF</t>
  </si>
  <si>
    <t>Contango Oil</t>
  </si>
  <si>
    <t>MHS</t>
  </si>
  <si>
    <t>Medco Health</t>
  </si>
  <si>
    <t>MYGN</t>
  </si>
  <si>
    <t>Myraid Genetics</t>
  </si>
  <si>
    <t>OPEN</t>
  </si>
  <si>
    <t>Unum Group Common Stock</t>
  </si>
  <si>
    <t>URBN</t>
  </si>
  <si>
    <t>Urban Outfitters, Inc.</t>
  </si>
  <si>
    <t>USB</t>
  </si>
  <si>
    <t>U.S. Bancorp Common Stock</t>
  </si>
  <si>
    <t>V</t>
  </si>
  <si>
    <t>Visa Inc. Visa Inc.</t>
  </si>
  <si>
    <t>VAR</t>
  </si>
  <si>
    <t>Varian Medical Systems, Inc. Co</t>
  </si>
  <si>
    <t>VFC</t>
  </si>
  <si>
    <t>V.F. Corporation Common Stock</t>
  </si>
  <si>
    <t>VIA-B</t>
  </si>
  <si>
    <t>VIACOM INC. CLASS B</t>
  </si>
  <si>
    <t>VMC</t>
  </si>
  <si>
    <t>Vulcan Materials Company (Holdi</t>
  </si>
  <si>
    <t>VNO</t>
  </si>
  <si>
    <t>MarkWest Energy Partners, LP Co</t>
  </si>
  <si>
    <t>MYE</t>
  </si>
  <si>
    <t>Myers Industries, Inc. Common S</t>
  </si>
  <si>
    <t>NAVR</t>
  </si>
  <si>
    <t>Robert Half International Inc.</t>
  </si>
  <si>
    <t>RHT</t>
  </si>
  <si>
    <t>Red Hat, Inc. Common Stock</t>
  </si>
  <si>
    <t>RL</t>
  </si>
  <si>
    <t>Polo Ralph Lauren Corporation C</t>
  </si>
  <si>
    <t>ROK</t>
  </si>
  <si>
    <t>Rockwell Automation Inc Common</t>
  </si>
  <si>
    <t>ROP</t>
  </si>
  <si>
    <t>Roper Industries, Inc. Common S</t>
  </si>
  <si>
    <t>RSG</t>
  </si>
  <si>
    <t>Republic Services, Inc. Common</t>
  </si>
  <si>
    <t>RSH</t>
  </si>
  <si>
    <t>Radioshack Corporation Common S</t>
  </si>
  <si>
    <t>S</t>
  </si>
  <si>
    <t>Sprint Nextel Corporation Comm</t>
  </si>
  <si>
    <t>SAI</t>
  </si>
  <si>
    <t>SAIC Inc Common Stock</t>
  </si>
  <si>
    <t>SBUX</t>
  </si>
  <si>
    <t>Khoday India Ltd.</t>
  </si>
  <si>
    <t>KOURET</t>
  </si>
  <si>
    <t>Koutons Retail India Ltd.</t>
  </si>
  <si>
    <t>KRITEX</t>
  </si>
  <si>
    <t>Health Care, IT, Telecom</t>
  </si>
  <si>
    <t>Elecon Engineering Company Ltd.</t>
  </si>
  <si>
    <t>Emco Ltd.</t>
  </si>
  <si>
    <t>Industrial Development Bank of India Ltd.</t>
  </si>
  <si>
    <t xml:space="preserve"> G D R Software    </t>
  </si>
  <si>
    <t xml:space="preserve"> Ginni Filaments     </t>
  </si>
  <si>
    <t xml:space="preserve"> Godfrey Phillips India      </t>
  </si>
  <si>
    <t>MS</t>
  </si>
  <si>
    <t>BFLSOF</t>
  </si>
  <si>
    <t xml:space="preserve"> Mphasis B F L    </t>
  </si>
  <si>
    <t>BHAELE</t>
  </si>
  <si>
    <t xml:space="preserve"> Bharat Electronics     </t>
  </si>
  <si>
    <t xml:space="preserve"> CINERAD COMMUNICATION</t>
  </si>
  <si>
    <t xml:space="preserve"> CINEVISTAAS</t>
  </si>
  <si>
    <t xml:space="preserve"> CLUTCH AUTO </t>
  </si>
  <si>
    <t xml:space="preserve"> J J Exporters     </t>
  </si>
  <si>
    <t xml:space="preserve"> J M T AUTO LTD</t>
  </si>
  <si>
    <t xml:space="preserve"> E L FORGE LTD</t>
  </si>
  <si>
    <t xml:space="preserve"> Makers Laboratories       </t>
  </si>
  <si>
    <t xml:space="preserve"> Malwa Cotton Spg. Mills     </t>
  </si>
  <si>
    <t xml:space="preserve"> Shiva Texyarn     </t>
  </si>
  <si>
    <t>Suzlon</t>
  </si>
  <si>
    <t>CONCOR</t>
  </si>
  <si>
    <t>CORBAN</t>
  </si>
  <si>
    <t>Maximum Profit= Limited to the upside beyond the breakeven (best determined with software analysis tool). If the short call expires worthless, the new risk graph will resemble a long call risk graph.</t>
  </si>
  <si>
    <t>8. Calculate the maximum potential risk by figuring out the net debit of the two option premiums.</t>
  </si>
  <si>
    <t>9. Calculate the breakeven by adding the lower strike price to the net debit.</t>
  </si>
  <si>
    <t>CHETEX</t>
  </si>
  <si>
    <t>CHOSTE</t>
  </si>
  <si>
    <t>CINCOM</t>
  </si>
  <si>
    <t>CINEVI</t>
  </si>
  <si>
    <t>CLUAUT</t>
  </si>
  <si>
    <t>CONCOF</t>
  </si>
  <si>
    <t>CORLA</t>
  </si>
  <si>
    <t>COVCOI</t>
  </si>
  <si>
    <t>CRAVAT</t>
  </si>
  <si>
    <t>CRECOM</t>
  </si>
  <si>
    <t>CREEYE</t>
  </si>
  <si>
    <t>cybtec</t>
  </si>
  <si>
    <t>DAMTHR</t>
  </si>
  <si>
    <t>dattec</t>
  </si>
  <si>
    <t>DCM</t>
  </si>
  <si>
    <t>DEESPI</t>
  </si>
  <si>
    <t>DONIND</t>
  </si>
  <si>
    <t>DUPINT</t>
  </si>
  <si>
    <t>Fidelity</t>
  </si>
  <si>
    <t>Bucyrus International, Inc.</t>
  </si>
  <si>
    <t xml:space="preserve"> AUTOLITE (INDIA) LTD.</t>
  </si>
  <si>
    <t xml:space="preserve"> Aztec Software </t>
  </si>
  <si>
    <t xml:space="preserve"> Bal Pharma       </t>
  </si>
  <si>
    <t>Lee Enterprises, Incorporated C</t>
  </si>
  <si>
    <t>MAPP</t>
  </si>
  <si>
    <t>MAP Pharmaceuticals, Inc.</t>
  </si>
  <si>
    <t>MEAS</t>
  </si>
  <si>
    <t>Measurement Specialties, Inc.</t>
  </si>
  <si>
    <t>MSHL</t>
  </si>
  <si>
    <t>Marshall Edwards, Inc.</t>
  </si>
  <si>
    <t>NC</t>
  </si>
  <si>
    <t>NACCO Industries, Inc. Common S</t>
  </si>
  <si>
    <t>NEWS</t>
  </si>
  <si>
    <t>NewStar Financial, Inc.</t>
  </si>
  <si>
    <t>NOA</t>
  </si>
  <si>
    <t>North American Energy Partners,</t>
  </si>
  <si>
    <t>OCLR</t>
  </si>
  <si>
    <t>Oclaro, Inc.</t>
  </si>
  <si>
    <t>OMX</t>
  </si>
  <si>
    <t>Officemax Incorporated</t>
  </si>
  <si>
    <t>PAM</t>
  </si>
  <si>
    <t>Pampa Energia S.A. Pampa Energi</t>
  </si>
  <si>
    <t>PRU</t>
  </si>
  <si>
    <t>Prudential Financial Inc Pruden</t>
  </si>
  <si>
    <t>PUDA</t>
  </si>
  <si>
    <t>Puda Coal, Inc. New Common Stoc</t>
  </si>
  <si>
    <t>INCY</t>
  </si>
  <si>
    <t>Incyte Corporation</t>
  </si>
  <si>
    <t>KFN</t>
  </si>
  <si>
    <t>KKR Financial Corp. Common Stoc</t>
  </si>
  <si>
    <t>KNDI</t>
  </si>
  <si>
    <t>Kandi Technolgies, Corp.</t>
  </si>
  <si>
    <t>KWR</t>
  </si>
  <si>
    <t>Quaker Chemical Corporation Com</t>
  </si>
  <si>
    <t>LCUT</t>
  </si>
  <si>
    <t>Lifetime Brands, Inc.</t>
  </si>
  <si>
    <t>LEE</t>
  </si>
  <si>
    <t>Bank</t>
  </si>
  <si>
    <t>LVS</t>
  </si>
  <si>
    <t>Advance Petrochemicals Ltd.</t>
  </si>
  <si>
    <t>Aegis Logistics Ltd.</t>
  </si>
  <si>
    <t>Accel Frontline Ltd.</t>
  </si>
  <si>
    <t>Aftek Ltd.</t>
  </si>
  <si>
    <t xml:space="preserve"> Bhuwalka Steel Inds.     </t>
  </si>
  <si>
    <t>BININD</t>
  </si>
  <si>
    <t xml:space="preserve"> Binani Industries     </t>
  </si>
  <si>
    <t xml:space="preserve"> Biocon       </t>
  </si>
  <si>
    <t>BIRCOR</t>
  </si>
  <si>
    <t xml:space="preserve"> Birla Corporation</t>
  </si>
  <si>
    <t xml:space="preserve"> Bombay rayon</t>
  </si>
  <si>
    <t>BRIIND</t>
  </si>
  <si>
    <t xml:space="preserve"> Britannia Industries      </t>
  </si>
  <si>
    <t xml:space="preserve"> Reliance Energy </t>
  </si>
  <si>
    <t>CADHEA</t>
  </si>
  <si>
    <t xml:space="preserve"> Cadila Healthcare       </t>
  </si>
  <si>
    <t xml:space="preserve"> C E S C </t>
  </si>
  <si>
    <t>CHECEM</t>
  </si>
  <si>
    <t xml:space="preserve"> Chettinad Cement Corpn.</t>
  </si>
  <si>
    <t xml:space="preserve"> Cipla       </t>
  </si>
  <si>
    <t>SUNFIN</t>
  </si>
  <si>
    <t>SHARPE Ratio - How safe it is?</t>
  </si>
  <si>
    <t>Sharpe = measured relative to BSE performance and Risk</t>
  </si>
  <si>
    <t xml:space="preserve"> National Steel &amp; Agro Inds.     </t>
  </si>
  <si>
    <t>MAYINF</t>
  </si>
  <si>
    <t>Maytas Infra Ltd.</t>
  </si>
  <si>
    <t>MICELE</t>
  </si>
  <si>
    <t>MIC Electronics Ltd.</t>
  </si>
  <si>
    <t>MINCON</t>
  </si>
  <si>
    <t>MindTree Consulting Ltd.</t>
  </si>
  <si>
    <t>MINERA</t>
  </si>
  <si>
    <t>MMTC Ltd.</t>
  </si>
  <si>
    <t>MODMIL</t>
  </si>
  <si>
    <t>BALPHA</t>
  </si>
  <si>
    <t>BANPRO</t>
  </si>
  <si>
    <t>BANSYN</t>
  </si>
  <si>
    <t xml:space="preserve"> Orient Information Technology    </t>
  </si>
  <si>
    <t>Ester Industries Ltd.</t>
  </si>
  <si>
    <t>EXCGLA</t>
  </si>
  <si>
    <t>KILCHE</t>
  </si>
  <si>
    <t>Kilburn Chemicals Ltd.</t>
  </si>
  <si>
    <t>KILREP</t>
  </si>
  <si>
    <t>Kilburn Office Automation Ltd.</t>
  </si>
  <si>
    <t>Office Equipment</t>
  </si>
  <si>
    <t>KJMFIN</t>
  </si>
  <si>
    <t>KJMC Financial Services Ltd.</t>
  </si>
  <si>
    <t>KJMGLO</t>
  </si>
  <si>
    <t>LOTCHO</t>
  </si>
  <si>
    <t>Lotus Chocolate Company Ltd.</t>
  </si>
  <si>
    <t>MANGEN</t>
  </si>
  <si>
    <t>MAXWEL</t>
  </si>
  <si>
    <t>MORIND</t>
  </si>
  <si>
    <t>SQLSTA</t>
  </si>
  <si>
    <t>SRF</t>
  </si>
  <si>
    <t>SRGINF</t>
  </si>
  <si>
    <t>SRIGAN</t>
  </si>
  <si>
    <t>SRILS</t>
  </si>
  <si>
    <t>SRINAC</t>
  </si>
  <si>
    <t>SRIRM</t>
  </si>
  <si>
    <t>SSORG</t>
  </si>
  <si>
    <t>STEGUJ</t>
  </si>
  <si>
    <t>STESW</t>
  </si>
  <si>
    <t>STRARC</t>
  </si>
  <si>
    <t>SUBROS</t>
  </si>
  <si>
    <t>SUMIND</t>
  </si>
  <si>
    <t>JAYTEA</t>
  </si>
  <si>
    <t>JBFIND</t>
  </si>
  <si>
    <t>JENPHA</t>
  </si>
  <si>
    <t>JINPOL</t>
  </si>
  <si>
    <t xml:space="preserve"> O C L India</t>
  </si>
  <si>
    <t>OMAAUT</t>
  </si>
  <si>
    <t xml:space="preserve"> OMAX AUTOS </t>
  </si>
  <si>
    <t xml:space="preserve"> ONGC</t>
  </si>
  <si>
    <t>ORCCHE</t>
  </si>
  <si>
    <t>SHACOT</t>
  </si>
  <si>
    <t>SHAMUL</t>
  </si>
  <si>
    <t>SHASHI</t>
  </si>
  <si>
    <t xml:space="preserve"> ENNORE FOUNDRIES LTD</t>
  </si>
  <si>
    <t xml:space="preserve"> Eonour Technologies    </t>
  </si>
  <si>
    <t xml:space="preserve"> Essar Oil </t>
  </si>
  <si>
    <t xml:space="preserve"> Essar Shipping </t>
  </si>
  <si>
    <t xml:space="preserve"> Essar Steel     </t>
  </si>
  <si>
    <t xml:space="preserve"> E.Star Infotech    </t>
  </si>
  <si>
    <t xml:space="preserve"> Eurotex Industries &amp; Exports     </t>
  </si>
  <si>
    <t>WHIIND</t>
  </si>
  <si>
    <t>Whirlpool of India Ltd.</t>
  </si>
  <si>
    <t>Unichem Laboratories Limited</t>
  </si>
  <si>
    <t>Unitech Limited</t>
  </si>
  <si>
    <t>Jubilant Organosys Ltd.</t>
  </si>
  <si>
    <t>KILDRU</t>
  </si>
  <si>
    <t>KINENG</t>
  </si>
  <si>
    <t>MUKSTE</t>
  </si>
  <si>
    <t>Mukesh Steels Ltd.</t>
  </si>
  <si>
    <t>MUKSTR</t>
  </si>
  <si>
    <t>Godrej Commodities Ltd.</t>
  </si>
  <si>
    <t>GOPPOL</t>
  </si>
  <si>
    <t>Gopala Polyplast Ltd.</t>
  </si>
  <si>
    <t>GUJCAR</t>
  </si>
  <si>
    <t xml:space="preserve"> Nestle India      </t>
  </si>
  <si>
    <t>NEYLIG</t>
  </si>
  <si>
    <t>Jammu &amp; Kashmir Bank Limited</t>
  </si>
  <si>
    <t>IL&amp;FS Investsmart Ltd.</t>
  </si>
  <si>
    <t>IL&amp;FS Investment Managers Ltd.</t>
  </si>
  <si>
    <t>Hold SELL</t>
  </si>
  <si>
    <t>Ind Bank Housing Ltd.</t>
  </si>
  <si>
    <t>Indiabulls Financial Services Ltd.</t>
  </si>
  <si>
    <t>Indraprastha Gas Ltd.</t>
  </si>
  <si>
    <t>Indbank Merchant Banking Services Ltd.</t>
  </si>
  <si>
    <t>Kajaria Ceramics Ltd.</t>
  </si>
  <si>
    <t>Kalpataru Power Transmissions Ltd.</t>
  </si>
  <si>
    <t>MF-DSP</t>
  </si>
  <si>
    <t>MF-HDFC</t>
  </si>
  <si>
    <t>MF-ICICI</t>
  </si>
  <si>
    <t>MF-JM</t>
  </si>
  <si>
    <t xml:space="preserve"> Gujarat Themis Biosyn       </t>
  </si>
  <si>
    <t xml:space="preserve"> Hanil Era Textiles     </t>
  </si>
  <si>
    <t xml:space="preserve"> Andhra Cements</t>
  </si>
  <si>
    <t>SUVPHA</t>
  </si>
  <si>
    <t>SYBSPI</t>
  </si>
  <si>
    <t>SYNFOR</t>
  </si>
  <si>
    <t>TALAUT</t>
  </si>
  <si>
    <t>TATHON</t>
  </si>
  <si>
    <t>ERACON</t>
  </si>
  <si>
    <t xml:space="preserve"> Exide Industries</t>
  </si>
  <si>
    <t>Aftek</t>
  </si>
  <si>
    <t xml:space="preserve"> Jay Shree Tea &amp; Inds.      </t>
  </si>
  <si>
    <t>Stock price decreases: Call expires worthless and the trader still owns the stock shares.</t>
  </si>
  <si>
    <t>COVERED CALL STRATEGY REVIEW</t>
  </si>
  <si>
    <t>Strategy = Buy the underlying security and sell an OTM call option</t>
  </si>
  <si>
    <t>Computerskill Ltd.</t>
  </si>
  <si>
    <t>COREMB</t>
  </si>
  <si>
    <t>Core Emballage Ltd.</t>
  </si>
  <si>
    <t>COSFER</t>
  </si>
  <si>
    <t>Cosmo Ferrites Ltd.</t>
  </si>
  <si>
    <t>DEVINT</t>
  </si>
  <si>
    <t>Camex Ltd.</t>
  </si>
  <si>
    <t xml:space="preserve">DHAFI </t>
  </si>
  <si>
    <t>Dhandapani Finance Ltd.</t>
  </si>
  <si>
    <t>Great Lakes Dredge &amp; Dock Corpo</t>
  </si>
  <si>
    <t>NGSX</t>
  </si>
  <si>
    <t>Nil</t>
  </si>
  <si>
    <t>Reliance natural resources fund growth plan- Account num 41681209964</t>
  </si>
  <si>
    <t>Stock price initially range-bound to moderately bullish or bearish. Longer-term outlook bullish or bearish.</t>
  </si>
  <si>
    <t>ATVI</t>
  </si>
  <si>
    <t>Activision Blizzard</t>
  </si>
  <si>
    <t>MVL</t>
  </si>
  <si>
    <t>Marvel Entertainment</t>
  </si>
  <si>
    <t>QSII</t>
  </si>
  <si>
    <t>Quality Systems</t>
  </si>
  <si>
    <t>MF-AOGIX</t>
  </si>
  <si>
    <t>RAJAGR</t>
  </si>
  <si>
    <t>Raj Agro Mills Ltd.</t>
  </si>
  <si>
    <t>RAMPAP</t>
  </si>
  <si>
    <t>Rama Paper Mills Ltd.</t>
  </si>
  <si>
    <t>REASTR</t>
  </si>
  <si>
    <t>Real Strips Ltd.</t>
  </si>
  <si>
    <t>RICIND</t>
  </si>
  <si>
    <t>ROYMAN</t>
  </si>
  <si>
    <t>Genus Power Infrastructures Ltd.</t>
  </si>
  <si>
    <t>AMZN</t>
  </si>
  <si>
    <t>MELI</t>
  </si>
  <si>
    <t>Strategy = Buy a put option</t>
  </si>
  <si>
    <t>SIMMAR</t>
  </si>
  <si>
    <t>SIMSUG</t>
  </si>
  <si>
    <t>SIYSIL</t>
  </si>
  <si>
    <t>SKYIND</t>
  </si>
  <si>
    <t>SOFSOL</t>
  </si>
  <si>
    <t>SOFTS</t>
  </si>
  <si>
    <t>SOMTEX</t>
  </si>
  <si>
    <t>SOUIRO</t>
  </si>
  <si>
    <t>SPADIA</t>
  </si>
  <si>
    <t>SPEIND</t>
  </si>
  <si>
    <t>SPEINT</t>
  </si>
  <si>
    <t>SPIISL</t>
  </si>
  <si>
    <t>KALCON</t>
  </si>
  <si>
    <t>Liberty Phosphate</t>
  </si>
  <si>
    <t>Rama Phosphate</t>
  </si>
  <si>
    <t>Ceat Tyres</t>
  </si>
  <si>
    <t>Jindal Steel</t>
  </si>
  <si>
    <t>Last Update</t>
  </si>
  <si>
    <t>Price</t>
  </si>
  <si>
    <t>Kirloskar Ferrous Industries Ltd.</t>
  </si>
  <si>
    <t xml:space="preserve"> Glenmark Pharmaceuticals       </t>
  </si>
  <si>
    <t>GODCON</t>
  </si>
  <si>
    <t xml:space="preserve"> Godrej Consumer Products      </t>
  </si>
  <si>
    <t>GOEIND</t>
  </si>
  <si>
    <t xml:space="preserve"> GOETZE (INDIA) LTD</t>
  </si>
  <si>
    <t xml:space="preserve"> Patni Computer Systems    </t>
  </si>
  <si>
    <t>JETAIR</t>
  </si>
  <si>
    <t>TATCHE</t>
  </si>
  <si>
    <t xml:space="preserve"> Futura Polyesters     </t>
  </si>
  <si>
    <t>JKIND</t>
  </si>
  <si>
    <t>LICHF</t>
  </si>
  <si>
    <t>LUPIN</t>
  </si>
  <si>
    <t>SYNBN</t>
  </si>
  <si>
    <t>TIL</t>
  </si>
  <si>
    <t>TRF</t>
  </si>
  <si>
    <t>VISST</t>
  </si>
  <si>
    <t>DCF Over/Under value %</t>
  </si>
  <si>
    <t>PE</t>
  </si>
  <si>
    <t>INDTEC</t>
  </si>
  <si>
    <t>INFENT</t>
  </si>
  <si>
    <t>12 Long term Economy growth Rate applied as constant growth</t>
  </si>
  <si>
    <t>Beta</t>
  </si>
  <si>
    <t>FININD</t>
  </si>
  <si>
    <t>FUJICI</t>
  </si>
  <si>
    <t>GATDIS</t>
  </si>
  <si>
    <t>GENOVE</t>
  </si>
  <si>
    <t>GESCOR</t>
  </si>
  <si>
    <t>GOONER</t>
  </si>
  <si>
    <t>GRACOM</t>
  </si>
  <si>
    <t>Packaging</t>
  </si>
  <si>
    <t>Dyes</t>
  </si>
  <si>
    <t>Entertainment/Multi</t>
  </si>
  <si>
    <t>Rubber</t>
  </si>
  <si>
    <t>Castings/Foundry</t>
  </si>
  <si>
    <t xml:space="preserve"> Ruchi Soya Inds.      </t>
  </si>
  <si>
    <t xml:space="preserve"> Sagar Cements</t>
  </si>
  <si>
    <t xml:space="preserve"> Sakthi Sugars</t>
  </si>
  <si>
    <t>1. large Cap = Market cap greater than 5B, Mid Cap 1-5B</t>
  </si>
  <si>
    <t xml:space="preserve"> V S T Industries      </t>
  </si>
  <si>
    <t>WELGUJ</t>
  </si>
  <si>
    <t>1.  E-EPS is considerred flat if  growth forecast TREND() is less than 10%(ideally be Economy growth rate) of EPS2</t>
  </si>
  <si>
    <t>RICAUT</t>
  </si>
  <si>
    <t>Cable Corporation of India Ltd.</t>
  </si>
  <si>
    <t>DEWHOU</t>
  </si>
  <si>
    <t>JAMAUT</t>
  </si>
  <si>
    <t>AYI</t>
  </si>
  <si>
    <t>Acuity Brands Inc (Holding Comp</t>
  </si>
  <si>
    <t>BBBB</t>
  </si>
  <si>
    <t>Blackboard Inc.</t>
  </si>
  <si>
    <t>BBL</t>
  </si>
  <si>
    <t>BHP Billiton plc Sponsored ADR</t>
  </si>
  <si>
    <t>BBOX</t>
  </si>
  <si>
    <t>Black Box Corporation</t>
  </si>
  <si>
    <t>BCO</t>
  </si>
  <si>
    <t>Sandridge Energy</t>
  </si>
  <si>
    <t>Hindustan Oil Exploration Company Ltd.</t>
  </si>
  <si>
    <t>Brinks Company (The) Common Sto</t>
  </si>
  <si>
    <t>BDC</t>
  </si>
  <si>
    <t>BEA</t>
  </si>
  <si>
    <t>TSON</t>
  </si>
  <si>
    <t>ZLC</t>
  </si>
  <si>
    <t>Zale</t>
  </si>
  <si>
    <t>Biggest Lossers</t>
  </si>
  <si>
    <t>Diagnostic Substances</t>
  </si>
  <si>
    <t xml:space="preserve"> Bharat Immunologicals &amp; Biologicals Corpn.       </t>
  </si>
  <si>
    <t xml:space="preserve"> BPCL</t>
  </si>
  <si>
    <t>1. Look for a moderately bearish market where you anticipate a modest decrease in the price of the underlying stock-not a large move.</t>
  </si>
  <si>
    <t>Deco-Mica Ltd.</t>
  </si>
  <si>
    <t>Devidayal Industries Ltd</t>
  </si>
  <si>
    <t>HRZ</t>
  </si>
  <si>
    <t>Horizon Lines</t>
  </si>
  <si>
    <t>SHG</t>
  </si>
  <si>
    <t>SHINHAN Fin - Korea</t>
  </si>
  <si>
    <t>ULTR</t>
  </si>
  <si>
    <t>Bahamas Shipping</t>
  </si>
  <si>
    <t>MF-DPCCX</t>
  </si>
  <si>
    <t>MF-REMGX</t>
  </si>
  <si>
    <t>WT</t>
  </si>
  <si>
    <t>9. Calculate the breakeven by subtracting the net credit from the higher strike price.</t>
  </si>
  <si>
    <t>12. Contact your broker to buy and sell the chosen put options.</t>
  </si>
  <si>
    <t>Shipping</t>
  </si>
  <si>
    <t>Textiles</t>
  </si>
  <si>
    <t>Cement</t>
  </si>
  <si>
    <t>Plastics</t>
  </si>
  <si>
    <t>Steel</t>
  </si>
  <si>
    <t>INTCOM</t>
  </si>
  <si>
    <t>IVRINF</t>
  </si>
  <si>
    <t>JAGAIR</t>
  </si>
  <si>
    <t>JAGFIN</t>
  </si>
  <si>
    <t>JAGFOO</t>
  </si>
  <si>
    <t>INDGLY</t>
  </si>
  <si>
    <t>India Glycols Ltd.</t>
  </si>
  <si>
    <t>INDINF</t>
  </si>
  <si>
    <t>COGT</t>
  </si>
  <si>
    <t>Cogent, Inc.</t>
  </si>
  <si>
    <t>IMMR</t>
  </si>
  <si>
    <t>Immersion Corp</t>
  </si>
  <si>
    <t>SCS</t>
  </si>
  <si>
    <t>Steelcase, Inc</t>
  </si>
  <si>
    <t>TDW</t>
  </si>
  <si>
    <t>Forgings</t>
  </si>
  <si>
    <t xml:space="preserve"> Shamken Cotsyn     </t>
  </si>
  <si>
    <t>WINYAR</t>
  </si>
  <si>
    <t>WIRWIR</t>
  </si>
  <si>
    <t>XLOGWB</t>
  </si>
  <si>
    <t>YUKIND</t>
  </si>
  <si>
    <t>ZANPHA</t>
  </si>
  <si>
    <t>ZENEXP</t>
  </si>
  <si>
    <t>ZENFIB</t>
  </si>
  <si>
    <t>ZFSTEE</t>
  </si>
  <si>
    <t>ZODCLO</t>
  </si>
  <si>
    <t xml:space="preserve"> Aarvee Denims &amp; Exports     </t>
  </si>
  <si>
    <t xml:space="preserve"> Aarti Drugs       </t>
  </si>
  <si>
    <t xml:space="preserve"> A B B     </t>
  </si>
  <si>
    <t xml:space="preserve"> Abhishek Industries     </t>
  </si>
  <si>
    <t xml:space="preserve"> Associated Cement Cos.</t>
  </si>
  <si>
    <t xml:space="preserve"> Acknit Knitting     </t>
  </si>
  <si>
    <t xml:space="preserve"> H C L Infosystems    </t>
  </si>
  <si>
    <t xml:space="preserve"> H C L Technologies    </t>
  </si>
  <si>
    <t>HERHON</t>
  </si>
  <si>
    <t xml:space="preserve"> HERO HONDA MOTORS LTD</t>
  </si>
  <si>
    <t>HIMSEI</t>
  </si>
  <si>
    <t xml:space="preserve"> Himatsingka Seide     </t>
  </si>
  <si>
    <t>HINDAL</t>
  </si>
  <si>
    <t xml:space="preserve"> Hindalco Industries     </t>
  </si>
  <si>
    <t>Tidewater, Inc</t>
  </si>
  <si>
    <t xml:space="preserve"> Addi Industries     </t>
  </si>
  <si>
    <t>MODIPO</t>
  </si>
  <si>
    <t>MODSTE</t>
  </si>
  <si>
    <t>MOHFIB</t>
  </si>
  <si>
    <t>MORLAB</t>
  </si>
  <si>
    <t>MOSSER</t>
  </si>
  <si>
    <t>MRIPHA</t>
  </si>
  <si>
    <t>MUKART</t>
  </si>
  <si>
    <t>MUKPIP</t>
  </si>
  <si>
    <t>MUNSHO</t>
  </si>
  <si>
    <t xml:space="preserve"> Sonata Software    </t>
  </si>
  <si>
    <t>SONSTE</t>
  </si>
  <si>
    <t xml:space="preserve"> SONA KOYO STEERING SYSTEMS LTD</t>
  </si>
  <si>
    <t xml:space="preserve"> Subex Systems    </t>
  </si>
  <si>
    <t>SUNCLA</t>
  </si>
  <si>
    <t xml:space="preserve"> SUNDARAM-CLAYTON LTD</t>
  </si>
  <si>
    <t>SUNFAS</t>
  </si>
  <si>
    <t xml:space="preserve"> SUNDRAM FASTENERS LTD</t>
  </si>
  <si>
    <t>SUNPHA</t>
  </si>
  <si>
    <t xml:space="preserve"> Bhilwara Spinners     </t>
  </si>
  <si>
    <t xml:space="preserve"> Igate Global Solutions    </t>
  </si>
  <si>
    <t xml:space="preserve"> Mastek</t>
  </si>
  <si>
    <t>MICO</t>
  </si>
  <si>
    <t>Chimera Investment Corporation</t>
  </si>
  <si>
    <t>CKP</t>
  </si>
  <si>
    <t>Checkpoint Systms, Inc. Common</t>
  </si>
  <si>
    <t>CKXE</t>
  </si>
  <si>
    <t>CKX, Inc.</t>
  </si>
  <si>
    <t>COGO</t>
  </si>
  <si>
    <t>Cogo Group, Inc.</t>
  </si>
  <si>
    <t>COH</t>
  </si>
  <si>
    <t>Coach, Inc. Common Stock</t>
  </si>
  <si>
    <t>COHU</t>
  </si>
  <si>
    <t>Cohu, Inc.</t>
  </si>
  <si>
    <t>CORE</t>
  </si>
  <si>
    <t>Core-Mark Holding Company, Inc.</t>
  </si>
  <si>
    <t>COT</t>
  </si>
  <si>
    <t>Cott Corporation Common Stock</t>
  </si>
  <si>
    <t>CPA</t>
  </si>
  <si>
    <t>Copa Holdings, S.A. Copa Holdin</t>
  </si>
  <si>
    <t>CPY</t>
  </si>
  <si>
    <t>CPI Corporation Common Stock</t>
  </si>
  <si>
    <t>CQB</t>
  </si>
  <si>
    <t>Chiquita Brands International,</t>
  </si>
  <si>
    <t>CRMT</t>
  </si>
  <si>
    <t>America's Car-Mart, Inc.</t>
  </si>
  <si>
    <t>CROX</t>
  </si>
  <si>
    <t>Crocs, Inc.</t>
  </si>
  <si>
    <t>CRRC</t>
  </si>
  <si>
    <t>Courier Corporation</t>
  </si>
  <si>
    <t>CS</t>
  </si>
  <si>
    <t>Credit Suisse Group American De</t>
  </si>
  <si>
    <t>CSH</t>
  </si>
  <si>
    <t>Cash America International, Inc</t>
  </si>
  <si>
    <t>CSX</t>
  </si>
  <si>
    <t>CSX Corporation Common Stock</t>
  </si>
  <si>
    <t>CTGX</t>
  </si>
  <si>
    <t>Computer Task Group, Incorporat</t>
  </si>
  <si>
    <t>CTS Corporation Common Stock</t>
  </si>
  <si>
    <t>CVC</t>
  </si>
  <si>
    <t>Cablevision Systems Corporation</t>
  </si>
  <si>
    <t>CVTI</t>
  </si>
  <si>
    <t>Covenant Transportation Group,</t>
  </si>
  <si>
    <t>CW</t>
  </si>
  <si>
    <t>Curtiss-Wright Corporation Comm</t>
  </si>
  <si>
    <t>CXO</t>
  </si>
  <si>
    <t>Concho Resources Inc. Common St</t>
  </si>
  <si>
    <t>CYH</t>
  </si>
  <si>
    <t>Community Health Systems, Inc.</t>
  </si>
  <si>
    <t>CYMI</t>
  </si>
  <si>
    <t>Cymer, Inc.</t>
  </si>
  <si>
    <t>The Dress Barn, Inc.</t>
  </si>
  <si>
    <t>DCO</t>
  </si>
  <si>
    <t>Ducommun Incorporated Common St</t>
  </si>
  <si>
    <t>DDMX</t>
  </si>
  <si>
    <t>Dynamex, Inc.</t>
  </si>
  <si>
    <t>DE</t>
  </si>
  <si>
    <t>Deere &amp; Company Common Stock</t>
  </si>
  <si>
    <t>DENN</t>
  </si>
  <si>
    <t>Denny's Corporation</t>
  </si>
  <si>
    <t>DEST</t>
  </si>
  <si>
    <t>Destination Maternity Corporati</t>
  </si>
  <si>
    <t>DIN</t>
  </si>
  <si>
    <t>DineEquity, Inc Common Stock</t>
  </si>
  <si>
    <t>DIOD</t>
  </si>
  <si>
    <t>Diodes Incorporated</t>
  </si>
  <si>
    <t>DKS</t>
  </si>
  <si>
    <t>Dick's Sporting Goods Inc Commo</t>
  </si>
  <si>
    <t>DLX</t>
  </si>
  <si>
    <t>GameStop</t>
  </si>
  <si>
    <t>HTE</t>
  </si>
  <si>
    <t>harvest energy trust</t>
  </si>
  <si>
    <t>NFLX</t>
  </si>
  <si>
    <t>Netflix</t>
  </si>
  <si>
    <t>OMTR</t>
  </si>
  <si>
    <t>Omniture</t>
  </si>
  <si>
    <t>PCZ</t>
  </si>
  <si>
    <t>Petro Canada</t>
  </si>
  <si>
    <t>RX</t>
  </si>
  <si>
    <t>IMS Health</t>
  </si>
  <si>
    <t>SPSS</t>
  </si>
  <si>
    <t>SEL Manufacturing Company</t>
  </si>
  <si>
    <t>TRIFI</t>
  </si>
  <si>
    <t>Tricom</t>
  </si>
  <si>
    <t xml:space="preserve"> Suryajyoti Spinning Mills     </t>
  </si>
  <si>
    <t>Low BETA</t>
  </si>
  <si>
    <t>GlaxoSmithKline Pharma (GSK Pharma- 0.63</t>
  </si>
  <si>
    <t>FMCG( 0.68, Aventis Pharma )</t>
  </si>
  <si>
    <t>1. All prices in INR - Nominal figures (Inflation adjusted)</t>
  </si>
  <si>
    <t> Date</t>
  </si>
  <si>
    <t> Narration</t>
  </si>
  <si>
    <t>Steps to Using a Bull Put Spread</t>
  </si>
  <si>
    <t>3. Review put options premiums by expiration dates and strike prices.</t>
  </si>
  <si>
    <t>6. Choose a lower strike put to buy and a higher strike put to sell with the same expiration date.</t>
  </si>
  <si>
    <t>7. Calculate the maximum potential profit by computing the net credit of the two option premiums.</t>
  </si>
  <si>
    <t>FLADIA</t>
  </si>
  <si>
    <t>FLAPRO</t>
  </si>
  <si>
    <t>GUJSID</t>
  </si>
  <si>
    <t> Buy Quantity</t>
  </si>
  <si>
    <t>1 </t>
  </si>
  <si>
    <t>RANBAXY LABS LTD</t>
  </si>
  <si>
    <t>10 </t>
  </si>
  <si>
    <t>2 </t>
  </si>
  <si>
    <t>INFOSYS TECHNOLOGIES LTD</t>
  </si>
  <si>
    <t>25 </t>
  </si>
  <si>
    <t>3 </t>
  </si>
  <si>
    <t>Service Tax For 2005/07/04</t>
  </si>
  <si>
    <t>4 </t>
  </si>
  <si>
    <t>Security Transaction Tax For 2005/07/04</t>
  </si>
  <si>
    <t>5 </t>
  </si>
  <si>
    <t>Long Iron Butterfly which uses short, ATM options to serve as the body and long ITM and OTM options to serve as the wings.</t>
  </si>
  <si>
    <t>3 Depth of Past Data taken to arrive for Expected return and Volatilty should be same as length to future to be predicted</t>
  </si>
  <si>
    <t>Contaner Corp of India</t>
  </si>
  <si>
    <t xml:space="preserve"> Areva</t>
  </si>
  <si>
    <t>EPS</t>
  </si>
  <si>
    <t>2. 1.96 Standard Deviations of Normal Curve will give 95% confidence level - good enough for assumptions</t>
  </si>
  <si>
    <t>5. Calculate Beta: from Bottom up for industry, D/E for the firm, and adding base equity premium and country risk premium</t>
  </si>
  <si>
    <t xml:space="preserve">11. Inflation Rate </t>
  </si>
  <si>
    <t>TTKPHA</t>
  </si>
  <si>
    <t>TULNEC</t>
  </si>
  <si>
    <t>CENPLY</t>
  </si>
  <si>
    <t>Engineering</t>
  </si>
  <si>
    <t>Miscellaneous</t>
  </si>
  <si>
    <t>ExcercisePositionValue</t>
  </si>
  <si>
    <t>Transport Corporation of India Limited</t>
  </si>
  <si>
    <t>TRF Ltd.</t>
  </si>
  <si>
    <t xml:space="preserve"> Spentex Industries     </t>
  </si>
  <si>
    <t>JVA</t>
  </si>
  <si>
    <t>some coffee thing</t>
  </si>
  <si>
    <t>Akhil Ceramics Ltd.</t>
  </si>
  <si>
    <t>Alang Industrial Gases Ltd.</t>
  </si>
  <si>
    <t>Alang Marine Ltd.</t>
  </si>
  <si>
    <t>ASIOIL</t>
  </si>
  <si>
    <t>Asian Oilfield Services Ltd.</t>
  </si>
  <si>
    <t xml:space="preserve">BAJAF </t>
  </si>
  <si>
    <t>Bajaj Auto Finance Ltd.</t>
  </si>
  <si>
    <t xml:space="preserve">BALIN </t>
  </si>
  <si>
    <t xml:space="preserve"> Phoenix Mills     </t>
  </si>
  <si>
    <t xml:space="preserve"> Piccadily Agro Inds.</t>
  </si>
  <si>
    <t xml:space="preserve"> Piccadily Sugar &amp; Allied Inds</t>
  </si>
  <si>
    <t>UNIABE</t>
  </si>
  <si>
    <t xml:space="preserve"> Indian Hotels Co.      </t>
  </si>
  <si>
    <t>INDRAY</t>
  </si>
  <si>
    <t xml:space="preserve"> Sutlej Industries     </t>
  </si>
  <si>
    <t xml:space="preserve"> Suven Life Sciences       </t>
  </si>
  <si>
    <t>HERDRU</t>
  </si>
  <si>
    <t>HINCON</t>
  </si>
  <si>
    <t>PANFAS</t>
  </si>
  <si>
    <t xml:space="preserve"> Nucleus Software Exports    </t>
  </si>
  <si>
    <t xml:space="preserve"> Oil Country Tubular     </t>
  </si>
  <si>
    <t>HELMAT</t>
  </si>
  <si>
    <t>HENIND</t>
  </si>
  <si>
    <t>HYTSYN</t>
  </si>
  <si>
    <t>Hytone Texstyles Ltd.</t>
  </si>
  <si>
    <t>IFBIND</t>
  </si>
  <si>
    <t>INDASI</t>
  </si>
  <si>
    <t>INDENE</t>
  </si>
  <si>
    <t>Eskay KnIT (India) Ltd.</t>
  </si>
  <si>
    <t>SIMCON</t>
  </si>
  <si>
    <t>Simplex Infrastructures Ltd.</t>
  </si>
  <si>
    <t xml:space="preserve">SKPOW </t>
  </si>
  <si>
    <t>Entegra Ltd.</t>
  </si>
  <si>
    <t>SOUICA</t>
  </si>
  <si>
    <t>Sical Logistics Ltd.</t>
  </si>
  <si>
    <t>SOUIN0</t>
  </si>
  <si>
    <t>Alkyl Amines Chemicals Ltd</t>
  </si>
  <si>
    <t>Arvind Product</t>
  </si>
  <si>
    <t>India Infoline Ltd.</t>
  </si>
  <si>
    <t>INFEDG</t>
  </si>
  <si>
    <t>DELCON</t>
  </si>
  <si>
    <t>DELPOL</t>
  </si>
  <si>
    <t>DELTRO</t>
  </si>
  <si>
    <t>DENENT</t>
  </si>
  <si>
    <t>DEOPOL</t>
  </si>
  <si>
    <t>DERTEX</t>
  </si>
  <si>
    <t>DEVFAS</t>
  </si>
  <si>
    <t>DEVIND</t>
  </si>
  <si>
    <t>DHACOT</t>
  </si>
  <si>
    <t>DHAPAC</t>
  </si>
  <si>
    <t>DHASUG</t>
  </si>
  <si>
    <t>UTI Equity tax savings plan dividend reinvestment - Folio 510229959811</t>
  </si>
  <si>
    <t>DIVGRA</t>
  </si>
  <si>
    <t>DKCHEM</t>
  </si>
  <si>
    <t>DOLMED</t>
  </si>
  <si>
    <t>DRAIND</t>
  </si>
  <si>
    <t>DRIMET</t>
  </si>
  <si>
    <t>ANN</t>
  </si>
  <si>
    <t>Grubb &amp; Ellis Company Common St</t>
  </si>
  <si>
    <t>MOD</t>
  </si>
  <si>
    <t>Modine Manufacturing Company Co</t>
  </si>
  <si>
    <t>GPOR</t>
  </si>
  <si>
    <t>Gulfport Energy Corporation</t>
  </si>
  <si>
    <t>TCK</t>
  </si>
  <si>
    <t>Teck Resources Ltd Ordinary Sha</t>
  </si>
  <si>
    <t>HF</t>
  </si>
  <si>
    <t>HFF, Inc. Common Stock, Class A</t>
  </si>
  <si>
    <t>TRS</t>
  </si>
  <si>
    <t>TriMas Corporation</t>
  </si>
  <si>
    <t>AAWW</t>
  </si>
  <si>
    <t>Atlas Air Worldwide Holdings</t>
  </si>
  <si>
    <t>BZ</t>
  </si>
  <si>
    <t>Boise Inc Boise Inc.</t>
  </si>
  <si>
    <t>GRA</t>
  </si>
  <si>
    <t>W.R. Grace &amp; Company Common Sto</t>
  </si>
  <si>
    <t>CSIQ</t>
  </si>
  <si>
    <t>Canadian Solar Inc.</t>
  </si>
  <si>
    <t>AEA</t>
  </si>
  <si>
    <t>Advance America, Cash Advance C</t>
  </si>
  <si>
    <t>AEZ</t>
  </si>
  <si>
    <t>American Oil &amp; Gas, Inc. Common</t>
  </si>
  <si>
    <t>AHC</t>
  </si>
  <si>
    <t>HFCL Infotel Ltd.</t>
  </si>
  <si>
    <t>JAYAGR</t>
  </si>
  <si>
    <t>Jayant Agro Organics Ltd.</t>
  </si>
  <si>
    <t>JAYNEC</t>
  </si>
  <si>
    <t>LIC Housing Finance</t>
  </si>
  <si>
    <t>Reliance Natural Resources Ltd.</t>
  </si>
  <si>
    <t>6. Expected Return, Volatilty and Risk free rate all assumed constant</t>
  </si>
  <si>
    <t>Shiv Vani Oil &amp; Gas Expl Services Ltd.</t>
  </si>
  <si>
    <t>Gujarat Narmada Valley Fertilisers Company Ltd.</t>
  </si>
  <si>
    <t>GODSOA</t>
  </si>
  <si>
    <t>Godrej Industries Ltd.</t>
  </si>
  <si>
    <t>GOLTEC</t>
  </si>
  <si>
    <t>Goldstone Technologies Ltd.</t>
  </si>
  <si>
    <t>GREOFF</t>
  </si>
  <si>
    <t>Great Offshore Ltd.</t>
  </si>
  <si>
    <t>GTCIND</t>
  </si>
  <si>
    <t>Vail Resorts, Inc. Common Stock</t>
  </si>
  <si>
    <t>MTRX</t>
  </si>
  <si>
    <t>Matrix Service Company</t>
  </si>
  <si>
    <t>MTZ</t>
  </si>
  <si>
    <t>MasTec, Inc. Common Stock</t>
  </si>
  <si>
    <t>MU</t>
  </si>
  <si>
    <t>Micron Technology, Inc.</t>
  </si>
  <si>
    <t>MWE</t>
  </si>
  <si>
    <t>RollingAVG</t>
  </si>
  <si>
    <t>Nonmetallic Mineral Mining</t>
  </si>
  <si>
    <t>Oil &amp; Gas Drilling &amp; Exploration</t>
  </si>
  <si>
    <t>Industrial Electrical Equipment</t>
  </si>
  <si>
    <t>PCG</t>
  </si>
  <si>
    <t>Pacific Gas &amp; Electric Co. Comm</t>
  </si>
  <si>
    <t>PCL</t>
  </si>
  <si>
    <t>Plum Creek Timber Company, Inc.</t>
  </si>
  <si>
    <t>PCS</t>
  </si>
  <si>
    <t>MetroPCS Communications, Inc. C</t>
  </si>
  <si>
    <t>PDCO</t>
  </si>
  <si>
    <t>Patterson Companies Inc.</t>
  </si>
  <si>
    <t>PEP</t>
  </si>
  <si>
    <t>Pepsico, Inc. Common Stock</t>
  </si>
  <si>
    <t>PFG</t>
  </si>
  <si>
    <t>Principal Financial Group Inc C</t>
  </si>
  <si>
    <t>PGR</t>
  </si>
  <si>
    <t>Progressive Corporation (The) C</t>
  </si>
  <si>
    <t>PH</t>
  </si>
  <si>
    <t>GG</t>
  </si>
  <si>
    <t>Gold ETF</t>
  </si>
  <si>
    <t>NTAP</t>
  </si>
  <si>
    <t>NetApp, Inc.</t>
  </si>
  <si>
    <t>NTRS</t>
  </si>
  <si>
    <t>Northern Trust Corporation</t>
  </si>
  <si>
    <t>NU</t>
  </si>
  <si>
    <t>Northeast Utilities Common Stoc</t>
  </si>
  <si>
    <t>NUE</t>
  </si>
  <si>
    <t>Nucor Corporation Common Stock</t>
  </si>
  <si>
    <t>NVDA</t>
  </si>
  <si>
    <t>NVIDIA Corporation</t>
  </si>
  <si>
    <t>NVLS</t>
  </si>
  <si>
    <t>Novellus Systems, Inc.</t>
  </si>
  <si>
    <t>NWL</t>
  </si>
  <si>
    <t>Newell Rubbermaid Inc. Common S</t>
  </si>
  <si>
    <t>NWSA</t>
  </si>
  <si>
    <t>News Corporation</t>
  </si>
  <si>
    <t>NYT</t>
  </si>
  <si>
    <t>New York Times Company (The) Co</t>
  </si>
  <si>
    <t>NYX</t>
  </si>
  <si>
    <t>NYSE Euronext Common Stock</t>
  </si>
  <si>
    <t>ODP</t>
  </si>
  <si>
    <t>Office Depot, Inc. Common Stock</t>
  </si>
  <si>
    <t>ORLY</t>
  </si>
  <si>
    <t>O'Reilly Automotive, Inc.</t>
  </si>
  <si>
    <t>PBCT</t>
  </si>
  <si>
    <t>People's United Financial, Inc.</t>
  </si>
  <si>
    <t>PBI</t>
  </si>
  <si>
    <t>Pitney Bowes Inc. Common Stock</t>
  </si>
  <si>
    <t>PCAR</t>
  </si>
  <si>
    <t>PACCAR Inc.</t>
  </si>
  <si>
    <t>Vornado Realty Trust Common Sto</t>
  </si>
  <si>
    <t>VRSN</t>
  </si>
  <si>
    <t>Pall Corporation Common Stock</t>
  </si>
  <si>
    <t>PM</t>
  </si>
  <si>
    <t>Philip Morris International Inc</t>
  </si>
  <si>
    <t>PNW</t>
  </si>
  <si>
    <t>Pinnacle West Capital Corporati</t>
  </si>
  <si>
    <t>POM</t>
  </si>
  <si>
    <t>PEPCO Holdings Inc Common Stock</t>
  </si>
  <si>
    <t>PPG</t>
  </si>
  <si>
    <t>PPG Industries, Inc. Common Sto</t>
  </si>
  <si>
    <t>PPL</t>
  </si>
  <si>
    <t>PP&amp;L Corporation Common Stock</t>
  </si>
  <si>
    <t>PWR</t>
  </si>
  <si>
    <t>Quanta Services, Inc. Common St</t>
  </si>
  <si>
    <t>PX</t>
  </si>
  <si>
    <t>Praxair, Inc. Common Stock</t>
  </si>
  <si>
    <t>PXD</t>
  </si>
  <si>
    <t>Pioneer Natural Resources Compa</t>
  </si>
  <si>
    <t>Q</t>
  </si>
  <si>
    <t>Qwest Communications Internatio</t>
  </si>
  <si>
    <t>QCOM</t>
  </si>
  <si>
    <t>QUALCOMM Incorporated</t>
  </si>
  <si>
    <t>QLGC</t>
  </si>
  <si>
    <t>QLogic Corporation</t>
  </si>
  <si>
    <t>R</t>
  </si>
  <si>
    <t>Ryder System, Inc. Common Stock</t>
  </si>
  <si>
    <t>RAI</t>
  </si>
  <si>
    <t>Reynolds American Inc Common St</t>
  </si>
  <si>
    <t>RDC</t>
  </si>
  <si>
    <t>Rowan Companies, Inc. Common St</t>
  </si>
  <si>
    <t>RF</t>
  </si>
  <si>
    <t>Regions Financial Corporation C</t>
  </si>
  <si>
    <t>RHI</t>
  </si>
  <si>
    <t>CPHD</t>
  </si>
  <si>
    <t>Cepheid</t>
  </si>
  <si>
    <t>TSLA</t>
  </si>
  <si>
    <t>Tesla motors</t>
  </si>
  <si>
    <t>Watson Pharmaceuticals, Inc. Co</t>
  </si>
  <si>
    <t>WPO</t>
  </si>
  <si>
    <t>Washington Post Company (The) C</t>
  </si>
  <si>
    <t>WY</t>
  </si>
  <si>
    <t>Weyerhaeuser Company Common Sto</t>
  </si>
  <si>
    <t>United States Steel Corporation</t>
  </si>
  <si>
    <t>XEL</t>
  </si>
  <si>
    <t>Xcel Energy Inc. Common Stock</t>
  </si>
  <si>
    <t>XL</t>
  </si>
  <si>
    <t>XL Group plc</t>
  </si>
  <si>
    <t>XLNX</t>
  </si>
  <si>
    <t>Xilinx, Inc.</t>
  </si>
  <si>
    <t>XRAY</t>
  </si>
  <si>
    <t>DENTSPLY International Inc.</t>
  </si>
  <si>
    <t>YHOO</t>
  </si>
  <si>
    <t>Yahoo! Inc.</t>
  </si>
  <si>
    <t>YUM</t>
  </si>
  <si>
    <t>Yum! Brands, Inc.</t>
  </si>
  <si>
    <t>ZION</t>
  </si>
  <si>
    <t>Zions Bancorporation</t>
  </si>
  <si>
    <t>ZMH</t>
  </si>
  <si>
    <t>Zimmer Holdings, Inc. Common St</t>
  </si>
  <si>
    <t>JMTAUT</t>
  </si>
  <si>
    <t>JUPORG</t>
  </si>
  <si>
    <t>JYOOVE</t>
  </si>
  <si>
    <t>KAJIRO</t>
  </si>
  <si>
    <t>KAKCEM</t>
  </si>
  <si>
    <t>Polaris</t>
  </si>
  <si>
    <t>Estimated  Stock Price</t>
  </si>
  <si>
    <t>ONGC</t>
  </si>
  <si>
    <t>Name</t>
  </si>
  <si>
    <t>Bicon</t>
  </si>
  <si>
    <t>Hexaware</t>
  </si>
  <si>
    <t>Date</t>
  </si>
  <si>
    <t>Stock</t>
  </si>
  <si>
    <t>Action</t>
  </si>
  <si>
    <t>Qty.</t>
  </si>
  <si>
    <t>Settlement</t>
  </si>
  <si>
    <t>DP Id - Client DP Id</t>
  </si>
  <si>
    <t>WIPRO</t>
  </si>
  <si>
    <t>Buy</t>
  </si>
  <si>
    <t>NetSol Technologies Inc.</t>
  </si>
  <si>
    <t>MLNK</t>
  </si>
  <si>
    <t>ModusLink Global Solutions, Inc</t>
  </si>
  <si>
    <t>CFW</t>
  </si>
  <si>
    <t>Cano Petroleum, Inc. Common Sto</t>
  </si>
  <si>
    <t>MVIS</t>
  </si>
  <si>
    <t>Microvision, Inc.</t>
  </si>
  <si>
    <t>Vertro, Inc</t>
  </si>
  <si>
    <t>ATSG</t>
  </si>
  <si>
    <t>Air Transport Services Group, I</t>
  </si>
  <si>
    <t>SCON</t>
  </si>
  <si>
    <t>Superconductor Technologies Inc</t>
  </si>
  <si>
    <t>PSDV</t>
  </si>
  <si>
    <t>pSivida Corp.</t>
  </si>
  <si>
    <t>CTIC</t>
  </si>
  <si>
    <t>Cell Therapeutics, Inc.</t>
  </si>
  <si>
    <t>RAME</t>
  </si>
  <si>
    <t>RAM Energy Resources, Inc.</t>
  </si>
  <si>
    <t>SUTR</t>
  </si>
  <si>
    <t>Sutor Technology Group Limited</t>
  </si>
  <si>
    <t>Marathon Oil Corporation Common</t>
  </si>
  <si>
    <t>MTB</t>
  </si>
  <si>
    <t>M&amp;T Bank Corporation Common Sto</t>
  </si>
  <si>
    <t>MUR</t>
  </si>
  <si>
    <t>Murphy Oil Corporation Common S</t>
  </si>
  <si>
    <t>MWV</t>
  </si>
  <si>
    <t xml:space="preserve"> Colgate-Palmolive (India)      </t>
  </si>
  <si>
    <t>CROGRE</t>
  </si>
  <si>
    <t xml:space="preserve"> Crompton Greaves     </t>
  </si>
  <si>
    <t>DENIND</t>
  </si>
  <si>
    <t xml:space="preserve"> DENSO INDIA LTD</t>
  </si>
  <si>
    <t xml:space="preserve"> Dhampur Sugar Mills </t>
  </si>
  <si>
    <t xml:space="preserve"> Dr. ReddyS Laboratories       </t>
  </si>
  <si>
    <t>Asea BB</t>
  </si>
  <si>
    <t>Infrastructure Development Finance Company Ltd.</t>
  </si>
  <si>
    <t>IFCI Ltd.</t>
  </si>
  <si>
    <t>BOB</t>
  </si>
  <si>
    <t>ACC</t>
  </si>
  <si>
    <t>Strategy = Buy 1 ITM option, sell 2 near the money options (different strikes) and buy 1 OTM option</t>
  </si>
  <si>
    <t>LONG IRON BUTTERFLY STRATEGY REVIEW</t>
  </si>
  <si>
    <t>HDB</t>
  </si>
  <si>
    <t>HDFCBANK(HDB)</t>
  </si>
  <si>
    <t>IFN</t>
  </si>
  <si>
    <t>Delta</t>
  </si>
  <si>
    <t>COMPUT</t>
  </si>
  <si>
    <t>Rain Calcining Ltd</t>
  </si>
  <si>
    <t>Rallis India Limited</t>
  </si>
  <si>
    <t>REI Agro Limited</t>
  </si>
  <si>
    <t>Reliance Capital</t>
  </si>
  <si>
    <t>Reliance Energy Ventures Ltd</t>
  </si>
  <si>
    <t>Reliance Petrochem</t>
  </si>
  <si>
    <t>Alumeco India Extrusion Ltd.</t>
  </si>
  <si>
    <t>PERMAG</t>
  </si>
  <si>
    <t>INDWIN</t>
  </si>
  <si>
    <t>INTFIN</t>
  </si>
  <si>
    <t>Dolat Investments Ltd.</t>
  </si>
  <si>
    <t>EDECAP</t>
  </si>
  <si>
    <t>Edelweiss Capital Ltd.</t>
  </si>
  <si>
    <t>Pix Transmissions Ltd.</t>
  </si>
  <si>
    <t>POLIND</t>
  </si>
  <si>
    <t/>
  </si>
  <si>
    <t>Polar Industries Ltd.</t>
  </si>
  <si>
    <t>POLLAT</t>
  </si>
  <si>
    <t>Polar Pharma India Ltd.</t>
  </si>
  <si>
    <t>Contraceptives</t>
  </si>
  <si>
    <t>POLYCH</t>
  </si>
  <si>
    <t>Polychem Ltd.</t>
  </si>
  <si>
    <t>PONSUG</t>
  </si>
  <si>
    <t>Ponni Sugars (Erode) Ltd.</t>
  </si>
  <si>
    <t>Manappuram General Finance &amp; Leasing Ltd.</t>
  </si>
  <si>
    <t xml:space="preserve"> Timken India     </t>
  </si>
  <si>
    <t>Adithya Exports Ltd.</t>
  </si>
  <si>
    <t>LEAEDG</t>
  </si>
  <si>
    <t>MAASOF</t>
  </si>
  <si>
    <t>NUCSOF</t>
  </si>
  <si>
    <t>ONWTEC</t>
  </si>
  <si>
    <t>ORIINF</t>
  </si>
  <si>
    <t>PANPA</t>
  </si>
  <si>
    <t>PARDE</t>
  </si>
  <si>
    <t>PENCOM</t>
  </si>
  <si>
    <t>Century Plyboards (I) Ltd.</t>
  </si>
  <si>
    <t>CHOINV</t>
  </si>
  <si>
    <t>Cholamandalam DBS Finance Ltd.</t>
  </si>
  <si>
    <t xml:space="preserve"> Bharat Heavy Electricals     </t>
  </si>
  <si>
    <t>BHUSTE</t>
  </si>
  <si>
    <t>17. Stable Growth assumed to be equal to Inflation Rate</t>
  </si>
  <si>
    <t xml:space="preserve"> Elgi Equipments     </t>
  </si>
  <si>
    <t xml:space="preserve"> Merck       </t>
  </si>
  <si>
    <t xml:space="preserve"> Empee Sugars &amp; Chemicals</t>
  </si>
  <si>
    <t xml:space="preserve"> Encore Software    </t>
  </si>
  <si>
    <t>Bharti</t>
  </si>
  <si>
    <t>13. Watch the market closely as it fluctuates. The profit on this strategy is limited - a loss occurs if the underlying stock rises to or above the breakeven point.</t>
  </si>
  <si>
    <t>Alchemist</t>
  </si>
  <si>
    <t>Videocon Appliances Ltd</t>
  </si>
  <si>
    <t>Videocon Industries Ltd</t>
  </si>
  <si>
    <t>South Indian Bank Ltd.</t>
  </si>
  <si>
    <t>STABIK</t>
  </si>
  <si>
    <t>State Bank Of Bikaner and Jaipur</t>
  </si>
  <si>
    <t xml:space="preserve">STABM </t>
  </si>
  <si>
    <t>State Bank Of Mysore</t>
  </si>
  <si>
    <t>STABTR</t>
  </si>
  <si>
    <t>State Bank of Travancore</t>
  </si>
  <si>
    <t>State Trading Corporation Of India Ltd.</t>
  </si>
  <si>
    <t>STETEA</t>
  </si>
  <si>
    <t>Sterling Biotech Ltd.</t>
  </si>
  <si>
    <t>SUBPRO</t>
  </si>
  <si>
    <t>Subhash Projects &amp; Marketing Ltd.</t>
  </si>
  <si>
    <t>BBD</t>
  </si>
  <si>
    <t>Banco Bradesco SA (ADR)  </t>
  </si>
  <si>
    <t>BBVA</t>
  </si>
  <si>
    <t>Banco Bilbao Vizcaya Argentaria SA (ADR)  </t>
  </si>
  <si>
    <t>BMA</t>
  </si>
  <si>
    <t>Banco Macro SA (ADR)  </t>
  </si>
  <si>
    <t>CYD</t>
  </si>
  <si>
    <t>China Yuchai International Limited  </t>
  </si>
  <si>
    <t>DAVE</t>
  </si>
  <si>
    <t>Famous Dave's of America, Inc.  </t>
  </si>
  <si>
    <t>DISH</t>
  </si>
  <si>
    <t>DISH Network Corp.  </t>
  </si>
  <si>
    <t>EXM</t>
  </si>
  <si>
    <t>Excel Maritime Carriers Ltd  </t>
  </si>
  <si>
    <t>FCFC</t>
  </si>
  <si>
    <t>FirstCity Financial Corporation  </t>
  </si>
  <si>
    <t>FFG</t>
  </si>
  <si>
    <t>FBL Financial Group  </t>
  </si>
  <si>
    <t>ILF</t>
  </si>
  <si>
    <t>iShares S&amp;P Latin America 40 Index (ETF)  </t>
  </si>
  <si>
    <t>IXG</t>
  </si>
  <si>
    <t>iShares S&amp;P Global Financials Sect.(ETF)  </t>
  </si>
  <si>
    <t>IYG</t>
  </si>
  <si>
    <t>SpiceJet Limited</t>
  </si>
  <si>
    <t>Monsanto India Ltd.</t>
  </si>
  <si>
    <t>Peninsula Land Ltd.</t>
  </si>
  <si>
    <t>Moser Baer India Limited</t>
  </si>
  <si>
    <t>Mro-Tek Limited</t>
  </si>
  <si>
    <t xml:space="preserve"> Bata India      </t>
  </si>
  <si>
    <t xml:space="preserve"> B D H Industries       </t>
  </si>
  <si>
    <t>Satra Properties (India) Ltd.</t>
  </si>
  <si>
    <t>FLEIND</t>
  </si>
  <si>
    <t>Uflex Ltd.</t>
  </si>
  <si>
    <t>GANHOU</t>
  </si>
  <si>
    <t>Ganesh Housing Corporation Ltd.</t>
  </si>
  <si>
    <t>GATCOR</t>
  </si>
  <si>
    <t>Shiv-Vani Oil, Aban Offshore, Jindal Drilling, Maharashtra Seamless and Deep Industries</t>
  </si>
  <si>
    <t>Jindal steel</t>
  </si>
  <si>
    <t>SBI, Punjab National Bank, HDFC Bank, ICICI Bank and Kotak Mahindra Bank</t>
  </si>
  <si>
    <t>HDFC, LIC Housing Finance and GIC Housing Finance</t>
  </si>
  <si>
    <t>REITS funds</t>
  </si>
  <si>
    <t>Woodward Governor Company</t>
  </si>
  <si>
    <t>WLP</t>
  </si>
  <si>
    <t>WellPoint, Inc. Common Stock</t>
  </si>
  <si>
    <t>WMB</t>
  </si>
  <si>
    <t>Williams Companies, Inc. (The)</t>
  </si>
  <si>
    <t>WPP</t>
  </si>
  <si>
    <t>Wausau Paper Corp. Common Stock</t>
  </si>
  <si>
    <t>WRC</t>
  </si>
  <si>
    <t>Warnaco Group Inc (The) Common</t>
  </si>
  <si>
    <t>WTSLA</t>
  </si>
  <si>
    <t>The Wet Seal, Inc.</t>
  </si>
  <si>
    <t>WWW</t>
  </si>
  <si>
    <t>Wolverine World Wide, Inc. Comm</t>
  </si>
  <si>
    <t>WX</t>
  </si>
  <si>
    <t>Wuxi Pharmatech (Cayman) Inc. A</t>
  </si>
  <si>
    <t>XCO</t>
  </si>
  <si>
    <t>EXCO Resources, Inc. Exco Resou</t>
  </si>
  <si>
    <t>XIN</t>
  </si>
  <si>
    <t>Xinyuan Real Estate Co Ltd Amer</t>
  </si>
  <si>
    <t>XRTX</t>
  </si>
  <si>
    <t>Xyratex Ltd.</t>
  </si>
  <si>
    <t>XRX</t>
  </si>
  <si>
    <t>Xerox Corporation Common Stock</t>
  </si>
  <si>
    <t>ZOLL</t>
  </si>
  <si>
    <t>Zoll Medical Corporation</t>
  </si>
  <si>
    <t xml:space="preserve"> Amrutanjan       </t>
  </si>
  <si>
    <t>Average</t>
  </si>
  <si>
    <t>RSQR</t>
  </si>
  <si>
    <t>Volatility</t>
  </si>
  <si>
    <t xml:space="preserve"> AMTEK AUTO LTD.</t>
  </si>
  <si>
    <t xml:space="preserve"> AMTEK INDIA LTD.</t>
  </si>
  <si>
    <r>
      <t xml:space="preserve">10 Levered BETA regressed only for 2 yrs monthly stock averages -&gt; </t>
    </r>
    <r>
      <rPr>
        <b/>
        <sz val="11"/>
        <color indexed="10"/>
        <rFont val="Arial"/>
        <family val="2"/>
      </rPr>
      <t>This should be checked periodically bec firms change with time</t>
    </r>
  </si>
  <si>
    <t xml:space="preserve"> My Fellow Fashions (Exports)     </t>
  </si>
  <si>
    <t xml:space="preserve"> Mysore Cements</t>
  </si>
  <si>
    <t xml:space="preserve"> Jayaswals Neco     </t>
  </si>
  <si>
    <t>KSL Realty &amp; Infrastructure Ltd.</t>
  </si>
  <si>
    <t xml:space="preserve">KSOIL </t>
  </si>
  <si>
    <t>K S Oils Ltd.</t>
  </si>
  <si>
    <t>National Mineral Dev.corp.Ltd.</t>
  </si>
  <si>
    <t>NATSYN</t>
  </si>
  <si>
    <t>Techno Electric &amp; Engineering company Ltd.</t>
  </si>
  <si>
    <t>TECMAH</t>
  </si>
  <si>
    <t xml:space="preserve"> S R F     </t>
  </si>
  <si>
    <t xml:space="preserve"> S R G Infotec    </t>
  </si>
  <si>
    <t xml:space="preserve"> Sri Ganapathy Mills Co.     </t>
  </si>
  <si>
    <t>Parker Drilling Company Common</t>
  </si>
  <si>
    <t>CPX</t>
  </si>
  <si>
    <t>Firstsource Solutions Ltd.</t>
  </si>
  <si>
    <t>Flawless Diamond (india) Ltd.</t>
  </si>
  <si>
    <t>Flat Products Equipments (India) Ltd.</t>
  </si>
  <si>
    <t>Gateway Distriparks Ltd.</t>
  </si>
  <si>
    <t>MAHUGI</t>
  </si>
  <si>
    <t xml:space="preserve"> Mahindra Ugine Steel Co.     </t>
  </si>
  <si>
    <t>MANCEM</t>
  </si>
  <si>
    <t xml:space="preserve"> Mangalam Cement</t>
  </si>
  <si>
    <t>MANIN</t>
  </si>
  <si>
    <t>Family Dollar Stores, Inc. Comm</t>
  </si>
  <si>
    <t>FDX</t>
  </si>
  <si>
    <t>12 Long term REAL Economy growth Rate applied as constant growth</t>
  </si>
  <si>
    <t>past 15 Yrs</t>
  </si>
  <si>
    <t>FSLR</t>
  </si>
  <si>
    <t>Bench Mark PE</t>
  </si>
  <si>
    <t>Inflation??</t>
  </si>
  <si>
    <t>BANRAJ</t>
  </si>
  <si>
    <t>BHAPET</t>
  </si>
  <si>
    <t>Veer Energy &amp; Infrastructure Ltd</t>
  </si>
  <si>
    <t>BVHOLD</t>
  </si>
  <si>
    <t xml:space="preserve">CGIGA </t>
  </si>
  <si>
    <t>CYAAGR</t>
  </si>
  <si>
    <t>DIVLAB</t>
  </si>
  <si>
    <t>EIHASS</t>
  </si>
  <si>
    <t>ESSSHI</t>
  </si>
  <si>
    <t xml:space="preserve"> Shree Vaani Sugars &amp; Inds</t>
  </si>
  <si>
    <t>Gujarat Ambuja Exports Ltd.</t>
  </si>
  <si>
    <t xml:space="preserve"> REMSONS INDUSTRIES LTD</t>
  </si>
  <si>
    <t xml:space="preserve"> Riga Sugar Co</t>
  </si>
  <si>
    <t xml:space="preserve"> Ritesh Industries     </t>
  </si>
  <si>
    <t>ROLIND</t>
  </si>
  <si>
    <t xml:space="preserve"> ROTO PUMPS </t>
  </si>
  <si>
    <t xml:space="preserve"> Rathi Udyog     </t>
  </si>
  <si>
    <t xml:space="preserve"> Wintac       </t>
  </si>
  <si>
    <t xml:space="preserve"> Reliance Chemotex Inds.     </t>
  </si>
  <si>
    <t>Jayaswals Neco Ltd.</t>
  </si>
  <si>
    <t xml:space="preserve">KECIN </t>
  </si>
  <si>
    <t>KEC International Ltd.</t>
  </si>
  <si>
    <t>1. All prices in USD - Nominal figures (Inflation adjusted)</t>
  </si>
  <si>
    <t>2. All future EPS estimes from Yahoo Fin and Quadratic Trend analysis from Excel</t>
  </si>
  <si>
    <t>KIRFER</t>
  </si>
  <si>
    <t>URZ</t>
  </si>
  <si>
    <t>Uranerz Energy Corporation Comm</t>
  </si>
  <si>
    <t>LTX-Credence Corporation</t>
  </si>
  <si>
    <t>REV</t>
  </si>
  <si>
    <t>Revlon, Inc. New Common Stock</t>
  </si>
  <si>
    <t>WG</t>
  </si>
  <si>
    <t>Willbros Group, Inc. (DE) Commo</t>
  </si>
  <si>
    <t>CVM</t>
  </si>
  <si>
    <t>Cel-Sci Corporation Common Stoc</t>
  </si>
  <si>
    <t>REXX</t>
  </si>
  <si>
    <t>Rex Energy Corporation</t>
  </si>
  <si>
    <t>GPRE</t>
  </si>
  <si>
    <t>Green Plains Renewable Energy,</t>
  </si>
  <si>
    <t>UCTT</t>
  </si>
  <si>
    <t>Ultra Clean Holdings, Inc.</t>
  </si>
  <si>
    <t>NXST</t>
  </si>
  <si>
    <t xml:space="preserve"> LUMAX INDUSTRIES LTD</t>
  </si>
  <si>
    <t xml:space="preserve"> Lyka Labs       </t>
  </si>
  <si>
    <t xml:space="preserve"> Aurobindo Pharma       </t>
  </si>
  <si>
    <t>AUTAXL</t>
  </si>
  <si>
    <t xml:space="preserve"> AUTOMOTIVE AXLES LTD</t>
  </si>
  <si>
    <t>AUTCOR</t>
  </si>
  <si>
    <t>EDUSOL</t>
  </si>
  <si>
    <t xml:space="preserve"> Educomp Solutions Ltd</t>
  </si>
  <si>
    <t>EICMOT</t>
  </si>
  <si>
    <t xml:space="preserve"> EICHER MOTORS LTD</t>
  </si>
  <si>
    <t xml:space="preserve"> E I D-Parry (India) </t>
  </si>
  <si>
    <t>ELDPHA</t>
  </si>
  <si>
    <t xml:space="preserve"> Indo Count Inds.     </t>
  </si>
  <si>
    <t>icicicode</t>
  </si>
  <si>
    <t>actual</t>
  </si>
  <si>
    <t>ABHIND</t>
  </si>
  <si>
    <t>AMTAUT</t>
  </si>
  <si>
    <t>AMTIND</t>
  </si>
  <si>
    <t xml:space="preserve"> Hexaware Technologies    </t>
  </si>
  <si>
    <t xml:space="preserve"> Hester Pharmaceuticals       </t>
  </si>
  <si>
    <t xml:space="preserve"> HINDUSTAN COMPOSITES LTD</t>
  </si>
  <si>
    <t xml:space="preserve"> Hindustan Construction Co.     </t>
  </si>
  <si>
    <t xml:space="preserve"> Hinduja T M T    </t>
  </si>
  <si>
    <t xml:space="preserve"> Hinafil India     </t>
  </si>
  <si>
    <t xml:space="preserve"> HINDUSTAN MOTORS LTD</t>
  </si>
  <si>
    <t xml:space="preserve"> HPCL</t>
  </si>
  <si>
    <t>Market Opportunity = Look for a market that is short-term range-bound (through expiration of the short option) with a moderately bullish bias in the long-term</t>
  </si>
  <si>
    <t>Maximum Risk= Limited to the amount paid for the combined calls</t>
  </si>
  <si>
    <t>India Fund</t>
  </si>
  <si>
    <t>IGTE</t>
  </si>
  <si>
    <t>I Gate</t>
  </si>
  <si>
    <t>IIF</t>
  </si>
  <si>
    <t>Morgan Stanley India Investment Fund, Inc</t>
  </si>
  <si>
    <t>Unity Infraprojects Ltd.</t>
  </si>
  <si>
    <t>USHINT</t>
  </si>
  <si>
    <t>Ushdev International Ltd.</t>
  </si>
  <si>
    <t>VOLTRA</t>
  </si>
  <si>
    <t>ASNA</t>
  </si>
  <si>
    <t>2. Tax Rate considered 10% for tech industries</t>
  </si>
  <si>
    <t>LIWA110521C00005000</t>
  </si>
  <si>
    <t>Oppenheimer Holdings, Inc. Clas</t>
  </si>
  <si>
    <t>ORB</t>
  </si>
  <si>
    <t>Orbital Sciences Corporation Co</t>
  </si>
  <si>
    <t>ORCL</t>
  </si>
  <si>
    <t>Oracle Corporation</t>
  </si>
  <si>
    <t>ORN</t>
  </si>
  <si>
    <t>Orion Marine Group Inc Common</t>
  </si>
  <si>
    <t>OVTI</t>
  </si>
  <si>
    <t>OmniVision Technologies, Inc.</t>
  </si>
  <si>
    <t>PAG</t>
  </si>
  <si>
    <t>Penske Automotive Group, Inc. C</t>
  </si>
  <si>
    <t>PAY</t>
  </si>
  <si>
    <t>Verifone Systems, Inc. Common S</t>
  </si>
  <si>
    <t>PERY</t>
  </si>
  <si>
    <t>Perry Ellis International Inc.</t>
  </si>
  <si>
    <t>PGI</t>
  </si>
  <si>
    <t>AKHCER</t>
  </si>
  <si>
    <t>ALAIND</t>
  </si>
  <si>
    <t>ALAMAR</t>
  </si>
  <si>
    <t>ALEEXT</t>
  </si>
  <si>
    <t>ALEFOA</t>
  </si>
  <si>
    <t>ALFSEC</t>
  </si>
  <si>
    <t>ALPDAT</t>
  </si>
  <si>
    <t>AIXG</t>
  </si>
  <si>
    <t>Aixtron AG (ADR)  </t>
  </si>
  <si>
    <t>B</t>
  </si>
  <si>
    <t>Barnes Group Inc.  </t>
  </si>
  <si>
    <t>BRY</t>
  </si>
  <si>
    <t>Berry Petroleum Company  </t>
  </si>
  <si>
    <t>CE</t>
  </si>
  <si>
    <t>Celanese Corporation  </t>
  </si>
  <si>
    <t>CHL</t>
  </si>
  <si>
    <t>China Mobile</t>
  </si>
  <si>
    <t>CNS</t>
  </si>
  <si>
    <t>Cohen &amp; Steers, Inc.  </t>
  </si>
  <si>
    <t>CTB</t>
  </si>
  <si>
    <t>Cooper Tire &amp; Rubber Company  </t>
  </si>
  <si>
    <t>CTCM</t>
  </si>
  <si>
    <t>CTC Media, Inc.  </t>
  </si>
  <si>
    <t>DDS</t>
  </si>
  <si>
    <t>Dillard's, Inc.  </t>
  </si>
  <si>
    <t>HUN</t>
  </si>
  <si>
    <t>Huntsman</t>
  </si>
  <si>
    <t>LNCE</t>
  </si>
  <si>
    <t>Lance</t>
  </si>
  <si>
    <t>MFC</t>
  </si>
  <si>
    <t xml:space="preserve"> Lloyds Steel Inds.     </t>
  </si>
  <si>
    <t xml:space="preserve"> L M L LTD</t>
  </si>
  <si>
    <t xml:space="preserve"> Loyal Textile Mills     </t>
  </si>
  <si>
    <t>Procter &amp; Gamble Company</t>
  </si>
  <si>
    <t>Sony</t>
  </si>
  <si>
    <t xml:space="preserve"> Strides Arcolab       </t>
  </si>
  <si>
    <t>Executed</t>
  </si>
  <si>
    <t>Strategy = Combine a bear call spread and a bull put spread with the same expiration month</t>
  </si>
  <si>
    <t xml:space="preserve"> MOTOR INDUSTRIES CO. LTD</t>
  </si>
  <si>
    <t>MOTSUM</t>
  </si>
  <si>
    <t xml:space="preserve"> MOTHERSON SUMI SYSTEMS LTD</t>
  </si>
  <si>
    <t>MRPL</t>
  </si>
  <si>
    <t xml:space="preserve"> MRPL</t>
  </si>
  <si>
    <t>MTNL</t>
  </si>
  <si>
    <t xml:space="preserve"> Mahanagar Telephone Nigam       </t>
  </si>
  <si>
    <t>MUKAND</t>
  </si>
  <si>
    <t xml:space="preserve"> Mukand     </t>
  </si>
  <si>
    <t>NATALU</t>
  </si>
  <si>
    <t>Petrochem</t>
  </si>
  <si>
    <t xml:space="preserve"> National Aluminium Co.     </t>
  </si>
  <si>
    <t>NDTV</t>
  </si>
  <si>
    <t xml:space="preserve"> NEW DELHI TELEVISION</t>
  </si>
  <si>
    <t>NESIND</t>
  </si>
  <si>
    <t>Depsoit 2 - REDEEMED</t>
  </si>
  <si>
    <t>Jet Airways</t>
  </si>
  <si>
    <t>IDBI</t>
  </si>
  <si>
    <t>13 No Change in Working Capital or Net Capex is assumed (may not be true)</t>
  </si>
  <si>
    <t>EQUITY / STOCK Valuation</t>
  </si>
  <si>
    <t xml:space="preserve">15 Use FCFF for Firm valuation </t>
  </si>
  <si>
    <t>X</t>
  </si>
  <si>
    <r>
      <t>X</t>
    </r>
    <r>
      <rPr>
        <vertAlign val="superscript"/>
        <sz val="10"/>
        <rFont val="Arial"/>
        <family val="2"/>
      </rPr>
      <t>2</t>
    </r>
  </si>
  <si>
    <t>Current FCFE Y0</t>
  </si>
  <si>
    <t>FCFE Y1</t>
  </si>
  <si>
    <t>FCFE Y2</t>
  </si>
  <si>
    <t>E-FCFE</t>
  </si>
  <si>
    <t xml:space="preserve"> Bengal Tea &amp; Fabrics     </t>
  </si>
  <si>
    <t>MEA</t>
  </si>
  <si>
    <t>WFMI</t>
  </si>
  <si>
    <t>Benchmark PE</t>
  </si>
  <si>
    <t xml:space="preserve"> B F Utilities</t>
  </si>
  <si>
    <t xml:space="preserve"> BHAGWATI AUTOCAST </t>
  </si>
  <si>
    <t xml:space="preserve"> BHARAT GEARS LTD.</t>
  </si>
  <si>
    <t xml:space="preserve"> Bhandari Export Inds.     </t>
  </si>
  <si>
    <t>ESRX</t>
  </si>
  <si>
    <t>ExpressScripts</t>
  </si>
  <si>
    <t>Net Cash ??</t>
  </si>
  <si>
    <t>This screen searches for stocks with price-earnings growth ratio less than or equal to 0.5 and total debt to equity ratios of less than or equal to 0.5. It also looks for earnings growth estimates for the next five years of greater than or equal to 25%. Finally, it limits companies that have institutions holding greater than or equal to 20% of shares and sales for the past twelve months of greater than or equal to $100 million</t>
  </si>
  <si>
    <t xml:space="preserve"> Elder Pharmaceuticals       </t>
  </si>
  <si>
    <t>ENTNET</t>
  </si>
  <si>
    <t>JPM110716P00047000</t>
  </si>
  <si>
    <t>Bajaj Auto and Amtek Auto (.55 )</t>
  </si>
  <si>
    <t>Godrej consumer prds .6, ITC, Nestle</t>
  </si>
  <si>
    <t>Axis bank, Bank of India</t>
  </si>
  <si>
    <t xml:space="preserve"> Suryalata Spinning Mills     </t>
  </si>
  <si>
    <t>PCLN</t>
  </si>
  <si>
    <t>Priceline</t>
  </si>
  <si>
    <t>Nicco Corporation Ltd.</t>
  </si>
  <si>
    <t>LONG CALL STRATEGY REVIEW</t>
  </si>
  <si>
    <t xml:space="preserve"> Infosys Technologies    </t>
  </si>
  <si>
    <t xml:space="preserve"> Inox Leisure Ltd</t>
  </si>
  <si>
    <t>IPCLAB</t>
  </si>
  <si>
    <t xml:space="preserve"> Ipca Laboratories       </t>
  </si>
  <si>
    <t>Jagdamba Foods Ltd</t>
  </si>
  <si>
    <t>Jaidka Industries Ltd.</t>
  </si>
  <si>
    <t>Jay Electric Ltd.</t>
  </si>
  <si>
    <t>Jay Paper</t>
  </si>
  <si>
    <t>Jolly Rides Ltd.</t>
  </si>
  <si>
    <t>Liberty Shoes Ltd.</t>
  </si>
  <si>
    <t>SININD</t>
  </si>
  <si>
    <t>SREINT</t>
  </si>
  <si>
    <t>STEIND</t>
  </si>
  <si>
    <t>STEOPT</t>
  </si>
  <si>
    <t>TAMNEW</t>
  </si>
  <si>
    <t>TEXMAC</t>
  </si>
  <si>
    <t>TITIND</t>
  </si>
  <si>
    <t>TORPHA</t>
  </si>
  <si>
    <t>TRACOR</t>
  </si>
  <si>
    <t>TRIENG</t>
  </si>
  <si>
    <t>TUBINV</t>
  </si>
  <si>
    <t>UCOBAN</t>
  </si>
  <si>
    <t>UNIBAN</t>
  </si>
  <si>
    <t>TRIALC</t>
  </si>
  <si>
    <t>IOL Chemicals &amp; Pharmaceuticals Ltd.</t>
  </si>
  <si>
    <t>RIGSUG</t>
  </si>
  <si>
    <t>RITIND</t>
  </si>
  <si>
    <t>ROTPUM</t>
  </si>
  <si>
    <t>RUBMIL</t>
  </si>
  <si>
    <t>RUCSOY</t>
  </si>
  <si>
    <t>SAKSUG</t>
  </si>
  <si>
    <t>SAMFAS</t>
  </si>
  <si>
    <t>SAMPHA</t>
  </si>
  <si>
    <t>SAMPIS</t>
  </si>
  <si>
    <t>SAMSPI</t>
  </si>
  <si>
    <t>SANIND</t>
  </si>
  <si>
    <t>SANPHA</t>
  </si>
  <si>
    <t>SARPOL</t>
  </si>
  <si>
    <t>SAUCEM</t>
  </si>
  <si>
    <t>SCOIND</t>
  </si>
  <si>
    <t>SEARLE</t>
  </si>
  <si>
    <t>Amex</t>
  </si>
  <si>
    <t>BA</t>
  </si>
  <si>
    <t>MF-Bharti-AXA</t>
  </si>
  <si>
    <t>Tax Advantage Fund (G)</t>
  </si>
  <si>
    <t>BR Equity Fund (G)</t>
  </si>
  <si>
    <t>Premier Multi-Cap Fund (G)</t>
  </si>
  <si>
    <t>Pru Discovery Fund (G)</t>
  </si>
  <si>
    <t>MF-ICICI PRU</t>
  </si>
  <si>
    <t>Multi Strategy Fund (G)</t>
  </si>
  <si>
    <t>30 (G)</t>
  </si>
  <si>
    <t>Natural Resources Fund (G)</t>
  </si>
  <si>
    <t>Magnum Midcap Fund (G)</t>
  </si>
  <si>
    <t>S.M.I.L.E Fund (G)</t>
  </si>
  <si>
    <t>Equity Tax Savings Plan (G)</t>
  </si>
  <si>
    <t>CALL CALENDAR STRATEGY REVIEW</t>
  </si>
  <si>
    <t>Upside Breakeven = Higher strike price minus the net debit</t>
  </si>
  <si>
    <t>Upside Breakeven = Lower strike price plus the net debit</t>
  </si>
  <si>
    <t>CONDOR STRATEGY REVIEW</t>
  </si>
  <si>
    <t>MF-DSCVX</t>
  </si>
  <si>
    <t>ABC</t>
  </si>
  <si>
    <t>AmerisourceBergen Corporation (</t>
  </si>
  <si>
    <t>ADM</t>
  </si>
  <si>
    <t>Archer-Daniels-Midland Company</t>
  </si>
  <si>
    <t>ADP</t>
  </si>
  <si>
    <t>Automatic Data Processing, Inc.</t>
  </si>
  <si>
    <t>ADSK</t>
  </si>
  <si>
    <t>Autodesk, Inc.</t>
  </si>
  <si>
    <t>AEE</t>
  </si>
  <si>
    <t>Ameren Corporation Common Stock</t>
  </si>
  <si>
    <t>AEP</t>
  </si>
  <si>
    <t>American Electric Power Company</t>
  </si>
  <si>
    <t>AGN</t>
  </si>
  <si>
    <t>Allergan, Inc. Common Stock</t>
  </si>
  <si>
    <t>AIV</t>
  </si>
  <si>
    <t>Apartment Investment and Manage</t>
  </si>
  <si>
    <t>AIZ</t>
  </si>
  <si>
    <t>Assurant, Inc. Common Stock</t>
  </si>
  <si>
    <t>AKS</t>
  </si>
  <si>
    <t>AK Steel Holding Corporation Co</t>
  </si>
  <si>
    <t>ALL</t>
  </si>
  <si>
    <t>Allstate Corporation (The) Comm</t>
  </si>
  <si>
    <t>ALTR</t>
  </si>
  <si>
    <t>Altera Corporation</t>
  </si>
  <si>
    <t>AMAT</t>
  </si>
  <si>
    <t>Applied Materials, Inc.</t>
  </si>
  <si>
    <t>AMGN</t>
  </si>
  <si>
    <t>Tuticorin Alkali Chemicals &amp; Fertilizers Ltd.</t>
  </si>
  <si>
    <t>10. Create a risk profile for the trade to graphically determine the trade's attractiveness.</t>
  </si>
  <si>
    <t>Jaysynth Dyestuff (India) Ltd.</t>
  </si>
  <si>
    <t xml:space="preserve">JKDAI </t>
  </si>
  <si>
    <t>ADADER</t>
  </si>
  <si>
    <t>ADAEXP</t>
  </si>
  <si>
    <t>ADHYAR</t>
  </si>
  <si>
    <t>ADIEXP</t>
  </si>
  <si>
    <t>ADIISP</t>
  </si>
  <si>
    <t>Health Care REIT, Inc. Common S</t>
  </si>
  <si>
    <t>HES</t>
  </si>
  <si>
    <t>Hess Corporation Common Stock</t>
  </si>
  <si>
    <t>HIG</t>
  </si>
  <si>
    <t>Hartford Financial Services Gro</t>
  </si>
  <si>
    <t>HNZ</t>
  </si>
  <si>
    <t>H.J. Heinz Company Common Stock</t>
  </si>
  <si>
    <t>HON</t>
  </si>
  <si>
    <t>Honeywell International Inc. Co</t>
  </si>
  <si>
    <t>HOT</t>
  </si>
  <si>
    <t>Starwood Hotels &amp; Resorts World</t>
  </si>
  <si>
    <t>HRB</t>
  </si>
  <si>
    <t>H&amp;R Block, Inc. Common Stock</t>
  </si>
  <si>
    <t>HRL</t>
  </si>
  <si>
    <t>Hormel Foods Corporation Common</t>
  </si>
  <si>
    <t>HRS</t>
  </si>
  <si>
    <t>Harris Corporation Common Stock</t>
  </si>
  <si>
    <t>HSP</t>
  </si>
  <si>
    <t>Hospira Inc</t>
  </si>
  <si>
    <t>HST</t>
  </si>
  <si>
    <t>Host Hotels &amp; Resorts, Inc. Com</t>
  </si>
  <si>
    <t>HSY</t>
  </si>
  <si>
    <t>The Hershey Company Common Stoc</t>
  </si>
  <si>
    <t>HUM</t>
  </si>
  <si>
    <t>Humana Inc. Common Stock</t>
  </si>
  <si>
    <t>ICE</t>
  </si>
  <si>
    <t>IntercontinentalExchange, Inc.</t>
  </si>
  <si>
    <t>IFF</t>
  </si>
  <si>
    <t>Internationa Flavors &amp; Fragranc</t>
  </si>
  <si>
    <t>IGT</t>
  </si>
  <si>
    <t>International Game Technology C</t>
  </si>
  <si>
    <t>INTU</t>
  </si>
  <si>
    <t>Intuit Inc.</t>
  </si>
  <si>
    <t>IRM</t>
  </si>
  <si>
    <t>Sell Date</t>
  </si>
  <si>
    <t>Sell Price</t>
  </si>
  <si>
    <t xml:space="preserve"> Spenta International     </t>
  </si>
  <si>
    <t xml:space="preserve"> Spice Islands Apparels     </t>
  </si>
  <si>
    <t xml:space="preserve"> S Q L Star International    </t>
  </si>
  <si>
    <t>Sujana Universal Industries Ltd.</t>
  </si>
  <si>
    <t>SUJSTE</t>
  </si>
  <si>
    <t>Sujana Metal Products Ltd.</t>
  </si>
  <si>
    <t>SWAMIL</t>
  </si>
  <si>
    <t>Swan Mills Ltd.</t>
  </si>
  <si>
    <t xml:space="preserve"> SUBROS LTD</t>
  </si>
  <si>
    <t xml:space="preserve"> Sumeet Industries     </t>
  </si>
  <si>
    <t>GTLINF</t>
  </si>
  <si>
    <t>GTL Infrastructure Ltd.</t>
  </si>
  <si>
    <t xml:space="preserve">GUJAE </t>
  </si>
  <si>
    <t>1. Ratio of successive Stock Prices are Lognormal with  definitive variance, hence returns calculated as successive price ratios</t>
  </si>
  <si>
    <t xml:space="preserve"> COVENTRY COIL-O-MATIC (HARYANA)</t>
  </si>
  <si>
    <t xml:space="preserve"> Cravatex     </t>
  </si>
  <si>
    <t xml:space="preserve"> CREST ANIMATION STUDIO</t>
  </si>
  <si>
    <t xml:space="preserve"> CREATIVE EYE</t>
  </si>
  <si>
    <t xml:space="preserve"> Cybertech Systems </t>
  </si>
  <si>
    <t xml:space="preserve"> Dabur India      </t>
  </si>
  <si>
    <t xml:space="preserve"> Damodar Threads     </t>
  </si>
  <si>
    <t xml:space="preserve"> Datamatics Technologies    </t>
  </si>
  <si>
    <t xml:space="preserve"> D C M LTD</t>
  </si>
  <si>
    <t xml:space="preserve"> DECCAN CHRONICAL HOLDING</t>
  </si>
  <si>
    <t xml:space="preserve"> Deepak Spinners     </t>
  </si>
  <si>
    <t>GTC Industries Ltd.</t>
  </si>
  <si>
    <t>Description</t>
  </si>
  <si>
    <t>Symbol</t>
  </si>
  <si>
    <t>Quantity</t>
  </si>
  <si>
    <t>Amount</t>
  </si>
  <si>
    <t>ACH</t>
  </si>
  <si>
    <t>ACH DEPOSIT - ONE-TIME</t>
  </si>
  <si>
    <t>Sharebuilder</t>
  </si>
  <si>
    <t>eTrade</t>
  </si>
  <si>
    <t>SIMPLE</t>
  </si>
  <si>
    <t>IRA/2009</t>
  </si>
  <si>
    <t>Networth</t>
  </si>
  <si>
    <t>etrade - Simple</t>
  </si>
  <si>
    <t>etrade - IRA</t>
  </si>
  <si>
    <t>CORFER</t>
  </si>
  <si>
    <t>CRISIL</t>
  </si>
  <si>
    <t>CUMIND</t>
  </si>
  <si>
    <t>DAIICH</t>
  </si>
  <si>
    <t>DAILRY</t>
  </si>
  <si>
    <t>DANTEC</t>
  </si>
  <si>
    <t>DAROIL</t>
  </si>
  <si>
    <t>DARTEA</t>
  </si>
  <si>
    <t>DATAPP</t>
  </si>
  <si>
    <t>DATFIN</t>
  </si>
  <si>
    <t xml:space="preserve"> J B F Industries     </t>
  </si>
  <si>
    <t xml:space="preserve"> Jenburkt Pharmaceuticals       </t>
  </si>
  <si>
    <t xml:space="preserve"> Esab India     </t>
  </si>
  <si>
    <t>EXIIND</t>
  </si>
  <si>
    <t>PEESHI</t>
  </si>
  <si>
    <t xml:space="preserve"> South East Asia Marine</t>
  </si>
  <si>
    <t>PETLNG</t>
  </si>
  <si>
    <t xml:space="preserve"> Petronet L N G </t>
  </si>
  <si>
    <t xml:space="preserve"> Pfizer       </t>
  </si>
  <si>
    <t xml:space="preserve"> Polaris Software </t>
  </si>
  <si>
    <t>POWTRA</t>
  </si>
  <si>
    <t>4. Good Yield 5% or more</t>
  </si>
  <si>
    <t>Assumptions</t>
  </si>
  <si>
    <t>ESGR</t>
  </si>
  <si>
    <t>FLY</t>
  </si>
  <si>
    <t>Actual/ Current stock trading price</t>
  </si>
  <si>
    <t>INFY</t>
  </si>
  <si>
    <t>Wipro</t>
  </si>
  <si>
    <t>TCS</t>
  </si>
  <si>
    <t>NBG</t>
  </si>
  <si>
    <t>STD</t>
  </si>
  <si>
    <t>TBSI</t>
  </si>
  <si>
    <t>Iron Mountain Incorporated (Del</t>
  </si>
  <si>
    <t>ITT</t>
  </si>
  <si>
    <t>ITT Corporation Common Stock</t>
  </si>
  <si>
    <t>JCP</t>
  </si>
  <si>
    <t>J.C. Penney Company, Inc. Holdi</t>
  </si>
  <si>
    <t>JDSU</t>
  </si>
  <si>
    <t>JDS Uniphase Corporation</t>
  </si>
  <si>
    <t>JEC</t>
  </si>
  <si>
    <t>Chubb Corporation (The) Common</t>
  </si>
  <si>
    <t>CBG</t>
  </si>
  <si>
    <t>CB Richard Ellis Group Inc Comm</t>
  </si>
  <si>
    <t>CBS</t>
  </si>
  <si>
    <t>CBS Corporation Class B Common</t>
  </si>
  <si>
    <t>CCE</t>
  </si>
  <si>
    <t>Coca-Cola Enterprises, Inc. Com</t>
  </si>
  <si>
    <t>CCL</t>
  </si>
  <si>
    <t>Carnival Corporation Common Sto</t>
  </si>
  <si>
    <t>CF</t>
  </si>
  <si>
    <t>CF Industries Holdings, Inc. Co</t>
  </si>
  <si>
    <t>CFN</t>
  </si>
  <si>
    <t>CareFusion Corporation Common S</t>
  </si>
  <si>
    <t>CHRW</t>
  </si>
  <si>
    <t>C.H. Robinson Worldwide, Inc.</t>
  </si>
  <si>
    <t>CI</t>
  </si>
  <si>
    <t>CIGNA Corporation Common Stock</t>
  </si>
  <si>
    <t>CINF</t>
  </si>
  <si>
    <t>Cincinnati Financial Corporatio</t>
  </si>
  <si>
    <t>CLX</t>
  </si>
  <si>
    <t>Clorox Company (The) Common Sto</t>
  </si>
  <si>
    <t>CMA</t>
  </si>
  <si>
    <t>Comerica Incorporated Common St</t>
  </si>
  <si>
    <t>CMCSA</t>
  </si>
  <si>
    <t>Comcast Corporation</t>
  </si>
  <si>
    <t>CME</t>
  </si>
  <si>
    <t>CME Group Inc.</t>
  </si>
  <si>
    <t>CMI</t>
  </si>
  <si>
    <t>14. To exit the trade, you need to sell the higher strike call and buy the lower strike call or simply let the options expire.</t>
  </si>
  <si>
    <t>Steps to Using a Bear Put Spread</t>
  </si>
  <si>
    <t>6. Choose a higher strike put to buy and a lower strike put to sell with the same expiration date.</t>
  </si>
  <si>
    <t xml:space="preserve"> Tulip IT Services Ltd</t>
  </si>
  <si>
    <t>TVSSUZ</t>
  </si>
  <si>
    <t xml:space="preserve"> T V S MOTOR CO. LTD</t>
  </si>
  <si>
    <t>UCAFUE</t>
  </si>
  <si>
    <t>XOM111022C00085000</t>
  </si>
  <si>
    <t>MF-UMPIX</t>
  </si>
  <si>
    <t>MCK</t>
  </si>
  <si>
    <t xml:space="preserve"> I E C Softwares    </t>
  </si>
  <si>
    <t xml:space="preserve"> Indian Acrylics     </t>
  </si>
  <si>
    <t>BALCHI</t>
  </si>
  <si>
    <t>BALIND</t>
  </si>
  <si>
    <t>BARLTD</t>
  </si>
  <si>
    <t>BHABIJ</t>
  </si>
  <si>
    <t>BHASHI</t>
  </si>
  <si>
    <t>BLKASH</t>
  </si>
  <si>
    <t>BLUDAR</t>
  </si>
  <si>
    <t>BOMRAY</t>
  </si>
  <si>
    <t>CANBAN</t>
  </si>
  <si>
    <t>CAREVE</t>
  </si>
  <si>
    <t>CASIND</t>
  </si>
  <si>
    <t>CENPUL</t>
  </si>
  <si>
    <t>CENTEX</t>
  </si>
  <si>
    <t>GINFIL</t>
  </si>
  <si>
    <t>GODPHI</t>
  </si>
  <si>
    <t xml:space="preserve"> Glaxosmithkline Pharmaceuticals       </t>
  </si>
  <si>
    <t>GLEPHA</t>
  </si>
  <si>
    <t>BAJTEM</t>
  </si>
  <si>
    <t xml:space="preserve"> BAJAJ TEMPO LTD</t>
  </si>
  <si>
    <t xml:space="preserve"> Geometric Software Solutions Co.    </t>
  </si>
  <si>
    <t xml:space="preserve"> Great Eastern Shipping </t>
  </si>
  <si>
    <t>GLAIND</t>
  </si>
  <si>
    <t xml:space="preserve"> N C L Industries</t>
  </si>
  <si>
    <t xml:space="preserve"> N E P C India </t>
  </si>
  <si>
    <t xml:space="preserve"> Indian Sucrose</t>
  </si>
  <si>
    <t>HARFIN</t>
  </si>
  <si>
    <t>$$</t>
  </si>
  <si>
    <t>PEAGLO</t>
  </si>
  <si>
    <t>PENALU</t>
  </si>
  <si>
    <t>PHAPHA</t>
  </si>
  <si>
    <t>HAREXP</t>
  </si>
  <si>
    <t>HERFOO</t>
  </si>
  <si>
    <t>HESPHA</t>
  </si>
  <si>
    <t>HINCOM</t>
  </si>
  <si>
    <t>HININ</t>
  </si>
  <si>
    <t>HINMOT</t>
  </si>
  <si>
    <t>HINSPI</t>
  </si>
  <si>
    <t>HINSYN</t>
  </si>
  <si>
    <t>HITGEA</t>
  </si>
  <si>
    <t>HPCOTT</t>
  </si>
  <si>
    <t>IECSOF</t>
  </si>
  <si>
    <t>INDACR</t>
  </si>
  <si>
    <t xml:space="preserve"> Silverline Technologies    </t>
  </si>
  <si>
    <t>Strategy = Sell the underlying security and sell an OTM put option</t>
  </si>
  <si>
    <t>GEI Hamon Industries Ltd</t>
  </si>
  <si>
    <t>PYRSAI</t>
  </si>
  <si>
    <t>RAIALL</t>
  </si>
  <si>
    <t>RAJRAY</t>
  </si>
  <si>
    <t>RAJSPI</t>
  </si>
  <si>
    <t>RAJSUG</t>
  </si>
  <si>
    <t>RAMIND</t>
  </si>
  <si>
    <t>RANBRA</t>
  </si>
  <si>
    <t>RANENG</t>
  </si>
  <si>
    <t>RANMAD</t>
  </si>
  <si>
    <t>RANSUG</t>
  </si>
  <si>
    <t>RASENG</t>
  </si>
  <si>
    <t>RATUDY</t>
  </si>
  <si>
    <t>RECON</t>
  </si>
  <si>
    <t>RELCHE</t>
  </si>
  <si>
    <t>REMIND</t>
  </si>
  <si>
    <t>SUPSPI</t>
  </si>
  <si>
    <t>SURS</t>
  </si>
  <si>
    <t>SURSP</t>
  </si>
  <si>
    <t>SURSPI</t>
  </si>
  <si>
    <t>SURTEX</t>
  </si>
  <si>
    <t>SUTIND</t>
  </si>
  <si>
    <t xml:space="preserve"> AUTOMOBILE CORPN. OF GOA LTD.</t>
  </si>
  <si>
    <t>BAJAUT</t>
  </si>
  <si>
    <t>Gujarat Alkalies &amp; Chemicals Ltd.</t>
  </si>
  <si>
    <t>GUJFLO</t>
  </si>
  <si>
    <t>Texmaco Ltd.</t>
  </si>
  <si>
    <t>Eq</t>
  </si>
  <si>
    <t>Cost Basis</t>
  </si>
  <si>
    <t>HCLINF</t>
  </si>
  <si>
    <t>Emami Ltd.</t>
  </si>
  <si>
    <t>HIMCHE</t>
  </si>
  <si>
    <t>FALGUL</t>
  </si>
  <si>
    <t>FIRSOU</t>
  </si>
  <si>
    <t xml:space="preserve"> T A S C Pharmaceuticals       </t>
  </si>
  <si>
    <t xml:space="preserve"> Tata Elxsi</t>
  </si>
  <si>
    <t>TATME</t>
  </si>
  <si>
    <t>Rolling Average</t>
  </si>
  <si>
    <t xml:space="preserve"> Tata Metaliks     </t>
  </si>
  <si>
    <t>TATPOW</t>
  </si>
  <si>
    <t xml:space="preserve"> Tata Power Co. </t>
  </si>
  <si>
    <t xml:space="preserve"> Tata Tea      </t>
  </si>
  <si>
    <t xml:space="preserve"> TCS</t>
  </si>
  <si>
    <t xml:space="preserve"> TATA MOTORS LTD</t>
  </si>
  <si>
    <t>THERMA</t>
  </si>
  <si>
    <t>OCLS</t>
  </si>
  <si>
    <t>Oculus Innovative Sciences, Inc</t>
  </si>
  <si>
    <t>GSI</t>
  </si>
  <si>
    <t>General Steel Holdings, Inc. Co</t>
  </si>
  <si>
    <t>BLTI</t>
  </si>
  <si>
    <t>BHAFOR</t>
  </si>
  <si>
    <t xml:space="preserve"> BHARAT FORGE LTD</t>
  </si>
  <si>
    <t>BHATE</t>
  </si>
  <si>
    <t>AMIPLA</t>
  </si>
  <si>
    <t>Amines &amp; Plasticizers Ltd.</t>
  </si>
  <si>
    <t>ARVPRO</t>
  </si>
  <si>
    <t xml:space="preserve"> Garden Silk Mills     </t>
  </si>
  <si>
    <t>Glance Finance Ltd.</t>
  </si>
  <si>
    <t>GODFOO</t>
  </si>
  <si>
    <t>Bank of India</t>
  </si>
  <si>
    <t>BAYIND</t>
  </si>
  <si>
    <t>Ann</t>
  </si>
  <si>
    <t>ATML</t>
  </si>
  <si>
    <t>Atmel</t>
  </si>
  <si>
    <t>BMY</t>
  </si>
  <si>
    <t>Daxor Medical Supplies</t>
  </si>
  <si>
    <t>Biotech Insmed</t>
  </si>
  <si>
    <t>Y</t>
  </si>
  <si>
    <t>ALLEGHANY insurance</t>
  </si>
  <si>
    <t>Prajay Engineers Syndicate Ltd.</t>
  </si>
  <si>
    <t>Precision Wires India Ltd.</t>
  </si>
  <si>
    <t xml:space="preserve"> Kakatiya Cement Sugar &amp; Inds.</t>
  </si>
  <si>
    <t xml:space="preserve"> KALYANI BRAKES LTD</t>
  </si>
  <si>
    <t xml:space="preserve"> Kale Consultants    </t>
  </si>
  <si>
    <t xml:space="preserve"> KALYANI FORGE </t>
  </si>
  <si>
    <t xml:space="preserve"> Kallam Spinning Mills     </t>
  </si>
  <si>
    <t xml:space="preserve"> Ind-Swift       </t>
  </si>
  <si>
    <t>Riddhi Siddhi Gluco Biols Ltd.</t>
  </si>
  <si>
    <t>RPG Transmission Limited</t>
  </si>
  <si>
    <t>8. Calculate the maximum potential risk by computing the net debit of the two option premiums.</t>
  </si>
  <si>
    <t>Gujarat Poly-AVX Electronics Ltd.</t>
  </si>
  <si>
    <t>GUPSYN</t>
  </si>
  <si>
    <t>Gupta Synthetics Ltd.</t>
  </si>
  <si>
    <t xml:space="preserve"> Chennai Petroleum </t>
  </si>
  <si>
    <t xml:space="preserve"> MAHINDRA &amp; MAHINDRA LTD</t>
  </si>
  <si>
    <t>MAHSEA</t>
  </si>
  <si>
    <t>SUNIRO</t>
  </si>
  <si>
    <t xml:space="preserve"> T T K Healthcare       </t>
  </si>
  <si>
    <t>ABAT</t>
  </si>
  <si>
    <t>IBPOWE</t>
  </si>
  <si>
    <t>India Bulls Power</t>
  </si>
  <si>
    <t>MF-Reliance</t>
  </si>
  <si>
    <t>Royale Manor Hotels And Industries Ltd.</t>
  </si>
  <si>
    <t xml:space="preserve">RTEXP </t>
  </si>
  <si>
    <t xml:space="preserve"> Orchid Chemicals &amp; Pharmaceuticals       </t>
  </si>
  <si>
    <t>PANBIO</t>
  </si>
  <si>
    <t xml:space="preserve"> Invinex Laboratories       </t>
  </si>
  <si>
    <t xml:space="preserve"> I P RINGS LTD</t>
  </si>
  <si>
    <t xml:space="preserve"> Isibars     </t>
  </si>
  <si>
    <t xml:space="preserve"> Ispat Industries     </t>
  </si>
  <si>
    <t>Excel Glasses Ltd.</t>
  </si>
  <si>
    <t>FACSTE</t>
  </si>
  <si>
    <t>FLUIDO</t>
  </si>
  <si>
    <t>Fluidomat Ltd.</t>
  </si>
  <si>
    <t>FORHEA</t>
  </si>
  <si>
    <t>GANHOT</t>
  </si>
  <si>
    <t>BMI</t>
  </si>
  <si>
    <t>ZOLT</t>
  </si>
  <si>
    <t xml:space="preserve"> India Foils     </t>
  </si>
  <si>
    <t xml:space="preserve"> Ind-Swift Laboratories       </t>
  </si>
  <si>
    <t>VaR</t>
  </si>
  <si>
    <t xml:space="preserve"> INDIA NIPPON ELECTRICALS LTD</t>
  </si>
  <si>
    <t>Bayer CropScience Ltd.</t>
  </si>
  <si>
    <t>BERPAI</t>
  </si>
  <si>
    <t>Berger Paints (India) Ltd.</t>
  </si>
  <si>
    <t>Bharat Bijlee</t>
  </si>
  <si>
    <t>BHAIND</t>
  </si>
  <si>
    <t>Bilcare Ltd.</t>
  </si>
  <si>
    <t xml:space="preserve">BIR3M </t>
  </si>
  <si>
    <t>3M India Ltd.</t>
  </si>
  <si>
    <t>BOMBUR</t>
  </si>
  <si>
    <t>Infrastructure - funds, cos - construction, cement, metals</t>
  </si>
  <si>
    <t>SAIL, Tata Steel, Sterlite Industries and Hindalco</t>
  </si>
  <si>
    <t>Tata Power</t>
  </si>
  <si>
    <t>PTC and PGC</t>
  </si>
  <si>
    <t>CMC</t>
  </si>
  <si>
    <t xml:space="preserve"> C M C    </t>
  </si>
  <si>
    <t>COLPAL</t>
  </si>
  <si>
    <t>United Breweries (Holdings) Ltd.</t>
  </si>
  <si>
    <t>Universal Cables Ltd.</t>
  </si>
  <si>
    <t>ABHCEM</t>
  </si>
  <si>
    <t>Radico Khaitan Ltd. (New)</t>
  </si>
  <si>
    <t>ASISTA</t>
  </si>
  <si>
    <t>Asian Star Company Ltd.</t>
  </si>
  <si>
    <t>Jewellery</t>
  </si>
  <si>
    <t>ATLLIM</t>
  </si>
  <si>
    <t>Atlanta Ltd.</t>
  </si>
  <si>
    <t>BALDIS</t>
  </si>
  <si>
    <t>Balaji Distilleries Ltd.</t>
  </si>
  <si>
    <t>BESCRO</t>
  </si>
  <si>
    <t>Best &amp; Crompton Engineering Ltd.</t>
  </si>
  <si>
    <t>CABCOR</t>
  </si>
  <si>
    <t>DECPOL</t>
  </si>
  <si>
    <t>DEEFER</t>
  </si>
  <si>
    <t>DEENIT</t>
  </si>
  <si>
    <t xml:space="preserve"> Reliance Communication Ventures Ltd</t>
  </si>
  <si>
    <t xml:space="preserve"> Reliance Industries</t>
  </si>
  <si>
    <t>RENSUG</t>
  </si>
  <si>
    <t>Gandhinagar Hotels Ltd.</t>
  </si>
  <si>
    <t>GANPOL</t>
  </si>
  <si>
    <t>Ganesh Polytex Ltd.</t>
  </si>
  <si>
    <t>GLAFIN</t>
  </si>
  <si>
    <t>SIRO</t>
  </si>
  <si>
    <t>Sirona Dental Systems, Inc.</t>
  </si>
  <si>
    <t>SKX</t>
  </si>
  <si>
    <t>Skechers U.S.A., Inc. Common St</t>
  </si>
  <si>
    <t>SLB</t>
  </si>
  <si>
    <t>Schlumberger N.V. Common Stock</t>
  </si>
  <si>
    <t>SLM</t>
  </si>
  <si>
    <t>iShares Dow Jones US Financial Svc.(ETF)  </t>
  </si>
  <si>
    <t>IYT</t>
  </si>
  <si>
    <t>iShares Dow Jones Transportation Average Index Fun</t>
  </si>
  <si>
    <t>MDCI</t>
  </si>
  <si>
    <t>Medical Action Industries  </t>
  </si>
  <si>
    <t>MOO</t>
  </si>
  <si>
    <t>Market Vectors Agribusiness ETF</t>
  </si>
  <si>
    <t>OSK</t>
  </si>
  <si>
    <t>Oshkosh Corporation  </t>
  </si>
  <si>
    <t>PALL</t>
  </si>
  <si>
    <t>ETFS Physical Palladium Shares</t>
  </si>
  <si>
    <t>PBR</t>
  </si>
  <si>
    <t>Petroleo Brasileiro SA (ADR)  </t>
  </si>
  <si>
    <t>PKX</t>
  </si>
  <si>
    <t>POSCO (ADR)  </t>
  </si>
  <si>
    <t>PRS</t>
  </si>
  <si>
    <t>Primus Guaranty, Ltd.  </t>
  </si>
  <si>
    <t>PRSC</t>
  </si>
  <si>
    <t>The Providence Service Corporation  </t>
  </si>
  <si>
    <t>REMX</t>
  </si>
  <si>
    <t>Market Vectors Rare Earth/Strategic Metals ETF</t>
  </si>
  <si>
    <t>SORL</t>
  </si>
  <si>
    <t>Sorl Auto Parts, Inc.  </t>
  </si>
  <si>
    <t>SSL</t>
  </si>
  <si>
    <t>Sasol Limited (ADR)  </t>
  </si>
  <si>
    <t>STX</t>
  </si>
  <si>
    <t>Seagate Technology PLC  </t>
  </si>
  <si>
    <t>TAYD</t>
  </si>
  <si>
    <t>Taylor Devices, Inc.  </t>
  </si>
  <si>
    <t>TPC</t>
  </si>
  <si>
    <t>Tutor Perini Corporation  </t>
  </si>
  <si>
    <t>TSTC</t>
  </si>
  <si>
    <t>Telestone Technologies Corporation  </t>
  </si>
  <si>
    <t>UFPT</t>
  </si>
  <si>
    <t>UFP Technologies, Inc.  </t>
  </si>
  <si>
    <t>VWO</t>
  </si>
  <si>
    <t>Vanguard Emerging Market ETF</t>
  </si>
  <si>
    <t>ZNH</t>
  </si>
  <si>
    <t xml:space="preserve"> Gillette India      </t>
  </si>
  <si>
    <t>Integrated Finance Company Ltd.</t>
  </si>
  <si>
    <t>JALIND</t>
  </si>
  <si>
    <t>Jalpac India Ltd.</t>
  </si>
  <si>
    <t>JAYDYE</t>
  </si>
  <si>
    <t>MAIFIB</t>
  </si>
  <si>
    <t>MAJAUT</t>
  </si>
  <si>
    <t>4.  calculate terminal Value - modify the model and discount it back to Cost of Equity (for FCFE).. Done</t>
  </si>
  <si>
    <t>Open Table</t>
  </si>
  <si>
    <t>SIRI</t>
  </si>
  <si>
    <t>Sirius XM Radio</t>
  </si>
  <si>
    <t>TEVA</t>
  </si>
  <si>
    <t>Teva Pharma</t>
  </si>
  <si>
    <t>TNH</t>
  </si>
  <si>
    <t>Terra Nitrogen</t>
  </si>
  <si>
    <t>VALE</t>
  </si>
  <si>
    <t>1. Look for a moderately bullish market where you anticipate a modest increase in the price of the underlying stock-not a large move.</t>
  </si>
  <si>
    <t>2. Check to see if this stock has options.</t>
  </si>
  <si>
    <t>Security Transaction Tax For 2005/08/22</t>
  </si>
  <si>
    <t>12 </t>
  </si>
  <si>
    <t>Service Tax For 2005/08/22</t>
  </si>
  <si>
    <t>13 </t>
  </si>
  <si>
    <t>23/08/2005</t>
  </si>
  <si>
    <t>BHEL</t>
  </si>
  <si>
    <t>Satyam</t>
  </si>
  <si>
    <t>HDFC</t>
  </si>
  <si>
    <t>ALBDAV</t>
  </si>
  <si>
    <t>ALKSPI</t>
  </si>
  <si>
    <t>ALOTEX</t>
  </si>
  <si>
    <t>AMASPI</t>
  </si>
  <si>
    <t>AMBSAR</t>
  </si>
  <si>
    <t>AMFIND</t>
  </si>
  <si>
    <t xml:space="preserve"> Mahavir Spinning Mills     </t>
  </si>
  <si>
    <t>SUPSAL</t>
  </si>
  <si>
    <t>NOVART</t>
  </si>
  <si>
    <t xml:space="preserve"> Novartis India       </t>
  </si>
  <si>
    <t>NTPC</t>
  </si>
  <si>
    <t xml:space="preserve"> NTPC</t>
  </si>
  <si>
    <t>OCLIND</t>
  </si>
  <si>
    <t xml:space="preserve"> N G L Fine-Chem       </t>
  </si>
  <si>
    <t xml:space="preserve"> Nirlon     </t>
  </si>
  <si>
    <t xml:space="preserve"> Nirma      </t>
  </si>
  <si>
    <t>BENTE</t>
  </si>
  <si>
    <t>BFUTI</t>
  </si>
  <si>
    <t>BHAAUT</t>
  </si>
  <si>
    <t>BHAGEA</t>
  </si>
  <si>
    <t>BHAHOS</t>
  </si>
  <si>
    <t>BHAIMM</t>
  </si>
  <si>
    <t>IDFC</t>
  </si>
  <si>
    <t>RELIANCE COMMUNICATIONS LIMITED</t>
  </si>
  <si>
    <t>RELIANCE NATURAL RESOURCES LIMITED</t>
  </si>
  <si>
    <t>ICIBAN</t>
  </si>
  <si>
    <t>RELPET</t>
  </si>
  <si>
    <t>Equifax, Inc. Common Stock</t>
  </si>
  <si>
    <t>EIX</t>
  </si>
  <si>
    <t>Edison International Common Sto</t>
  </si>
  <si>
    <t>EK</t>
  </si>
  <si>
    <t>Eastman Kodak Company Common St</t>
  </si>
  <si>
    <t>Complete Production Services, I</t>
  </si>
  <si>
    <t>TNS</t>
  </si>
  <si>
    <t>TNS, Inc. Common Stock</t>
  </si>
  <si>
    <t>WWIN</t>
  </si>
  <si>
    <t>Winner Medical Group Inc. New</t>
  </si>
  <si>
    <t>INWK</t>
  </si>
  <si>
    <t>InnerWorkings, Inc.</t>
  </si>
  <si>
    <t>BPZ</t>
  </si>
  <si>
    <t>BPZ Resources, Inc Common Stock</t>
  </si>
  <si>
    <t>AM</t>
  </si>
  <si>
    <t>American Greetings Corporation</t>
  </si>
  <si>
    <t>GLDD</t>
  </si>
  <si>
    <t>Communication Equipment</t>
  </si>
  <si>
    <t>FedEx Corporation Common Stock</t>
  </si>
  <si>
    <t>FE</t>
  </si>
  <si>
    <t>FirstEnergy Corporation Common</t>
  </si>
  <si>
    <t>FHN</t>
  </si>
  <si>
    <t>First Horizon National Corporat</t>
  </si>
  <si>
    <t>FII</t>
  </si>
  <si>
    <t>Federated Investors, Inc. Commo</t>
  </si>
  <si>
    <t>FIS</t>
  </si>
  <si>
    <t>Fidelity National Information S</t>
  </si>
  <si>
    <t>FISV</t>
  </si>
  <si>
    <t>Fiserv, Inc.</t>
  </si>
  <si>
    <t>FITB</t>
  </si>
  <si>
    <t>Fifth Third Bancorp</t>
  </si>
  <si>
    <t>FLIR</t>
  </si>
  <si>
    <t>FLIR Systems, Inc.</t>
  </si>
  <si>
    <t>FMC</t>
  </si>
  <si>
    <t xml:space="preserve"> YUKEN INDIA LTD</t>
  </si>
  <si>
    <t xml:space="preserve"> Zandu Pharmaceutical Works       </t>
  </si>
  <si>
    <t>ROC</t>
  </si>
  <si>
    <t xml:space="preserve"> Suryavanshi Spinning Mills     </t>
  </si>
  <si>
    <t xml:space="preserve"> Surat Textile Mills     </t>
  </si>
  <si>
    <t>DATSYS</t>
  </si>
  <si>
    <t>DAUSEC</t>
  </si>
  <si>
    <t>DAWMIL</t>
  </si>
  <si>
    <t>DCLFIN</t>
  </si>
  <si>
    <t>KIROIL</t>
  </si>
  <si>
    <t>Affiliated Managers Group, Inc.</t>
  </si>
  <si>
    <t>AMN</t>
  </si>
  <si>
    <t>Ameron International Corporatio</t>
  </si>
  <si>
    <t>AMP</t>
  </si>
  <si>
    <t>Constellation Brands, Inc. Comm</t>
  </si>
  <si>
    <t>SVU</t>
  </si>
  <si>
    <t>SuperValu Inc. Common Stock</t>
  </si>
  <si>
    <t>SWY</t>
  </si>
  <si>
    <t>Safeway Inc. Common Stock</t>
  </si>
  <si>
    <t>SYMC</t>
  </si>
  <si>
    <t>Symantec Corporation</t>
  </si>
  <si>
    <t>TAP</t>
  </si>
  <si>
    <t>Molson Coors Brewing Company Cl</t>
  </si>
  <si>
    <t>TDC</t>
  </si>
  <si>
    <t>Teradata Corporation Common Sto</t>
  </si>
  <si>
    <t>TE</t>
  </si>
  <si>
    <t>TECO Energy, Inc. Common Stock</t>
  </si>
  <si>
    <t>TEG</t>
  </si>
  <si>
    <t>Integrys Energy Group, Inc. Com</t>
  </si>
  <si>
    <t>TER</t>
  </si>
  <si>
    <t>Teradyne, Inc. Common Stock</t>
  </si>
  <si>
    <t>THC</t>
  </si>
  <si>
    <t>Tenet Healthcare Corporation Co</t>
  </si>
  <si>
    <t>TLAB</t>
  </si>
  <si>
    <t>Tellabs, Inc.</t>
  </si>
  <si>
    <t>TMO</t>
  </si>
  <si>
    <t>6. Choose a lower strike call to buy and a higher strike call to sell with the same expiration date.</t>
  </si>
  <si>
    <t xml:space="preserve"> Kerala Ayurveda Pharmacy       </t>
  </si>
  <si>
    <t xml:space="preserve"> Kesar Enterprises</t>
  </si>
  <si>
    <t xml:space="preserve"> Kewal Kiran Clothing Ltd</t>
  </si>
  <si>
    <t xml:space="preserve"> K G Denim     </t>
  </si>
  <si>
    <t xml:space="preserve"> Kilitch Drugs (India)       </t>
  </si>
  <si>
    <t xml:space="preserve"> KINETIC ENGINEERING LTD</t>
  </si>
  <si>
    <t xml:space="preserve"> KINETIC MOTOR CO. LTD</t>
  </si>
  <si>
    <t xml:space="preserve"> K L G Systel    </t>
  </si>
  <si>
    <t xml:space="preserve"> Abbott India       </t>
  </si>
  <si>
    <t>Transworld Infotech Ltd.</t>
  </si>
  <si>
    <t>UNIINF</t>
  </si>
  <si>
    <t xml:space="preserve"> Jagran Prakashan Ltd</t>
  </si>
  <si>
    <t>HINNAT</t>
  </si>
  <si>
    <t>3.  Think EPS is same as Net Income so need not deduct interest and taxes</t>
  </si>
  <si>
    <t>Power Grid</t>
  </si>
  <si>
    <t>ASTC</t>
  </si>
  <si>
    <t>Astrotech</t>
  </si>
  <si>
    <t>CEU</t>
  </si>
  <si>
    <t>China Education Alliance</t>
  </si>
  <si>
    <t>DDRX</t>
  </si>
  <si>
    <t>TECO</t>
  </si>
  <si>
    <t>TJX</t>
  </si>
  <si>
    <t>Deluxe Corporation Common Stock</t>
  </si>
  <si>
    <t>DM</t>
  </si>
  <si>
    <t>Dolan Company (The) Common Stoc</t>
  </si>
  <si>
    <t>DNR</t>
  </si>
  <si>
    <t>Denbury Resources, Inc. ( Holdi</t>
  </si>
  <si>
    <t>DST</t>
  </si>
  <si>
    <t>DST Systems, Inc. Common Stock</t>
  </si>
  <si>
    <t>DSW</t>
  </si>
  <si>
    <t>MYFELL</t>
  </si>
  <si>
    <t>Hindusthan National Glass &amp; Industries Ltd.</t>
  </si>
  <si>
    <t>HINOIL</t>
  </si>
  <si>
    <t>DSW Inc. Common Stock</t>
  </si>
  <si>
    <t>DUF</t>
  </si>
  <si>
    <t>Duff &amp; Phelps Corporation Class</t>
  </si>
  <si>
    <t>DW</t>
  </si>
  <si>
    <t>Drew Industries Incorporated Co</t>
  </si>
  <si>
    <t>DY</t>
  </si>
  <si>
    <t>Dycom Industries, Inc. Common S</t>
  </si>
  <si>
    <t>EBF</t>
  </si>
  <si>
    <t>Ennis, Inc. Common Stock</t>
  </si>
  <si>
    <t>ECPG</t>
  </si>
  <si>
    <t>Encore Capital Group Inc</t>
  </si>
  <si>
    <t>EEFT</t>
  </si>
  <si>
    <t>Euronet Worldwide, Inc.</t>
  </si>
  <si>
    <t>ENR</t>
  </si>
  <si>
    <t>Energizer Holdings, Inc. Common</t>
  </si>
  <si>
    <t>ENS</t>
  </si>
  <si>
    <t>Enersys Common Stock</t>
  </si>
  <si>
    <t>EPR</t>
  </si>
  <si>
    <t>Entertainment Properties Trust</t>
  </si>
  <si>
    <t>EQIX</t>
  </si>
  <si>
    <t>Equinix, Inc.</t>
  </si>
  <si>
    <t>ES</t>
  </si>
  <si>
    <t>AVNR101218C00006000</t>
  </si>
  <si>
    <t>EJ110219C00016000</t>
  </si>
  <si>
    <t>SHADRU</t>
  </si>
  <si>
    <t>Diana Tea Company Ltd</t>
  </si>
  <si>
    <t>CUMI</t>
  </si>
  <si>
    <t>Castrol India Ltd</t>
  </si>
  <si>
    <t>Centuary</t>
  </si>
  <si>
    <t>Crisil</t>
  </si>
  <si>
    <t>Ashco Industries Ltd.</t>
  </si>
  <si>
    <t>Deccan Aviation</t>
  </si>
  <si>
    <t>Gujarat Mineral Development Corporation Ltd.</t>
  </si>
  <si>
    <t xml:space="preserve">4. Past Annualized growth rate of stock price to be more than market return on equities or (Economy growth rate + Inflation) </t>
  </si>
  <si>
    <t xml:space="preserve"> Konark Synthetic     </t>
  </si>
  <si>
    <t xml:space="preserve"> Kopran       </t>
  </si>
  <si>
    <t xml:space="preserve"> Kovilpatti Lakshmi Roller Flour Mills     </t>
  </si>
  <si>
    <t xml:space="preserve"> Krebs Biochemicals &amp; Inds.       </t>
  </si>
  <si>
    <t xml:space="preserve"> K S B Pumps     </t>
  </si>
  <si>
    <t xml:space="preserve"> Lakshmi Mills Co.     </t>
  </si>
  <si>
    <t xml:space="preserve"> Trigyn Technologies    </t>
  </si>
  <si>
    <t xml:space="preserve"> Lincoln Pharmaceuticals       </t>
  </si>
  <si>
    <t xml:space="preserve"> Li Taka Pharmaceuticals       </t>
  </si>
  <si>
    <t xml:space="preserve"> Lloyds Metals &amp; Engineers     </t>
  </si>
  <si>
    <t>AMAREM</t>
  </si>
  <si>
    <t>SELECT Companysnap.icicicode, FirmData.firmname, Companysnap.actual, Companysnap.EPS1, Companysnap.EPS2, FirmData.LTP, Companysnap.ClosePrice, Companysnap.DividendYield,Companysnap.LastUpdated</t>
  </si>
  <si>
    <t>7. Accounting for Dividends (Dividend yield = Div/share divided by Price/share)</t>
  </si>
  <si>
    <t>Gujarat Fluorochemicals Ltd.</t>
  </si>
  <si>
    <t xml:space="preserve">HEG </t>
  </si>
  <si>
    <t>HEG Ltd.</t>
  </si>
  <si>
    <t>HIMANI</t>
  </si>
  <si>
    <t>TORGUJ</t>
  </si>
  <si>
    <t>TRANSC</t>
  </si>
  <si>
    <t xml:space="preserve"> Steel Authority Of India     </t>
  </si>
  <si>
    <t xml:space="preserve"> Satyam Computer Services    </t>
  </si>
  <si>
    <t>SAWPIP</t>
  </si>
  <si>
    <t xml:space="preserve"> Saw Pipes     </t>
  </si>
  <si>
    <t>SCI</t>
  </si>
  <si>
    <t xml:space="preserve"> Shipping Corpn. Of India </t>
  </si>
  <si>
    <t>SHAGEA</t>
  </si>
  <si>
    <t xml:space="preserve"> SHANTHI GEARS LTD</t>
  </si>
  <si>
    <t xml:space="preserve"> Shree Cement</t>
  </si>
  <si>
    <t>SKFBEA</t>
  </si>
  <si>
    <t xml:space="preserve"> S K F India     </t>
  </si>
  <si>
    <t>SKUMAR</t>
  </si>
  <si>
    <t xml:space="preserve"> S Kumars Nationwide     </t>
  </si>
  <si>
    <t>SMIBC</t>
  </si>
  <si>
    <t xml:space="preserve"> Glaxosmithkline Consumer Healthcare      </t>
  </si>
  <si>
    <t xml:space="preserve">ALLC </t>
  </si>
  <si>
    <t>ANDPET</t>
  </si>
  <si>
    <t>ASIHOT</t>
  </si>
  <si>
    <t>BALECO</t>
  </si>
  <si>
    <t>BANMAH</t>
  </si>
  <si>
    <t>RINO.PK</t>
  </si>
  <si>
    <t>Value1</t>
  </si>
  <si>
    <t>Value3</t>
  </si>
  <si>
    <t>^DJI</t>
  </si>
  <si>
    <t>US</t>
  </si>
  <si>
    <t>^GSPC</t>
  </si>
  <si>
    <t>^IXIC</t>
  </si>
  <si>
    <t>^TYX</t>
  </si>
  <si>
    <t>Alcoa</t>
  </si>
  <si>
    <t>AXP</t>
  </si>
  <si>
    <t xml:space="preserve"> Venus Remedies       </t>
  </si>
  <si>
    <t>Franklin%20India%20Prima</t>
  </si>
  <si>
    <t>HDFC%20premier</t>
  </si>
  <si>
    <t>Equity</t>
  </si>
  <si>
    <t>Open</t>
  </si>
  <si>
    <t>SMILE growth/div?</t>
  </si>
  <si>
    <t>ABT</t>
  </si>
  <si>
    <t>SADENG</t>
  </si>
  <si>
    <t>Ecoboard Industries Ltd.</t>
  </si>
  <si>
    <t>Abee Info Consumables Ltd.</t>
  </si>
  <si>
    <t>Andhra Petrochemicals Ltd.</t>
  </si>
  <si>
    <t>Andhra Pradesh Paper Mills Ltd.</t>
  </si>
  <si>
    <t>ANG Auto Ltd.</t>
  </si>
  <si>
    <t xml:space="preserve"> SCOOTERS INDIA </t>
  </si>
  <si>
    <t>GSIC</t>
  </si>
  <si>
    <t>GSI Commerce</t>
  </si>
  <si>
    <t>International Coal Group, Inc.</t>
  </si>
  <si>
    <t>IDSA</t>
  </si>
  <si>
    <t>Industrial Services of America,</t>
  </si>
  <si>
    <t>IDTI</t>
  </si>
  <si>
    <t>Integrated Device Technology, I</t>
  </si>
  <si>
    <t>IHG</t>
  </si>
  <si>
    <t>Intercontinental Hotels Group P</t>
  </si>
  <si>
    <t>IILG</t>
  </si>
  <si>
    <t>Interval Leisure Group, Inc.</t>
  </si>
  <si>
    <t>IIT</t>
  </si>
  <si>
    <t>PT Indosat TBK American Deposit</t>
  </si>
  <si>
    <t>IIVI</t>
  </si>
  <si>
    <t>II-VI Incorporated</t>
  </si>
  <si>
    <t>IM</t>
  </si>
  <si>
    <t>Ingram Micro Inc. Common Stock</t>
  </si>
  <si>
    <t>IMKTA</t>
  </si>
  <si>
    <t>Ingles Markets, Incorporated</t>
  </si>
  <si>
    <t>INSU</t>
  </si>
  <si>
    <t>Insituform Technologies, Inc.</t>
  </si>
  <si>
    <t>IPCM</t>
  </si>
  <si>
    <t>IPC The Hospitalist Company, In</t>
  </si>
  <si>
    <t>IPG</t>
  </si>
  <si>
    <t>Interpublic Group of Companies,</t>
  </si>
  <si>
    <t>IRS</t>
  </si>
  <si>
    <t>IRSA Inversiones Y Representaci</t>
  </si>
  <si>
    <t>ITUB</t>
  </si>
  <si>
    <t>Itau Unibanco Banco Holding SA</t>
  </si>
  <si>
    <t>ITW</t>
  </si>
  <si>
    <t>Illinois Tool Works Inc. Common</t>
  </si>
  <si>
    <t>IX</t>
  </si>
  <si>
    <t>Orix Corp Ads Common Stock</t>
  </si>
  <si>
    <t>JAH</t>
  </si>
  <si>
    <t>Jarden Corporation Common Stock</t>
  </si>
  <si>
    <t>JAS</t>
  </si>
  <si>
    <t>Jo-Ann Stores, Inc. Common Stoc</t>
  </si>
  <si>
    <t>JBL</t>
  </si>
  <si>
    <t>Jabil Circuit, Inc. Common Stoc</t>
  </si>
  <si>
    <t>JCI</t>
  </si>
  <si>
    <t>Johnson Controls, Inc. Common S</t>
  </si>
  <si>
    <t>JDAS</t>
  </si>
  <si>
    <t>JDA Software Group, Inc.</t>
  </si>
  <si>
    <t>JHX</t>
  </si>
  <si>
    <t>James Hardie Industries SE NV A</t>
  </si>
  <si>
    <t>JRCC</t>
  </si>
  <si>
    <t>James River Coal Company</t>
  </si>
  <si>
    <t>KAI</t>
  </si>
  <si>
    <t>Kadant Inc Common Stock</t>
  </si>
  <si>
    <t>KAMN</t>
  </si>
  <si>
    <t>Kaman Corporation</t>
  </si>
  <si>
    <t>KBR</t>
  </si>
  <si>
    <t>KBR, Inc. Common Stock</t>
  </si>
  <si>
    <t>KFRC</t>
  </si>
  <si>
    <t>Kforce, Inc.</t>
  </si>
  <si>
    <t>KFY</t>
  </si>
  <si>
    <t>Korn/Ferry International Common</t>
  </si>
  <si>
    <t>KID</t>
  </si>
  <si>
    <t>Kid Brands, Inc.</t>
  </si>
  <si>
    <t>KIRK</t>
  </si>
  <si>
    <t>Kirkland's, Inc.</t>
  </si>
  <si>
    <t>KKD</t>
  </si>
  <si>
    <t>Krispy Kreme Doughnuts, Inc. Co</t>
  </si>
  <si>
    <t>KNL</t>
  </si>
  <si>
    <t>Knoll, Inc. Common Stock</t>
  </si>
  <si>
    <t>KNOL</t>
  </si>
  <si>
    <t>Knology, Inc.</t>
  </si>
  <si>
    <t>KS</t>
  </si>
  <si>
    <t>KapStone Paper and Packaging Co</t>
  </si>
  <si>
    <t>KSU</t>
  </si>
  <si>
    <t>Kansas City Southern Common Sto</t>
  </si>
  <si>
    <t>KTOS</t>
  </si>
  <si>
    <t>Genzyme Corporation</t>
  </si>
  <si>
    <t>GILD</t>
  </si>
  <si>
    <t>Gilead Sciences, Inc.</t>
  </si>
  <si>
    <t>GIS</t>
  </si>
  <si>
    <t>General Mills, Inc. Common Stoc</t>
  </si>
  <si>
    <t>GNW</t>
  </si>
  <si>
    <t>Genworth Financial Inc Common S</t>
  </si>
  <si>
    <t>GPC</t>
  </si>
  <si>
    <t>Genuine Parts Company Common St</t>
  </si>
  <si>
    <t>GT</t>
  </si>
  <si>
    <t>Goodyear Tire &amp; Rubber Company</t>
  </si>
  <si>
    <t>GWW</t>
  </si>
  <si>
    <t>W.W. Grainger, Inc. Common Stoc</t>
  </si>
  <si>
    <t>HAR</t>
  </si>
  <si>
    <t>Harman International Industries</t>
  </si>
  <si>
    <t>HAS</t>
  </si>
  <si>
    <t>Hasbro, Inc. Common Stock</t>
  </si>
  <si>
    <t>HBAN</t>
  </si>
  <si>
    <t>Huntington Bancshares Incorpora</t>
  </si>
  <si>
    <t>HCBK</t>
  </si>
  <si>
    <t>Hudson City Bancorp, Inc.</t>
  </si>
  <si>
    <t>HCN</t>
  </si>
  <si>
    <t>NIITEC</t>
  </si>
  <si>
    <t>OILCOU</t>
  </si>
  <si>
    <t>PLEPHA</t>
  </si>
  <si>
    <t>PURPRO</t>
  </si>
  <si>
    <t>SAGCEM</t>
  </si>
  <si>
    <t>SANDES</t>
  </si>
  <si>
    <t>Sasken Communication Technologies Ltd.</t>
  </si>
  <si>
    <t>Savita Chemicals Ltd.</t>
  </si>
  <si>
    <t>EnergySolutions Inc Common Stoc</t>
  </si>
  <si>
    <t>ESL</t>
  </si>
  <si>
    <t>Esterline Technologies Corporat</t>
  </si>
  <si>
    <t>FCFS</t>
  </si>
  <si>
    <t>First Cash Financial Services,</t>
  </si>
  <si>
    <t>FEIC</t>
  </si>
  <si>
    <t>FEI Company</t>
  </si>
  <si>
    <t>FINL</t>
  </si>
  <si>
    <t>The Finish Line, Inc.</t>
  </si>
  <si>
    <t>FLR</t>
  </si>
  <si>
    <t>Fluor Corporation Common Stock</t>
  </si>
  <si>
    <t>FLS</t>
  </si>
  <si>
    <t>Bombay Burmah Trading Corporation Ltd.</t>
  </si>
  <si>
    <t>BPL</t>
  </si>
  <si>
    <t>CAIIND</t>
  </si>
  <si>
    <t>Cairn India Ltd.</t>
  </si>
  <si>
    <t>Jaypee Hotels Ltd.</t>
  </si>
  <si>
    <t>JYOLAB</t>
  </si>
  <si>
    <t>Jyothy Laboratories Ltd.</t>
  </si>
  <si>
    <t>KALSEA</t>
  </si>
  <si>
    <t>Kalyani Steels Ltd.</t>
  </si>
  <si>
    <t>KHOIND</t>
  </si>
  <si>
    <t xml:space="preserve"> A P M Industries     </t>
  </si>
  <si>
    <t>3IINFO</t>
  </si>
  <si>
    <t>3i Infotech Ltd.</t>
  </si>
  <si>
    <t>ALLDIG</t>
  </si>
  <si>
    <t>Allied Digital Services Ltd.</t>
  </si>
  <si>
    <t>ALLGLO</t>
  </si>
  <si>
    <t>Allcargo Global Logistics Ltd.</t>
  </si>
  <si>
    <t xml:space="preserve">ANAFI </t>
  </si>
  <si>
    <t>Vipul Ltd.</t>
  </si>
  <si>
    <t>ANARAJ</t>
  </si>
  <si>
    <t>Anant Raj Industries Ltd.</t>
  </si>
  <si>
    <t>ANSPRO</t>
  </si>
  <si>
    <t>Ansal Properties &amp; Infrastructure Ltd.</t>
  </si>
  <si>
    <t>ASHMIN</t>
  </si>
  <si>
    <t>Ashapura Minechem Ltd.</t>
  </si>
  <si>
    <t>ASIELE</t>
  </si>
  <si>
    <t>Asian Electronics Ltd.</t>
  </si>
  <si>
    <t>Patel integrated</t>
  </si>
  <si>
    <t>AANGRA</t>
  </si>
  <si>
    <t>AASIND</t>
  </si>
  <si>
    <t>AASSEC</t>
  </si>
  <si>
    <t>AASTRA</t>
  </si>
  <si>
    <t>ABCIND</t>
  </si>
  <si>
    <t>ABEPRI</t>
  </si>
  <si>
    <t>ABGHEA</t>
  </si>
  <si>
    <t>ABGSHI</t>
  </si>
  <si>
    <t>NITCO Tiles Limited</t>
  </si>
  <si>
    <t>Noida Toll Bridge Company Limited</t>
  </si>
  <si>
    <t>Oriental Bank of Commerce</t>
  </si>
  <si>
    <t>brokers</t>
  </si>
  <si>
    <t xml:space="preserve"> Zenith Computers    </t>
  </si>
  <si>
    <t xml:space="preserve"> Zenith Exports     </t>
  </si>
  <si>
    <t xml:space="preserve"> Zenith Fibres     </t>
  </si>
  <si>
    <t xml:space="preserve">IN302679-33363606 </t>
  </si>
  <si>
    <t>Sell</t>
  </si>
  <si>
    <t>POLSOF</t>
  </si>
  <si>
    <t>APTECH</t>
  </si>
  <si>
    <t>BIOCON</t>
  </si>
  <si>
    <t>S. No.</t>
  </si>
  <si>
    <t>18. Check Beta of Firms that give out growth in earnings as dividends making stock price unchanged, take Beta of sector?</t>
  </si>
  <si>
    <t xml:space="preserve"> Sun Pharmaceutical Inds.       </t>
  </si>
  <si>
    <t>SUPENG</t>
  </si>
  <si>
    <t xml:space="preserve"> SUPRAJIT ENGINEERING LTD</t>
  </si>
  <si>
    <t>KALFOR</t>
  </si>
  <si>
    <t>NEP</t>
  </si>
  <si>
    <t>NGS</t>
  </si>
  <si>
    <t>NOG</t>
  </si>
  <si>
    <t>OFG</t>
  </si>
  <si>
    <t>ONTY</t>
  </si>
  <si>
    <t>PETD</t>
  </si>
  <si>
    <t>PWRD</t>
  </si>
  <si>
    <t>Maximum Profit = Limited to the difference between the strikes minus the net debit</t>
  </si>
  <si>
    <t>Cerus Corporation</t>
  </si>
  <si>
    <t>CRTP</t>
  </si>
  <si>
    <t>China Ritar Power Corp.</t>
  </si>
  <si>
    <t>NANO</t>
  </si>
  <si>
    <t>Nanometrics Incorporated</t>
  </si>
  <si>
    <t>ENG</t>
  </si>
  <si>
    <t>ENGlobal Corporation</t>
  </si>
  <si>
    <t>CAR</t>
  </si>
  <si>
    <t>Avis Budget Group, Inc. Common</t>
  </si>
  <si>
    <t>TRGT</t>
  </si>
  <si>
    <t>Targacept, Inc.</t>
  </si>
  <si>
    <t>XIDE</t>
  </si>
  <si>
    <t>Exide Technologies</t>
  </si>
  <si>
    <t>IO</t>
  </si>
  <si>
    <t>Ion Geophysical Corporation Com</t>
  </si>
  <si>
    <t>CVO</t>
  </si>
  <si>
    <t>Adobe</t>
  </si>
  <si>
    <t>XOM111022P00090000</t>
  </si>
  <si>
    <t xml:space="preserve"> Arvind Mills     </t>
  </si>
  <si>
    <t>Gujarat NRE Coke Ltd.</t>
  </si>
  <si>
    <t>ATLTEX</t>
  </si>
  <si>
    <t>AURPAP</t>
  </si>
  <si>
    <t>Aurangabad Paper Mills Ltd.</t>
  </si>
  <si>
    <t>AUTOIN</t>
  </si>
  <si>
    <t>BALTEC</t>
  </si>
  <si>
    <t>Bala Techno Synthetics Ltd.</t>
  </si>
  <si>
    <t>BATLIB</t>
  </si>
  <si>
    <t>BCLFOR</t>
  </si>
  <si>
    <t>BCL Forgings Ltd.</t>
  </si>
  <si>
    <t>BELCER</t>
  </si>
  <si>
    <t>Bell Ceramics Ltd.</t>
  </si>
  <si>
    <t>BESEAS</t>
  </si>
  <si>
    <t>Best Eastern Hotels Ltd.</t>
  </si>
  <si>
    <t xml:space="preserve">BPL </t>
  </si>
  <si>
    <t>BRIBRO</t>
  </si>
  <si>
    <t>ALGN</t>
  </si>
  <si>
    <t>MF-Kotak</t>
  </si>
  <si>
    <t>MF-Franklin</t>
  </si>
  <si>
    <t>Alexcon Extrusion Ltd.</t>
  </si>
  <si>
    <t>Sundaram Finance Ltd.</t>
  </si>
  <si>
    <t>TECELE</t>
  </si>
  <si>
    <t>ATP</t>
  </si>
  <si>
    <t>CCJ</t>
  </si>
  <si>
    <t>GROW</t>
  </si>
  <si>
    <t>US Global Investors</t>
  </si>
  <si>
    <t xml:space="preserve"> Maars Software</t>
  </si>
  <si>
    <t xml:space="preserve"> Mafatlal Industries     </t>
  </si>
  <si>
    <t xml:space="preserve"> MAHARASHTRA SCOOTERS LTD</t>
  </si>
  <si>
    <t>2. Earnings growth rate (Value addition) past + future to be more than Nomial Economy Growth Rate , Good Earnings growth 30% or more: No Negative surprise in earnings</t>
  </si>
  <si>
    <t>GE</t>
  </si>
  <si>
    <t>SNE</t>
  </si>
  <si>
    <t>BIDU</t>
  </si>
  <si>
    <t xml:space="preserve"> Samtex Fashions     </t>
  </si>
  <si>
    <t>Online Trf for Net Payin from Bank A/c 0041050117564</t>
  </si>
  <si>
    <t>6 </t>
  </si>
  <si>
    <t>16/08/2005</t>
  </si>
  <si>
    <t>Consolidated Graphics, Inc. Com</t>
  </si>
  <si>
    <t>CHGS</t>
  </si>
  <si>
    <t>Market Opportunity = Look for a bearish market where you anticipate a fall in the price of the underlying stock below the breakeven</t>
  </si>
  <si>
    <t>IAG</t>
  </si>
  <si>
    <t>Kesoram Industries Ltd.</t>
  </si>
  <si>
    <t>DK Chemo-Plast Ltd</t>
  </si>
  <si>
    <t>SATISP</t>
  </si>
  <si>
    <t>TATINV</t>
  </si>
  <si>
    <t>TELDAT</t>
  </si>
  <si>
    <t>TUDIND</t>
  </si>
  <si>
    <t>UNIBRE</t>
  </si>
  <si>
    <t>WYELED</t>
  </si>
  <si>
    <t>ZEENEW</t>
  </si>
  <si>
    <t>ZUAIND</t>
  </si>
  <si>
    <t>SONSOF</t>
  </si>
  <si>
    <t>Aarey Drugs &amp; Pharmaceuticals Ltd.</t>
  </si>
  <si>
    <t>Aashi Industries Ltd.</t>
  </si>
  <si>
    <t>Aasheesh Securities Ltd.</t>
  </si>
  <si>
    <t>Aaswa Trading &amp; Exports Ltd.</t>
  </si>
  <si>
    <t>ABC India Ltd.</t>
  </si>
  <si>
    <t>JATFIN</t>
  </si>
  <si>
    <t>JATPOL</t>
  </si>
  <si>
    <t>JAYBUS</t>
  </si>
  <si>
    <t>JAYELE</t>
  </si>
  <si>
    <t>JAYPAP</t>
  </si>
  <si>
    <t>JAYSAR</t>
  </si>
  <si>
    <t>JBMTOO</t>
  </si>
  <si>
    <t>JEMIND</t>
  </si>
  <si>
    <t>JENNFS</t>
  </si>
  <si>
    <t>JENNIC</t>
  </si>
  <si>
    <t xml:space="preserve">JFLAB </t>
  </si>
  <si>
    <t>JHACRE</t>
  </si>
  <si>
    <t>JHAINV</t>
  </si>
  <si>
    <t>JINCAP</t>
  </si>
  <si>
    <t>JINDRI</t>
  </si>
  <si>
    <t>JINIRO</t>
  </si>
  <si>
    <t>JJFINC</t>
  </si>
  <si>
    <t>JKCEME</t>
  </si>
  <si>
    <t>Bartronics India Limited</t>
  </si>
  <si>
    <t xml:space="preserve"> Indian Rayon &amp; Inds. Ltd.</t>
  </si>
  <si>
    <t xml:space="preserve"> Infotech Enterprises    </t>
  </si>
  <si>
    <t>DividendYield</t>
  </si>
  <si>
    <t>Aankit Granites Ltd.</t>
  </si>
  <si>
    <t xml:space="preserve"> Zodiac Clothing Co.     </t>
  </si>
  <si>
    <t>DATIND</t>
  </si>
  <si>
    <t>DATSWI</t>
  </si>
  <si>
    <t>LLOMET</t>
  </si>
  <si>
    <t>LLOSTE</t>
  </si>
  <si>
    <t>LML</t>
  </si>
  <si>
    <t>LOYTEX</t>
  </si>
  <si>
    <t>LUMIND</t>
  </si>
  <si>
    <t>LYKLAB</t>
  </si>
  <si>
    <t>MAFIND</t>
  </si>
  <si>
    <t>MAHSCO</t>
  </si>
  <si>
    <t>PEGA</t>
  </si>
  <si>
    <t>SPIC</t>
  </si>
  <si>
    <t>SRMT</t>
  </si>
  <si>
    <t>STC</t>
  </si>
  <si>
    <t>SWIL</t>
  </si>
  <si>
    <t>ZENCOM</t>
  </si>
  <si>
    <t>Aditya Ispat Ltd.</t>
  </si>
  <si>
    <t>Aditya Polymers Ltd.</t>
  </si>
  <si>
    <t>Adi Rasayan Ltd.</t>
  </si>
  <si>
    <t>Advance Multitech Ltd.</t>
  </si>
  <si>
    <t xml:space="preserve">LEFT JOIN `C:\Vishal\Projects\FirmFinancials\portfolio`.FirmData FirmData ON Companysnap.icicicode = FirmData.icicicode </t>
  </si>
  <si>
    <t xml:space="preserve"> Dharani Sugars &amp; Chemicals</t>
  </si>
  <si>
    <t>DYNTEC</t>
  </si>
  <si>
    <t>MADPRO</t>
  </si>
  <si>
    <t>MATPLA</t>
  </si>
  <si>
    <t>MAXIND</t>
  </si>
  <si>
    <t>MCDOWE</t>
  </si>
  <si>
    <t>MCLRUS</t>
  </si>
  <si>
    <t>EJ110416C00012000</t>
  </si>
  <si>
    <t>Provogue (India) Ltd</t>
  </si>
  <si>
    <t xml:space="preserve">RELII </t>
  </si>
  <si>
    <t>DIATEA</t>
  </si>
  <si>
    <t>DILVIK</t>
  </si>
  <si>
    <t>DINDYE</t>
  </si>
  <si>
    <t>DWAFIN</t>
  </si>
  <si>
    <t>HLX</t>
  </si>
  <si>
    <t>Helix Energy Solutions Group, I</t>
  </si>
  <si>
    <t>ARTC</t>
  </si>
  <si>
    <t>ArthroCare Corporation</t>
  </si>
  <si>
    <t>MTSN</t>
  </si>
  <si>
    <t>Mattson Technology, Inc.</t>
  </si>
  <si>
    <t>AXA Common Stock</t>
  </si>
  <si>
    <t>ESC</t>
  </si>
  <si>
    <t>Emeritus Corporation Common Sto</t>
  </si>
  <si>
    <t>SMP</t>
  </si>
  <si>
    <t>Standard Motor Products, Inc. C</t>
  </si>
  <si>
    <t>FSII</t>
  </si>
  <si>
    <t>FSI International, Inc.</t>
  </si>
  <si>
    <t>KEG</t>
  </si>
  <si>
    <t>Key Energy Services, Inc. Commo</t>
  </si>
  <si>
    <t>BKI</t>
  </si>
  <si>
    <t>Buckeye Technologies, Inc. Comm</t>
  </si>
  <si>
    <t>SAH</t>
  </si>
  <si>
    <t>Sonic Automotive, Inc. Common S</t>
  </si>
  <si>
    <t>RICK</t>
  </si>
  <si>
    <t>Rick's Cabaret International, I</t>
  </si>
  <si>
    <t>AGYS</t>
  </si>
  <si>
    <t>Agilysys, Inc.</t>
  </si>
  <si>
    <t>SEED</t>
  </si>
  <si>
    <t>Origin Agritech Limited</t>
  </si>
  <si>
    <t>KLIC</t>
  </si>
  <si>
    <t>Kulicke and Soffa Industries, I</t>
  </si>
  <si>
    <t>GBE</t>
  </si>
  <si>
    <t>Amara Raja Batteries Limited</t>
  </si>
  <si>
    <t>DABIND</t>
  </si>
  <si>
    <t>DABPHA</t>
  </si>
  <si>
    <t>Dabur Pharma Limited</t>
  </si>
  <si>
    <t>DCMSHR</t>
  </si>
  <si>
    <t>DCM Shriram Consolidated Limited</t>
  </si>
  <si>
    <t>EVESYS</t>
  </si>
  <si>
    <t>Bristol</t>
  </si>
  <si>
    <t>BRCM</t>
  </si>
  <si>
    <t>Broadcom</t>
  </si>
  <si>
    <t>BSX</t>
  </si>
  <si>
    <t>Boston Sct</t>
  </si>
  <si>
    <t>CEG</t>
  </si>
  <si>
    <t>Constellation</t>
  </si>
  <si>
    <t>CHK</t>
  </si>
  <si>
    <t>Cheseapeak</t>
  </si>
  <si>
    <t>CPN</t>
  </si>
  <si>
    <t>Calpine</t>
  </si>
  <si>
    <t>EXC</t>
  </si>
  <si>
    <t>Exelon</t>
  </si>
  <si>
    <t>FTO</t>
  </si>
  <si>
    <t>Fr Oil</t>
  </si>
  <si>
    <t>IPXL</t>
  </si>
  <si>
    <t>HSOL</t>
  </si>
  <si>
    <t>INSMD</t>
  </si>
  <si>
    <t>La-Z-Boy Incorporated Common St</t>
  </si>
  <si>
    <t>CDC Corporation</t>
  </si>
  <si>
    <t>ZINC</t>
  </si>
  <si>
    <t>Horsehead Holding Corp.</t>
  </si>
  <si>
    <t>LBY</t>
  </si>
  <si>
    <t>Libbey, Inc. Common Stock</t>
  </si>
  <si>
    <t>GMK</t>
  </si>
  <si>
    <t>GRUMA, S.A.B de C.V. Common Sto</t>
  </si>
  <si>
    <t>BAGL</t>
  </si>
  <si>
    <t>ARRS</t>
  </si>
  <si>
    <t>ARRIS</t>
  </si>
  <si>
    <t>DHS</t>
  </si>
  <si>
    <t>INTL</t>
  </si>
  <si>
    <t>LTXC</t>
  </si>
  <si>
    <t>LVL</t>
  </si>
  <si>
    <t>PFF</t>
  </si>
  <si>
    <t>PGX</t>
  </si>
  <si>
    <t>PRTXD.OB</t>
  </si>
  <si>
    <t>PSK</t>
  </si>
  <si>
    <t>Could not detect relationship between Beta and Volatility</t>
  </si>
  <si>
    <t>PriceToTarget</t>
  </si>
  <si>
    <t>High Momentum</t>
  </si>
  <si>
    <t>'PriceToTarget'</t>
  </si>
  <si>
    <t>Las Vegas Sands</t>
  </si>
  <si>
    <t>MRT</t>
  </si>
  <si>
    <t>Restaurant</t>
  </si>
  <si>
    <t xml:space="preserve"> Bongaigaon Refinery </t>
  </si>
  <si>
    <t xml:space="preserve"> B S L     </t>
  </si>
  <si>
    <t xml:space="preserve"> CEEKAY DAIKIN </t>
  </si>
  <si>
    <t xml:space="preserve"> CELEBRITY FASHIONS</t>
  </si>
  <si>
    <t xml:space="preserve"> Century Enka     </t>
  </si>
  <si>
    <t xml:space="preserve"> Gufic Biosciences       </t>
  </si>
  <si>
    <t xml:space="preserve"> Cheslind Textiles     </t>
  </si>
  <si>
    <t xml:space="preserve"> Chowgule Steamships </t>
  </si>
  <si>
    <t>Pacific Cotspin Ltd.</t>
  </si>
  <si>
    <t>PEAENG</t>
  </si>
  <si>
    <t>Himadri Chemicals &amp; Industries Ltd.</t>
  </si>
  <si>
    <t xml:space="preserve"> Hindustan Lever      </t>
  </si>
  <si>
    <t>Premiere Global Services Inc</t>
  </si>
  <si>
    <t>PHG</t>
  </si>
  <si>
    <t>IVRCL Infrastructure &amp; Projects Ltd.</t>
  </si>
  <si>
    <t>JNJ</t>
  </si>
  <si>
    <t>SYK</t>
  </si>
  <si>
    <t>CVS</t>
  </si>
  <si>
    <t>CL</t>
  </si>
  <si>
    <t>MDT</t>
  </si>
  <si>
    <t>SPLS</t>
  </si>
  <si>
    <t>BCS</t>
  </si>
  <si>
    <t>BARCLAYS PLC ADR</t>
  </si>
  <si>
    <t>Baidu - serach</t>
  </si>
  <si>
    <t>BUCY</t>
  </si>
  <si>
    <t>R.R. Donnelley &amp; Sons Company</t>
  </si>
  <si>
    <t>RS</t>
  </si>
  <si>
    <t>Reliance Steel &amp; Aluminum Compa</t>
  </si>
  <si>
    <t>RSTI</t>
  </si>
  <si>
    <t>Rofin-Sinar Technologies, Inc.</t>
  </si>
  <si>
    <t>RURL</t>
  </si>
  <si>
    <t>Rural/Metro Corporation</t>
  </si>
  <si>
    <t>Service Corporation Internation</t>
  </si>
  <si>
    <t>SCL</t>
  </si>
  <si>
    <t>Stepan Company Common Stock</t>
  </si>
  <si>
    <t>SCSS</t>
  </si>
  <si>
    <t>Select Comfort Corporation</t>
  </si>
  <si>
    <t>SCVL</t>
  </si>
  <si>
    <t>Shoe Carnival, Inc.</t>
  </si>
  <si>
    <t>SDRL</t>
  </si>
  <si>
    <t>Seadrill Limited Ordinary Share</t>
  </si>
  <si>
    <t>SEIC</t>
  </si>
  <si>
    <t>SEI Investments Company</t>
  </si>
  <si>
    <t>SFLY</t>
  </si>
  <si>
    <t>Shutterfly, Inc.</t>
  </si>
  <si>
    <t>SFY</t>
  </si>
  <si>
    <t>Swift Energy Company (Holding C</t>
  </si>
  <si>
    <t>SGK</t>
  </si>
  <si>
    <t>Schawk, Inc. Common Stock</t>
  </si>
  <si>
    <t>SHLM</t>
  </si>
  <si>
    <t>A. Schulman, Inc.</t>
  </si>
  <si>
    <t>SHOO</t>
  </si>
  <si>
    <t>Steven Madden, Ltd.</t>
  </si>
  <si>
    <t>SINA</t>
  </si>
  <si>
    <t>Sina Corporation</t>
  </si>
  <si>
    <t>Aliance Data credit services</t>
  </si>
  <si>
    <t>Aflac Life insurance</t>
  </si>
  <si>
    <t>ALY</t>
  </si>
  <si>
    <t>Oil &amp; Gas Equipment &amp; Services</t>
  </si>
  <si>
    <t>AMD</t>
  </si>
  <si>
    <t>Advanced Micro Devices</t>
  </si>
  <si>
    <t>ASX</t>
  </si>
  <si>
    <t>APA</t>
  </si>
  <si>
    <t>Apache energy</t>
  </si>
  <si>
    <t>ARLP</t>
  </si>
  <si>
    <t>Alliance Resource Partners</t>
  </si>
  <si>
    <t>CUBIC</t>
  </si>
  <si>
    <t>EOG</t>
  </si>
  <si>
    <t>Energy</t>
  </si>
  <si>
    <t>Margin = Required. The amount is subject to your broker's discretion.</t>
  </si>
  <si>
    <t>Steps to Using a Bear Call Spread</t>
  </si>
  <si>
    <t>BIMBEA</t>
  </si>
  <si>
    <t>BIRYAM</t>
  </si>
  <si>
    <t>BITS</t>
  </si>
  <si>
    <t>BOMDYE</t>
  </si>
  <si>
    <t>DHAMOR</t>
  </si>
  <si>
    <t>Dharamsi Morarji Chemicals Company Ltd.</t>
  </si>
  <si>
    <t xml:space="preserve"> Medi-Caps       </t>
  </si>
  <si>
    <t xml:space="preserve"> Megasoft    </t>
  </si>
  <si>
    <t xml:space="preserve"> Hind Syntex     </t>
  </si>
  <si>
    <t>AMISPI</t>
  </si>
  <si>
    <t>AMRLTD</t>
  </si>
  <si>
    <t>ANDCEM</t>
  </si>
  <si>
    <t>ANJFAB</t>
  </si>
  <si>
    <t>ANJPOR</t>
  </si>
  <si>
    <t>ANNFIN</t>
  </si>
  <si>
    <t>APMIND</t>
  </si>
  <si>
    <t>AROFIB</t>
  </si>
  <si>
    <t>ARUMIL</t>
  </si>
  <si>
    <t>ARVPOL</t>
  </si>
  <si>
    <t>ARVREM</t>
  </si>
  <si>
    <t>ASHSTE</t>
  </si>
  <si>
    <t>ASHSYN</t>
  </si>
  <si>
    <t>ASIIND</t>
  </si>
  <si>
    <t>ASSPRO</t>
  </si>
  <si>
    <t>ASTIDL</t>
  </si>
  <si>
    <t>ATLCOP</t>
  </si>
  <si>
    <t>ATNINT</t>
  </si>
  <si>
    <t>ATUAUT</t>
  </si>
  <si>
    <t>AURLAB</t>
  </si>
  <si>
    <t>AUTOLI</t>
  </si>
  <si>
    <t>aztec</t>
  </si>
  <si>
    <t>HLS</t>
  </si>
  <si>
    <t>HOG</t>
  </si>
  <si>
    <t xml:space="preserve"> V J I L Consulting    </t>
  </si>
  <si>
    <t xml:space="preserve"> Birla V X L     </t>
  </si>
  <si>
    <t xml:space="preserve"> V X L Instruments    </t>
  </si>
  <si>
    <t xml:space="preserve"> VYBRA AUTOMET </t>
  </si>
  <si>
    <t xml:space="preserve"> Webel S L Energy Systems </t>
  </si>
  <si>
    <t>BAC</t>
  </si>
  <si>
    <t>DOW</t>
  </si>
  <si>
    <t>WFC</t>
  </si>
  <si>
    <t>XOM</t>
  </si>
  <si>
    <t>CVX</t>
  </si>
  <si>
    <t>BP</t>
  </si>
  <si>
    <t>ACE</t>
  </si>
  <si>
    <t>CTSH</t>
  </si>
  <si>
    <t>WIT</t>
  </si>
  <si>
    <t>PFE</t>
  </si>
  <si>
    <t>AZN</t>
  </si>
  <si>
    <t>GS</t>
  </si>
  <si>
    <t>MSFT</t>
  </si>
  <si>
    <t>IBN</t>
  </si>
  <si>
    <t>IVZ</t>
  </si>
  <si>
    <t>JOYG</t>
  </si>
  <si>
    <t>KOP</t>
  </si>
  <si>
    <t>BAP</t>
  </si>
  <si>
    <t>BHI</t>
  </si>
  <si>
    <t>4. Volatility at time T. OR Standard Deviation is considered as daily volatility times squareroot of time</t>
  </si>
  <si>
    <t xml:space="preserve"> Gontermann-Peipers (India)     </t>
  </si>
  <si>
    <t xml:space="preserve"> Granules India       </t>
  </si>
  <si>
    <t xml:space="preserve"> Gravity (India)     </t>
  </si>
  <si>
    <t xml:space="preserve"> G T N Textiles     </t>
  </si>
  <si>
    <t xml:space="preserve"> MUNJAL AUTO INDS. LTD</t>
  </si>
  <si>
    <t xml:space="preserve"> Gujarat Sidhee Cement</t>
  </si>
  <si>
    <t>MOS</t>
  </si>
  <si>
    <t>PCP</t>
  </si>
  <si>
    <t>POT</t>
  </si>
  <si>
    <t>PVA</t>
  </si>
  <si>
    <t>RIMM</t>
  </si>
  <si>
    <t>SAY</t>
  </si>
  <si>
    <t>SLT</t>
  </si>
  <si>
    <t>SU</t>
  </si>
  <si>
    <t>TC</t>
  </si>
  <si>
    <t>TIE</t>
  </si>
  <si>
    <t>TMK</t>
  </si>
  <si>
    <t>TS</t>
  </si>
  <si>
    <t>VIP</t>
  </si>
  <si>
    <t>WFR</t>
  </si>
  <si>
    <t>WLL</t>
  </si>
  <si>
    <t>WU</t>
  </si>
  <si>
    <t>PEForward</t>
  </si>
  <si>
    <t xml:space="preserve"> Kalyani Steels     </t>
  </si>
  <si>
    <t xml:space="preserve"> Kandagiri Spinning Mills     </t>
  </si>
  <si>
    <t xml:space="preserve"> Karan Woo-Sin     </t>
  </si>
  <si>
    <t xml:space="preserve"> Katwa Udyog</t>
  </si>
  <si>
    <t>Alexcon Foamcast Ltd.</t>
  </si>
  <si>
    <t>Sanghvi Movers Limited</t>
  </si>
  <si>
    <t>ORG Informatics Limited</t>
  </si>
  <si>
    <t>SREI Infrastructure Finance Limited</t>
  </si>
  <si>
    <t>Sterlite Industries India Limited</t>
  </si>
  <si>
    <t>Micro Inks Ltd.</t>
  </si>
  <si>
    <t>Nitin Spinners Ltd.</t>
  </si>
  <si>
    <t>Rashtriya Chemicals &amp; Fertilisers Ltd</t>
  </si>
  <si>
    <t>Ruchi Infrastructure Ltd.</t>
  </si>
  <si>
    <t>Electricals</t>
  </si>
  <si>
    <t>Timex Group India Ltd</t>
  </si>
  <si>
    <t>ALN</t>
  </si>
  <si>
    <t>ATPG</t>
  </si>
  <si>
    <t>AYR</t>
  </si>
  <si>
    <t>BARE</t>
  </si>
  <si>
    <t>CFSG</t>
  </si>
  <si>
    <t>CGA</t>
  </si>
  <si>
    <t>CHYR</t>
  </si>
  <si>
    <t xml:space="preserve"> A S I L Industries     </t>
  </si>
  <si>
    <t xml:space="preserve"> RASANDIK ENGINEERING INDS. INDIA LTD</t>
  </si>
  <si>
    <t>Maximum Risk = Limited to the price of the put option premium</t>
  </si>
  <si>
    <t>Umang Dairies Ltd.</t>
  </si>
  <si>
    <t>JOLBOA</t>
  </si>
  <si>
    <t>KAARAD</t>
  </si>
  <si>
    <t>KNKT.PK</t>
  </si>
  <si>
    <t>KUNEKT CORPORATION</t>
  </si>
  <si>
    <t>AMARAJ</t>
  </si>
  <si>
    <t xml:space="preserve"> Winsome Yarns     </t>
  </si>
  <si>
    <t xml:space="preserve"> Wire &amp; Wireless India </t>
  </si>
  <si>
    <t>Infrastructure</t>
  </si>
  <si>
    <t>RGY</t>
  </si>
  <si>
    <t>Dairyfield Ltd</t>
  </si>
  <si>
    <t>Dredging Corporation Of India Ltd</t>
  </si>
  <si>
    <t>AARDEN</t>
  </si>
  <si>
    <t>ABALLO</t>
  </si>
  <si>
    <t>Aban Offshore Ltd.</t>
  </si>
  <si>
    <t>ABBALS</t>
  </si>
  <si>
    <t>Maximum Profit= Unlimited to the upside beyond the breakeven</t>
  </si>
  <si>
    <t>Breakeven= Call strike price + call premium</t>
  </si>
  <si>
    <t>Margin= None</t>
  </si>
  <si>
    <t xml:space="preserve"> Ruby Mills     </t>
  </si>
  <si>
    <t>MF-Canara</t>
  </si>
  <si>
    <t>Robeco Equity - Tax Saver (G)</t>
  </si>
  <si>
    <t xml:space="preserve"> Sarla Polyester     </t>
  </si>
  <si>
    <t xml:space="preserve"> Sathavahana Ispat     </t>
  </si>
  <si>
    <t xml:space="preserve"> Saurashtra Cement</t>
  </si>
  <si>
    <t>Vision Corporation Ltd.</t>
  </si>
  <si>
    <t xml:space="preserve">VMJOG </t>
  </si>
  <si>
    <t>Jog Engineering Ltd.</t>
  </si>
  <si>
    <t>WESBIO</t>
  </si>
  <si>
    <t xml:space="preserve"> Silktex     </t>
  </si>
  <si>
    <t xml:space="preserve"> SIMMONDS MARSHALL </t>
  </si>
  <si>
    <t xml:space="preserve"> Simbhaoli Sugar Mills</t>
  </si>
  <si>
    <t>Essel Propack Ltd.</t>
  </si>
  <si>
    <t>NIIT Technologies Ltd.</t>
  </si>
  <si>
    <t>Starbucks Corporation</t>
  </si>
  <si>
    <t>SCG</t>
  </si>
  <si>
    <t>SCANA Corporation Common Stock</t>
  </si>
  <si>
    <t>SCHW</t>
  </si>
  <si>
    <t>Charles Schwab Corporation (The</t>
  </si>
  <si>
    <t>SE</t>
  </si>
  <si>
    <t>Spectra Energy Corp Common Stoc</t>
  </si>
  <si>
    <t>SEE</t>
  </si>
  <si>
    <t>Sealed Air Corporation Common S</t>
  </si>
  <si>
    <t>SHLD</t>
  </si>
  <si>
    <t>Sears Holdings Corporation</t>
  </si>
  <si>
    <t>SHW</t>
  </si>
  <si>
    <t>Sherwin-Williams Company (The)</t>
  </si>
  <si>
    <t>SIAL</t>
  </si>
  <si>
    <t>Sigma-Aldrich Corporation</t>
  </si>
  <si>
    <t>SII</t>
  </si>
  <si>
    <t>Smith International, Inc. Commo</t>
  </si>
  <si>
    <t>SJM</t>
  </si>
  <si>
    <t>J.M. Smucker Company (The) New</t>
  </si>
  <si>
    <t>SLE</t>
  </si>
  <si>
    <t>Sara Lee Corporation Common Sto</t>
  </si>
  <si>
    <t>SNDK</t>
  </si>
  <si>
    <t>SanDisk Corporation</t>
  </si>
  <si>
    <t>SNI</t>
  </si>
  <si>
    <t>Scripps Networks Interactive, I</t>
  </si>
  <si>
    <t>SRCL</t>
  </si>
  <si>
    <t>Stericycle, Inc.</t>
  </si>
  <si>
    <t>SRE</t>
  </si>
  <si>
    <t>Sempra Energy Common Stock</t>
  </si>
  <si>
    <t>STI</t>
  </si>
  <si>
    <t>SunTrust Banks, Inc. Common Sto</t>
  </si>
  <si>
    <t>STJ</t>
  </si>
  <si>
    <t>St. Jude Medical, Inc. Common S</t>
  </si>
  <si>
    <t>STR</t>
  </si>
  <si>
    <t>Questar Corporation Common Stoc</t>
  </si>
  <si>
    <t>STZ</t>
  </si>
  <si>
    <t>Most Volatile</t>
  </si>
  <si>
    <t>Biotechnology</t>
  </si>
  <si>
    <t>Aruba Networks, Inc.</t>
  </si>
  <si>
    <t>BKD</t>
  </si>
  <si>
    <t>Brookdale Senior Living Inc. Co</t>
  </si>
  <si>
    <t>BNE</t>
  </si>
  <si>
    <t>Bowne &amp; Co., Inc. Common Stock</t>
  </si>
  <si>
    <t>CAGC</t>
  </si>
  <si>
    <t>China Agritech, Inc.</t>
  </si>
  <si>
    <t>CBI</t>
  </si>
  <si>
    <t>Chicago Bridge &amp; Iron Company N</t>
  </si>
  <si>
    <t>CEDC</t>
  </si>
  <si>
    <t>Central European Distribution C</t>
  </si>
  <si>
    <t>CGX</t>
  </si>
  <si>
    <t>Ternium S.A. Ternium S.A. Ameri</t>
  </si>
  <si>
    <t>4. Investigate implied volatility values to see if the options are overpriced or undervalued.</t>
  </si>
  <si>
    <t>JM%20multi%20strategy</t>
  </si>
  <si>
    <t>Jayanti Business Machines Ltd</t>
  </si>
  <si>
    <t>English Indian Clays Ltd.</t>
  </si>
  <si>
    <t>FACALL</t>
  </si>
  <si>
    <t>Facor Alloys Ltd.</t>
  </si>
  <si>
    <t>FERALL</t>
  </si>
  <si>
    <t>Ferro Alloys Corporation Ltd.</t>
  </si>
  <si>
    <t>GEIHAM</t>
  </si>
  <si>
    <t>Alps BPO Services Ltd.</t>
  </si>
  <si>
    <t>Alpha Drug India Ltd.</t>
  </si>
  <si>
    <t>BAM</t>
  </si>
  <si>
    <t>Brookfiled Asset Mgmt</t>
  </si>
  <si>
    <t>BWA</t>
  </si>
  <si>
    <t>Borg Warner</t>
  </si>
  <si>
    <t>LUK</t>
  </si>
  <si>
    <t>Leucadia National</t>
  </si>
  <si>
    <t>SD</t>
  </si>
  <si>
    <t xml:space="preserve"> Welspun Syntex     </t>
  </si>
  <si>
    <t xml:space="preserve"> VenkyS (India)      </t>
  </si>
  <si>
    <t>VCK Capital Market Services Ltd.</t>
  </si>
  <si>
    <t>VEDHOT</t>
  </si>
  <si>
    <t>Vedant Hotels Ltd.</t>
  </si>
  <si>
    <t>VIDAPP</t>
  </si>
  <si>
    <t>VIDLEA</t>
  </si>
  <si>
    <t>VISPAI</t>
  </si>
  <si>
    <t>Motilal Oswal Financial Services Ltd.</t>
  </si>
  <si>
    <t>MRFTYR</t>
  </si>
  <si>
    <t>MRF Ltd.</t>
  </si>
  <si>
    <t>MSPSTE</t>
  </si>
  <si>
    <t>MSP Steel &amp; Power Ltd.</t>
  </si>
  <si>
    <t>MUNPRO</t>
  </si>
  <si>
    <t>Mundra Port &amp; Special Economic Zone Ltd.</t>
  </si>
  <si>
    <t>NATFER</t>
  </si>
  <si>
    <t>National Fertilisers Ltd.</t>
  </si>
  <si>
    <t>NATMIN</t>
  </si>
  <si>
    <t xml:space="preserve"> R S Software (India)    </t>
  </si>
  <si>
    <t xml:space="preserve"> Southern Iron &amp; Steel Co.     </t>
  </si>
  <si>
    <t xml:space="preserve"> Span Diagnostics       </t>
  </si>
  <si>
    <t>Flextronics Software Systems Ltd.</t>
  </si>
  <si>
    <t>ICICI Bank Ltd.</t>
  </si>
  <si>
    <t>ICI (India) Ltd.</t>
  </si>
  <si>
    <t>Apple</t>
  </si>
  <si>
    <t>Boeing</t>
  </si>
  <si>
    <t>CAT</t>
  </si>
  <si>
    <t>DD</t>
  </si>
  <si>
    <t>Du pont</t>
  </si>
  <si>
    <t>DIS</t>
  </si>
  <si>
    <t>Disney</t>
  </si>
  <si>
    <t>HD</t>
  </si>
  <si>
    <t>home depot</t>
  </si>
  <si>
    <t>INTC</t>
  </si>
  <si>
    <t>Intel</t>
  </si>
  <si>
    <t>KFT</t>
  </si>
  <si>
    <t>Kraft</t>
  </si>
  <si>
    <t>KO</t>
  </si>
  <si>
    <t>Coke</t>
  </si>
  <si>
    <t>MCD</t>
  </si>
  <si>
    <t>mac</t>
  </si>
  <si>
    <t>MMM</t>
  </si>
  <si>
    <t>3M</t>
  </si>
  <si>
    <t>MRK</t>
  </si>
  <si>
    <t>merck</t>
  </si>
  <si>
    <t>PG</t>
  </si>
  <si>
    <t>VZ</t>
  </si>
  <si>
    <t>Verizon</t>
  </si>
  <si>
    <t xml:space="preserve"> Venus Sugar</t>
  </si>
  <si>
    <t xml:space="preserve"> Vista Pharmaceuticals       </t>
  </si>
  <si>
    <t>Graphite India Ltd</t>
  </si>
  <si>
    <t>Agro</t>
  </si>
  <si>
    <t>Jindal Drilling &amp; Industries Ltd</t>
  </si>
  <si>
    <t xml:space="preserve"> Bannari Amman Sugar</t>
  </si>
  <si>
    <t>ALPDRU</t>
  </si>
  <si>
    <t>ALPFIN</t>
  </si>
  <si>
    <t>ALPGRA</t>
  </si>
  <si>
    <t>Country Club (India) Ltd</t>
  </si>
  <si>
    <t>Darjeeling Tea</t>
  </si>
  <si>
    <t xml:space="preserve">DCB </t>
  </si>
  <si>
    <t>Development Credit Bank Ltd.</t>
  </si>
  <si>
    <t>DEC Bearings</t>
  </si>
  <si>
    <t>Deccan Ceramics</t>
  </si>
  <si>
    <t>DEVGAS</t>
  </si>
  <si>
    <t>Confidence Petroleum Ltd.</t>
  </si>
  <si>
    <t xml:space="preserve">JKSYN </t>
  </si>
  <si>
    <t>JMAIND</t>
  </si>
  <si>
    <t>JMCPRO</t>
  </si>
  <si>
    <t>JOICAP</t>
  </si>
  <si>
    <t>JOLPLA</t>
  </si>
  <si>
    <t>JOLRID</t>
  </si>
  <si>
    <t>JOSENG</t>
  </si>
  <si>
    <t>JUMBAG</t>
  </si>
  <si>
    <t>JUPIND</t>
  </si>
  <si>
    <t>JYORES</t>
  </si>
  <si>
    <t>KAJCER</t>
  </si>
  <si>
    <t>KALPOW</t>
  </si>
  <si>
    <t>KARBAN</t>
  </si>
  <si>
    <t>KARVYS</t>
  </si>
  <si>
    <t>KESIND</t>
  </si>
  <si>
    <t>KOTMAH</t>
  </si>
  <si>
    <t>LAKMAC</t>
  </si>
  <si>
    <t>LIBSHO</t>
  </si>
  <si>
    <t>SURCOT</t>
  </si>
  <si>
    <t xml:space="preserve"> Suryalakshmi Cotton Mills     </t>
  </si>
  <si>
    <t>SURPHA</t>
  </si>
  <si>
    <t>BANBAR</t>
  </si>
  <si>
    <t>DLINK</t>
  </si>
  <si>
    <t>RELCAP</t>
  </si>
  <si>
    <t>RELENE</t>
  </si>
  <si>
    <t>SESGOA</t>
  </si>
  <si>
    <t>SIEMEN</t>
  </si>
  <si>
    <t>STABAN</t>
  </si>
  <si>
    <t>VOLTAS</t>
  </si>
  <si>
    <t>CENBN</t>
  </si>
  <si>
    <t>Belden Inc Common Stock</t>
  </si>
  <si>
    <t>BEAV</t>
  </si>
  <si>
    <t>BE Aerospace, Inc.</t>
  </si>
  <si>
    <t>BECN</t>
  </si>
  <si>
    <t>Beacon Roofing Supply, Inc.</t>
  </si>
  <si>
    <t>BEZ</t>
  </si>
  <si>
    <t>Baldor Electric Company Common</t>
  </si>
  <si>
    <t>BGC</t>
  </si>
  <si>
    <t>General Cable Corporation Commo</t>
  </si>
  <si>
    <t>BH</t>
  </si>
  <si>
    <t>Biglari Holdings Inc.</t>
  </si>
  <si>
    <t xml:space="preserve"> Advik Laboratories       </t>
  </si>
  <si>
    <t xml:space="preserve"> A S M Technologies    </t>
  </si>
  <si>
    <t>DRWELL</t>
  </si>
  <si>
    <t>DSKULK</t>
  </si>
  <si>
    <t>IOL Broadband Ltd.</t>
  </si>
  <si>
    <t>NETW18</t>
  </si>
  <si>
    <t>Network 18 Fincap Ltd.</t>
  </si>
  <si>
    <t>NEWSTA</t>
  </si>
  <si>
    <t>Nesco Ltd.</t>
  </si>
  <si>
    <t>OPTCIR</t>
  </si>
  <si>
    <t>JINSP</t>
  </si>
  <si>
    <t>PATCOM</t>
  </si>
  <si>
    <t>PATEN</t>
  </si>
  <si>
    <t>SUBSYS</t>
  </si>
  <si>
    <t>TATELX</t>
  </si>
  <si>
    <t>UNH</t>
  </si>
  <si>
    <t>AET</t>
  </si>
  <si>
    <t>Alchemist Realty Ltd.</t>
  </si>
  <si>
    <t>Parsvnath Developers Ltd.</t>
  </si>
  <si>
    <t>PEEABA</t>
  </si>
  <si>
    <t>Tiffany &amp; Co. Common Stock</t>
  </si>
  <si>
    <t>TKR</t>
  </si>
  <si>
    <t>Timken Company (The) Common Sto</t>
  </si>
  <si>
    <t>TLB</t>
  </si>
  <si>
    <t>Talbots, Inc. (The) Common Stoc</t>
  </si>
  <si>
    <t>TLM</t>
  </si>
  <si>
    <t>Talisman Energy Inc. Common Sto</t>
  </si>
  <si>
    <t>TNB</t>
  </si>
  <si>
    <t>Thomas &amp; Betts Corporation Comm</t>
  </si>
  <si>
    <t>TPX</t>
  </si>
  <si>
    <t>Tempur-pedic International Inc</t>
  </si>
  <si>
    <t>TQNT</t>
  </si>
  <si>
    <t>TriQuint Semiconductor, Inc.</t>
  </si>
  <si>
    <t>TTMI</t>
  </si>
  <si>
    <t>TTM Technologies, Inc.</t>
  </si>
  <si>
    <t>TUP</t>
  </si>
  <si>
    <t>Tupperware Brands Corporation C</t>
  </si>
  <si>
    <t>UAL</t>
  </si>
  <si>
    <t>United Continental Holdings</t>
  </si>
  <si>
    <t>UEPS</t>
  </si>
  <si>
    <t xml:space="preserve"> BAJAJ AUTO </t>
  </si>
  <si>
    <t xml:space="preserve"> Bajaj Hindustan</t>
  </si>
  <si>
    <t xml:space="preserve"> Nagreeka Exports     </t>
  </si>
  <si>
    <t xml:space="preserve"> Nahar Exports     </t>
  </si>
  <si>
    <t xml:space="preserve"> Nahar Spinning Mills     </t>
  </si>
  <si>
    <t xml:space="preserve"> Nakoda Textile Inds.     </t>
  </si>
  <si>
    <t xml:space="preserve"> Natco Pharma       </t>
  </si>
  <si>
    <t xml:space="preserve"> Nelco     </t>
  </si>
  <si>
    <t>APY</t>
  </si>
  <si>
    <t>PS Ration of less than 1.5 ??</t>
  </si>
  <si>
    <t>PEG Values??</t>
  </si>
  <si>
    <t>Maximum Risk= Limited to the amount paid for the call</t>
  </si>
  <si>
    <t>FRANKLIN TEMPLETON MUTUAL FUND</t>
  </si>
  <si>
    <t>PRIMA FUND - GROWTH</t>
  </si>
  <si>
    <t>Rs.</t>
  </si>
  <si>
    <t>Industrial Metals &amp; Minerals</t>
  </si>
  <si>
    <t>Research Services</t>
  </si>
  <si>
    <t>DebtRatio</t>
  </si>
  <si>
    <t>OPM</t>
  </si>
  <si>
    <t>NPM</t>
  </si>
  <si>
    <t>DividendRate</t>
  </si>
  <si>
    <t>PECurr</t>
  </si>
  <si>
    <t>PS</t>
  </si>
  <si>
    <t>PBV</t>
  </si>
  <si>
    <t>MCap</t>
  </si>
  <si>
    <t>BookValue</t>
  </si>
  <si>
    <t>Options</t>
  </si>
  <si>
    <t>HUBG</t>
  </si>
  <si>
    <t>Hub grub</t>
  </si>
  <si>
    <t>SCOR</t>
  </si>
  <si>
    <t>EEM</t>
  </si>
  <si>
    <t>Emerging Mkts</t>
  </si>
  <si>
    <t>SPY</t>
  </si>
  <si>
    <t>SP 500</t>
  </si>
  <si>
    <t>Scrip has fallen by -87.0%</t>
  </si>
  <si>
    <t>Scrip has fallen by -60.0%</t>
  </si>
  <si>
    <t>Broadcasting - TV</t>
  </si>
  <si>
    <t>Textile - Apparel Clothing</t>
  </si>
  <si>
    <t>Scrip has fallen by -66.0%</t>
  </si>
  <si>
    <t>Scrip has fallen by -82.0%</t>
  </si>
  <si>
    <t>Scrip has fallen by -35.0%</t>
  </si>
  <si>
    <t>Scrip has fallen by -45.0%</t>
  </si>
  <si>
    <t>Scrip has fallen by -88.0%</t>
  </si>
  <si>
    <t>Scrip has fallen by -57.0%</t>
  </si>
  <si>
    <t>Scrip has fallen by -33.0%</t>
  </si>
  <si>
    <t>Scrip has fallen by -83.0%</t>
  </si>
  <si>
    <t>Scrip has fallen by -17.0%</t>
  </si>
  <si>
    <t>Scrip has fallen by -77.0%</t>
  </si>
  <si>
    <t>Scrip has fallen by -43.0%</t>
  </si>
  <si>
    <t>Scrip has fallen by -81.0%</t>
  </si>
  <si>
    <t>Scrip has fallen by -65.0%</t>
  </si>
  <si>
    <t>Scrip has fallen by -61.0%</t>
  </si>
  <si>
    <t>Scrip has fallen by -51.0%</t>
  </si>
  <si>
    <t>Scrip has fallen by -22.0%</t>
  </si>
  <si>
    <t>Scrip has fallen by -13.0%</t>
  </si>
  <si>
    <t>Scrip has fallen by -36.0%</t>
  </si>
  <si>
    <t>Scrip has fallen by -40.0%</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</si>
</sst>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4" formatCode="_(&quot;$&quot;* #,##0.00_);_(&quot;$&quot;* \(#,##0.00\);_(&quot;$&quot;* &quot;-&quot;??_);_(@_)"/>
    <numFmt numFmtId="164" formatCode="[$-409]mmmm\-yy;@"/>
    <numFmt numFmtId="165" formatCode="[$-409]dd\-mmm\-yy;@"/>
    <numFmt numFmtId="166" formatCode="[$INR]\ #,##0"/>
    <numFmt numFmtId="167" formatCode="[$INR]\ #,##0.00"/>
    <numFmt numFmtId="168" formatCode="0.00_);[Red]\(0.00\)"/>
    <numFmt numFmtId="169" formatCode="[$-409]d\-mmm\-yy;@"/>
    <numFmt numFmtId="170" formatCode="_(&quot;$&quot;* #,##0_);_(&quot;$&quot;* \(#,##0\);_(&quot;$&quot;* &quot;-&quot;??_);_(@_)"/>
    <numFmt numFmtId="171" formatCode="m/d/yy;@"/>
    <numFmt numFmtId="172" formatCode="#,##0.000_);[Red]\(#,##0.000\)"/>
  </numFmts>
  <fonts count="68" x14ac:knownFonts="1">
    <font>
      <sz val="10"/>
      <name val="Arial"/>
    </font>
    <font>
      <sz val="10"/>
      <name val="Arial"/>
      <family val="2"/>
    </font>
    <font>
      <sz val="8"/>
      <name val="Arial"/>
      <family val="2"/>
    </font>
    <font>
      <b/>
      <sz val="10"/>
      <name val="Arial"/>
      <family val="2"/>
    </font>
    <font>
      <sz val="10"/>
      <color indexed="10"/>
      <name val="Arial"/>
      <family val="2"/>
    </font>
    <font>
      <b/>
      <sz val="10"/>
      <color indexed="10"/>
      <name val="Arial"/>
      <family val="2"/>
    </font>
    <font>
      <sz val="10"/>
      <color indexed="12"/>
      <name val="Arial"/>
      <family val="2"/>
    </font>
    <font>
      <b/>
      <sz val="9"/>
      <color indexed="9"/>
      <name val="Arial"/>
      <family val="2"/>
    </font>
    <font>
      <sz val="9"/>
      <name val="Arial"/>
      <family val="2"/>
    </font>
    <font>
      <sz val="9"/>
      <color indexed="8"/>
      <name val="Arial"/>
      <family val="2"/>
    </font>
    <font>
      <sz val="8"/>
      <color indexed="8"/>
      <name val="Arial"/>
      <family val="2"/>
    </font>
    <font>
      <u/>
      <sz val="10"/>
      <color indexed="12"/>
      <name val="Arial"/>
      <family val="2"/>
    </font>
    <font>
      <b/>
      <sz val="10"/>
      <color indexed="12"/>
      <name val="Arial"/>
      <family val="2"/>
    </font>
    <font>
      <b/>
      <sz val="9"/>
      <name val="Arial"/>
      <family val="2"/>
    </font>
    <font>
      <b/>
      <sz val="10"/>
      <color indexed="18"/>
      <name val="Arial"/>
      <family val="2"/>
    </font>
    <font>
      <sz val="8"/>
      <color indexed="81"/>
      <name val="Tahoma"/>
      <family val="2"/>
    </font>
    <font>
      <b/>
      <sz val="8"/>
      <color indexed="81"/>
      <name val="Tahoma"/>
      <family val="2"/>
    </font>
    <font>
      <b/>
      <sz val="8"/>
      <color indexed="8"/>
      <name val="Arial"/>
      <family val="2"/>
    </font>
    <font>
      <sz val="10"/>
      <color indexed="10"/>
      <name val="Arial"/>
      <family val="2"/>
    </font>
    <font>
      <sz val="8"/>
      <color indexed="48"/>
      <name val="Arial"/>
      <family val="2"/>
    </font>
    <font>
      <sz val="10"/>
      <color indexed="62"/>
      <name val="Arial"/>
      <family val="2"/>
    </font>
    <font>
      <b/>
      <sz val="10"/>
      <color indexed="62"/>
      <name val="Arial"/>
      <family val="2"/>
    </font>
    <font>
      <sz val="10"/>
      <name val="Arial"/>
      <family val="2"/>
    </font>
    <font>
      <b/>
      <u/>
      <sz val="16"/>
      <color indexed="12"/>
      <name val="Arial"/>
      <family val="2"/>
    </font>
    <font>
      <vertAlign val="superscript"/>
      <sz val="10"/>
      <name val="Arial"/>
      <family val="2"/>
    </font>
    <font>
      <i/>
      <sz val="10"/>
      <color indexed="10"/>
      <name val="Arial"/>
      <family val="2"/>
    </font>
    <font>
      <b/>
      <i/>
      <sz val="10"/>
      <color indexed="10"/>
      <name val="Arial"/>
      <family val="2"/>
    </font>
    <font>
      <b/>
      <sz val="10"/>
      <color indexed="12"/>
      <name val="Arial"/>
      <family val="2"/>
    </font>
    <font>
      <b/>
      <u/>
      <sz val="10"/>
      <name val="Arial"/>
      <family val="2"/>
    </font>
    <font>
      <sz val="10"/>
      <color indexed="8"/>
      <name val="Arial"/>
      <family val="2"/>
    </font>
    <font>
      <sz val="8.3000000000000007"/>
      <color indexed="8"/>
      <name val="Verdana"/>
      <family val="2"/>
    </font>
    <font>
      <sz val="10"/>
      <color indexed="17"/>
      <name val="Arial"/>
      <family val="2"/>
    </font>
    <font>
      <sz val="8.3000000000000007"/>
      <color indexed="17"/>
      <name val="Verdana"/>
      <family val="2"/>
    </font>
    <font>
      <b/>
      <sz val="9"/>
      <color indexed="48"/>
      <name val="Arial"/>
      <family val="2"/>
    </font>
    <font>
      <sz val="7"/>
      <color indexed="8"/>
      <name val="Arial"/>
      <family val="2"/>
    </font>
    <font>
      <b/>
      <i/>
      <sz val="12"/>
      <name val="Arial"/>
      <family val="2"/>
    </font>
    <font>
      <sz val="8"/>
      <color indexed="17"/>
      <name val="Arial"/>
      <family val="2"/>
    </font>
    <font>
      <b/>
      <u/>
      <sz val="10"/>
      <color indexed="18"/>
      <name val="Arial"/>
      <family val="2"/>
    </font>
    <font>
      <b/>
      <u/>
      <sz val="10"/>
      <color indexed="10"/>
      <name val="Arial"/>
      <family val="2"/>
    </font>
    <font>
      <sz val="10"/>
      <color indexed="9"/>
      <name val="Arial"/>
      <family val="2"/>
    </font>
    <font>
      <b/>
      <u/>
      <sz val="10"/>
      <color indexed="12"/>
      <name val="Arial"/>
      <family val="2"/>
    </font>
    <font>
      <b/>
      <sz val="10"/>
      <color indexed="62"/>
      <name val="Arial"/>
      <family val="2"/>
    </font>
    <font>
      <sz val="10"/>
      <color indexed="12"/>
      <name val="Arial"/>
      <family val="2"/>
    </font>
    <font>
      <b/>
      <i/>
      <sz val="10"/>
      <name val="Arial"/>
      <family val="2"/>
    </font>
    <font>
      <sz val="14"/>
      <name val="Arial"/>
      <family val="2"/>
    </font>
    <font>
      <sz val="14"/>
      <color indexed="12"/>
      <name val="Arial"/>
      <family val="2"/>
    </font>
    <font>
      <b/>
      <sz val="14"/>
      <name val="Arial"/>
      <family val="2"/>
    </font>
    <font>
      <b/>
      <sz val="10"/>
      <color indexed="60"/>
      <name val="Arial"/>
      <family val="2"/>
    </font>
    <font>
      <b/>
      <sz val="12"/>
      <name val="Arial"/>
      <family val="2"/>
    </font>
    <font>
      <sz val="11"/>
      <color indexed="63"/>
      <name val="Arial"/>
      <family val="2"/>
    </font>
    <font>
      <b/>
      <sz val="8"/>
      <color indexed="12"/>
      <name val="Arial"/>
      <family val="2"/>
    </font>
    <font>
      <b/>
      <sz val="8"/>
      <name val="Arial"/>
      <family val="2"/>
    </font>
    <font>
      <i/>
      <sz val="8"/>
      <name val="Arial"/>
      <family val="2"/>
    </font>
    <font>
      <sz val="8"/>
      <color indexed="12"/>
      <name val="Arial"/>
      <family val="2"/>
    </font>
    <font>
      <b/>
      <sz val="11"/>
      <name val="Arial"/>
      <family val="2"/>
    </font>
    <font>
      <b/>
      <sz val="11"/>
      <color indexed="12"/>
      <name val="Arial"/>
      <family val="2"/>
    </font>
    <font>
      <b/>
      <sz val="11"/>
      <color indexed="62"/>
      <name val="Arial"/>
      <family val="2"/>
    </font>
    <font>
      <b/>
      <sz val="11"/>
      <color indexed="10"/>
      <name val="Arial"/>
      <family val="2"/>
    </font>
    <font>
      <sz val="11"/>
      <name val="Arial"/>
      <family val="2"/>
    </font>
    <font>
      <b/>
      <u/>
      <sz val="11"/>
      <color indexed="12"/>
      <name val="Arial"/>
      <family val="2"/>
    </font>
    <font>
      <sz val="11"/>
      <color indexed="62"/>
      <name val="Arial"/>
      <family val="2"/>
    </font>
    <font>
      <sz val="11"/>
      <color indexed="10"/>
      <name val="Arial"/>
      <family val="2"/>
    </font>
    <font>
      <sz val="11"/>
      <color indexed="12"/>
      <name val="Arial"/>
      <family val="2"/>
    </font>
    <font>
      <i/>
      <sz val="11"/>
      <color indexed="10"/>
      <name val="Arial"/>
      <family val="2"/>
    </font>
    <font>
      <b/>
      <sz val="11"/>
      <color indexed="18"/>
      <name val="Arial"/>
      <family val="2"/>
    </font>
    <font>
      <sz val="11"/>
      <color indexed="17"/>
      <name val="Arial"/>
      <family val="2"/>
    </font>
    <font>
      <b/>
      <u/>
      <sz val="11"/>
      <color indexed="10"/>
      <name val="Arial"/>
      <family val="2"/>
    </font>
    <font>
      <b/>
      <sz val="8"/>
      <name val="Arial"/>
      <family val="2"/>
    </font>
  </fonts>
  <fills count="16">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indexed="9"/>
        <bgColor indexed="64"/>
      </patternFill>
    </fill>
    <fill>
      <patternFill patternType="solid">
        <fgColor indexed="8"/>
        <bgColor indexed="64"/>
      </patternFill>
    </fill>
    <fill>
      <patternFill patternType="solid">
        <fgColor indexed="43"/>
        <bgColor indexed="64"/>
      </patternFill>
    </fill>
    <fill>
      <patternFill patternType="solid">
        <fgColor indexed="47"/>
        <bgColor indexed="64"/>
      </patternFill>
    </fill>
    <fill>
      <patternFill patternType="solid">
        <fgColor indexed="22"/>
        <bgColor indexed="0"/>
      </patternFill>
    </fill>
    <fill>
      <patternFill patternType="solid">
        <fgColor indexed="58"/>
        <bgColor indexed="64"/>
      </patternFill>
    </fill>
    <fill>
      <patternFill patternType="solid">
        <fgColor indexed="16"/>
        <bgColor indexed="64"/>
      </patternFill>
    </fill>
    <fill>
      <patternFill patternType="solid">
        <fgColor indexed="42"/>
        <bgColor indexed="64"/>
      </patternFill>
    </fill>
    <fill>
      <patternFill patternType="solid">
        <fgColor indexed="43"/>
        <bgColor indexed="8"/>
      </patternFill>
    </fill>
    <fill>
      <patternFill patternType="solid">
        <fgColor indexed="52"/>
        <bgColor indexed="64"/>
      </patternFill>
    </fill>
    <fill>
      <patternFill patternType="solid">
        <fgColor indexed="41"/>
        <bgColor indexed="64"/>
      </patternFill>
    </fill>
    <fill>
      <patternFill patternType="solid">
        <fgColor indexed="49"/>
        <bgColor indexed="64"/>
      </patternFill>
    </fill>
  </fills>
  <borders count="51">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22"/>
      </left>
      <right style="thin">
        <color indexed="22"/>
      </right>
      <top style="medium">
        <color indexed="64"/>
      </top>
      <bottom style="thin">
        <color indexed="22"/>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22"/>
      </left>
      <right style="thin">
        <color indexed="22"/>
      </right>
      <top style="thin">
        <color indexed="22"/>
      </top>
      <bottom/>
      <diagonal/>
    </border>
    <border>
      <left style="thin">
        <color indexed="22"/>
      </left>
      <right style="thin">
        <color indexed="22"/>
      </right>
      <top/>
      <bottom style="thin">
        <color indexed="22"/>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s>
  <cellStyleXfs count="7">
    <xf numFmtId="0" fontId="0" fillId="0" borderId="0"/>
    <xf numFmtId="44" fontId="1" fillId="0" borderId="0" applyFont="0" applyFill="0" applyBorder="0" applyAlignment="0" applyProtection="0"/>
    <xf numFmtId="0" fontId="11" fillId="0" borderId="0" applyNumberFormat="0" applyFill="0" applyBorder="0" applyAlignment="0" applyProtection="0">
      <alignment vertical="top"/>
      <protection locked="0"/>
    </xf>
    <xf numFmtId="0" fontId="29" fillId="0" borderId="0"/>
    <xf numFmtId="0" fontId="29" fillId="0" borderId="0"/>
    <xf numFmtId="0" fontId="29" fillId="0" borderId="0"/>
    <xf numFmtId="9" fontId="1" fillId="0" borderId="0" applyFont="0" applyFill="0" applyBorder="0" applyAlignment="0" applyProtection="0"/>
  </cellStyleXfs>
  <cellXfs count="600">
    <xf numFmtId="0" fontId="0" fillId="0" borderId="0" xfId="0"/>
    <xf numFmtId="0" fontId="0" fillId="0" borderId="2" xfId="0" applyBorder="1"/>
    <xf numFmtId="0" fontId="0" fillId="2" borderId="2" xfId="0" applyFill="1" applyBorder="1"/>
    <xf numFmtId="0" fontId="3" fillId="2" borderId="2" xfId="0" applyFont="1" applyFill="1" applyBorder="1" applyAlignment="1">
      <alignment horizontal="center"/>
    </xf>
    <xf numFmtId="0" fontId="3" fillId="2" borderId="2" xfId="0" applyFont="1" applyFill="1" applyBorder="1" applyAlignment="1">
      <alignment horizontal="center" wrapText="1"/>
    </xf>
    <xf numFmtId="0" fontId="4" fillId="0" borderId="0" xfId="0" applyFont="1"/>
    <xf numFmtId="0" fontId="5" fillId="0" borderId="0" xfId="0" applyFont="1"/>
    <xf numFmtId="10" fontId="3" fillId="0" borderId="0" xfId="0" applyNumberFormat="1" applyFont="1"/>
    <xf numFmtId="0" fontId="8" fillId="0" borderId="2" xfId="0" applyFont="1" applyBorder="1"/>
    <xf numFmtId="0" fontId="9" fillId="3" borderId="2" xfId="0" applyFont="1" applyFill="1" applyBorder="1" applyAlignment="1">
      <alignment horizontal="center" wrapText="1"/>
    </xf>
    <xf numFmtId="15" fontId="10" fillId="4" borderId="2" xfId="0" applyNumberFormat="1" applyFont="1" applyFill="1" applyBorder="1" applyAlignment="1">
      <alignment horizontal="left" wrapText="1"/>
    </xf>
    <xf numFmtId="0" fontId="10" fillId="4" borderId="2" xfId="0" applyFont="1" applyFill="1" applyBorder="1" applyAlignment="1">
      <alignment horizontal="center" wrapText="1"/>
    </xf>
    <xf numFmtId="0" fontId="10" fillId="4" borderId="2" xfId="0" applyFont="1" applyFill="1" applyBorder="1" applyAlignment="1">
      <alignment horizontal="right" wrapText="1"/>
    </xf>
    <xf numFmtId="0" fontId="11" fillId="4" borderId="2" xfId="2" applyFill="1" applyBorder="1" applyAlignment="1" applyProtection="1">
      <alignment horizontal="center" wrapText="1"/>
    </xf>
    <xf numFmtId="0" fontId="6" fillId="0" borderId="0" xfId="0" applyFont="1"/>
    <xf numFmtId="14" fontId="0" fillId="0" borderId="2" xfId="0" applyNumberFormat="1" applyBorder="1"/>
    <xf numFmtId="0" fontId="0" fillId="0" borderId="2" xfId="0" applyBorder="1" applyAlignment="1">
      <alignment wrapText="1"/>
    </xf>
    <xf numFmtId="0" fontId="3" fillId="3" borderId="2" xfId="0" applyFont="1" applyFill="1" applyBorder="1"/>
    <xf numFmtId="0" fontId="0" fillId="0" borderId="0" xfId="0" applyAlignment="1">
      <alignment horizontal="right"/>
    </xf>
    <xf numFmtId="0" fontId="3" fillId="2" borderId="2" xfId="0" applyFont="1" applyFill="1" applyBorder="1" applyAlignment="1">
      <alignment horizontal="right"/>
    </xf>
    <xf numFmtId="0" fontId="0" fillId="0" borderId="2" xfId="0" applyBorder="1" applyAlignment="1">
      <alignment horizontal="right"/>
    </xf>
    <xf numFmtId="14" fontId="7" fillId="5" borderId="3" xfId="0" applyNumberFormat="1" applyFont="1" applyFill="1" applyBorder="1" applyAlignment="1">
      <alignment horizontal="center"/>
    </xf>
    <xf numFmtId="0" fontId="0" fillId="0" borderId="4" xfId="0" applyBorder="1"/>
    <xf numFmtId="40" fontId="8" fillId="0" borderId="2" xfId="0" applyNumberFormat="1" applyFont="1" applyBorder="1" applyAlignment="1">
      <alignment horizontal="right"/>
    </xf>
    <xf numFmtId="0" fontId="8" fillId="0" borderId="0" xfId="0" applyFont="1" applyBorder="1"/>
    <xf numFmtId="0" fontId="8" fillId="0" borderId="0" xfId="0" applyFont="1" applyBorder="1" applyAlignment="1">
      <alignment horizontal="right"/>
    </xf>
    <xf numFmtId="0" fontId="0" fillId="0" borderId="0" xfId="0" applyAlignment="1">
      <alignment horizontal="center"/>
    </xf>
    <xf numFmtId="0" fontId="0" fillId="0" borderId="2" xfId="0" applyBorder="1" applyAlignment="1">
      <alignment horizontal="center"/>
    </xf>
    <xf numFmtId="0" fontId="7" fillId="5" borderId="5" xfId="0" applyFont="1" applyFill="1" applyBorder="1" applyAlignment="1">
      <alignment horizontal="center"/>
    </xf>
    <xf numFmtId="0" fontId="0" fillId="6" borderId="2" xfId="0" applyFill="1" applyBorder="1"/>
    <xf numFmtId="16" fontId="0" fillId="6" borderId="2" xfId="0" applyNumberFormat="1" applyFill="1" applyBorder="1"/>
    <xf numFmtId="0" fontId="0" fillId="0" borderId="6" xfId="0" applyBorder="1"/>
    <xf numFmtId="0" fontId="8" fillId="0" borderId="7" xfId="0" applyFont="1" applyBorder="1"/>
    <xf numFmtId="40" fontId="8" fillId="0" borderId="7" xfId="0" applyNumberFormat="1" applyFont="1" applyBorder="1" applyAlignment="1">
      <alignment horizontal="right"/>
    </xf>
    <xf numFmtId="0" fontId="14" fillId="0" borderId="0" xfId="0" applyFont="1"/>
    <xf numFmtId="0" fontId="10" fillId="4" borderId="2" xfId="0" applyFont="1" applyFill="1" applyBorder="1" applyAlignment="1">
      <alignment horizontal="left" vertical="top" wrapText="1"/>
    </xf>
    <xf numFmtId="0" fontId="10" fillId="4" borderId="2" xfId="0" applyFont="1" applyFill="1" applyBorder="1" applyAlignment="1">
      <alignment horizontal="left" wrapText="1"/>
    </xf>
    <xf numFmtId="15" fontId="10" fillId="4" borderId="2" xfId="0" applyNumberFormat="1" applyFont="1" applyFill="1" applyBorder="1" applyAlignment="1">
      <alignment horizontal="center" wrapText="1"/>
    </xf>
    <xf numFmtId="0" fontId="17" fillId="3" borderId="7" xfId="0" applyFont="1" applyFill="1" applyBorder="1" applyAlignment="1">
      <alignment horizontal="center" wrapText="1"/>
    </xf>
    <xf numFmtId="0" fontId="17" fillId="3" borderId="8" xfId="0" applyFont="1" applyFill="1" applyBorder="1" applyAlignment="1">
      <alignment horizontal="center" wrapText="1"/>
    </xf>
    <xf numFmtId="0" fontId="17" fillId="3" borderId="2" xfId="0" applyFont="1" applyFill="1" applyBorder="1" applyAlignment="1">
      <alignment horizontal="center" wrapText="1"/>
    </xf>
    <xf numFmtId="0" fontId="0" fillId="0" borderId="9" xfId="0" applyBorder="1"/>
    <xf numFmtId="0" fontId="0" fillId="0" borderId="3" xfId="0" applyBorder="1"/>
    <xf numFmtId="10" fontId="10" fillId="6" borderId="2" xfId="0" applyNumberFormat="1" applyFont="1" applyFill="1" applyBorder="1" applyAlignment="1">
      <alignment horizontal="right" wrapText="1"/>
    </xf>
    <xf numFmtId="0" fontId="7" fillId="5" borderId="3" xfId="0" applyFont="1" applyFill="1" applyBorder="1" applyAlignment="1">
      <alignment horizontal="center" wrapText="1"/>
    </xf>
    <xf numFmtId="0" fontId="17" fillId="4" borderId="2" xfId="0" applyFont="1" applyFill="1" applyBorder="1" applyAlignment="1">
      <alignment horizontal="left" wrapText="1"/>
    </xf>
    <xf numFmtId="0" fontId="3" fillId="0" borderId="10" xfId="0" applyFont="1" applyBorder="1"/>
    <xf numFmtId="15" fontId="17" fillId="4" borderId="2" xfId="0" applyNumberFormat="1" applyFont="1" applyFill="1" applyBorder="1" applyAlignment="1">
      <alignment horizontal="center" wrapText="1"/>
    </xf>
    <xf numFmtId="4" fontId="3" fillId="6" borderId="11" xfId="0" applyNumberFormat="1" applyFont="1" applyFill="1" applyBorder="1"/>
    <xf numFmtId="40" fontId="8" fillId="6" borderId="2" xfId="0" applyNumberFormat="1" applyFont="1" applyFill="1" applyBorder="1" applyAlignment="1">
      <alignment horizontal="right"/>
    </xf>
    <xf numFmtId="10" fontId="8" fillId="6" borderId="2" xfId="0" applyNumberFormat="1" applyFont="1" applyFill="1" applyBorder="1"/>
    <xf numFmtId="38" fontId="8" fillId="6" borderId="12" xfId="0" applyNumberFormat="1" applyFont="1" applyFill="1" applyBorder="1"/>
    <xf numFmtId="0" fontId="10" fillId="4" borderId="8" xfId="0" applyFont="1" applyFill="1" applyBorder="1" applyAlignment="1">
      <alignment horizontal="left" wrapText="1"/>
    </xf>
    <xf numFmtId="15" fontId="10" fillId="4" borderId="8" xfId="0" applyNumberFormat="1" applyFont="1" applyFill="1" applyBorder="1" applyAlignment="1">
      <alignment horizontal="center" wrapText="1"/>
    </xf>
    <xf numFmtId="0" fontId="10" fillId="4" borderId="8" xfId="0" applyFont="1" applyFill="1" applyBorder="1" applyAlignment="1">
      <alignment horizontal="right" wrapText="1"/>
    </xf>
    <xf numFmtId="0" fontId="7" fillId="5" borderId="5" xfId="0" applyFont="1" applyFill="1" applyBorder="1" applyAlignment="1">
      <alignment horizontal="center" wrapText="1"/>
    </xf>
    <xf numFmtId="10" fontId="8" fillId="6" borderId="12" xfId="0" applyNumberFormat="1" applyFont="1" applyFill="1" applyBorder="1"/>
    <xf numFmtId="10" fontId="0" fillId="7" borderId="2" xfId="0" applyNumberFormat="1" applyFill="1" applyBorder="1"/>
    <xf numFmtId="0" fontId="12" fillId="7" borderId="2" xfId="0" applyFont="1" applyFill="1" applyBorder="1" applyAlignment="1">
      <alignment horizontal="center" wrapText="1"/>
    </xf>
    <xf numFmtId="0" fontId="3" fillId="7" borderId="2" xfId="0" applyFont="1" applyFill="1" applyBorder="1" applyAlignment="1">
      <alignment horizontal="center" wrapText="1"/>
    </xf>
    <xf numFmtId="2" fontId="0" fillId="7" borderId="2" xfId="0" applyNumberFormat="1" applyFill="1" applyBorder="1"/>
    <xf numFmtId="0" fontId="0" fillId="0" borderId="0" xfId="0" applyBorder="1"/>
    <xf numFmtId="0" fontId="3" fillId="0" borderId="0" xfId="0" applyFont="1" applyBorder="1"/>
    <xf numFmtId="9" fontId="3" fillId="6" borderId="2" xfId="0" applyNumberFormat="1" applyFont="1" applyFill="1" applyBorder="1"/>
    <xf numFmtId="3" fontId="10" fillId="4" borderId="2" xfId="0" applyNumberFormat="1" applyFont="1" applyFill="1" applyBorder="1" applyAlignment="1">
      <alignment horizontal="right" wrapText="1"/>
    </xf>
    <xf numFmtId="3" fontId="0" fillId="0" borderId="2" xfId="0" applyNumberFormat="1" applyBorder="1"/>
    <xf numFmtId="0" fontId="5" fillId="0" borderId="0" xfId="0" applyFont="1" applyAlignment="1">
      <alignment wrapText="1"/>
    </xf>
    <xf numFmtId="0" fontId="4" fillId="0" borderId="0" xfId="0" applyFont="1" applyAlignment="1">
      <alignment wrapText="1"/>
    </xf>
    <xf numFmtId="9" fontId="3" fillId="0" borderId="0" xfId="0" applyNumberFormat="1" applyFont="1" applyAlignment="1">
      <alignment wrapText="1"/>
    </xf>
    <xf numFmtId="0" fontId="0" fillId="0" borderId="0" xfId="0" applyAlignment="1">
      <alignment wrapText="1"/>
    </xf>
    <xf numFmtId="0" fontId="20" fillId="0" borderId="0" xfId="0" applyFont="1"/>
    <xf numFmtId="0" fontId="21" fillId="0" borderId="0" xfId="0" applyFont="1"/>
    <xf numFmtId="0" fontId="21" fillId="2" borderId="2" xfId="0" applyFont="1" applyFill="1" applyBorder="1" applyAlignment="1">
      <alignment horizontal="center" wrapText="1"/>
    </xf>
    <xf numFmtId="1" fontId="20" fillId="0" borderId="2" xfId="0" applyNumberFormat="1" applyFont="1" applyBorder="1"/>
    <xf numFmtId="0" fontId="1" fillId="0" borderId="2" xfId="0" applyFont="1" applyBorder="1" applyAlignment="1">
      <alignment horizontal="right"/>
    </xf>
    <xf numFmtId="0" fontId="22" fillId="0" borderId="2" xfId="0" applyFont="1" applyBorder="1"/>
    <xf numFmtId="9" fontId="22" fillId="6" borderId="2" xfId="0" applyNumberFormat="1" applyFont="1" applyFill="1" applyBorder="1"/>
    <xf numFmtId="165" fontId="10" fillId="4" borderId="2" xfId="0" applyNumberFormat="1" applyFont="1" applyFill="1" applyBorder="1" applyAlignment="1">
      <alignment horizontal="center" wrapText="1"/>
    </xf>
    <xf numFmtId="40" fontId="0" fillId="0" borderId="2" xfId="0" applyNumberFormat="1" applyBorder="1" applyAlignment="1">
      <alignment horizontal="right"/>
    </xf>
    <xf numFmtId="0" fontId="0" fillId="0" borderId="10" xfId="0" applyBorder="1"/>
    <xf numFmtId="0" fontId="0" fillId="0" borderId="10" xfId="0" applyBorder="1" applyAlignment="1">
      <alignment wrapText="1"/>
    </xf>
    <xf numFmtId="0" fontId="22" fillId="0" borderId="10" xfId="0" applyFont="1" applyBorder="1"/>
    <xf numFmtId="0" fontId="1" fillId="0" borderId="10" xfId="0" applyFont="1" applyBorder="1" applyAlignment="1">
      <alignment horizontal="right"/>
    </xf>
    <xf numFmtId="1" fontId="20" fillId="0" borderId="10" xfId="0" applyNumberFormat="1" applyFont="1" applyBorder="1"/>
    <xf numFmtId="9" fontId="3" fillId="6" borderId="10" xfId="0" applyNumberFormat="1" applyFont="1" applyFill="1" applyBorder="1"/>
    <xf numFmtId="0" fontId="3" fillId="0" borderId="0" xfId="0" applyFont="1"/>
    <xf numFmtId="2" fontId="0" fillId="0" borderId="2" xfId="0" applyNumberFormat="1" applyBorder="1"/>
    <xf numFmtId="15" fontId="10" fillId="4" borderId="7" xfId="0" applyNumberFormat="1" applyFont="1" applyFill="1" applyBorder="1" applyAlignment="1">
      <alignment horizontal="center" wrapText="1"/>
    </xf>
    <xf numFmtId="0" fontId="3" fillId="2" borderId="12" xfId="0" applyFont="1" applyFill="1" applyBorder="1" applyAlignment="1">
      <alignment horizontal="center" wrapText="1"/>
    </xf>
    <xf numFmtId="0" fontId="3" fillId="0" borderId="12" xfId="0" applyFont="1" applyBorder="1" applyAlignment="1">
      <alignment horizontal="center"/>
    </xf>
    <xf numFmtId="0" fontId="0" fillId="0" borderId="12" xfId="0" applyBorder="1" applyAlignment="1">
      <alignment horizontal="center"/>
    </xf>
    <xf numFmtId="0" fontId="18" fillId="0" borderId="12" xfId="0" applyFont="1" applyBorder="1" applyAlignment="1">
      <alignment horizontal="center"/>
    </xf>
    <xf numFmtId="0" fontId="8" fillId="0" borderId="12" xfId="0" applyFont="1" applyBorder="1" applyAlignment="1">
      <alignment horizontal="center"/>
    </xf>
    <xf numFmtId="0" fontId="13" fillId="0" borderId="12" xfId="0" applyFont="1" applyBorder="1" applyAlignment="1">
      <alignment horizontal="center"/>
    </xf>
    <xf numFmtId="10" fontId="4" fillId="0" borderId="2" xfId="0" applyNumberFormat="1" applyFont="1" applyBorder="1"/>
    <xf numFmtId="10" fontId="0" fillId="0" borderId="2" xfId="0" applyNumberFormat="1" applyBorder="1"/>
    <xf numFmtId="0" fontId="10" fillId="4" borderId="8" xfId="0" applyFont="1" applyFill="1" applyBorder="1" applyAlignment="1">
      <alignment horizontal="left" vertical="top" wrapText="1"/>
    </xf>
    <xf numFmtId="10" fontId="10" fillId="6" borderId="10" xfId="0" applyNumberFormat="1" applyFont="1" applyFill="1" applyBorder="1" applyAlignment="1">
      <alignment horizontal="right" wrapText="1"/>
    </xf>
    <xf numFmtId="10" fontId="0" fillId="7" borderId="10" xfId="0" applyNumberFormat="1" applyFill="1" applyBorder="1"/>
    <xf numFmtId="2" fontId="0" fillId="7" borderId="10" xfId="0" applyNumberFormat="1" applyFill="1" applyBorder="1"/>
    <xf numFmtId="0" fontId="8" fillId="0" borderId="11" xfId="0" applyFont="1" applyBorder="1" applyAlignment="1">
      <alignment horizontal="center"/>
    </xf>
    <xf numFmtId="10" fontId="0" fillId="0" borderId="10" xfId="0" applyNumberFormat="1" applyBorder="1"/>
    <xf numFmtId="10" fontId="8" fillId="6" borderId="13" xfId="0" applyNumberFormat="1" applyFont="1" applyFill="1" applyBorder="1"/>
    <xf numFmtId="38" fontId="8" fillId="6" borderId="13" xfId="0" applyNumberFormat="1" applyFont="1" applyFill="1" applyBorder="1"/>
    <xf numFmtId="0" fontId="10" fillId="2" borderId="2" xfId="0" applyFont="1" applyFill="1" applyBorder="1" applyAlignment="1">
      <alignment horizontal="right" wrapText="1"/>
    </xf>
    <xf numFmtId="0" fontId="0" fillId="2" borderId="10" xfId="0" applyFill="1" applyBorder="1" applyAlignment="1">
      <alignment horizontal="right"/>
    </xf>
    <xf numFmtId="0" fontId="0" fillId="0" borderId="7" xfId="0" applyBorder="1"/>
    <xf numFmtId="40" fontId="8" fillId="0" borderId="13" xfId="0" applyNumberFormat="1" applyFont="1" applyBorder="1" applyAlignment="1">
      <alignment horizontal="right"/>
    </xf>
    <xf numFmtId="166" fontId="8" fillId="6" borderId="12" xfId="0" applyNumberFormat="1" applyFont="1" applyFill="1" applyBorder="1"/>
    <xf numFmtId="166" fontId="8" fillId="6" borderId="2" xfId="0" applyNumberFormat="1" applyFont="1" applyFill="1" applyBorder="1"/>
    <xf numFmtId="167" fontId="3" fillId="6" borderId="11" xfId="0" applyNumberFormat="1" applyFont="1" applyFill="1" applyBorder="1"/>
    <xf numFmtId="0" fontId="23" fillId="0" borderId="0" xfId="0" applyFont="1"/>
    <xf numFmtId="0" fontId="22" fillId="2" borderId="2" xfId="0" applyFont="1" applyFill="1" applyBorder="1" applyAlignment="1">
      <alignment horizontal="right" wrapText="1"/>
    </xf>
    <xf numFmtId="0" fontId="25" fillId="0" borderId="0" xfId="0" applyFont="1"/>
    <xf numFmtId="9" fontId="5" fillId="0" borderId="0" xfId="0" applyNumberFormat="1" applyFont="1"/>
    <xf numFmtId="0" fontId="0" fillId="7" borderId="12" xfId="0" applyFill="1" applyBorder="1"/>
    <xf numFmtId="0" fontId="26" fillId="0" borderId="0" xfId="0" applyFont="1"/>
    <xf numFmtId="15" fontId="10" fillId="2" borderId="2" xfId="0" applyNumberFormat="1" applyFont="1" applyFill="1" applyBorder="1" applyAlignment="1">
      <alignment horizontal="center" wrapText="1"/>
    </xf>
    <xf numFmtId="15" fontId="10" fillId="2" borderId="10" xfId="0" applyNumberFormat="1" applyFont="1" applyFill="1" applyBorder="1" applyAlignment="1">
      <alignment horizontal="center" wrapText="1"/>
    </xf>
    <xf numFmtId="0" fontId="10" fillId="0" borderId="2" xfId="0" applyFont="1" applyFill="1" applyBorder="1" applyAlignment="1">
      <alignment horizontal="left" wrapText="1"/>
    </xf>
    <xf numFmtId="0" fontId="0" fillId="0" borderId="7" xfId="0" applyFill="1" applyBorder="1"/>
    <xf numFmtId="15" fontId="10" fillId="0" borderId="2" xfId="0" applyNumberFormat="1" applyFont="1" applyFill="1" applyBorder="1" applyAlignment="1">
      <alignment horizontal="center" wrapText="1"/>
    </xf>
    <xf numFmtId="40" fontId="8" fillId="0" borderId="13" xfId="0" applyNumberFormat="1" applyFont="1" applyFill="1" applyBorder="1" applyAlignment="1">
      <alignment horizontal="right"/>
    </xf>
    <xf numFmtId="165" fontId="8" fillId="0" borderId="2" xfId="0" applyNumberFormat="1" applyFont="1" applyBorder="1" applyAlignment="1">
      <alignment horizontal="center"/>
    </xf>
    <xf numFmtId="165" fontId="8" fillId="0" borderId="7" xfId="0" applyNumberFormat="1" applyFont="1" applyBorder="1" applyAlignment="1">
      <alignment horizontal="center"/>
    </xf>
    <xf numFmtId="164" fontId="8" fillId="0" borderId="0" xfId="0" applyNumberFormat="1" applyFont="1" applyBorder="1" applyAlignment="1">
      <alignment horizontal="center"/>
    </xf>
    <xf numFmtId="0" fontId="0" fillId="0" borderId="0" xfId="0" applyBorder="1" applyAlignment="1">
      <alignment horizontal="center"/>
    </xf>
    <xf numFmtId="0" fontId="8" fillId="0" borderId="0" xfId="0" applyFont="1" applyBorder="1" applyAlignment="1">
      <alignment horizontal="center"/>
    </xf>
    <xf numFmtId="0" fontId="0" fillId="0" borderId="7" xfId="0" applyFill="1" applyBorder="1" applyAlignment="1">
      <alignment horizontal="right"/>
    </xf>
    <xf numFmtId="0" fontId="10" fillId="2" borderId="2" xfId="0" applyFont="1" applyFill="1" applyBorder="1" applyAlignment="1">
      <alignment horizontal="left" vertical="top" wrapText="1"/>
    </xf>
    <xf numFmtId="0" fontId="19" fillId="2" borderId="2" xfId="0" applyFont="1" applyFill="1" applyBorder="1" applyAlignment="1">
      <alignment horizontal="left" wrapText="1"/>
    </xf>
    <xf numFmtId="0" fontId="10" fillId="2" borderId="10" xfId="0" applyFont="1" applyFill="1" applyBorder="1" applyAlignment="1">
      <alignment horizontal="left" vertical="top" wrapText="1"/>
    </xf>
    <xf numFmtId="0" fontId="19" fillId="2" borderId="10" xfId="0" applyFont="1" applyFill="1" applyBorder="1" applyAlignment="1">
      <alignment horizontal="left" wrapText="1"/>
    </xf>
    <xf numFmtId="2" fontId="0" fillId="0" borderId="0" xfId="0" applyNumberFormat="1"/>
    <xf numFmtId="14" fontId="3" fillId="0" borderId="0" xfId="0" applyNumberFormat="1" applyFont="1"/>
    <xf numFmtId="14" fontId="0" fillId="0" borderId="0" xfId="0" applyNumberFormat="1"/>
    <xf numFmtId="0" fontId="17" fillId="4" borderId="0" xfId="0" applyFont="1" applyFill="1" applyBorder="1" applyAlignment="1">
      <alignment horizontal="left" wrapText="1"/>
    </xf>
    <xf numFmtId="15" fontId="17" fillId="4" borderId="0" xfId="0" applyNumberFormat="1" applyFont="1" applyFill="1" applyBorder="1" applyAlignment="1">
      <alignment horizontal="center" wrapText="1"/>
    </xf>
    <xf numFmtId="4" fontId="3" fillId="6" borderId="0" xfId="0" applyNumberFormat="1" applyFont="1" applyFill="1" applyBorder="1"/>
    <xf numFmtId="167" fontId="3" fillId="6" borderId="0" xfId="0" applyNumberFormat="1" applyFont="1" applyFill="1" applyBorder="1"/>
    <xf numFmtId="0" fontId="0" fillId="0" borderId="0" xfId="0" applyFill="1" applyBorder="1"/>
    <xf numFmtId="2" fontId="3" fillId="0" borderId="0" xfId="0" applyNumberFormat="1" applyFont="1"/>
    <xf numFmtId="0" fontId="7" fillId="5" borderId="14" xfId="0" applyFont="1" applyFill="1" applyBorder="1" applyAlignment="1">
      <alignment horizontal="center"/>
    </xf>
    <xf numFmtId="0" fontId="0" fillId="0" borderId="15" xfId="0" applyBorder="1"/>
    <xf numFmtId="0" fontId="0" fillId="0" borderId="16" xfId="0" applyBorder="1" applyAlignment="1">
      <alignment wrapText="1"/>
    </xf>
    <xf numFmtId="0" fontId="3" fillId="0" borderId="16" xfId="0" applyFont="1" applyBorder="1"/>
    <xf numFmtId="0" fontId="0" fillId="0" borderId="17" xfId="0" applyBorder="1"/>
    <xf numFmtId="0" fontId="27" fillId="0" borderId="0" xfId="0" applyFont="1"/>
    <xf numFmtId="0" fontId="9" fillId="3" borderId="2" xfId="0" applyFont="1" applyFill="1" applyBorder="1" applyAlignment="1">
      <alignment horizontal="right" wrapText="1"/>
    </xf>
    <xf numFmtId="0" fontId="7" fillId="5" borderId="18" xfId="0" applyFont="1" applyFill="1" applyBorder="1" applyAlignment="1">
      <alignment wrapText="1"/>
    </xf>
    <xf numFmtId="14" fontId="8" fillId="6" borderId="2" xfId="0" applyNumberFormat="1" applyFont="1" applyFill="1" applyBorder="1" applyAlignment="1"/>
    <xf numFmtId="0" fontId="28" fillId="0" borderId="0" xfId="0" applyFont="1"/>
    <xf numFmtId="0" fontId="29" fillId="8" borderId="19" xfId="5" applyFont="1" applyFill="1" applyBorder="1" applyAlignment="1">
      <alignment horizontal="center"/>
    </xf>
    <xf numFmtId="0" fontId="29" fillId="0" borderId="1" xfId="5" applyFont="1" applyFill="1" applyBorder="1" applyAlignment="1">
      <alignment horizontal="right" wrapText="1"/>
    </xf>
    <xf numFmtId="0" fontId="29" fillId="0" borderId="0" xfId="5"/>
    <xf numFmtId="0" fontId="4" fillId="0" borderId="0" xfId="0" applyFont="1" applyFill="1" applyBorder="1"/>
    <xf numFmtId="10" fontId="0" fillId="6" borderId="2" xfId="6" applyNumberFormat="1" applyFont="1" applyFill="1" applyBorder="1"/>
    <xf numFmtId="9" fontId="20" fillId="0" borderId="0" xfId="6" applyFont="1"/>
    <xf numFmtId="2" fontId="0" fillId="0" borderId="0" xfId="0" applyNumberFormat="1" applyAlignment="1">
      <alignment wrapText="1"/>
    </xf>
    <xf numFmtId="0" fontId="29" fillId="0" borderId="1" xfId="5" applyFont="1" applyFill="1" applyBorder="1" applyAlignment="1">
      <alignment wrapText="1"/>
    </xf>
    <xf numFmtId="0" fontId="0" fillId="0" borderId="0" xfId="0" applyAlignment="1">
      <alignment horizontal="left"/>
    </xf>
    <xf numFmtId="0" fontId="30" fillId="0" borderId="0" xfId="0" applyFont="1"/>
    <xf numFmtId="1" fontId="0" fillId="0" borderId="2" xfId="0" applyNumberFormat="1" applyBorder="1" applyAlignment="1">
      <alignment horizontal="center"/>
    </xf>
    <xf numFmtId="0" fontId="14" fillId="0" borderId="15" xfId="0" applyFont="1" applyBorder="1"/>
    <xf numFmtId="0" fontId="14" fillId="0" borderId="2" xfId="0" applyFont="1" applyBorder="1" applyAlignment="1">
      <alignment horizontal="center"/>
    </xf>
    <xf numFmtId="0" fontId="14" fillId="0" borderId="2" xfId="0" applyFont="1" applyBorder="1"/>
    <xf numFmtId="0" fontId="4" fillId="0" borderId="2" xfId="0" applyFont="1" applyBorder="1"/>
    <xf numFmtId="0" fontId="4" fillId="0" borderId="2" xfId="0" applyFont="1" applyBorder="1" applyAlignment="1">
      <alignment horizontal="center"/>
    </xf>
    <xf numFmtId="0" fontId="31" fillId="0" borderId="2" xfId="0" applyFont="1" applyBorder="1"/>
    <xf numFmtId="0" fontId="31" fillId="0" borderId="2" xfId="0" applyFont="1" applyBorder="1" applyAlignment="1">
      <alignment horizontal="center"/>
    </xf>
    <xf numFmtId="2" fontId="6" fillId="0" borderId="2" xfId="0" applyNumberFormat="1" applyFont="1" applyBorder="1"/>
    <xf numFmtId="0" fontId="22" fillId="0" borderId="0" xfId="0" applyFont="1" applyBorder="1"/>
    <xf numFmtId="0" fontId="32" fillId="0" borderId="0" xfId="0" applyFont="1"/>
    <xf numFmtId="0" fontId="33" fillId="7" borderId="2" xfId="0" applyNumberFormat="1" applyFont="1" applyFill="1" applyBorder="1" applyAlignment="1">
      <alignment wrapText="1"/>
    </xf>
    <xf numFmtId="10" fontId="0" fillId="6" borderId="7" xfId="6" applyNumberFormat="1" applyFont="1" applyFill="1" applyBorder="1"/>
    <xf numFmtId="40" fontId="8" fillId="6" borderId="7" xfId="0" applyNumberFormat="1" applyFont="1" applyFill="1" applyBorder="1" applyAlignment="1">
      <alignment horizontal="right"/>
    </xf>
    <xf numFmtId="14" fontId="8" fillId="6" borderId="7" xfId="0" applyNumberFormat="1" applyFont="1" applyFill="1" applyBorder="1" applyAlignment="1"/>
    <xf numFmtId="0" fontId="34" fillId="0" borderId="0" xfId="0" applyFont="1"/>
    <xf numFmtId="0" fontId="0" fillId="0" borderId="20" xfId="0" applyBorder="1"/>
    <xf numFmtId="9" fontId="0" fillId="0" borderId="0" xfId="6" applyFont="1"/>
    <xf numFmtId="0" fontId="22" fillId="0" borderId="0" xfId="0" applyFont="1"/>
    <xf numFmtId="9" fontId="3" fillId="6" borderId="2" xfId="0" applyNumberFormat="1" applyFont="1" applyFill="1" applyBorder="1" applyAlignment="1">
      <alignment horizontal="center"/>
    </xf>
    <xf numFmtId="0" fontId="0" fillId="0" borderId="7" xfId="0" applyBorder="1" applyAlignment="1">
      <alignment horizontal="center"/>
    </xf>
    <xf numFmtId="0" fontId="0" fillId="0" borderId="8" xfId="0" applyBorder="1"/>
    <xf numFmtId="10" fontId="8" fillId="6" borderId="0" xfId="0" applyNumberFormat="1" applyFont="1" applyFill="1" applyBorder="1"/>
    <xf numFmtId="38" fontId="8" fillId="6" borderId="0" xfId="0" applyNumberFormat="1" applyFont="1" applyFill="1" applyBorder="1"/>
    <xf numFmtId="0" fontId="0" fillId="0" borderId="0" xfId="0" applyBorder="1" applyAlignment="1">
      <alignment wrapText="1"/>
    </xf>
    <xf numFmtId="165" fontId="8" fillId="0" borderId="0" xfId="0" applyNumberFormat="1" applyFont="1" applyBorder="1" applyAlignment="1">
      <alignment horizontal="center"/>
    </xf>
    <xf numFmtId="40" fontId="8" fillId="0" borderId="0" xfId="0" applyNumberFormat="1" applyFont="1" applyBorder="1" applyAlignment="1">
      <alignment horizontal="right"/>
    </xf>
    <xf numFmtId="40" fontId="8" fillId="6" borderId="0" xfId="0" applyNumberFormat="1" applyFont="1" applyFill="1" applyBorder="1" applyAlignment="1">
      <alignment horizontal="right"/>
    </xf>
    <xf numFmtId="14" fontId="8" fillId="6" borderId="0" xfId="0" applyNumberFormat="1" applyFont="1" applyFill="1" applyBorder="1" applyAlignment="1"/>
    <xf numFmtId="10" fontId="0" fillId="6" borderId="0" xfId="6" applyNumberFormat="1" applyFont="1" applyFill="1" applyBorder="1"/>
    <xf numFmtId="9" fontId="0" fillId="0" borderId="2" xfId="6" applyFont="1" applyBorder="1" applyAlignment="1">
      <alignment horizontal="center"/>
    </xf>
    <xf numFmtId="0" fontId="29" fillId="8" borderId="19" xfId="4" applyFont="1" applyFill="1" applyBorder="1" applyAlignment="1">
      <alignment horizontal="center"/>
    </xf>
    <xf numFmtId="0" fontId="29" fillId="0" borderId="1" xfId="4" applyFont="1" applyFill="1" applyBorder="1" applyAlignment="1">
      <alignment wrapText="1"/>
    </xf>
    <xf numFmtId="10" fontId="3" fillId="0" borderId="0" xfId="0" applyNumberFormat="1" applyFont="1" applyAlignment="1">
      <alignment wrapText="1"/>
    </xf>
    <xf numFmtId="0" fontId="35" fillId="0" borderId="0" xfId="0" applyFont="1"/>
    <xf numFmtId="0" fontId="6" fillId="0" borderId="0" xfId="0" applyNumberFormat="1" applyFont="1"/>
    <xf numFmtId="10" fontId="0" fillId="0" borderId="2" xfId="6" applyNumberFormat="1" applyFont="1" applyBorder="1" applyAlignment="1">
      <alignment horizontal="center"/>
    </xf>
    <xf numFmtId="10" fontId="0" fillId="9" borderId="2" xfId="6" applyNumberFormat="1" applyFont="1" applyFill="1" applyBorder="1" applyAlignment="1">
      <alignment horizontal="center"/>
    </xf>
    <xf numFmtId="0" fontId="7" fillId="10" borderId="0" xfId="0" applyFont="1" applyFill="1" applyAlignment="1">
      <alignment horizontal="center" wrapText="1"/>
    </xf>
    <xf numFmtId="0" fontId="9" fillId="4" borderId="0" xfId="0" applyFont="1" applyFill="1" applyAlignment="1">
      <alignment wrapText="1"/>
    </xf>
    <xf numFmtId="0" fontId="11" fillId="4" borderId="0" xfId="2" applyFill="1" applyAlignment="1" applyProtection="1">
      <alignment wrapText="1"/>
    </xf>
    <xf numFmtId="0" fontId="9" fillId="0" borderId="0" xfId="0" applyFont="1" applyAlignment="1">
      <alignment wrapText="1"/>
    </xf>
    <xf numFmtId="0" fontId="11" fillId="0" borderId="0" xfId="2" applyAlignment="1" applyProtection="1">
      <alignment wrapText="1"/>
    </xf>
    <xf numFmtId="0" fontId="9" fillId="0" borderId="0" xfId="0" applyFont="1" applyAlignment="1">
      <alignment horizontal="right" wrapText="1"/>
    </xf>
    <xf numFmtId="0" fontId="9" fillId="4" borderId="0" xfId="0" applyFont="1" applyFill="1" applyAlignment="1">
      <alignment horizontal="right" wrapText="1"/>
    </xf>
    <xf numFmtId="0" fontId="37" fillId="0" borderId="0" xfId="0" applyFont="1"/>
    <xf numFmtId="0" fontId="20" fillId="0" borderId="0" xfId="0" applyFont="1" applyAlignment="1">
      <alignment horizontal="center"/>
    </xf>
    <xf numFmtId="0" fontId="3" fillId="0" borderId="15" xfId="0" applyFont="1" applyBorder="1"/>
    <xf numFmtId="2" fontId="3" fillId="0" borderId="2" xfId="0" applyNumberFormat="1" applyFont="1" applyBorder="1" applyAlignment="1">
      <alignment horizontal="center"/>
    </xf>
    <xf numFmtId="0" fontId="0" fillId="0" borderId="0" xfId="0" applyFill="1" applyAlignment="1">
      <alignment horizontal="center"/>
    </xf>
    <xf numFmtId="0" fontId="0" fillId="0" borderId="0" xfId="0" applyFill="1"/>
    <xf numFmtId="0" fontId="0" fillId="0" borderId="0" xfId="0" applyFill="1" applyBorder="1" applyAlignment="1">
      <alignment horizontal="center"/>
    </xf>
    <xf numFmtId="0" fontId="36" fillId="0" borderId="0" xfId="0" applyFont="1" applyFill="1" applyBorder="1" applyAlignment="1">
      <alignment horizontal="right"/>
    </xf>
    <xf numFmtId="0" fontId="10" fillId="0" borderId="0" xfId="0" applyFont="1" applyFill="1" applyBorder="1" applyAlignment="1">
      <alignment wrapText="1"/>
    </xf>
    <xf numFmtId="0" fontId="38" fillId="0" borderId="21" xfId="0" applyFont="1" applyBorder="1"/>
    <xf numFmtId="0" fontId="0" fillId="0" borderId="22" xfId="0" applyBorder="1"/>
    <xf numFmtId="0" fontId="0" fillId="0" borderId="23" xfId="0" applyBorder="1"/>
    <xf numFmtId="0" fontId="0" fillId="0" borderId="24" xfId="0" applyBorder="1"/>
    <xf numFmtId="0" fontId="0" fillId="0" borderId="25"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6" xfId="0" applyBorder="1" applyAlignment="1">
      <alignment wrapText="1"/>
    </xf>
    <xf numFmtId="0" fontId="0" fillId="0" borderId="24" xfId="0" applyBorder="1" applyAlignment="1">
      <alignment wrapText="1"/>
    </xf>
    <xf numFmtId="0" fontId="0" fillId="0" borderId="0" xfId="0" applyAlignment="1">
      <alignment horizontal="left" indent="1"/>
    </xf>
    <xf numFmtId="0" fontId="22" fillId="0" borderId="0" xfId="0" applyFont="1" applyAlignment="1">
      <alignment horizontal="left" indent="1"/>
    </xf>
    <xf numFmtId="0" fontId="12" fillId="0" borderId="0" xfId="0" applyFont="1"/>
    <xf numFmtId="0" fontId="40" fillId="0" borderId="0" xfId="0" applyFont="1"/>
    <xf numFmtId="0" fontId="3" fillId="4" borderId="22"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horizontal="center" vertical="top" wrapText="1"/>
    </xf>
    <xf numFmtId="0" fontId="0" fillId="4" borderId="22" xfId="0" applyFill="1" applyBorder="1" applyAlignment="1">
      <alignment vertical="top" wrapText="1"/>
    </xf>
    <xf numFmtId="0" fontId="0" fillId="4" borderId="0" xfId="0" applyFill="1" applyBorder="1" applyAlignment="1">
      <alignment vertical="top" wrapText="1"/>
    </xf>
    <xf numFmtId="0" fontId="0" fillId="4" borderId="0" xfId="0" applyFill="1" applyBorder="1" applyAlignment="1">
      <alignment horizontal="center" vertical="top" wrapText="1"/>
    </xf>
    <xf numFmtId="0" fontId="22" fillId="4" borderId="22" xfId="0" applyFont="1" applyFill="1" applyBorder="1" applyAlignment="1">
      <alignment vertical="top" wrapText="1"/>
    </xf>
    <xf numFmtId="0" fontId="22" fillId="4" borderId="0" xfId="0" applyFont="1" applyFill="1" applyBorder="1" applyAlignment="1">
      <alignment vertical="top" wrapText="1"/>
    </xf>
    <xf numFmtId="0" fontId="22" fillId="4" borderId="0" xfId="0" applyFont="1" applyFill="1" applyBorder="1" applyAlignment="1">
      <alignment horizontal="center" vertical="top" wrapText="1"/>
    </xf>
    <xf numFmtId="0" fontId="22" fillId="4" borderId="26" xfId="0" applyFont="1" applyFill="1" applyBorder="1" applyAlignment="1">
      <alignment vertical="top" wrapText="1"/>
    </xf>
    <xf numFmtId="0" fontId="22" fillId="4" borderId="27" xfId="0" applyFont="1" applyFill="1" applyBorder="1" applyAlignment="1">
      <alignment vertical="top" wrapText="1"/>
    </xf>
    <xf numFmtId="0" fontId="0" fillId="0" borderId="27" xfId="0" applyBorder="1"/>
    <xf numFmtId="0" fontId="3" fillId="2" borderId="21" xfId="0" applyFont="1" applyFill="1" applyBorder="1"/>
    <xf numFmtId="10" fontId="3" fillId="2" borderId="28" xfId="0" applyNumberFormat="1" applyFont="1" applyFill="1" applyBorder="1"/>
    <xf numFmtId="0" fontId="0" fillId="2" borderId="28" xfId="0" applyFill="1" applyBorder="1"/>
    <xf numFmtId="10" fontId="3" fillId="2" borderId="25" xfId="0" applyNumberFormat="1" applyFont="1" applyFill="1" applyBorder="1"/>
    <xf numFmtId="14" fontId="0" fillId="2" borderId="22" xfId="0" applyNumberFormat="1" applyFill="1" applyBorder="1"/>
    <xf numFmtId="0" fontId="0" fillId="2" borderId="0" xfId="0" applyFill="1" applyBorder="1"/>
    <xf numFmtId="14" fontId="0" fillId="2" borderId="0" xfId="0" applyNumberFormat="1" applyFill="1" applyBorder="1"/>
    <xf numFmtId="0" fontId="0" fillId="2" borderId="23" xfId="0" applyFill="1" applyBorder="1"/>
    <xf numFmtId="14" fontId="0" fillId="2" borderId="26" xfId="0" applyNumberFormat="1" applyFill="1" applyBorder="1"/>
    <xf numFmtId="1" fontId="0" fillId="2" borderId="27" xfId="0" applyNumberFormat="1" applyFill="1" applyBorder="1"/>
    <xf numFmtId="14" fontId="0" fillId="2" borderId="27" xfId="0" applyNumberFormat="1" applyFill="1" applyBorder="1"/>
    <xf numFmtId="1" fontId="0" fillId="2" borderId="24" xfId="0" applyNumberFormat="1" applyFill="1" applyBorder="1"/>
    <xf numFmtId="0" fontId="29" fillId="8" borderId="19" xfId="3" applyFont="1" applyFill="1" applyBorder="1" applyAlignment="1">
      <alignment horizontal="center"/>
    </xf>
    <xf numFmtId="0" fontId="29" fillId="0" borderId="1" xfId="3" applyFont="1" applyFill="1" applyBorder="1" applyAlignment="1">
      <alignment wrapText="1"/>
    </xf>
    <xf numFmtId="0" fontId="29" fillId="0" borderId="1" xfId="3" applyFont="1" applyFill="1" applyBorder="1" applyAlignment="1">
      <alignment horizontal="right" wrapText="1"/>
    </xf>
    <xf numFmtId="14" fontId="29" fillId="0" borderId="1" xfId="3" applyNumberFormat="1" applyFont="1" applyFill="1" applyBorder="1" applyAlignment="1">
      <alignment horizontal="right" wrapText="1"/>
    </xf>
    <xf numFmtId="0" fontId="29" fillId="0" borderId="0" xfId="3"/>
    <xf numFmtId="0" fontId="0" fillId="0" borderId="7" xfId="0" applyBorder="1" applyAlignment="1">
      <alignment horizontal="right"/>
    </xf>
    <xf numFmtId="22" fontId="0" fillId="0" borderId="0" xfId="0" applyNumberFormat="1"/>
    <xf numFmtId="0" fontId="7" fillId="5" borderId="0" xfId="0" applyFont="1" applyFill="1" applyBorder="1" applyAlignment="1">
      <alignment horizontal="center" wrapText="1"/>
    </xf>
    <xf numFmtId="0" fontId="20" fillId="0" borderId="0" xfId="0" applyFont="1" applyAlignment="1">
      <alignment horizontal="right"/>
    </xf>
    <xf numFmtId="169" fontId="0" fillId="0" borderId="2" xfId="0" applyNumberFormat="1" applyBorder="1"/>
    <xf numFmtId="2" fontId="0" fillId="6" borderId="2" xfId="6" applyNumberFormat="1" applyFont="1" applyFill="1" applyBorder="1"/>
    <xf numFmtId="0" fontId="3" fillId="0" borderId="12" xfId="0" applyFont="1" applyBorder="1"/>
    <xf numFmtId="0" fontId="0" fillId="0" borderId="12" xfId="0" applyBorder="1"/>
    <xf numFmtId="0" fontId="3" fillId="11" borderId="9" xfId="0" applyFont="1" applyFill="1" applyBorder="1"/>
    <xf numFmtId="0" fontId="3" fillId="11" borderId="3" xfId="0" applyFont="1" applyFill="1" applyBorder="1"/>
    <xf numFmtId="0" fontId="3" fillId="11" borderId="3" xfId="0" applyFont="1" applyFill="1" applyBorder="1" applyAlignment="1">
      <alignment horizontal="right"/>
    </xf>
    <xf numFmtId="0" fontId="3" fillId="11" borderId="18" xfId="0" applyFont="1" applyFill="1" applyBorder="1"/>
    <xf numFmtId="0" fontId="0" fillId="0" borderId="29" xfId="0" applyBorder="1"/>
    <xf numFmtId="0" fontId="22" fillId="11" borderId="30" xfId="0" applyFont="1" applyFill="1" applyBorder="1"/>
    <xf numFmtId="0" fontId="3" fillId="11" borderId="31" xfId="0" applyFont="1" applyFill="1" applyBorder="1"/>
    <xf numFmtId="0" fontId="3" fillId="11" borderId="32" xfId="0" applyFont="1" applyFill="1" applyBorder="1"/>
    <xf numFmtId="0" fontId="3" fillId="11" borderId="32" xfId="0" applyFont="1" applyFill="1" applyBorder="1" applyAlignment="1">
      <alignment horizontal="right"/>
    </xf>
    <xf numFmtId="2" fontId="3" fillId="11" borderId="32" xfId="6" applyNumberFormat="1" applyFont="1" applyFill="1" applyBorder="1"/>
    <xf numFmtId="8" fontId="41" fillId="11" borderId="32" xfId="0" applyNumberFormat="1" applyFont="1" applyFill="1" applyBorder="1" applyAlignment="1">
      <alignment horizontal="right"/>
    </xf>
    <xf numFmtId="0" fontId="0" fillId="0" borderId="11" xfId="0" applyBorder="1"/>
    <xf numFmtId="0" fontId="0" fillId="0" borderId="33" xfId="0" applyBorder="1"/>
    <xf numFmtId="169" fontId="0" fillId="0" borderId="10" xfId="0" applyNumberFormat="1" applyBorder="1"/>
    <xf numFmtId="38" fontId="8" fillId="6" borderId="11" xfId="0" applyNumberFormat="1" applyFont="1" applyFill="1" applyBorder="1"/>
    <xf numFmtId="0" fontId="3" fillId="0" borderId="17" xfId="0" applyFont="1" applyBorder="1"/>
    <xf numFmtId="170" fontId="3" fillId="11" borderId="32" xfId="1" applyNumberFormat="1" applyFont="1" applyFill="1" applyBorder="1"/>
    <xf numFmtId="0" fontId="43" fillId="2" borderId="34" xfId="0" applyFont="1" applyFill="1" applyBorder="1"/>
    <xf numFmtId="0" fontId="43" fillId="2" borderId="0" xfId="0" applyFont="1" applyFill="1"/>
    <xf numFmtId="10" fontId="43" fillId="2" borderId="0" xfId="6" applyNumberFormat="1" applyFont="1" applyFill="1"/>
    <xf numFmtId="10" fontId="3" fillId="11" borderId="32" xfId="6" applyNumberFormat="1" applyFont="1" applyFill="1" applyBorder="1"/>
    <xf numFmtId="169" fontId="0" fillId="0" borderId="35" xfId="0" applyNumberFormat="1" applyBorder="1"/>
    <xf numFmtId="0" fontId="29" fillId="12" borderId="9" xfId="3" applyFont="1" applyFill="1" applyBorder="1" applyAlignment="1">
      <alignment wrapText="1"/>
    </xf>
    <xf numFmtId="0" fontId="0" fillId="0" borderId="3" xfId="0" applyBorder="1" applyAlignment="1">
      <alignment wrapText="1"/>
    </xf>
    <xf numFmtId="0" fontId="8" fillId="0" borderId="3" xfId="0" applyFont="1" applyBorder="1"/>
    <xf numFmtId="165" fontId="8" fillId="0" borderId="3" xfId="0" applyNumberFormat="1" applyFont="1" applyBorder="1" applyAlignment="1">
      <alignment horizontal="center"/>
    </xf>
    <xf numFmtId="0" fontId="29" fillId="0" borderId="36" xfId="3" applyFont="1" applyFill="1" applyBorder="1" applyAlignment="1">
      <alignment horizontal="right" wrapText="1"/>
    </xf>
    <xf numFmtId="40" fontId="8" fillId="6" borderId="37" xfId="0" applyNumberFormat="1" applyFont="1" applyFill="1" applyBorder="1" applyAlignment="1">
      <alignment horizontal="right"/>
    </xf>
    <xf numFmtId="14" fontId="8" fillId="6" borderId="37" xfId="0" applyNumberFormat="1" applyFont="1" applyFill="1" applyBorder="1" applyAlignment="1"/>
    <xf numFmtId="10" fontId="0" fillId="6" borderId="37" xfId="6" applyNumberFormat="1" applyFont="1" applyFill="1" applyBorder="1"/>
    <xf numFmtId="10" fontId="8" fillId="6" borderId="38" xfId="0" applyNumberFormat="1" applyFont="1" applyFill="1" applyBorder="1"/>
    <xf numFmtId="38" fontId="8" fillId="6" borderId="39" xfId="0" applyNumberFormat="1" applyFont="1" applyFill="1" applyBorder="1"/>
    <xf numFmtId="0" fontId="29" fillId="12" borderId="4" xfId="3" applyFont="1" applyFill="1" applyBorder="1" applyAlignment="1">
      <alignment wrapText="1"/>
    </xf>
    <xf numFmtId="38" fontId="8" fillId="6" borderId="40" xfId="0" applyNumberFormat="1" applyFont="1" applyFill="1" applyBorder="1"/>
    <xf numFmtId="0" fontId="8" fillId="6" borderId="4" xfId="0" applyFont="1" applyFill="1" applyBorder="1"/>
    <xf numFmtId="0" fontId="0" fillId="0" borderId="41" xfId="0" applyBorder="1" applyAlignment="1">
      <alignment wrapText="1"/>
    </xf>
    <xf numFmtId="0" fontId="8" fillId="0" borderId="10" xfId="0" applyFont="1" applyBorder="1"/>
    <xf numFmtId="165" fontId="8" fillId="0" borderId="10" xfId="0" applyNumberFormat="1" applyFont="1" applyBorder="1" applyAlignment="1">
      <alignment horizontal="center"/>
    </xf>
    <xf numFmtId="40" fontId="8" fillId="0" borderId="10" xfId="0" applyNumberFormat="1" applyFont="1" applyBorder="1" applyAlignment="1">
      <alignment horizontal="right"/>
    </xf>
    <xf numFmtId="40" fontId="8" fillId="6" borderId="10" xfId="0" applyNumberFormat="1" applyFont="1" applyFill="1" applyBorder="1" applyAlignment="1">
      <alignment horizontal="right"/>
    </xf>
    <xf numFmtId="14" fontId="8" fillId="6" borderId="10" xfId="0" applyNumberFormat="1" applyFont="1" applyFill="1" applyBorder="1" applyAlignment="1"/>
    <xf numFmtId="10" fontId="0" fillId="6" borderId="10" xfId="6" applyNumberFormat="1" applyFont="1" applyFill="1" applyBorder="1"/>
    <xf numFmtId="10" fontId="8" fillId="6" borderId="11" xfId="0" applyNumberFormat="1" applyFont="1" applyFill="1" applyBorder="1"/>
    <xf numFmtId="38" fontId="8" fillId="6" borderId="42" xfId="0" applyNumberFormat="1" applyFont="1" applyFill="1" applyBorder="1"/>
    <xf numFmtId="9" fontId="42" fillId="7" borderId="2" xfId="6" applyFont="1" applyFill="1" applyBorder="1" applyAlignment="1">
      <alignment horizontal="center" wrapText="1"/>
    </xf>
    <xf numFmtId="1" fontId="12" fillId="2" borderId="2" xfId="0" applyNumberFormat="1" applyFont="1" applyFill="1" applyBorder="1"/>
    <xf numFmtId="0" fontId="0" fillId="0" borderId="13" xfId="0" applyBorder="1"/>
    <xf numFmtId="169" fontId="0" fillId="0" borderId="7" xfId="0" applyNumberFormat="1" applyBorder="1"/>
    <xf numFmtId="2" fontId="3" fillId="11" borderId="43" xfId="0" applyNumberFormat="1" applyFont="1" applyFill="1" applyBorder="1"/>
    <xf numFmtId="0" fontId="0" fillId="2" borderId="2" xfId="0" applyFill="1" applyBorder="1" applyAlignment="1">
      <alignment horizontal="center"/>
    </xf>
    <xf numFmtId="170" fontId="3" fillId="11" borderId="2" xfId="1" applyNumberFormat="1" applyFont="1" applyFill="1" applyBorder="1"/>
    <xf numFmtId="0" fontId="44" fillId="0" borderId="0" xfId="0" applyFont="1"/>
    <xf numFmtId="2" fontId="44" fillId="0" borderId="0" xfId="0" applyNumberFormat="1" applyFont="1"/>
    <xf numFmtId="0" fontId="45" fillId="0" borderId="0" xfId="0" applyFont="1"/>
    <xf numFmtId="0" fontId="44" fillId="0" borderId="17" xfId="0" applyFont="1" applyBorder="1"/>
    <xf numFmtId="0" fontId="46" fillId="0" borderId="0" xfId="0" applyFont="1"/>
    <xf numFmtId="0" fontId="44" fillId="2" borderId="0" xfId="0" applyFont="1" applyFill="1"/>
    <xf numFmtId="14" fontId="44" fillId="0" borderId="0" xfId="0" applyNumberFormat="1" applyFont="1"/>
    <xf numFmtId="10" fontId="44" fillId="0" borderId="0" xfId="0" applyNumberFormat="1" applyFont="1"/>
    <xf numFmtId="0" fontId="44" fillId="13" borderId="0" xfId="0" applyFont="1" applyFill="1"/>
    <xf numFmtId="0" fontId="29" fillId="0" borderId="44" xfId="5" applyFont="1" applyFill="1" applyBorder="1" applyAlignment="1">
      <alignment wrapText="1"/>
    </xf>
    <xf numFmtId="0" fontId="29" fillId="0" borderId="44" xfId="5" applyFont="1" applyFill="1" applyBorder="1" applyAlignment="1">
      <alignment horizontal="right" wrapText="1"/>
    </xf>
    <xf numFmtId="0" fontId="29" fillId="0" borderId="45" xfId="5" applyFont="1" applyFill="1" applyBorder="1" applyAlignment="1">
      <alignment wrapText="1"/>
    </xf>
    <xf numFmtId="0" fontId="29" fillId="0" borderId="45" xfId="5" applyFont="1" applyFill="1" applyBorder="1" applyAlignment="1">
      <alignment horizontal="right" wrapText="1"/>
    </xf>
    <xf numFmtId="0" fontId="0" fillId="0" borderId="7" xfId="0" applyBorder="1" applyAlignment="1">
      <alignment wrapText="1"/>
    </xf>
    <xf numFmtId="10" fontId="0" fillId="7" borderId="7" xfId="0" applyNumberFormat="1" applyFill="1" applyBorder="1"/>
    <xf numFmtId="2" fontId="0" fillId="7" borderId="7" xfId="0" applyNumberFormat="1" applyFill="1" applyBorder="1"/>
    <xf numFmtId="1" fontId="20" fillId="0" borderId="7" xfId="0" applyNumberFormat="1" applyFont="1" applyBorder="1"/>
    <xf numFmtId="9" fontId="3" fillId="6" borderId="7" xfId="0" applyNumberFormat="1" applyFont="1" applyFill="1" applyBorder="1"/>
    <xf numFmtId="0" fontId="0" fillId="0" borderId="13" xfId="0" applyBorder="1" applyAlignment="1">
      <alignment horizontal="center"/>
    </xf>
    <xf numFmtId="10" fontId="12" fillId="0" borderId="7" xfId="0" applyNumberFormat="1" applyFont="1" applyBorder="1"/>
    <xf numFmtId="0" fontId="0" fillId="0" borderId="8" xfId="0" applyBorder="1" applyAlignment="1">
      <alignment wrapText="1"/>
    </xf>
    <xf numFmtId="10" fontId="0" fillId="7" borderId="8" xfId="0" applyNumberFormat="1" applyFill="1" applyBorder="1"/>
    <xf numFmtId="0" fontId="22" fillId="0" borderId="8" xfId="0" applyFont="1" applyBorder="1"/>
    <xf numFmtId="0" fontId="1" fillId="0" borderId="8" xfId="0" applyFont="1" applyBorder="1" applyAlignment="1">
      <alignment horizontal="right"/>
    </xf>
    <xf numFmtId="2" fontId="0" fillId="7" borderId="8" xfId="0" applyNumberFormat="1" applyFill="1" applyBorder="1"/>
    <xf numFmtId="1" fontId="20" fillId="0" borderId="8" xfId="0" applyNumberFormat="1" applyFont="1" applyBorder="1"/>
    <xf numFmtId="9" fontId="3" fillId="6" borderId="8" xfId="0" applyNumberFormat="1" applyFont="1" applyFill="1" applyBorder="1"/>
    <xf numFmtId="0" fontId="8" fillId="0" borderId="46" xfId="0" applyFont="1" applyBorder="1" applyAlignment="1">
      <alignment horizontal="center"/>
    </xf>
    <xf numFmtId="10" fontId="0" fillId="0" borderId="8" xfId="0" applyNumberFormat="1" applyBorder="1"/>
    <xf numFmtId="0" fontId="38" fillId="4" borderId="21" xfId="0" applyFont="1" applyFill="1" applyBorder="1"/>
    <xf numFmtId="0" fontId="0" fillId="4" borderId="25" xfId="0" applyFill="1" applyBorder="1"/>
    <xf numFmtId="0" fontId="0" fillId="4" borderId="0" xfId="0" applyFill="1"/>
    <xf numFmtId="0" fontId="0" fillId="4" borderId="22" xfId="0" applyFill="1" applyBorder="1"/>
    <xf numFmtId="0" fontId="0" fillId="4" borderId="23" xfId="0" applyFill="1" applyBorder="1"/>
    <xf numFmtId="0" fontId="12" fillId="4" borderId="2" xfId="0" applyFont="1" applyFill="1" applyBorder="1" applyAlignment="1">
      <alignment horizontal="center" wrapText="1"/>
    </xf>
    <xf numFmtId="0" fontId="3" fillId="4" borderId="2" xfId="0" applyFont="1" applyFill="1" applyBorder="1" applyAlignment="1">
      <alignment horizontal="center" wrapText="1"/>
    </xf>
    <xf numFmtId="0" fontId="3" fillId="4" borderId="2" xfId="0" applyFont="1" applyFill="1" applyBorder="1" applyAlignment="1">
      <alignment horizontal="center"/>
    </xf>
    <xf numFmtId="0" fontId="3" fillId="4" borderId="2" xfId="0" applyFont="1" applyFill="1" applyBorder="1" applyAlignment="1">
      <alignment horizontal="right"/>
    </xf>
    <xf numFmtId="10" fontId="0" fillId="4" borderId="2" xfId="0" applyNumberFormat="1" applyFill="1" applyBorder="1"/>
    <xf numFmtId="0" fontId="0" fillId="4" borderId="2" xfId="0" applyFill="1" applyBorder="1"/>
    <xf numFmtId="0" fontId="0" fillId="4" borderId="2" xfId="0" applyFill="1" applyBorder="1" applyAlignment="1">
      <alignment horizontal="right"/>
    </xf>
    <xf numFmtId="2" fontId="0" fillId="4" borderId="2" xfId="0" applyNumberFormat="1" applyFill="1" applyBorder="1"/>
    <xf numFmtId="0" fontId="0" fillId="4" borderId="26" xfId="0" applyFill="1" applyBorder="1"/>
    <xf numFmtId="0" fontId="0" fillId="4" borderId="24" xfId="0" applyFill="1" applyBorder="1"/>
    <xf numFmtId="0" fontId="0" fillId="4" borderId="3" xfId="0" applyFill="1" applyBorder="1" applyAlignment="1">
      <alignment wrapText="1"/>
    </xf>
    <xf numFmtId="10" fontId="0" fillId="4" borderId="3" xfId="0" applyNumberFormat="1" applyFill="1" applyBorder="1"/>
    <xf numFmtId="0" fontId="0" fillId="4" borderId="3" xfId="0" applyFill="1" applyBorder="1"/>
    <xf numFmtId="0" fontId="0" fillId="4" borderId="3" xfId="0" applyFill="1" applyBorder="1" applyAlignment="1">
      <alignment horizontal="right"/>
    </xf>
    <xf numFmtId="2" fontId="0" fillId="4" borderId="3" xfId="0" applyNumberFormat="1" applyFill="1" applyBorder="1"/>
    <xf numFmtId="1" fontId="20" fillId="4" borderId="3" xfId="0" applyNumberFormat="1" applyFont="1" applyFill="1" applyBorder="1"/>
    <xf numFmtId="9" fontId="3" fillId="4" borderId="3" xfId="0" applyNumberFormat="1" applyFont="1" applyFill="1" applyBorder="1"/>
    <xf numFmtId="0" fontId="0" fillId="4" borderId="5" xfId="0" applyFill="1" applyBorder="1" applyAlignment="1">
      <alignment horizontal="center"/>
    </xf>
    <xf numFmtId="10" fontId="0" fillId="4" borderId="18" xfId="0" applyNumberFormat="1" applyFill="1" applyBorder="1"/>
    <xf numFmtId="0" fontId="0" fillId="4" borderId="22" xfId="0" applyFill="1" applyBorder="1" applyAlignment="1">
      <alignment horizontal="left" indent="1"/>
    </xf>
    <xf numFmtId="0" fontId="0" fillId="4" borderId="2" xfId="0" applyFill="1" applyBorder="1" applyAlignment="1">
      <alignment wrapText="1"/>
    </xf>
    <xf numFmtId="1" fontId="20" fillId="4" borderId="2" xfId="0" applyNumberFormat="1" applyFont="1" applyFill="1" applyBorder="1"/>
    <xf numFmtId="9" fontId="3" fillId="4" borderId="2" xfId="0" applyNumberFormat="1" applyFont="1" applyFill="1" applyBorder="1"/>
    <xf numFmtId="0" fontId="0" fillId="4" borderId="12" xfId="0" applyFill="1" applyBorder="1" applyAlignment="1">
      <alignment horizontal="center"/>
    </xf>
    <xf numFmtId="10" fontId="0" fillId="4" borderId="29" xfId="0" applyNumberFormat="1" applyFill="1" applyBorder="1"/>
    <xf numFmtId="0" fontId="22" fillId="4" borderId="22" xfId="0" applyFont="1" applyFill="1" applyBorder="1" applyAlignment="1">
      <alignment horizontal="left" indent="1"/>
    </xf>
    <xf numFmtId="0" fontId="22" fillId="4" borderId="2" xfId="0" applyFont="1" applyFill="1" applyBorder="1" applyAlignment="1">
      <alignment wrapText="1"/>
    </xf>
    <xf numFmtId="10" fontId="22" fillId="4" borderId="2" xfId="0" applyNumberFormat="1" applyFont="1" applyFill="1" applyBorder="1"/>
    <xf numFmtId="9" fontId="22" fillId="4" borderId="2" xfId="0" applyNumberFormat="1" applyFont="1" applyFill="1" applyBorder="1"/>
    <xf numFmtId="0" fontId="5" fillId="4" borderId="12" xfId="0" applyFont="1" applyFill="1" applyBorder="1" applyAlignment="1">
      <alignment horizontal="center"/>
    </xf>
    <xf numFmtId="0" fontId="1" fillId="4" borderId="2" xfId="0" applyFont="1" applyFill="1" applyBorder="1" applyAlignment="1">
      <alignment horizontal="right"/>
    </xf>
    <xf numFmtId="0" fontId="18" fillId="4" borderId="12" xfId="0" applyFont="1" applyFill="1" applyBorder="1" applyAlignment="1">
      <alignment horizontal="center"/>
    </xf>
    <xf numFmtId="0" fontId="22" fillId="4" borderId="2" xfId="0" applyFont="1" applyFill="1" applyBorder="1" applyAlignment="1">
      <alignment horizontal="center"/>
    </xf>
    <xf numFmtId="0" fontId="22" fillId="4" borderId="0" xfId="0" applyFont="1" applyFill="1" applyBorder="1" applyAlignment="1">
      <alignment horizontal="center"/>
    </xf>
    <xf numFmtId="0" fontId="22" fillId="4" borderId="2" xfId="0" applyFont="1" applyFill="1" applyBorder="1"/>
    <xf numFmtId="0" fontId="7" fillId="4" borderId="12" xfId="0" applyFont="1" applyFill="1" applyBorder="1" applyAlignment="1">
      <alignment horizontal="center"/>
    </xf>
    <xf numFmtId="0" fontId="8" fillId="4" borderId="12" xfId="0" applyFont="1" applyFill="1" applyBorder="1" applyAlignment="1">
      <alignment horizontal="center"/>
    </xf>
    <xf numFmtId="0" fontId="22" fillId="4" borderId="26" xfId="0" applyFont="1" applyFill="1" applyBorder="1" applyAlignment="1">
      <alignment horizontal="left" indent="1"/>
    </xf>
    <xf numFmtId="0" fontId="22" fillId="4" borderId="10" xfId="0" applyFont="1" applyFill="1" applyBorder="1" applyAlignment="1">
      <alignment wrapText="1"/>
    </xf>
    <xf numFmtId="10" fontId="22" fillId="4" borderId="10" xfId="0" applyNumberFormat="1" applyFont="1" applyFill="1" applyBorder="1"/>
    <xf numFmtId="0" fontId="22" fillId="4" borderId="10" xfId="0" applyFont="1" applyFill="1" applyBorder="1"/>
    <xf numFmtId="0" fontId="4" fillId="4" borderId="10" xfId="0" applyFont="1" applyFill="1" applyBorder="1" applyAlignment="1">
      <alignment horizontal="right"/>
    </xf>
    <xf numFmtId="2" fontId="0" fillId="4" borderId="10" xfId="0" applyNumberFormat="1" applyFill="1" applyBorder="1"/>
    <xf numFmtId="1" fontId="20" fillId="4" borderId="10" xfId="0" applyNumberFormat="1" applyFont="1" applyFill="1" applyBorder="1"/>
    <xf numFmtId="9" fontId="3" fillId="4" borderId="10" xfId="0" applyNumberFormat="1" applyFont="1" applyFill="1" applyBorder="1"/>
    <xf numFmtId="0" fontId="3" fillId="4" borderId="11" xfId="0" applyFont="1" applyFill="1" applyBorder="1" applyAlignment="1">
      <alignment horizontal="center"/>
    </xf>
    <xf numFmtId="10" fontId="0" fillId="4" borderId="42" xfId="0" applyNumberFormat="1" applyFill="1" applyBorder="1"/>
    <xf numFmtId="0" fontId="3" fillId="4" borderId="22" xfId="0" applyFont="1" applyFill="1" applyBorder="1" applyAlignment="1">
      <alignment horizontal="left" indent="1"/>
    </xf>
    <xf numFmtId="0" fontId="3" fillId="11" borderId="5" xfId="0" applyFont="1" applyFill="1" applyBorder="1" applyAlignment="1">
      <alignment horizontal="right"/>
    </xf>
    <xf numFmtId="8" fontId="41" fillId="11" borderId="43" xfId="0" applyNumberFormat="1" applyFont="1" applyFill="1" applyBorder="1" applyAlignment="1">
      <alignment horizontal="right"/>
    </xf>
    <xf numFmtId="0" fontId="43" fillId="2" borderId="0" xfId="0" applyFont="1" applyFill="1" applyBorder="1"/>
    <xf numFmtId="9" fontId="0" fillId="0" borderId="0" xfId="0" applyNumberFormat="1" applyAlignment="1">
      <alignment horizontal="right"/>
    </xf>
    <xf numFmtId="1" fontId="0" fillId="0" borderId="0" xfId="0" applyNumberFormat="1"/>
    <xf numFmtId="0" fontId="47" fillId="0" borderId="0" xfId="0" applyFont="1"/>
    <xf numFmtId="2" fontId="48" fillId="7" borderId="2" xfId="0" applyNumberFormat="1" applyFont="1" applyFill="1" applyBorder="1"/>
    <xf numFmtId="0" fontId="17" fillId="3" borderId="12" xfId="0" applyFont="1" applyFill="1" applyBorder="1" applyAlignment="1">
      <alignment horizontal="center" wrapText="1"/>
    </xf>
    <xf numFmtId="0" fontId="7" fillId="5" borderId="0" xfId="0" applyFont="1" applyFill="1" applyAlignment="1">
      <alignment horizontal="center"/>
    </xf>
    <xf numFmtId="0" fontId="7" fillId="5" borderId="17" xfId="0" applyFont="1" applyFill="1" applyBorder="1" applyAlignment="1">
      <alignment horizontal="center"/>
    </xf>
    <xf numFmtId="22" fontId="0" fillId="0" borderId="17" xfId="0" applyNumberFormat="1" applyBorder="1"/>
    <xf numFmtId="1" fontId="3" fillId="0" borderId="0" xfId="0" applyNumberFormat="1" applyFont="1"/>
    <xf numFmtId="2" fontId="0" fillId="6" borderId="10" xfId="6" applyNumberFormat="1" applyFont="1" applyFill="1" applyBorder="1"/>
    <xf numFmtId="10" fontId="12" fillId="6" borderId="2" xfId="6" applyNumberFormat="1" applyFont="1" applyFill="1" applyBorder="1"/>
    <xf numFmtId="0" fontId="0" fillId="0" borderId="21" xfId="0" applyBorder="1"/>
    <xf numFmtId="0" fontId="0" fillId="0" borderId="28" xfId="0" applyBorder="1"/>
    <xf numFmtId="171" fontId="0" fillId="0" borderId="28" xfId="0" applyNumberFormat="1" applyBorder="1"/>
    <xf numFmtId="0" fontId="0" fillId="0" borderId="25" xfId="0" applyBorder="1"/>
    <xf numFmtId="0" fontId="43" fillId="2" borderId="47" xfId="0" applyFont="1" applyFill="1" applyBorder="1"/>
    <xf numFmtId="0" fontId="43" fillId="2" borderId="27" xfId="0" applyFont="1" applyFill="1" applyBorder="1"/>
    <xf numFmtId="170" fontId="3" fillId="11" borderId="48" xfId="1" applyNumberFormat="1" applyFont="1" applyFill="1" applyBorder="1"/>
    <xf numFmtId="2" fontId="0" fillId="6" borderId="7" xfId="6" applyNumberFormat="1" applyFont="1" applyFill="1" applyBorder="1"/>
    <xf numFmtId="10" fontId="3" fillId="2" borderId="32" xfId="6" applyNumberFormat="1" applyFont="1" applyFill="1" applyBorder="1"/>
    <xf numFmtId="170" fontId="3" fillId="2" borderId="0" xfId="0" applyNumberFormat="1" applyFont="1" applyFill="1"/>
    <xf numFmtId="0" fontId="3" fillId="2" borderId="30" xfId="0" applyFont="1" applyFill="1" applyBorder="1"/>
    <xf numFmtId="9" fontId="3" fillId="2" borderId="49" xfId="6" applyFont="1" applyFill="1" applyBorder="1"/>
    <xf numFmtId="0" fontId="0" fillId="0" borderId="49" xfId="0" applyBorder="1" applyAlignment="1">
      <alignment horizontal="center"/>
    </xf>
    <xf numFmtId="10" fontId="3" fillId="11" borderId="48" xfId="6" applyNumberFormat="1" applyFont="1" applyFill="1" applyBorder="1"/>
    <xf numFmtId="0" fontId="3" fillId="0" borderId="49" xfId="0" applyFont="1" applyBorder="1"/>
    <xf numFmtId="8" fontId="0" fillId="0" borderId="0" xfId="0" applyNumberFormat="1" applyAlignment="1">
      <alignment horizontal="right"/>
    </xf>
    <xf numFmtId="3" fontId="12" fillId="2" borderId="2" xfId="0" applyNumberFormat="1" applyFont="1" applyFill="1" applyBorder="1"/>
    <xf numFmtId="10" fontId="0" fillId="0" borderId="0" xfId="6" applyNumberFormat="1" applyFont="1"/>
    <xf numFmtId="44" fontId="0" fillId="0" borderId="0" xfId="1" applyFont="1"/>
    <xf numFmtId="0" fontId="3" fillId="11" borderId="0" xfId="0" applyFont="1" applyFill="1" applyBorder="1"/>
    <xf numFmtId="6" fontId="41" fillId="11" borderId="32" xfId="0" applyNumberFormat="1" applyFont="1" applyFill="1" applyBorder="1" applyAlignment="1">
      <alignment horizontal="right"/>
    </xf>
    <xf numFmtId="0" fontId="0" fillId="0" borderId="34" xfId="0" applyBorder="1"/>
    <xf numFmtId="0" fontId="0" fillId="0" borderId="35" xfId="0" applyBorder="1"/>
    <xf numFmtId="0" fontId="0" fillId="2" borderId="0" xfId="0" applyFill="1" applyBorder="1" applyAlignment="1">
      <alignment horizontal="center"/>
    </xf>
    <xf numFmtId="9" fontId="0" fillId="0" borderId="0" xfId="6" applyFont="1" applyBorder="1" applyAlignment="1">
      <alignment horizontal="center"/>
    </xf>
    <xf numFmtId="170" fontId="3" fillId="11" borderId="0" xfId="1" applyNumberFormat="1" applyFont="1" applyFill="1" applyBorder="1"/>
    <xf numFmtId="16" fontId="0" fillId="0" borderId="2" xfId="0" applyNumberFormat="1" applyBorder="1"/>
    <xf numFmtId="6" fontId="0" fillId="0" borderId="0" xfId="0" applyNumberFormat="1"/>
    <xf numFmtId="6" fontId="3" fillId="0" borderId="0" xfId="0" applyNumberFormat="1" applyFont="1"/>
    <xf numFmtId="8" fontId="10" fillId="0" borderId="0" xfId="0" applyNumberFormat="1" applyFont="1"/>
    <xf numFmtId="16" fontId="0" fillId="0" borderId="7" xfId="0" applyNumberFormat="1" applyBorder="1"/>
    <xf numFmtId="0" fontId="6" fillId="0" borderId="2" xfId="0" applyFont="1" applyBorder="1"/>
    <xf numFmtId="0" fontId="6" fillId="0" borderId="7" xfId="0" applyFont="1" applyBorder="1"/>
    <xf numFmtId="0" fontId="6" fillId="0" borderId="10" xfId="0" applyFont="1" applyBorder="1"/>
    <xf numFmtId="40" fontId="8" fillId="2" borderId="2" xfId="0" applyNumberFormat="1" applyFont="1" applyFill="1" applyBorder="1" applyAlignment="1">
      <alignment horizontal="right"/>
    </xf>
    <xf numFmtId="14" fontId="8" fillId="2" borderId="2" xfId="0" applyNumberFormat="1" applyFont="1" applyFill="1" applyBorder="1" applyAlignment="1"/>
    <xf numFmtId="8" fontId="41" fillId="11" borderId="0" xfId="0" applyNumberFormat="1" applyFont="1" applyFill="1" applyBorder="1" applyAlignment="1">
      <alignment horizontal="right"/>
    </xf>
    <xf numFmtId="0" fontId="49" fillId="0" borderId="0" xfId="0" applyFont="1"/>
    <xf numFmtId="0" fontId="0" fillId="2" borderId="0" xfId="0" applyFill="1"/>
    <xf numFmtId="8" fontId="0" fillId="2" borderId="0" xfId="0" applyNumberFormat="1" applyFill="1"/>
    <xf numFmtId="9" fontId="0" fillId="2" borderId="0" xfId="6" applyFont="1" applyFill="1" applyBorder="1" applyAlignment="1">
      <alignment horizontal="center"/>
    </xf>
    <xf numFmtId="38" fontId="0" fillId="0" borderId="0" xfId="0" applyNumberFormat="1"/>
    <xf numFmtId="170" fontId="0" fillId="0" borderId="0" xfId="1" applyNumberFormat="1" applyFont="1" applyAlignment="1">
      <alignment horizontal="center"/>
    </xf>
    <xf numFmtId="22" fontId="3" fillId="0" borderId="0" xfId="0" applyNumberFormat="1" applyFont="1"/>
    <xf numFmtId="40" fontId="13" fillId="2" borderId="2" xfId="0" applyNumberFormat="1" applyFont="1" applyFill="1" applyBorder="1" applyAlignment="1">
      <alignment horizontal="right"/>
    </xf>
    <xf numFmtId="14" fontId="13" fillId="2" borderId="2" xfId="0" applyNumberFormat="1" applyFont="1" applyFill="1" applyBorder="1" applyAlignment="1"/>
    <xf numFmtId="170" fontId="3" fillId="0" borderId="0" xfId="1" applyNumberFormat="1" applyFont="1"/>
    <xf numFmtId="22" fontId="0" fillId="0" borderId="0" xfId="0" applyNumberFormat="1" applyBorder="1"/>
    <xf numFmtId="22" fontId="0" fillId="0" borderId="2" xfId="0" applyNumberFormat="1" applyBorder="1"/>
    <xf numFmtId="10" fontId="3" fillId="2" borderId="0" xfId="6" applyNumberFormat="1" applyFont="1" applyFill="1" applyBorder="1"/>
    <xf numFmtId="14" fontId="3" fillId="0" borderId="2" xfId="0" applyNumberFormat="1" applyFont="1" applyBorder="1" applyAlignment="1">
      <alignment horizontal="center"/>
    </xf>
    <xf numFmtId="40" fontId="0" fillId="0" borderId="2" xfId="0" applyNumberFormat="1" applyBorder="1"/>
    <xf numFmtId="1" fontId="0" fillId="0" borderId="2" xfId="6" applyNumberFormat="1" applyFont="1" applyBorder="1" applyAlignment="1">
      <alignment horizontal="center"/>
    </xf>
    <xf numFmtId="0" fontId="50" fillId="0" borderId="0" xfId="0" applyFont="1"/>
    <xf numFmtId="0" fontId="2" fillId="0" borderId="0" xfId="0" applyFont="1"/>
    <xf numFmtId="0" fontId="51" fillId="0" borderId="0" xfId="0" applyFont="1"/>
    <xf numFmtId="9" fontId="2" fillId="0" borderId="0" xfId="6" applyFont="1"/>
    <xf numFmtId="9" fontId="2" fillId="0" borderId="0" xfId="6" applyFont="1" applyBorder="1" applyAlignment="1">
      <alignment horizontal="center"/>
    </xf>
    <xf numFmtId="9" fontId="2" fillId="6" borderId="2" xfId="6" applyFont="1" applyFill="1" applyBorder="1"/>
    <xf numFmtId="0" fontId="52" fillId="0" borderId="0" xfId="0" applyFont="1"/>
    <xf numFmtId="0" fontId="3" fillId="11" borderId="5" xfId="0" applyFont="1" applyFill="1" applyBorder="1" applyAlignment="1">
      <alignment horizontal="left"/>
    </xf>
    <xf numFmtId="16" fontId="0" fillId="0" borderId="10" xfId="0" applyNumberFormat="1" applyBorder="1"/>
    <xf numFmtId="40" fontId="8" fillId="7" borderId="12" xfId="0" applyNumberFormat="1" applyFont="1" applyFill="1" applyBorder="1"/>
    <xf numFmtId="0" fontId="50" fillId="0" borderId="21" xfId="0" applyFont="1" applyBorder="1"/>
    <xf numFmtId="0" fontId="2" fillId="0" borderId="28" xfId="0" applyFont="1" applyBorder="1"/>
    <xf numFmtId="0" fontId="2" fillId="0" borderId="25" xfId="0" applyFont="1" applyBorder="1"/>
    <xf numFmtId="0" fontId="51" fillId="0" borderId="22" xfId="0" applyFont="1" applyBorder="1"/>
    <xf numFmtId="0" fontId="51" fillId="0" borderId="0" xfId="0" applyFont="1" applyBorder="1"/>
    <xf numFmtId="0" fontId="51" fillId="0" borderId="23" xfId="0" applyFont="1" applyBorder="1"/>
    <xf numFmtId="0" fontId="2" fillId="0" borderId="22" xfId="0" applyFont="1" applyBorder="1"/>
    <xf numFmtId="9" fontId="2" fillId="0" borderId="0" xfId="6" applyFont="1" applyBorder="1"/>
    <xf numFmtId="0" fontId="2" fillId="0" borderId="0" xfId="0" applyFont="1" applyBorder="1"/>
    <xf numFmtId="9" fontId="2" fillId="2" borderId="0" xfId="6" applyFont="1" applyFill="1" applyBorder="1"/>
    <xf numFmtId="0" fontId="2" fillId="0" borderId="26" xfId="0" applyFont="1" applyBorder="1"/>
    <xf numFmtId="9" fontId="2" fillId="0" borderId="27" xfId="6" applyFont="1" applyBorder="1"/>
    <xf numFmtId="0" fontId="2" fillId="0" borderId="27" xfId="0" applyFont="1" applyBorder="1"/>
    <xf numFmtId="9" fontId="2" fillId="2" borderId="27" xfId="6" applyFont="1" applyFill="1" applyBorder="1"/>
    <xf numFmtId="1" fontId="12" fillId="2" borderId="0" xfId="0" applyNumberFormat="1" applyFont="1" applyFill="1" applyBorder="1"/>
    <xf numFmtId="2" fontId="54" fillId="2" borderId="2" xfId="0" applyNumberFormat="1" applyFont="1" applyFill="1" applyBorder="1"/>
    <xf numFmtId="0" fontId="55" fillId="7" borderId="2" xfId="0" applyFont="1" applyFill="1" applyBorder="1" applyAlignment="1">
      <alignment horizontal="center" wrapText="1"/>
    </xf>
    <xf numFmtId="0" fontId="54" fillId="2" borderId="2" xfId="0" applyFont="1" applyFill="1" applyBorder="1" applyAlignment="1">
      <alignment horizontal="center" wrapText="1"/>
    </xf>
    <xf numFmtId="0" fontId="54" fillId="2" borderId="2" xfId="0" applyFont="1" applyFill="1" applyBorder="1" applyAlignment="1">
      <alignment horizontal="center"/>
    </xf>
    <xf numFmtId="0" fontId="54" fillId="2" borderId="2" xfId="0" applyFont="1" applyFill="1" applyBorder="1" applyAlignment="1">
      <alignment horizontal="right"/>
    </xf>
    <xf numFmtId="0" fontId="54" fillId="7" borderId="2" xfId="0" applyFont="1" applyFill="1" applyBorder="1" applyAlignment="1">
      <alignment horizontal="center" wrapText="1"/>
    </xf>
    <xf numFmtId="0" fontId="56" fillId="2" borderId="2" xfId="0" applyFont="1" applyFill="1" applyBorder="1" applyAlignment="1">
      <alignment horizontal="center" wrapText="1"/>
    </xf>
    <xf numFmtId="9" fontId="54" fillId="2" borderId="2" xfId="6" applyFont="1" applyFill="1" applyBorder="1" applyAlignment="1">
      <alignment horizontal="center" wrapText="1"/>
    </xf>
    <xf numFmtId="0" fontId="57" fillId="0" borderId="0" xfId="0" applyFont="1"/>
    <xf numFmtId="0" fontId="58" fillId="0" borderId="0" xfId="0" applyFont="1" applyAlignment="1">
      <alignment wrapText="1"/>
    </xf>
    <xf numFmtId="0" fontId="58" fillId="0" borderId="0" xfId="0" applyFont="1"/>
    <xf numFmtId="0" fontId="59" fillId="0" borderId="0" xfId="0" applyFont="1"/>
    <xf numFmtId="0" fontId="58" fillId="0" borderId="0" xfId="0" applyFont="1" applyAlignment="1">
      <alignment horizontal="right"/>
    </xf>
    <xf numFmtId="0" fontId="60" fillId="0" borderId="0" xfId="0" applyFont="1"/>
    <xf numFmtId="0" fontId="58" fillId="0" borderId="0" xfId="0" applyFont="1" applyAlignment="1">
      <alignment horizontal="center"/>
    </xf>
    <xf numFmtId="2" fontId="58" fillId="2" borderId="2" xfId="0" applyNumberFormat="1" applyFont="1" applyFill="1" applyBorder="1"/>
    <xf numFmtId="2" fontId="58" fillId="0" borderId="2" xfId="0" applyNumberFormat="1" applyFont="1" applyFill="1" applyBorder="1"/>
    <xf numFmtId="10" fontId="58" fillId="7" borderId="2" xfId="0" applyNumberFormat="1" applyFont="1" applyFill="1" applyBorder="1"/>
    <xf numFmtId="168" fontId="58" fillId="11" borderId="2" xfId="0" applyNumberFormat="1" applyFont="1" applyFill="1" applyBorder="1"/>
    <xf numFmtId="2" fontId="54" fillId="7" borderId="2" xfId="0" applyNumberFormat="1" applyFont="1" applyFill="1" applyBorder="1"/>
    <xf numFmtId="1" fontId="60" fillId="0" borderId="2" xfId="0" applyNumberFormat="1" applyFont="1" applyBorder="1"/>
    <xf numFmtId="9" fontId="54" fillId="6" borderId="2" xfId="0" applyNumberFormat="1" applyFont="1" applyFill="1" applyBorder="1"/>
    <xf numFmtId="10" fontId="60" fillId="0" borderId="2" xfId="6" applyNumberFormat="1" applyFont="1" applyBorder="1" applyAlignment="1">
      <alignment horizontal="center"/>
    </xf>
    <xf numFmtId="0" fontId="61" fillId="0" borderId="0" xfId="0" applyFont="1"/>
    <xf numFmtId="0" fontId="57" fillId="0" borderId="0" xfId="0" applyFont="1" applyAlignment="1">
      <alignment wrapText="1"/>
    </xf>
    <xf numFmtId="2" fontId="58" fillId="0" borderId="2" xfId="0" applyNumberFormat="1" applyFont="1" applyBorder="1"/>
    <xf numFmtId="0" fontId="61" fillId="0" borderId="0" xfId="0" applyFont="1" applyAlignment="1">
      <alignment wrapText="1"/>
    </xf>
    <xf numFmtId="0" fontId="56" fillId="0" borderId="0" xfId="0" applyFont="1"/>
    <xf numFmtId="0" fontId="62" fillId="0" borderId="0" xfId="0" applyFont="1"/>
    <xf numFmtId="0" fontId="63" fillId="0" borderId="0" xfId="0" applyFont="1"/>
    <xf numFmtId="10" fontId="54" fillId="0" borderId="0" xfId="0" applyNumberFormat="1" applyFont="1" applyAlignment="1">
      <alignment wrapText="1"/>
    </xf>
    <xf numFmtId="10" fontId="54" fillId="0" borderId="0" xfId="0" applyNumberFormat="1" applyFont="1"/>
    <xf numFmtId="0" fontId="58" fillId="0" borderId="2" xfId="0" applyFont="1" applyBorder="1"/>
    <xf numFmtId="0" fontId="58" fillId="0" borderId="2" xfId="0" applyFont="1" applyBorder="1" applyAlignment="1">
      <alignment horizontal="right"/>
    </xf>
    <xf numFmtId="0" fontId="58" fillId="0" borderId="15" xfId="0" applyFont="1" applyBorder="1"/>
    <xf numFmtId="9" fontId="57" fillId="0" borderId="0" xfId="0" applyNumberFormat="1" applyFont="1"/>
    <xf numFmtId="2" fontId="58" fillId="6" borderId="2" xfId="0" applyNumberFormat="1" applyFont="1" applyFill="1" applyBorder="1"/>
    <xf numFmtId="0" fontId="58" fillId="0" borderId="2" xfId="0" applyFont="1" applyBorder="1" applyAlignment="1">
      <alignment horizontal="center"/>
    </xf>
    <xf numFmtId="0" fontId="64" fillId="0" borderId="15" xfId="0" applyFont="1" applyBorder="1"/>
    <xf numFmtId="2" fontId="64" fillId="0" borderId="2" xfId="0" applyNumberFormat="1" applyFont="1" applyBorder="1" applyAlignment="1">
      <alignment horizontal="center"/>
    </xf>
    <xf numFmtId="0" fontId="64" fillId="0" borderId="2" xfId="0" applyFont="1" applyBorder="1"/>
    <xf numFmtId="0" fontId="64" fillId="0" borderId="2" xfId="0" applyFont="1" applyBorder="1" applyAlignment="1">
      <alignment horizontal="center"/>
    </xf>
    <xf numFmtId="0" fontId="61" fillId="0" borderId="2" xfId="0" applyFont="1" applyBorder="1"/>
    <xf numFmtId="0" fontId="61" fillId="0" borderId="2" xfId="0" applyFont="1" applyBorder="1" applyAlignment="1">
      <alignment horizontal="center"/>
    </xf>
    <xf numFmtId="9" fontId="58" fillId="0" borderId="0" xfId="6" applyFont="1"/>
    <xf numFmtId="1" fontId="58" fillId="0" borderId="2" xfId="0" applyNumberFormat="1" applyFont="1" applyBorder="1" applyAlignment="1">
      <alignment horizontal="center"/>
    </xf>
    <xf numFmtId="2" fontId="61" fillId="6" borderId="2" xfId="0" applyNumberFormat="1" applyFont="1" applyFill="1" applyBorder="1"/>
    <xf numFmtId="0" fontId="65" fillId="0" borderId="2" xfId="0" applyFont="1" applyBorder="1"/>
    <xf numFmtId="0" fontId="65" fillId="0" borderId="2" xfId="0" applyFont="1" applyBorder="1" applyAlignment="1">
      <alignment horizontal="center"/>
    </xf>
    <xf numFmtId="9" fontId="54" fillId="6" borderId="2" xfId="0" applyNumberFormat="1" applyFont="1" applyFill="1" applyBorder="1" applyAlignment="1">
      <alignment horizontal="center"/>
    </xf>
    <xf numFmtId="2" fontId="61" fillId="0" borderId="2" xfId="0" applyNumberFormat="1" applyFont="1" applyFill="1" applyBorder="1"/>
    <xf numFmtId="2" fontId="54" fillId="0" borderId="2" xfId="0" applyNumberFormat="1" applyFont="1" applyFill="1" applyBorder="1"/>
    <xf numFmtId="2" fontId="54" fillId="0" borderId="2" xfId="0" applyNumberFormat="1" applyFont="1" applyBorder="1"/>
    <xf numFmtId="9" fontId="58" fillId="0" borderId="2" xfId="6" applyFont="1" applyBorder="1" applyAlignment="1">
      <alignment horizontal="center"/>
    </xf>
    <xf numFmtId="2" fontId="54" fillId="6" borderId="2" xfId="0" applyNumberFormat="1" applyFont="1" applyFill="1" applyBorder="1"/>
    <xf numFmtId="2" fontId="61" fillId="2" borderId="2" xfId="0" applyNumberFormat="1" applyFont="1" applyFill="1" applyBorder="1"/>
    <xf numFmtId="0" fontId="66" fillId="0" borderId="2" xfId="0" applyFont="1" applyBorder="1"/>
    <xf numFmtId="0" fontId="54" fillId="0" borderId="2" xfId="0" applyFont="1" applyBorder="1"/>
    <xf numFmtId="0" fontId="57" fillId="0" borderId="2" xfId="0" applyFont="1" applyBorder="1"/>
    <xf numFmtId="2" fontId="58" fillId="0" borderId="0" xfId="0" applyNumberFormat="1" applyFont="1"/>
    <xf numFmtId="2" fontId="58" fillId="0" borderId="0" xfId="0" applyNumberFormat="1" applyFont="1" applyAlignment="1">
      <alignment wrapText="1"/>
    </xf>
    <xf numFmtId="0" fontId="54" fillId="0" borderId="0" xfId="0" applyFont="1" applyAlignment="1">
      <alignment horizontal="right"/>
    </xf>
    <xf numFmtId="9" fontId="60" fillId="0" borderId="0" xfId="6" applyFont="1"/>
    <xf numFmtId="0" fontId="5" fillId="11" borderId="17" xfId="0" applyFont="1" applyFill="1" applyBorder="1"/>
    <xf numFmtId="0" fontId="0" fillId="11" borderId="35" xfId="0" applyFill="1" applyBorder="1"/>
    <xf numFmtId="0" fontId="3" fillId="11" borderId="2" xfId="0" applyFont="1" applyFill="1" applyBorder="1"/>
    <xf numFmtId="169" fontId="0" fillId="11" borderId="2" xfId="0" applyNumberFormat="1" applyFill="1" applyBorder="1"/>
    <xf numFmtId="169" fontId="0" fillId="11" borderId="35" xfId="0" applyNumberFormat="1" applyFill="1" applyBorder="1"/>
    <xf numFmtId="10" fontId="0" fillId="11" borderId="2" xfId="6" applyNumberFormat="1" applyFont="1" applyFill="1" applyBorder="1"/>
    <xf numFmtId="38" fontId="8" fillId="11" borderId="12" xfId="0" applyNumberFormat="1" applyFont="1" applyFill="1" applyBorder="1"/>
    <xf numFmtId="0" fontId="0" fillId="11" borderId="29" xfId="0" applyFill="1" applyBorder="1"/>
    <xf numFmtId="2" fontId="3" fillId="11" borderId="0" xfId="0" applyNumberFormat="1" applyFont="1" applyFill="1" applyBorder="1"/>
    <xf numFmtId="9" fontId="0" fillId="0" borderId="2" xfId="6" applyFont="1" applyBorder="1"/>
    <xf numFmtId="9" fontId="0" fillId="0" borderId="7" xfId="6" applyFont="1" applyBorder="1"/>
    <xf numFmtId="9" fontId="0" fillId="0" borderId="10" xfId="6" applyFont="1" applyBorder="1"/>
    <xf numFmtId="172" fontId="8" fillId="14" borderId="2" xfId="0" applyNumberFormat="1" applyFont="1" applyFill="1" applyBorder="1"/>
    <xf numFmtId="0" fontId="51" fillId="0" borderId="21" xfId="0" applyFont="1" applyBorder="1"/>
    <xf numFmtId="0" fontId="51" fillId="0" borderId="28" xfId="0" applyFont="1" applyBorder="1"/>
    <xf numFmtId="0" fontId="50" fillId="0" borderId="28" xfId="0" applyFont="1" applyBorder="1"/>
    <xf numFmtId="0" fontId="51" fillId="0" borderId="25" xfId="0" applyFont="1" applyBorder="1"/>
    <xf numFmtId="0" fontId="53" fillId="0" borderId="0" xfId="0" applyFont="1" applyBorder="1"/>
    <xf numFmtId="9" fontId="2" fillId="0" borderId="23" xfId="6" applyFont="1" applyBorder="1"/>
    <xf numFmtId="0" fontId="53" fillId="0" borderId="27" xfId="0" applyFont="1" applyBorder="1"/>
    <xf numFmtId="9" fontId="2" fillId="0" borderId="24" xfId="6" applyFont="1" applyBorder="1"/>
    <xf numFmtId="0" fontId="53" fillId="0" borderId="0" xfId="0" applyFont="1"/>
    <xf numFmtId="9" fontId="2" fillId="2" borderId="0" xfId="6" applyFont="1" applyFill="1"/>
    <xf numFmtId="9" fontId="2" fillId="0" borderId="2" xfId="6" applyFont="1" applyFill="1" applyBorder="1"/>
    <xf numFmtId="9" fontId="2" fillId="0" borderId="10" xfId="6" applyFont="1" applyFill="1" applyBorder="1"/>
    <xf numFmtId="9" fontId="0" fillId="0" borderId="0" xfId="6" applyFont="1" applyBorder="1"/>
    <xf numFmtId="0" fontId="41" fillId="0" borderId="0" xfId="0" applyFont="1" applyAlignment="1">
      <alignment horizontal="right"/>
    </xf>
    <xf numFmtId="9" fontId="2" fillId="2" borderId="23" xfId="6" applyFont="1" applyFill="1" applyBorder="1"/>
    <xf numFmtId="9" fontId="2" fillId="2" borderId="24" xfId="6" applyFont="1" applyFill="1" applyBorder="1"/>
    <xf numFmtId="0" fontId="67" fillId="0" borderId="0" xfId="0" applyFont="1"/>
    <xf numFmtId="0" fontId="67" fillId="0" borderId="22" xfId="0" applyFont="1" applyBorder="1"/>
    <xf numFmtId="49" fontId="0" fillId="0" borderId="0" xfId="0" applyNumberFormat="1"/>
    <xf numFmtId="166" fontId="12" fillId="2" borderId="2" xfId="0" applyNumberFormat="1" applyFont="1" applyFill="1" applyBorder="1"/>
    <xf numFmtId="0" fontId="41" fillId="0" borderId="50" xfId="0" applyFont="1" applyBorder="1" applyAlignment="1">
      <alignment horizontal="right"/>
    </xf>
    <xf numFmtId="0" fontId="41" fillId="0" borderId="17" xfId="0" applyFont="1" applyBorder="1" applyAlignment="1">
      <alignment horizontal="right"/>
    </xf>
    <xf numFmtId="38" fontId="8" fillId="14" borderId="2" xfId="0" applyNumberFormat="1" applyFont="1" applyFill="1" applyBorder="1" applyAlignment="1">
      <alignment horizontal="right"/>
    </xf>
    <xf numFmtId="38" fontId="3" fillId="14" borderId="20" xfId="0" applyNumberFormat="1" applyFont="1" applyFill="1" applyBorder="1" applyAlignment="1">
      <alignment horizontal="right"/>
    </xf>
    <xf numFmtId="0" fontId="0" fillId="0" borderId="50" xfId="0" applyBorder="1"/>
    <xf numFmtId="0" fontId="17" fillId="3" borderId="2" xfId="0" applyFont="1" applyFill="1" applyBorder="1" applyAlignment="1">
      <alignment horizontal="center" wrapText="1"/>
    </xf>
    <xf numFmtId="0" fontId="17" fillId="3" borderId="7" xfId="0" applyFont="1" applyFill="1" applyBorder="1" applyAlignment="1">
      <alignment horizontal="center" wrapText="1"/>
    </xf>
    <xf numFmtId="0" fontId="17" fillId="3" borderId="8" xfId="0" applyFont="1" applyFill="1" applyBorder="1" applyAlignment="1">
      <alignment horizontal="center" wrapText="1"/>
    </xf>
    <xf numFmtId="0" fontId="9" fillId="3" borderId="2" xfId="0" applyFont="1" applyFill="1" applyBorder="1" applyAlignment="1">
      <alignment horizontal="center" wrapText="1"/>
    </xf>
    <xf numFmtId="0" fontId="17" fillId="3" borderId="12" xfId="0" applyFont="1" applyFill="1" applyBorder="1" applyAlignment="1">
      <alignment horizontal="center" wrapText="1"/>
    </xf>
    <xf numFmtId="0" fontId="39" fillId="15" borderId="21" xfId="0" applyFont="1" applyFill="1" applyBorder="1" applyAlignment="1">
      <alignment vertical="top" wrapText="1"/>
    </xf>
    <xf numFmtId="0" fontId="39" fillId="15" borderId="28" xfId="0" applyFont="1" applyFill="1" applyBorder="1" applyAlignment="1">
      <alignment vertical="top" wrapText="1"/>
    </xf>
    <xf numFmtId="0" fontId="39" fillId="15" borderId="25" xfId="0" applyFont="1" applyFill="1" applyBorder="1" applyAlignment="1">
      <alignment vertical="top" wrapText="1"/>
    </xf>
  </cellXfs>
  <cellStyles count="7">
    <cellStyle name="Currency" xfId="1" builtinId="4"/>
    <cellStyle name="Hyperlink" xfId="2" builtinId="8"/>
    <cellStyle name="Normal" xfId="0" builtinId="0"/>
    <cellStyle name="Normal_Portfolio" xfId="3"/>
    <cellStyle name="Normal_Realized-TX LOG" xfId="4"/>
    <cellStyle name="Normal_Stock price" xfId="5"/>
    <cellStyle name="Percent" xfId="6" builtinId="5"/>
  </cellStyles>
  <dxfs count="36">
    <dxf>
      <font>
        <b/>
        <i val="0"/>
        <condense val="0"/>
        <extend val="0"/>
        <color indexed="57"/>
      </font>
    </dxf>
    <dxf>
      <font>
        <b/>
        <i val="0"/>
        <condense val="0"/>
        <extend val="0"/>
        <color indexed="53"/>
      </font>
    </dxf>
    <dxf>
      <numFmt numFmtId="19" formatCode="m/d/yyyy"/>
    </dxf>
    <dxf>
      <font>
        <condense val="0"/>
        <extend val="0"/>
        <color indexed="17"/>
      </font>
    </dxf>
    <dxf>
      <font>
        <condense val="0"/>
        <extend val="0"/>
        <color indexed="53"/>
      </font>
    </dxf>
    <dxf>
      <font>
        <condense val="0"/>
        <extend val="0"/>
        <color indexed="10"/>
      </font>
    </dxf>
    <dxf>
      <font>
        <condense val="0"/>
        <extend val="0"/>
        <color indexed="10"/>
      </font>
    </dxf>
    <dxf>
      <font>
        <condense val="0"/>
        <extend val="0"/>
        <color indexed="53"/>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53"/>
      </font>
    </dxf>
    <dxf>
      <font>
        <condense val="0"/>
        <extend val="0"/>
        <color indexed="10"/>
      </font>
    </dxf>
    <dxf>
      <font>
        <condense val="0"/>
        <extend val="0"/>
        <color indexed="10"/>
      </font>
    </dxf>
    <dxf>
      <font>
        <condense val="0"/>
        <extend val="0"/>
        <color indexed="53"/>
      </font>
    </dxf>
    <dxf>
      <font>
        <b/>
        <i val="0"/>
        <condense val="0"/>
        <extend val="0"/>
        <color indexed="21"/>
      </font>
    </dxf>
    <dxf>
      <font>
        <b/>
        <i val="0"/>
        <condense val="0"/>
        <extend val="0"/>
        <color indexed="10"/>
      </font>
    </dxf>
    <dxf>
      <font>
        <condense val="0"/>
        <extend val="0"/>
        <color indexed="16"/>
      </font>
    </dxf>
    <dxf>
      <font>
        <b/>
        <i val="0"/>
        <condense val="0"/>
        <extend val="0"/>
        <color indexed="17"/>
      </font>
    </dxf>
    <dxf>
      <font>
        <b/>
        <i val="0"/>
        <condense val="0"/>
        <extend val="0"/>
      </font>
    </dxf>
    <dxf>
      <font>
        <b/>
        <i val="0"/>
        <condense val="0"/>
        <extend val="0"/>
        <color indexed="57"/>
      </font>
    </dxf>
    <dxf>
      <font>
        <b/>
        <i val="0"/>
        <condense val="0"/>
        <extend val="0"/>
        <color indexed="53"/>
      </font>
    </dxf>
    <dxf>
      <font>
        <b/>
        <i val="0"/>
        <condense val="0"/>
        <extend val="0"/>
        <color indexed="57"/>
      </font>
    </dxf>
    <dxf>
      <font>
        <b/>
        <i val="0"/>
        <condense val="0"/>
        <extend val="0"/>
        <color indexed="53"/>
      </font>
    </dxf>
    <dxf>
      <font>
        <condense val="0"/>
        <extend val="0"/>
        <color indexed="10"/>
      </font>
    </dxf>
    <dxf>
      <font>
        <condense val="0"/>
        <extend val="0"/>
        <color indexed="53"/>
      </font>
    </dxf>
    <dxf>
      <font>
        <b/>
        <i val="0"/>
        <condense val="0"/>
        <extend val="0"/>
        <color indexed="52"/>
      </font>
    </dxf>
    <dxf>
      <font>
        <b/>
        <i val="0"/>
        <condense val="0"/>
        <extend val="0"/>
        <color indexed="57"/>
      </font>
    </dxf>
    <dxf>
      <font>
        <condense val="0"/>
        <extend val="0"/>
        <color indexed="10"/>
      </font>
    </dxf>
    <dxf>
      <font>
        <b/>
        <i val="0"/>
        <condense val="0"/>
        <extend val="0"/>
        <color indexed="53"/>
      </font>
    </dxf>
    <dxf>
      <font>
        <condense val="0"/>
        <extend val="0"/>
        <color indexed="10"/>
      </font>
    </dxf>
    <dxf>
      <font>
        <b/>
        <i val="0"/>
        <condense val="0"/>
        <extend val="0"/>
        <color indexed="57"/>
      </font>
    </dxf>
    <dxf>
      <font>
        <b/>
        <i val="0"/>
        <condense val="0"/>
        <extend val="0"/>
        <color indexed="57"/>
      </font>
    </dxf>
    <dxf>
      <font>
        <b/>
        <i val="0"/>
        <condense val="0"/>
        <extend val="0"/>
        <color indexed="53"/>
      </font>
    </dxf>
    <dxf>
      <font>
        <b/>
        <i val="0"/>
        <condense val="0"/>
        <extend val="0"/>
        <color indexed="57"/>
      </font>
    </dxf>
    <dxf>
      <font>
        <b/>
        <i val="0"/>
        <condense val="0"/>
        <extend val="0"/>
        <color indexed="53"/>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10.xml><?xml version="1.0" encoding="utf-8"?>
<ax:ocx xmlns:ax="http://schemas.microsoft.com/office/2006/activeX" xmlns:r="http://schemas.openxmlformats.org/officeDocument/2006/relationships" ax:classid="{5512D11C-5CC6-11CF-8D67-00AA00BDCE1D}" ax:persistence="persistStream" r:id="rId1"/>
</file>

<file path=xl/activeX/activeX11.xml><?xml version="1.0" encoding="utf-8"?>
<ax:ocx xmlns:ax="http://schemas.microsoft.com/office/2006/activeX" xmlns:r="http://schemas.openxmlformats.org/officeDocument/2006/relationships" ax:classid="{5512D116-5CC6-11CF-8D67-00AA00BDCE1D}" ax:persistence="persistStream" r:id="rId1"/>
</file>

<file path=xl/activeX/activeX12.xml><?xml version="1.0" encoding="utf-8"?>
<ax:ocx xmlns:ax="http://schemas.microsoft.com/office/2006/activeX" xmlns:r="http://schemas.openxmlformats.org/officeDocument/2006/relationships" ax:classid="{5512D11C-5CC6-11CF-8D67-00AA00BDCE1D}" ax:persistence="persistStream" r:id="rId1"/>
</file>

<file path=xl/activeX/activeX13.xml><?xml version="1.0" encoding="utf-8"?>
<ax:ocx xmlns:ax="http://schemas.microsoft.com/office/2006/activeX" xmlns:r="http://schemas.openxmlformats.org/officeDocument/2006/relationships" ax:classid="{5512D116-5CC6-11CF-8D67-00AA00BDCE1D}" ax:persistence="persistStream" r:id="rId1"/>
</file>

<file path=xl/activeX/activeX14.xml><?xml version="1.0" encoding="utf-8"?>
<ax:ocx xmlns:ax="http://schemas.microsoft.com/office/2006/activeX" xmlns:r="http://schemas.openxmlformats.org/officeDocument/2006/relationships" ax:classid="{5512D11C-5CC6-11CF-8D67-00AA00BDCE1D}" ax:persistence="persistStream" r:id="rId1"/>
</file>

<file path=xl/activeX/activeX15.xml><?xml version="1.0" encoding="utf-8"?>
<ax:ocx xmlns:ax="http://schemas.microsoft.com/office/2006/activeX" xmlns:r="http://schemas.openxmlformats.org/officeDocument/2006/relationships" ax:classid="{5512D116-5CC6-11CF-8D67-00AA00BDCE1D}" ax:persistence="persistStream" r:id="rId1"/>
</file>

<file path=xl/activeX/activeX16.xml><?xml version="1.0" encoding="utf-8"?>
<ax:ocx xmlns:ax="http://schemas.microsoft.com/office/2006/activeX" xmlns:r="http://schemas.openxmlformats.org/officeDocument/2006/relationships" ax:classid="{5512D11C-5CC6-11CF-8D67-00AA00BDCE1D}" ax:persistence="persistStream" r:id="rId1"/>
</file>

<file path=xl/activeX/activeX17.xml><?xml version="1.0" encoding="utf-8"?>
<ax:ocx xmlns:ax="http://schemas.microsoft.com/office/2006/activeX" xmlns:r="http://schemas.openxmlformats.org/officeDocument/2006/relationships" ax:classid="{5512D116-5CC6-11CF-8D67-00AA00BDCE1D}" ax:persistence="persistStream" r:id="rId1"/>
</file>

<file path=xl/activeX/activeX18.xml><?xml version="1.0" encoding="utf-8"?>
<ax:ocx xmlns:ax="http://schemas.microsoft.com/office/2006/activeX" xmlns:r="http://schemas.openxmlformats.org/officeDocument/2006/relationships" ax:classid="{5512D11C-5CC6-11CF-8D67-00AA00BDCE1D}" ax:persistence="persistStream" r:id="rId1"/>
</file>

<file path=xl/activeX/activeX19.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C-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activeX/activeX6.xml><?xml version="1.0" encoding="utf-8"?>
<ax:ocx xmlns:ax="http://schemas.microsoft.com/office/2006/activeX" xmlns:r="http://schemas.openxmlformats.org/officeDocument/2006/relationships" ax:classid="{5512D11C-5CC6-11CF-8D67-00AA00BDCE1D}" ax:persistence="persistStream" r:id="rId1"/>
</file>

<file path=xl/activeX/activeX7.xml><?xml version="1.0" encoding="utf-8"?>
<ax:ocx xmlns:ax="http://schemas.microsoft.com/office/2006/activeX" xmlns:r="http://schemas.openxmlformats.org/officeDocument/2006/relationships" ax:classid="{5512D116-5CC6-11CF-8D67-00AA00BDCE1D}" ax:persistence="persistStream" r:id="rId1"/>
</file>

<file path=xl/activeX/activeX8.xml><?xml version="1.0" encoding="utf-8"?>
<ax:ocx xmlns:ax="http://schemas.microsoft.com/office/2006/activeX" xmlns:r="http://schemas.openxmlformats.org/officeDocument/2006/relationships" ax:classid="{5512D11C-5CC6-11CF-8D67-00AA00BDCE1D}" ax:persistence="persistStream" r:id="rId1"/>
</file>

<file path=xl/activeX/activeX9.xml><?xml version="1.0" encoding="utf-8"?>
<ax:ocx xmlns:ax="http://schemas.microsoft.com/office/2006/activeX" xmlns:r="http://schemas.openxmlformats.org/officeDocument/2006/relationships" ax:classid="{5512D116-5CC6-11CF-8D67-00AA00BDCE1D}" ax:persistence="persistStream" r:id="rId1"/>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12700">
              <a:solidFill>
                <a:srgbClr val="000080"/>
              </a:solidFill>
              <a:prstDash val="solid"/>
            </a:ln>
          </c:spPr>
          <c:marker>
            <c:symbol val="none"/>
          </c:marker>
          <c:trendline>
            <c:spPr>
              <a:ln w="25400">
                <a:solidFill>
                  <a:srgbClr val="000000"/>
                </a:solidFill>
                <a:prstDash val="solid"/>
              </a:ln>
            </c:spPr>
            <c:trendlineType val="poly"/>
            <c:order val="2"/>
            <c:dispRSqr val="1"/>
            <c:dispEq val="1"/>
            <c:trendlineLbl>
              <c:numFmt formatCode="General" sourceLinked="0"/>
              <c:spPr>
                <a:noFill/>
                <a:ln w="25400">
                  <a:noFill/>
                </a:ln>
              </c:spPr>
              <c:txPr>
                <a:bodyPr/>
                <a:lstStyle/>
                <a:p>
                  <a:pPr>
                    <a:defRPr sz="250" b="0" i="0" u="none" strike="noStrike" baseline="0">
                      <a:solidFill>
                        <a:srgbClr val="000000"/>
                      </a:solidFill>
                      <a:latin typeface="Arial"/>
                      <a:ea typeface="Arial"/>
                      <a:cs typeface="Arial"/>
                    </a:defRPr>
                  </a:pPr>
                  <a:endParaRPr lang="en-US"/>
                </a:p>
              </c:txPr>
            </c:trendlineLbl>
          </c:trendline>
          <c:cat>
            <c:numRef>
              <c:f>'Growth Pattern'!$D$14:$F$14</c:f>
              <c:numCache>
                <c:formatCode>General</c:formatCode>
                <c:ptCount val="3"/>
                <c:pt idx="0">
                  <c:v>0</c:v>
                </c:pt>
                <c:pt idx="1">
                  <c:v>1</c:v>
                </c:pt>
                <c:pt idx="2">
                  <c:v>2</c:v>
                </c:pt>
              </c:numCache>
            </c:numRef>
          </c:cat>
          <c:val>
            <c:numRef>
              <c:f>'Growth Pattern'!#REF!</c:f>
              <c:numCache>
                <c:formatCode>General</c:formatCode>
                <c:ptCount val="1"/>
                <c:pt idx="0">
                  <c:v>1</c:v>
                </c:pt>
              </c:numCache>
            </c:numRef>
          </c:val>
          <c:smooth val="0"/>
        </c:ser>
        <c:dLbls>
          <c:showLegendKey val="0"/>
          <c:showVal val="0"/>
          <c:showCatName val="0"/>
          <c:showSerName val="0"/>
          <c:showPercent val="0"/>
          <c:showBubbleSize val="0"/>
        </c:dLbls>
        <c:marker val="1"/>
        <c:smooth val="0"/>
        <c:axId val="185058304"/>
        <c:axId val="156562496"/>
      </c:lineChart>
      <c:catAx>
        <c:axId val="1850583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56562496"/>
        <c:crosses val="autoZero"/>
        <c:auto val="1"/>
        <c:lblAlgn val="ctr"/>
        <c:lblOffset val="100"/>
        <c:tickLblSkip val="1"/>
        <c:tickMarkSkip val="1"/>
        <c:noMultiLvlLbl val="0"/>
      </c:catAx>
      <c:valAx>
        <c:axId val="1565624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8505830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2.vml.rels><?xml version="1.0" encoding="UTF-8" standalone="yes"?>
<Relationships xmlns="http://schemas.openxmlformats.org/package/2006/relationships"><Relationship Id="rId8" Type="http://schemas.openxmlformats.org/officeDocument/2006/relationships/image" Target="../media/image7.emf"/><Relationship Id="rId3" Type="http://schemas.openxmlformats.org/officeDocument/2006/relationships/image" Target="../media/image11.emf"/><Relationship Id="rId7" Type="http://schemas.openxmlformats.org/officeDocument/2006/relationships/image" Target="../media/image8.emf"/><Relationship Id="rId12" Type="http://schemas.openxmlformats.org/officeDocument/2006/relationships/image" Target="../media/image1.emf"/><Relationship Id="rId2" Type="http://schemas.openxmlformats.org/officeDocument/2006/relationships/image" Target="../media/image12.emf"/><Relationship Id="rId1" Type="http://schemas.openxmlformats.org/officeDocument/2006/relationships/image" Target="../media/image3.emf"/><Relationship Id="rId6" Type="http://schemas.openxmlformats.org/officeDocument/2006/relationships/image" Target="../media/image9.emf"/><Relationship Id="rId11" Type="http://schemas.openxmlformats.org/officeDocument/2006/relationships/image" Target="../media/image2.emf"/><Relationship Id="rId5" Type="http://schemas.openxmlformats.org/officeDocument/2006/relationships/image" Target="../media/image10.emf"/><Relationship Id="rId10" Type="http://schemas.openxmlformats.org/officeDocument/2006/relationships/image" Target="../media/image4.emf"/><Relationship Id="rId4" Type="http://schemas.openxmlformats.org/officeDocument/2006/relationships/image" Target="../media/image5.emf"/><Relationship Id="rId9"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11</xdr:col>
      <xdr:colOff>361950</xdr:colOff>
      <xdr:row>14</xdr:row>
      <xdr:rowOff>0</xdr:rowOff>
    </xdr:from>
    <xdr:to>
      <xdr:col>19</xdr:col>
      <xdr:colOff>152400</xdr:colOff>
      <xdr:row>14</xdr:row>
      <xdr:rowOff>0</xdr:rowOff>
    </xdr:to>
    <xdr:graphicFrame macro="">
      <xdr:nvGraphicFramePr>
        <xdr:cNvPr id="7175" name="Chart 10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606425</xdr:colOff>
          <xdr:row>12</xdr:row>
          <xdr:rowOff>107950</xdr:rowOff>
        </xdr:from>
        <xdr:to>
          <xdr:col>7</xdr:col>
          <xdr:colOff>187325</xdr:colOff>
          <xdr:row>13</xdr:row>
          <xdr:rowOff>133350</xdr:rowOff>
        </xdr:to>
        <xdr:sp macro="" textlink="">
          <xdr:nvSpPr>
            <xdr:cNvPr id="2049" name="Control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606425</xdr:colOff>
          <xdr:row>12</xdr:row>
          <xdr:rowOff>107950</xdr:rowOff>
        </xdr:from>
        <xdr:to>
          <xdr:col>7</xdr:col>
          <xdr:colOff>682625</xdr:colOff>
          <xdr:row>13</xdr:row>
          <xdr:rowOff>114300</xdr:rowOff>
        </xdr:to>
        <xdr:sp macro="" textlink="">
          <xdr:nvSpPr>
            <xdr:cNvPr id="2050" name="Control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606425</xdr:colOff>
          <xdr:row>12</xdr:row>
          <xdr:rowOff>107950</xdr:rowOff>
        </xdr:from>
        <xdr:to>
          <xdr:col>7</xdr:col>
          <xdr:colOff>187325</xdr:colOff>
          <xdr:row>13</xdr:row>
          <xdr:rowOff>133350</xdr:rowOff>
        </xdr:to>
        <xdr:sp macro="" textlink="">
          <xdr:nvSpPr>
            <xdr:cNvPr id="2051" name="Control 3" hidden="1">
              <a:extLst>
                <a:ext uri="{63B3BB69-23CF-44E3-9099-C40C66FF867C}">
                  <a14:compatExt spid="_x0000_s2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606425</xdr:colOff>
          <xdr:row>12</xdr:row>
          <xdr:rowOff>107950</xdr:rowOff>
        </xdr:from>
        <xdr:to>
          <xdr:col>7</xdr:col>
          <xdr:colOff>682625</xdr:colOff>
          <xdr:row>13</xdr:row>
          <xdr:rowOff>114300</xdr:rowOff>
        </xdr:to>
        <xdr:sp macro="" textlink="">
          <xdr:nvSpPr>
            <xdr:cNvPr id="2052" name="Control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606425</xdr:colOff>
          <xdr:row>12</xdr:row>
          <xdr:rowOff>107950</xdr:rowOff>
        </xdr:from>
        <xdr:to>
          <xdr:col>7</xdr:col>
          <xdr:colOff>187325</xdr:colOff>
          <xdr:row>13</xdr:row>
          <xdr:rowOff>133350</xdr:rowOff>
        </xdr:to>
        <xdr:sp macro="" textlink="">
          <xdr:nvSpPr>
            <xdr:cNvPr id="2053" name="Control 5" hidden="1">
              <a:extLst>
                <a:ext uri="{63B3BB69-23CF-44E3-9099-C40C66FF867C}">
                  <a14:compatExt spid="_x0000_s2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606425</xdr:colOff>
          <xdr:row>12</xdr:row>
          <xdr:rowOff>107950</xdr:rowOff>
        </xdr:from>
        <xdr:to>
          <xdr:col>7</xdr:col>
          <xdr:colOff>682625</xdr:colOff>
          <xdr:row>13</xdr:row>
          <xdr:rowOff>114300</xdr:rowOff>
        </xdr:to>
        <xdr:sp macro="" textlink="">
          <xdr:nvSpPr>
            <xdr:cNvPr id="2054" name="Control 6" hidden="1">
              <a:extLst>
                <a:ext uri="{63B3BB69-23CF-44E3-9099-C40C66FF867C}">
                  <a14:compatExt spid="_x0000_s2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606425</xdr:colOff>
          <xdr:row>12</xdr:row>
          <xdr:rowOff>107950</xdr:rowOff>
        </xdr:from>
        <xdr:to>
          <xdr:col>7</xdr:col>
          <xdr:colOff>187325</xdr:colOff>
          <xdr:row>13</xdr:row>
          <xdr:rowOff>133350</xdr:rowOff>
        </xdr:to>
        <xdr:sp macro="" textlink="">
          <xdr:nvSpPr>
            <xdr:cNvPr id="2055" name="Control 7" hidden="1">
              <a:extLst>
                <a:ext uri="{63B3BB69-23CF-44E3-9099-C40C66FF867C}">
                  <a14:compatExt spid="_x0000_s2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606425</xdr:colOff>
          <xdr:row>12</xdr:row>
          <xdr:rowOff>107950</xdr:rowOff>
        </xdr:from>
        <xdr:to>
          <xdr:col>7</xdr:col>
          <xdr:colOff>682625</xdr:colOff>
          <xdr:row>13</xdr:row>
          <xdr:rowOff>114300</xdr:rowOff>
        </xdr:to>
        <xdr:sp macro="" textlink="">
          <xdr:nvSpPr>
            <xdr:cNvPr id="2056" name="Control 8" hidden="1">
              <a:extLst>
                <a:ext uri="{63B3BB69-23CF-44E3-9099-C40C66FF867C}">
                  <a14:compatExt spid="_x0000_s2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606425</xdr:colOff>
          <xdr:row>12</xdr:row>
          <xdr:rowOff>107950</xdr:rowOff>
        </xdr:from>
        <xdr:to>
          <xdr:col>7</xdr:col>
          <xdr:colOff>187325</xdr:colOff>
          <xdr:row>13</xdr:row>
          <xdr:rowOff>133350</xdr:rowOff>
        </xdr:to>
        <xdr:sp macro="" textlink="">
          <xdr:nvSpPr>
            <xdr:cNvPr id="2057" name="Control 9" hidden="1">
              <a:extLst>
                <a:ext uri="{63B3BB69-23CF-44E3-9099-C40C66FF867C}">
                  <a14:compatExt spid="_x0000_s2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606425</xdr:colOff>
          <xdr:row>12</xdr:row>
          <xdr:rowOff>107950</xdr:rowOff>
        </xdr:from>
        <xdr:to>
          <xdr:col>7</xdr:col>
          <xdr:colOff>682625</xdr:colOff>
          <xdr:row>13</xdr:row>
          <xdr:rowOff>114300</xdr:rowOff>
        </xdr:to>
        <xdr:sp macro="" textlink="">
          <xdr:nvSpPr>
            <xdr:cNvPr id="2058" name="Control 10" hidden="1">
              <a:extLst>
                <a:ext uri="{63B3BB69-23CF-44E3-9099-C40C66FF867C}">
                  <a14:compatExt spid="_x0000_s2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606425</xdr:colOff>
          <xdr:row>12</xdr:row>
          <xdr:rowOff>107950</xdr:rowOff>
        </xdr:from>
        <xdr:to>
          <xdr:col>7</xdr:col>
          <xdr:colOff>187325</xdr:colOff>
          <xdr:row>13</xdr:row>
          <xdr:rowOff>133350</xdr:rowOff>
        </xdr:to>
        <xdr:sp macro="" textlink="">
          <xdr:nvSpPr>
            <xdr:cNvPr id="2059" name="Control 11" hidden="1">
              <a:extLst>
                <a:ext uri="{63B3BB69-23CF-44E3-9099-C40C66FF867C}">
                  <a14:compatExt spid="_x0000_s20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606425</xdr:colOff>
          <xdr:row>12</xdr:row>
          <xdr:rowOff>107950</xdr:rowOff>
        </xdr:from>
        <xdr:to>
          <xdr:col>7</xdr:col>
          <xdr:colOff>682625</xdr:colOff>
          <xdr:row>13</xdr:row>
          <xdr:rowOff>114300</xdr:rowOff>
        </xdr:to>
        <xdr:sp macro="" textlink="">
          <xdr:nvSpPr>
            <xdr:cNvPr id="2060" name="Control 12" hidden="1">
              <a:extLst>
                <a:ext uri="{63B3BB69-23CF-44E3-9099-C40C66FF867C}">
                  <a14:compatExt spid="_x0000_s20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606425</xdr:colOff>
          <xdr:row>12</xdr:row>
          <xdr:rowOff>107950</xdr:rowOff>
        </xdr:from>
        <xdr:to>
          <xdr:col>7</xdr:col>
          <xdr:colOff>187325</xdr:colOff>
          <xdr:row>13</xdr:row>
          <xdr:rowOff>133350</xdr:rowOff>
        </xdr:to>
        <xdr:sp macro="" textlink="">
          <xdr:nvSpPr>
            <xdr:cNvPr id="2061" name="Control 13" hidden="1">
              <a:extLst>
                <a:ext uri="{63B3BB69-23CF-44E3-9099-C40C66FF867C}">
                  <a14:compatExt spid="_x0000_s20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606425</xdr:colOff>
          <xdr:row>12</xdr:row>
          <xdr:rowOff>107950</xdr:rowOff>
        </xdr:from>
        <xdr:to>
          <xdr:col>7</xdr:col>
          <xdr:colOff>682625</xdr:colOff>
          <xdr:row>13</xdr:row>
          <xdr:rowOff>114300</xdr:rowOff>
        </xdr:to>
        <xdr:sp macro="" textlink="">
          <xdr:nvSpPr>
            <xdr:cNvPr id="2062" name="Control 14" hidden="1">
              <a:extLst>
                <a:ext uri="{63B3BB69-23CF-44E3-9099-C40C66FF867C}">
                  <a14:compatExt spid="_x0000_s2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606425</xdr:colOff>
          <xdr:row>12</xdr:row>
          <xdr:rowOff>107950</xdr:rowOff>
        </xdr:from>
        <xdr:to>
          <xdr:col>7</xdr:col>
          <xdr:colOff>187325</xdr:colOff>
          <xdr:row>13</xdr:row>
          <xdr:rowOff>133350</xdr:rowOff>
        </xdr:to>
        <xdr:sp macro="" textlink="">
          <xdr:nvSpPr>
            <xdr:cNvPr id="2063" name="Control 15" hidden="1">
              <a:extLst>
                <a:ext uri="{63B3BB69-23CF-44E3-9099-C40C66FF867C}">
                  <a14:compatExt spid="_x0000_s2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606425</xdr:colOff>
          <xdr:row>12</xdr:row>
          <xdr:rowOff>107950</xdr:rowOff>
        </xdr:from>
        <xdr:to>
          <xdr:col>7</xdr:col>
          <xdr:colOff>682625</xdr:colOff>
          <xdr:row>13</xdr:row>
          <xdr:rowOff>114300</xdr:rowOff>
        </xdr:to>
        <xdr:sp macro="" textlink="">
          <xdr:nvSpPr>
            <xdr:cNvPr id="2064" name="Control 16" hidden="1">
              <a:extLst>
                <a:ext uri="{63B3BB69-23CF-44E3-9099-C40C66FF867C}">
                  <a14:compatExt spid="_x0000_s2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606425</xdr:colOff>
          <xdr:row>12</xdr:row>
          <xdr:rowOff>107950</xdr:rowOff>
        </xdr:from>
        <xdr:to>
          <xdr:col>7</xdr:col>
          <xdr:colOff>187325</xdr:colOff>
          <xdr:row>13</xdr:row>
          <xdr:rowOff>133350</xdr:rowOff>
        </xdr:to>
        <xdr:sp macro="" textlink="">
          <xdr:nvSpPr>
            <xdr:cNvPr id="2065" name="Control 17" hidden="1">
              <a:extLst>
                <a:ext uri="{63B3BB69-23CF-44E3-9099-C40C66FF867C}">
                  <a14:compatExt spid="_x0000_s2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606425</xdr:colOff>
          <xdr:row>12</xdr:row>
          <xdr:rowOff>107950</xdr:rowOff>
        </xdr:from>
        <xdr:to>
          <xdr:col>7</xdr:col>
          <xdr:colOff>682625</xdr:colOff>
          <xdr:row>13</xdr:row>
          <xdr:rowOff>114300</xdr:rowOff>
        </xdr:to>
        <xdr:sp macro="" textlink="">
          <xdr:nvSpPr>
            <xdr:cNvPr id="2066" name="Control 18" hidden="1">
              <a:extLst>
                <a:ext uri="{63B3BB69-23CF-44E3-9099-C40C66FF867C}">
                  <a14:compatExt spid="_x0000_s2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606425</xdr:colOff>
          <xdr:row>12</xdr:row>
          <xdr:rowOff>107950</xdr:rowOff>
        </xdr:from>
        <xdr:to>
          <xdr:col>7</xdr:col>
          <xdr:colOff>682625</xdr:colOff>
          <xdr:row>13</xdr:row>
          <xdr:rowOff>114300</xdr:rowOff>
        </xdr:to>
        <xdr:sp macro="" textlink="">
          <xdr:nvSpPr>
            <xdr:cNvPr id="2067" name="Control 19" hidden="1">
              <a:extLst>
                <a:ext uri="{63B3BB69-23CF-44E3-9099-C40C66FF867C}">
                  <a14:compatExt spid="_x0000_s2067"/>
                </a:ext>
              </a:extLst>
            </xdr:cNvPr>
            <xdr:cNvSpPr/>
          </xdr:nvSpPr>
          <xdr:spPr>
            <a:xfrm>
              <a:off x="0" y="0"/>
              <a:ext cx="0" cy="0"/>
            </a:xfrm>
            <a:prstGeom prst="rect">
              <a:avLst/>
            </a:prstGeom>
          </xdr:spPr>
        </xdr:sp>
        <xdr:clientData/>
      </xdr:twoCellAnchor>
    </mc:Choice>
    <mc:Fallback/>
  </mc:AlternateContent>
</xdr:wsDr>
</file>

<file path=xl/queryTables/queryTable1.xml><?xml version="1.0" encoding="utf-8"?>
<queryTable xmlns="http://schemas.openxmlformats.org/spreadsheetml/2006/main" name="Query from portfolio" refreshOnLoad="1" connectionId="2" autoFormatId="16" applyNumberFormats="0" applyBorderFormats="0" applyFontFormats="1" applyPatternFormats="1" applyAlignmentFormats="0" applyWidthHeightFormats="0">
  <queryTableRefresh nextId="8">
    <queryTableFields count="7">
      <queryTableField id="1" name="FundFamily"/>
      <queryTableField id="2" name="FundName"/>
      <queryTableField id="3" name="Sector"/>
      <queryTableField id="4" name="FundType"/>
      <queryTableField id="5" name="NAV"/>
      <queryTableField id="6" name="searchString"/>
      <queryTableField id="7" name="LastUpdated"/>
    </queryTableFields>
  </queryTableRefresh>
</queryTable>
</file>

<file path=xl/queryTables/queryTable10.xml><?xml version="1.0" encoding="utf-8"?>
<queryTable xmlns="http://schemas.openxmlformats.org/spreadsheetml/2006/main" name="Query from portfolio" refreshOnLoad="1" connectionId="16" autoFormatId="16" applyNumberFormats="0" applyBorderFormats="0" applyFontFormats="1" applyPatternFormats="1" applyAlignmentFormats="0" applyWidthHeightFormats="0">
  <queryTableRefresh nextId="22">
    <queryTableFields count="12">
      <queryTableField id="1" name="ID"/>
      <queryTableField id="2" name="symbol"/>
      <queryTableField id="3" name="Number"/>
      <queryTableField id="4" name="BuyPrice"/>
      <queryTableField id="5" name="BuyDate"/>
      <queryTableField id="6" name="ClosePrice"/>
      <queryTableField id="14" name="MedTarget"/>
      <queryTableField id="8" name="AnnualizedGrowth"/>
      <queryTableField id="9" name="AbsoluteGrowth"/>
      <queryTableField id="10" name="Profit"/>
      <queryTableField id="11" name="Beta"/>
      <queryTableField id="21" name="Volatility"/>
    </queryTableFields>
  </queryTableRefresh>
</queryTable>
</file>

<file path=xl/queryTables/queryTable11.xml><?xml version="1.0" encoding="utf-8"?>
<queryTable xmlns="http://schemas.openxmlformats.org/spreadsheetml/2006/main" name="Query from portfolio_1" refreshOnLoad="1" connectionId="15" autoFormatId="16" applyNumberFormats="0" applyBorderFormats="0" applyFontFormats="1" applyPatternFormats="1" applyAlignmentFormats="0" applyWidthHeightFormats="0">
  <queryTableRefresh nextId="17">
    <queryTableFields count="10">
      <queryTableField id="1" name="symbol"/>
      <queryTableField id="2" name="Number"/>
      <queryTableField id="3" name="BuyPrice"/>
      <queryTableField id="4" name="BuyDate"/>
      <queryTableField id="5" name="NAV"/>
      <queryTableField id="6" name="LastUpdated"/>
      <queryTableField id="7" name="AnnualizedGrowth"/>
      <queryTableField id="8" name="AbsoluteGrowth"/>
      <queryTableField id="9" name="Profit"/>
      <queryTableField id="13" name="Yield"/>
    </queryTableFields>
  </queryTableRefresh>
</queryTable>
</file>

<file path=xl/queryTables/queryTable12.xml><?xml version="1.0" encoding="utf-8"?>
<queryTable xmlns="http://schemas.openxmlformats.org/spreadsheetml/2006/main" name="Query from portfolio_3" connectionId="4" autoFormatId="16" applyNumberFormats="0" applyBorderFormats="0" applyFontFormats="1" applyPatternFormats="1" applyAlignmentFormats="0" applyWidthHeightFormats="0">
  <queryTableRefresh nextId="7">
    <queryTableFields count="6">
      <queryTableField id="1" name="symbol"/>
      <queryTableField id="2" name="Name"/>
      <queryTableField id="3" name="Sector"/>
      <queryTableField id="4" name="RollingAVG"/>
      <queryTableField id="5" name="Volatility"/>
      <queryTableField id="6" name="PriceToTarget"/>
    </queryTableFields>
  </queryTableRefresh>
</queryTable>
</file>

<file path=xl/queryTables/queryTable13.xml><?xml version="1.0" encoding="utf-8"?>
<queryTable xmlns="http://schemas.openxmlformats.org/spreadsheetml/2006/main" name="Query from portfolio_4" refreshOnLoad="1" connectionId="8" autoFormatId="16" applyNumberFormats="0" applyBorderFormats="0" applyFontFormats="1" applyPatternFormats="1" applyAlignmentFormats="0" applyWidthHeightFormats="0">
  <queryTableRefresh nextId="6">
    <queryTableFields count="5">
      <queryTableField id="1" name="Change"/>
      <queryTableField id="2" name="daysAgo"/>
      <queryTableField id="3" name="symbol"/>
      <queryTableField id="4" name="Gain"/>
      <queryTableField id="5" name="PriceToTarget"/>
    </queryTableFields>
  </queryTableRefresh>
</queryTable>
</file>

<file path=xl/queryTables/queryTable14.xml><?xml version="1.0" encoding="utf-8"?>
<queryTable xmlns="http://schemas.openxmlformats.org/spreadsheetml/2006/main" name="Query from portfolio_2" connectionId="7" autoFormatId="16" applyNumberFormats="0" applyBorderFormats="0" applyFontFormats="1" applyPatternFormats="1" applyAlignmentFormats="0" applyWidthHeightFormats="0">
  <queryTableRefresh nextId="7">
    <queryTableFields count="5">
      <queryTableField id="1" name="symbol"/>
      <queryTableField id="2" name="Name"/>
      <queryTableField id="3" name="Sector"/>
      <queryTableField id="4" name="RollingAVG"/>
      <queryTableField id="5" name="Volatility"/>
    </queryTableFields>
  </queryTableRefresh>
</queryTable>
</file>

<file path=xl/queryTables/queryTable15.xml><?xml version="1.0" encoding="utf-8"?>
<queryTable xmlns="http://schemas.openxmlformats.org/spreadsheetml/2006/main" name="Query from portfolio" refreshOnLoad="1" connectionId="6" autoFormatId="16" applyNumberFormats="0" applyBorderFormats="0" applyFontFormats="1" applyPatternFormats="1" applyAlignmentFormats="0" applyWidthHeightFormats="0">
  <queryTableRefresh nextId="24">
    <queryTableFields count="5">
      <queryTableField id="1" name="Symbol"/>
      <queryTableField id="8" name="Volatility"/>
      <queryTableField id="13" name="Name"/>
      <queryTableField id="14" name="Sector"/>
      <queryTableField id="15" name="RollingAVG"/>
    </queryTableFields>
  </queryTableRefresh>
</queryTable>
</file>

<file path=xl/queryTables/queryTable16.xml><?xml version="1.0" encoding="utf-8"?>
<queryTable xmlns="http://schemas.openxmlformats.org/spreadsheetml/2006/main" name="Query from portfolio_1" refreshOnLoad="1" connectionId="5" autoFormatId="16" applyNumberFormats="0" applyBorderFormats="0" applyFontFormats="1" applyPatternFormats="1" applyAlignmentFormats="0" applyWidthHeightFormats="0">
  <queryTableRefresh nextId="16">
    <queryTableFields count="9">
      <queryTableField id="1" name="symbol"/>
      <queryTableField id="2" name="Name"/>
      <queryTableField id="6" name="Beta"/>
      <queryTableField id="7" name="ClosePrice"/>
      <queryTableField id="9" name="AnalystOpinion"/>
      <queryTableField id="10" name="brokers"/>
      <queryTableField id="11" name="Volatility"/>
      <queryTableField id="14" name="'PriceToTarget'"/>
      <queryTableField id="15" name="RollingAVG"/>
    </queryTableFields>
  </queryTableRefresh>
</queryTable>
</file>

<file path=xl/queryTables/queryTable17.xml><?xml version="1.0" encoding="utf-8"?>
<queryTable xmlns="http://schemas.openxmlformats.org/spreadsheetml/2006/main" name="portfolio_2" connectionId="17" autoFormatId="16" applyNumberFormats="0" applyBorderFormats="0" applyFontFormats="0" applyPatternFormats="0" applyAlignmentFormats="0" applyWidthHeightFormats="0">
  <queryTableRefresh nextId="28">
    <queryTableFields count="25">
      <queryTableField id="1" name="symbol" tableColumnId="1"/>
      <queryTableField id="2" name="Name" tableColumnId="2"/>
      <queryTableField id="5" name="Beta" tableColumnId="5"/>
      <queryTableField id="6" name="EPS" tableColumnId="6"/>
      <queryTableField id="7" name="DebtRatio" tableColumnId="7"/>
      <queryTableField id="8" name="OPM" tableColumnId="8"/>
      <queryTableField id="9" name="NPM" tableColumnId="9"/>
      <queryTableField id="10" name="ClosePrice" tableColumnId="10"/>
      <queryTableField id="11" name="DividendYield" tableColumnId="11"/>
      <queryTableField id="12" name="DividendRate" tableColumnId="12"/>
      <queryTableField id="13" name="PECurr" tableColumnId="13"/>
      <queryTableField id="14" name="ROE" tableColumnId="14"/>
      <queryTableField id="15" name="PEForward" tableColumnId="15"/>
      <queryTableField id="16" name="PEG5" tableColumnId="16"/>
      <queryTableField id="17" name="PS" tableColumnId="17"/>
      <queryTableField id="18" name="PBV" tableColumnId="18"/>
      <queryTableField id="19" name="MCap" tableColumnId="19"/>
      <queryTableField id="20" name="BookValue" tableColumnId="20"/>
      <queryTableField id="21" name="AnalystOpinion" tableColumnId="21"/>
      <queryTableField id="22" name="MedTarget" tableColumnId="22"/>
      <queryTableField id="23" name="brokers" tableColumnId="23"/>
      <queryTableField id="24" name="Options" tableColumnId="24"/>
      <queryTableField id="25" name="RollingAVG" tableColumnId="25"/>
      <queryTableField id="26" name="Volatility" tableColumnId="26"/>
      <queryTableField id="27" name="LastUpdated" tableColumnId="27"/>
    </queryTableFields>
    <queryTableDeletedFields count="2">
      <deletedField name="Sector"/>
      <deletedField name="RPS"/>
    </queryTableDeletedFields>
  </queryTableRefresh>
</queryTable>
</file>

<file path=xl/queryTables/queryTable2.xml><?xml version="1.0" encoding="utf-8"?>
<queryTable xmlns="http://schemas.openxmlformats.org/spreadsheetml/2006/main" name="Query from MS Access Database" refreshOnLoad="1" connectionId="1" autoFormatId="16" applyNumberFormats="0" applyBorderFormats="0" applyFontFormats="1" applyPatternFormats="1" applyAlignmentFormats="0" applyWidthHeightFormats="0">
  <queryTableRefresh nextId="18">
    <queryTableFields count="12">
      <queryTableField id="1" name="icicicode"/>
      <queryTableField id="3" name="actual"/>
      <queryTableField id="4" name="EPS1"/>
      <queryTableField id="5" name="EPS2"/>
      <queryTableField id="7" name="ClosePrice"/>
      <queryTableField id="9" name="DividendYield"/>
      <queryTableField id="11" name="ROE"/>
      <queryTableField id="13" name="PE"/>
      <queryTableField id="8" name="LastUpdated"/>
      <queryTableField id="15" name="name"/>
      <queryTableField id="16" name="Sector"/>
      <queryTableField id="17" name="Remarks"/>
    </queryTableFields>
  </queryTableRefresh>
</queryTable>
</file>

<file path=xl/queryTables/queryTable3.xml><?xml version="1.0" encoding="utf-8"?>
<queryTable xmlns="http://schemas.openxmlformats.org/spreadsheetml/2006/main" name="Query from portfolio_1" refreshOnLoad="1" connectionId="9" autoFormatId="16" applyNumberFormats="0" applyBorderFormats="0" applyFontFormats="1" applyPatternFormats="1" applyAlignmentFormats="0" applyWidthHeightFormats="0">
  <queryTableRefresh nextId="2">
    <queryTableFields count="1">
      <queryTableField id="1" name="icicicode"/>
    </queryTableFields>
  </queryTableRefresh>
</queryTable>
</file>

<file path=xl/queryTables/queryTable4.xml><?xml version="1.0" encoding="utf-8"?>
<queryTable xmlns="http://schemas.openxmlformats.org/spreadsheetml/2006/main" name="Query from portfolio_3" refreshOnLoad="1" connectionId="10" autoFormatId="16" applyNumberFormats="0" applyBorderFormats="0" applyFontFormats="1" applyPatternFormats="1" applyAlignmentFormats="0" applyWidthHeightFormats="0">
  <queryTableRefresh nextId="5">
    <queryTableFields count="4">
      <queryTableField id="1" name="Volatility"/>
      <queryTableField id="2" name="RSQR"/>
      <queryTableField id="3" name="icicicode"/>
      <queryTableField id="4" name="Beta"/>
    </queryTableFields>
  </queryTableRefresh>
</queryTable>
</file>

<file path=xl/queryTables/queryTable5.xml><?xml version="1.0" encoding="utf-8"?>
<queryTable xmlns="http://schemas.openxmlformats.org/spreadsheetml/2006/main" name="Query from portfolio" refreshOnLoad="1" connectionId="12" autoFormatId="16" applyNumberFormats="0" applyBorderFormats="0" applyFontFormats="1" applyPatternFormats="1" applyAlignmentFormats="0" applyWidthHeightFormats="0">
  <queryTableRefresh nextId="8">
    <queryTableFields count="4">
      <queryTableField id="1" name="icicicode"/>
      <queryTableField id="2" name="Number"/>
      <queryTableField id="3" name="BuyPrice"/>
      <queryTableField id="4" name="BuyDate"/>
    </queryTableFields>
  </queryTableRefresh>
</queryTable>
</file>

<file path=xl/queryTables/queryTable6.xml><?xml version="1.0" encoding="utf-8"?>
<queryTable xmlns="http://schemas.openxmlformats.org/spreadsheetml/2006/main" name="Query from portfolio_1" refreshOnLoad="1" connectionId="11" autoFormatId="16" applyNumberFormats="0" applyBorderFormats="0" applyFontFormats="1" applyPatternFormats="1" applyAlignmentFormats="0" applyWidthHeightFormats="0">
  <queryTableRefresh nextId="8">
    <queryTableFields count="4">
      <queryTableField id="1" name="icicicode"/>
      <queryTableField id="2" name="Number"/>
      <queryTableField id="3" name="BuyPrice"/>
      <queryTableField id="4" name="BuyDate"/>
    </queryTableFields>
    <sortState ref="A40:D51">
      <sortCondition ref="A40"/>
    </sortState>
  </queryTableRefresh>
</queryTable>
</file>

<file path=xl/queryTables/queryTable7.xml><?xml version="1.0" encoding="utf-8"?>
<queryTable xmlns="http://schemas.openxmlformats.org/spreadsheetml/2006/main" name="Query from portfolio_1" refreshOnLoad="1" connectionId="14" autoFormatId="16" applyNumberFormats="0" applyBorderFormats="0" applyFontFormats="1" applyPatternFormats="1" applyAlignmentFormats="0" applyWidthHeightFormats="0">
  <queryTableRefresh nextId="5">
    <queryTableFields count="4">
      <queryTableField id="1" name="Name"/>
      <queryTableField id="2" name="Value1"/>
      <queryTableField id="3" name="LastUpdated"/>
      <queryTableField id="4" name="Value3"/>
    </queryTableFields>
  </queryTableRefresh>
</queryTable>
</file>

<file path=xl/queryTables/queryTable8.xml><?xml version="1.0" encoding="utf-8"?>
<queryTable xmlns="http://schemas.openxmlformats.org/spreadsheetml/2006/main" name="Query from portfolio" refreshOnLoad="1" connectionId="13" autoFormatId="16" applyNumberFormats="0" applyBorderFormats="0" applyFontFormats="1" applyPatternFormats="1" applyAlignmentFormats="0" applyWidthHeightFormats="0">
  <queryTableRefresh nextId="19">
    <queryTableFields count="10">
      <queryTableField id="1" name="symbol"/>
      <queryTableField id="2" name="Name"/>
      <queryTableField id="3" name="Beta"/>
      <queryTableField id="4" name="EPS"/>
      <queryTableField id="9" name="PEForward"/>
      <queryTableField id="7" name="PEG5"/>
      <queryTableField id="6" name="DividendYield"/>
      <queryTableField id="5" name="ClosePrice"/>
      <queryTableField id="12" name="MedTarget"/>
      <queryTableField id="13" name="AnalystOpinion"/>
    </queryTableFields>
  </queryTableRefresh>
</queryTable>
</file>

<file path=xl/queryTables/queryTable9.xml><?xml version="1.0" encoding="utf-8"?>
<queryTable xmlns="http://schemas.openxmlformats.org/spreadsheetml/2006/main" name="Query from portfolio_2" refreshOnLoad="1" connectionId="3" autoFormatId="16" applyNumberFormats="0" applyBorderFormats="0" applyFontFormats="1" applyPatternFormats="1" applyAlignmentFormats="0" applyWidthHeightFormats="0">
  <queryTableRefresh nextId="18">
    <queryTableFields count="12">
      <queryTableField id="1" name="symbol"/>
      <queryTableField id="2" name="Number"/>
      <queryTableField id="3" name="BuyPrice"/>
      <queryTableField id="4" name="BuyDate"/>
      <queryTableField id="5" name="Price"/>
      <queryTableField id="6" name="LastUpdated"/>
      <queryTableField id="7" name="AnnualizedGrowth"/>
      <queryTableField id="8" name="AbsoluteGrowth"/>
      <queryTableField id="9" name="Profit"/>
      <queryTableField id="12" name="Remarks"/>
      <queryTableField id="16" name="Delta"/>
      <queryTableField id="17" name="ExcercisePositionValue"/>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table1.xml><?xml version="1.0" encoding="utf-8"?>
<table xmlns="http://schemas.openxmlformats.org/spreadsheetml/2006/main" id="1" name="Table_portfolio_2" displayName="Table_portfolio_2" ref="B7:Z64" tableType="queryTable" totalsRowShown="0">
  <autoFilter ref="B7:Z64"/>
  <tableColumns count="25">
    <tableColumn id="1" uniqueName="1" name="symbol" queryTableFieldId="1"/>
    <tableColumn id="2" uniqueName="2" name="Name" queryTableFieldId="2"/>
    <tableColumn id="5" uniqueName="5" name="Beta" queryTableFieldId="5"/>
    <tableColumn id="6" uniqueName="6" name="EPS" queryTableFieldId="6"/>
    <tableColumn id="7" uniqueName="7" name="DebtRatio" queryTableFieldId="7"/>
    <tableColumn id="8" uniqueName="8" name="OPM" queryTableFieldId="8"/>
    <tableColumn id="9" uniqueName="9" name="NPM" queryTableFieldId="9"/>
    <tableColumn id="10" uniqueName="10" name="ClosePrice" queryTableFieldId="10"/>
    <tableColumn id="11" uniqueName="11" name="DividendYield" queryTableFieldId="11"/>
    <tableColumn id="12" uniqueName="12" name="DividendRate" queryTableFieldId="12"/>
    <tableColumn id="13" uniqueName="13" name="PECurr" queryTableFieldId="13"/>
    <tableColumn id="14" uniqueName="14" name="ROE" queryTableFieldId="14"/>
    <tableColumn id="15" uniqueName="15" name="PEForward" queryTableFieldId="15"/>
    <tableColumn id="16" uniqueName="16" name="PEG5" queryTableFieldId="16"/>
    <tableColumn id="17" uniqueName="17" name="PS" queryTableFieldId="17"/>
    <tableColumn id="18" uniqueName="18" name="PBV" queryTableFieldId="18"/>
    <tableColumn id="19" uniqueName="19" name="MCap" queryTableFieldId="19"/>
    <tableColumn id="20" uniqueName="20" name="BookValue" queryTableFieldId="20"/>
    <tableColumn id="21" uniqueName="21" name="AnalystOpinion" queryTableFieldId="21"/>
    <tableColumn id="22" uniqueName="22" name="MedTarget" queryTableFieldId="22"/>
    <tableColumn id="23" uniqueName="23" name="brokers" queryTableFieldId="23"/>
    <tableColumn id="24" uniqueName="24" name="Options" queryTableFieldId="24"/>
    <tableColumn id="25" uniqueName="25" name="RollingAVG" queryTableFieldId="25"/>
    <tableColumn id="26" uniqueName="26" name="Volatility" queryTableFieldId="26"/>
    <tableColumn id="27" uniqueName="27" name="LastUpdated" queryTableFieldId="27"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5.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5" Type="http://schemas.openxmlformats.org/officeDocument/2006/relationships/comments" Target="../comments1.xml"/><Relationship Id="rId4" Type="http://schemas.openxmlformats.org/officeDocument/2006/relationships/queryTable" Target="../queryTables/queryTable6.xml"/></Relationships>
</file>

<file path=xl/worksheets/_rels/sheet5.xml.rels><?xml version="1.0" encoding="UTF-8" standalone="yes"?>
<Relationships xmlns="http://schemas.openxmlformats.org/package/2006/relationships"><Relationship Id="rId13" Type="http://schemas.openxmlformats.org/officeDocument/2006/relationships/hyperlink" Target="https://secure.icicidirect.com/trading/equity/trading_view_transaction.asp?FML_MTCH_ACCNT=8500359427&amp;FML_XCHNG_CD=NSE&amp;FML_SEG_CD=N&amp;FML_STTLMNT=2004201&amp;check=22120889&amp;x=" TargetMode="External"/><Relationship Id="rId18" Type="http://schemas.openxmlformats.org/officeDocument/2006/relationships/hyperlink" Target="https://secure.icicidirect.com/trading/equity/trading_view_transaction.asp?FML_STCK_CD=POLSOF&amp;FML_MTCH_ACCNT=8500359427&amp;FML_XCHNG_CD=NSE&amp;FML_SEG_CD=N&amp;FML_STTLMNT=2004102&amp;check=22120889&amp;x=" TargetMode="External"/><Relationship Id="rId26" Type="http://schemas.openxmlformats.org/officeDocument/2006/relationships/control" Target="../activeX/activeX3.xml"/><Relationship Id="rId39" Type="http://schemas.openxmlformats.org/officeDocument/2006/relationships/image" Target="../media/image8.emf"/><Relationship Id="rId21" Type="http://schemas.openxmlformats.org/officeDocument/2006/relationships/vmlDrawing" Target="../drawings/vmlDrawing2.vml"/><Relationship Id="rId34" Type="http://schemas.openxmlformats.org/officeDocument/2006/relationships/control" Target="../activeX/activeX7.xml"/><Relationship Id="rId42" Type="http://schemas.openxmlformats.org/officeDocument/2006/relationships/image" Target="../media/image9.emf"/><Relationship Id="rId47" Type="http://schemas.openxmlformats.org/officeDocument/2006/relationships/control" Target="../activeX/activeX16.xml"/><Relationship Id="rId50" Type="http://schemas.openxmlformats.org/officeDocument/2006/relationships/control" Target="../activeX/activeX18.xml"/><Relationship Id="rId7" Type="http://schemas.openxmlformats.org/officeDocument/2006/relationships/hyperlink" Target="https://secure.icicidirect.com/trading/equity/trading_view_transaction.asp?FML_MTCH_ACCNT=8500359427&amp;FML_XCHNG_CD=NSE&amp;FML_SEG_CD=N&amp;FML_STTLMNT=2005127&amp;check=22120889&amp;x=" TargetMode="External"/><Relationship Id="rId2" Type="http://schemas.openxmlformats.org/officeDocument/2006/relationships/hyperlink" Target="https://secure.icicidirect.com/trading/equity/trading_view_transaction.asp?FML_STCK_CD=WIPRO&amp;FML_MTCH_ACCNT=8500359427&amp;FML_XCHNG_CD=NSE&amp;FML_SEG_CD=N&amp;FML_STTLMNT=2005159&amp;check=22120889&amp;x=" TargetMode="External"/><Relationship Id="rId16" Type="http://schemas.openxmlformats.org/officeDocument/2006/relationships/hyperlink" Target="https://secure.icicidirect.com/trading/equity/trading_view_transaction.asp?FML_STCK_CD=WIPRO&amp;FML_MTCH_ACCNT=8500359427&amp;FML_XCHNG_CD=NSE&amp;FML_SEG_CD=N&amp;FML_STTLMNT=2004188&amp;check=22120889&amp;x=" TargetMode="External"/><Relationship Id="rId29" Type="http://schemas.openxmlformats.org/officeDocument/2006/relationships/image" Target="../media/image4.emf"/><Relationship Id="rId11" Type="http://schemas.openxmlformats.org/officeDocument/2006/relationships/hyperlink" Target="https://secure.icicidirect.com/trading/equity/trading_view_transaction.asp?FML_MTCH_ACCNT=8500359427&amp;FML_XCHNG_CD=BSE&amp;FML_SEG_CD=N&amp;FML_STTLMNT=200405213&amp;check=22120889&amp;x=" TargetMode="External"/><Relationship Id="rId24" Type="http://schemas.openxmlformats.org/officeDocument/2006/relationships/control" Target="../activeX/activeX2.xml"/><Relationship Id="rId32" Type="http://schemas.openxmlformats.org/officeDocument/2006/relationships/control" Target="../activeX/activeX6.xml"/><Relationship Id="rId37" Type="http://schemas.openxmlformats.org/officeDocument/2006/relationships/control" Target="../activeX/activeX9.xml"/><Relationship Id="rId40" Type="http://schemas.openxmlformats.org/officeDocument/2006/relationships/control" Target="../activeX/activeX11.xml"/><Relationship Id="rId45" Type="http://schemas.openxmlformats.org/officeDocument/2006/relationships/image" Target="../media/image10.emf"/><Relationship Id="rId53" Type="http://schemas.openxmlformats.org/officeDocument/2006/relationships/comments" Target="../comments2.xml"/><Relationship Id="rId5" Type="http://schemas.openxmlformats.org/officeDocument/2006/relationships/hyperlink" Target="https://secure.icicidirect.com/trading/equity/trading_view_transaction.asp?FML_MTCH_ACCNT=8500359427&amp;FML_XCHNG_CD=NSE&amp;FML_SEG_CD=N&amp;FML_STTLMNT=2005127&amp;check=22120889&amp;x=" TargetMode="External"/><Relationship Id="rId10" Type="http://schemas.openxmlformats.org/officeDocument/2006/relationships/hyperlink" Target="https://secure.icicidirect.com/trading/equity/trading_view_transaction.asp?FML_STCK_CD=APTECH&amp;FML_MTCH_ACCNT=8500359427&amp;FML_XCHNG_CD=BSE&amp;FML_SEG_CD=N&amp;FML_STTLMNT=200405232&amp;check=22120889&amp;x=" TargetMode="External"/><Relationship Id="rId19" Type="http://schemas.openxmlformats.org/officeDocument/2006/relationships/printerSettings" Target="../printerSettings/printerSettings5.bin"/><Relationship Id="rId31" Type="http://schemas.openxmlformats.org/officeDocument/2006/relationships/image" Target="../media/image5.emf"/><Relationship Id="rId44" Type="http://schemas.openxmlformats.org/officeDocument/2006/relationships/control" Target="../activeX/activeX14.xml"/><Relationship Id="rId52" Type="http://schemas.openxmlformats.org/officeDocument/2006/relationships/control" Target="../activeX/activeX19.xml"/><Relationship Id="rId4" Type="http://schemas.openxmlformats.org/officeDocument/2006/relationships/hyperlink" Target="https://secure.icicidirect.com/trading/equity/trading_view_transaction.asp?FML_STCK_CD=TCS&amp;FML_MTCH_ACCNT=8500359427&amp;FML_XCHNG_CD=NSE&amp;FML_SEG_CD=N&amp;FML_STTLMNT=2005156&amp;check=22120889&amp;x=" TargetMode="External"/><Relationship Id="rId9" Type="http://schemas.openxmlformats.org/officeDocument/2006/relationships/hyperlink" Target="https://secure.icicidirect.com/trading/equity/trading_view_transaction.asp?FML_MTCH_ACCNT=8500359427&amp;FML_XCHNG_CD=BSE&amp;FML_SEG_CD=N&amp;FML_STTLMNT=200405232&amp;check=22120889&amp;x=" TargetMode="External"/><Relationship Id="rId14" Type="http://schemas.openxmlformats.org/officeDocument/2006/relationships/hyperlink" Target="https://secure.icicidirect.com/trading/equity/trading_view_transaction.asp?FML_STCK_CD=TCS&amp;FML_MTCH_ACCNT=8500359427&amp;FML_XCHNG_CD=NSE&amp;FML_SEG_CD=N&amp;FML_STTLMNT=2004201&amp;check=22120889&amp;x=" TargetMode="External"/><Relationship Id="rId22" Type="http://schemas.openxmlformats.org/officeDocument/2006/relationships/control" Target="../activeX/activeX1.xml"/><Relationship Id="rId27" Type="http://schemas.openxmlformats.org/officeDocument/2006/relationships/image" Target="../media/image3.emf"/><Relationship Id="rId30" Type="http://schemas.openxmlformats.org/officeDocument/2006/relationships/control" Target="../activeX/activeX5.xml"/><Relationship Id="rId35" Type="http://schemas.openxmlformats.org/officeDocument/2006/relationships/control" Target="../activeX/activeX8.xml"/><Relationship Id="rId43" Type="http://schemas.openxmlformats.org/officeDocument/2006/relationships/control" Target="../activeX/activeX13.xml"/><Relationship Id="rId48" Type="http://schemas.openxmlformats.org/officeDocument/2006/relationships/image" Target="../media/image11.emf"/><Relationship Id="rId8" Type="http://schemas.openxmlformats.org/officeDocument/2006/relationships/hyperlink" Target="https://secure.icicidirect.com/trading/equity/trading_view_transaction.asp?FML_STCK_CD=ONGC&amp;FML_MTCH_ACCNT=8500359427&amp;FML_XCHNG_CD=NSE&amp;FML_SEG_CD=N&amp;FML_STTLMNT=2005127&amp;check=22120889&amp;x=" TargetMode="External"/><Relationship Id="rId51" Type="http://schemas.openxmlformats.org/officeDocument/2006/relationships/image" Target="../media/image12.emf"/><Relationship Id="rId3" Type="http://schemas.openxmlformats.org/officeDocument/2006/relationships/hyperlink" Target="https://secure.icicidirect.com/trading/equity/trading_view_transaction.asp?FML_MTCH_ACCNT=8500359427&amp;FML_XCHNG_CD=NSE&amp;FML_SEG_CD=N&amp;FML_STTLMNT=2005156&amp;check=22120889&amp;x=" TargetMode="External"/><Relationship Id="rId12" Type="http://schemas.openxmlformats.org/officeDocument/2006/relationships/hyperlink" Target="https://secure.icicidirect.com/trading/equity/trading_view_transaction.asp?FML_STCK_CD=BIOCON&amp;FML_MTCH_ACCNT=8500359427&amp;FML_XCHNG_CD=BSE&amp;FML_SEG_CD=N&amp;FML_STTLMNT=200405213&amp;check=22120889&amp;x=" TargetMode="External"/><Relationship Id="rId17" Type="http://schemas.openxmlformats.org/officeDocument/2006/relationships/hyperlink" Target="https://secure.icicidirect.com/trading/equity/trading_view_transaction.asp?FML_MTCH_ACCNT=8500359427&amp;FML_XCHNG_CD=NSE&amp;FML_SEG_CD=N&amp;FML_STTLMNT=2004102&amp;check=22120889&amp;x=" TargetMode="External"/><Relationship Id="rId25" Type="http://schemas.openxmlformats.org/officeDocument/2006/relationships/image" Target="../media/image2.emf"/><Relationship Id="rId33" Type="http://schemas.openxmlformats.org/officeDocument/2006/relationships/image" Target="../media/image6.emf"/><Relationship Id="rId38" Type="http://schemas.openxmlformats.org/officeDocument/2006/relationships/control" Target="../activeX/activeX10.xml"/><Relationship Id="rId46" Type="http://schemas.openxmlformats.org/officeDocument/2006/relationships/control" Target="../activeX/activeX15.xml"/><Relationship Id="rId20" Type="http://schemas.openxmlformats.org/officeDocument/2006/relationships/drawing" Target="../drawings/drawing2.xml"/><Relationship Id="rId41" Type="http://schemas.openxmlformats.org/officeDocument/2006/relationships/control" Target="../activeX/activeX12.xml"/><Relationship Id="rId1" Type="http://schemas.openxmlformats.org/officeDocument/2006/relationships/hyperlink" Target="https://secure.icicidirect.com/trading/equity/trading_view_transaction.asp?FML_MTCH_ACCNT=8500359427&amp;FML_XCHNG_CD=NSE&amp;FML_SEG_CD=N&amp;FML_STTLMNT=2005159&amp;check=22120889&amp;x=" TargetMode="External"/><Relationship Id="rId6" Type="http://schemas.openxmlformats.org/officeDocument/2006/relationships/hyperlink" Target="https://secure.icicidirect.com/trading/equity/trading_view_transaction.asp?FML_STCK_CD=POLSOF&amp;FML_MTCH_ACCNT=8500359427&amp;FML_XCHNG_CD=NSE&amp;FML_SEG_CD=N&amp;FML_STTLMNT=2005127&amp;check=22120889&amp;x=" TargetMode="External"/><Relationship Id="rId15" Type="http://schemas.openxmlformats.org/officeDocument/2006/relationships/hyperlink" Target="https://secure.icicidirect.com/trading/equity/trading_view_transaction.asp?FML_MTCH_ACCNT=8500359427&amp;FML_XCHNG_CD=NSE&amp;FML_SEG_CD=N&amp;FML_STTLMNT=2004188&amp;check=22120889&amp;x=" TargetMode="External"/><Relationship Id="rId23" Type="http://schemas.openxmlformats.org/officeDocument/2006/relationships/image" Target="../media/image1.emf"/><Relationship Id="rId28" Type="http://schemas.openxmlformats.org/officeDocument/2006/relationships/control" Target="../activeX/activeX4.xml"/><Relationship Id="rId36" Type="http://schemas.openxmlformats.org/officeDocument/2006/relationships/image" Target="../media/image7.emf"/><Relationship Id="rId49" Type="http://schemas.openxmlformats.org/officeDocument/2006/relationships/control" Target="../activeX/activeX17.xml"/></Relationships>
</file>

<file path=xl/worksheets/_rels/sheet6.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queryTable" Target="../queryTables/queryTable10.xml"/><Relationship Id="rId2" Type="http://schemas.openxmlformats.org/officeDocument/2006/relationships/queryTable" Target="../queryTables/queryTable9.xml"/><Relationship Id="rId1" Type="http://schemas.openxmlformats.org/officeDocument/2006/relationships/printerSettings" Target="../printerSettings/printerSettings7.bin"/><Relationship Id="rId4" Type="http://schemas.openxmlformats.org/officeDocument/2006/relationships/queryTable" Target="../queryTables/queryTable11.xml"/></Relationships>
</file>

<file path=xl/worksheets/_rels/sheet9.xml.rels><?xml version="1.0" encoding="UTF-8" standalone="yes"?>
<Relationships xmlns="http://schemas.openxmlformats.org/package/2006/relationships"><Relationship Id="rId3" Type="http://schemas.openxmlformats.org/officeDocument/2006/relationships/queryTable" Target="../queryTables/queryTable13.xml"/><Relationship Id="rId2" Type="http://schemas.openxmlformats.org/officeDocument/2006/relationships/queryTable" Target="../queryTables/queryTable12.xml"/><Relationship Id="rId1" Type="http://schemas.openxmlformats.org/officeDocument/2006/relationships/printerSettings" Target="../printerSettings/printerSettings8.bin"/><Relationship Id="rId6" Type="http://schemas.openxmlformats.org/officeDocument/2006/relationships/queryTable" Target="../queryTables/queryTable16.xml"/><Relationship Id="rId5" Type="http://schemas.openxmlformats.org/officeDocument/2006/relationships/queryTable" Target="../queryTables/queryTable15.xml"/><Relationship Id="rId4" Type="http://schemas.openxmlformats.org/officeDocument/2006/relationships/queryTable" Target="../queryTables/query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P1266"/>
  <sheetViews>
    <sheetView workbookViewId="0">
      <pane ySplit="8" topLeftCell="A54" activePane="bottomLeft" state="frozen"/>
      <selection activeCell="B1" sqref="B1"/>
      <selection pane="bottomLeft" activeCell="C63" sqref="C63"/>
    </sheetView>
  </sheetViews>
  <sheetFormatPr defaultRowHeight="12.75" x14ac:dyDescent="0.2"/>
  <cols>
    <col min="3" max="3" width="9.7109375" customWidth="1"/>
    <col min="4" max="6" width="7" customWidth="1"/>
    <col min="7" max="7" width="10.7109375" style="14" customWidth="1"/>
    <col min="8" max="8" width="13.7109375" customWidth="1"/>
    <col min="9" max="9" width="9.140625" style="133" customWidth="1"/>
    <col min="10" max="10" width="8.5703125" style="133" customWidth="1"/>
    <col min="11" max="11" width="12.28515625" style="133" customWidth="1"/>
    <col min="12" max="12" width="44.7109375" style="133" customWidth="1"/>
    <col min="13" max="13" width="24.42578125" style="133" customWidth="1"/>
    <col min="14" max="14" width="23.140625" style="133" customWidth="1"/>
    <col min="15" max="15" width="12.28515625" style="135" customWidth="1"/>
    <col min="16" max="16" width="12.28515625" style="135" bestFit="1" customWidth="1"/>
  </cols>
  <sheetData>
    <row r="2" spans="3:16" x14ac:dyDescent="0.2">
      <c r="C2" s="113" t="s">
        <v>4514</v>
      </c>
    </row>
    <row r="3" spans="3:16" x14ac:dyDescent="0.2">
      <c r="C3" s="113" t="s">
        <v>1896</v>
      </c>
    </row>
    <row r="4" spans="3:16" x14ac:dyDescent="0.2">
      <c r="C4" s="113" t="s">
        <v>4862</v>
      </c>
    </row>
    <row r="5" spans="3:16" x14ac:dyDescent="0.2">
      <c r="C5" s="113" t="s">
        <v>1789</v>
      </c>
    </row>
    <row r="8" spans="3:16" x14ac:dyDescent="0.2">
      <c r="C8" s="85" t="s">
        <v>3689</v>
      </c>
      <c r="D8" s="85" t="s">
        <v>3690</v>
      </c>
      <c r="E8" s="85" t="s">
        <v>820</v>
      </c>
      <c r="F8" s="85" t="s">
        <v>821</v>
      </c>
      <c r="G8" s="147" t="s">
        <v>2109</v>
      </c>
      <c r="H8" s="141" t="s">
        <v>4839</v>
      </c>
      <c r="I8" s="141" t="s">
        <v>1822</v>
      </c>
      <c r="J8" s="141" t="s">
        <v>2930</v>
      </c>
      <c r="K8" s="134" t="s">
        <v>2110</v>
      </c>
      <c r="L8" s="134" t="s">
        <v>3413</v>
      </c>
      <c r="M8" s="134" t="s">
        <v>2298</v>
      </c>
      <c r="N8" s="134" t="s">
        <v>2534</v>
      </c>
      <c r="O8"/>
      <c r="P8"/>
    </row>
    <row r="9" spans="3:16" x14ac:dyDescent="0.2">
      <c r="C9" t="s">
        <v>4691</v>
      </c>
      <c r="G9" s="14">
        <v>46.2</v>
      </c>
      <c r="H9" s="133"/>
      <c r="I9" s="133">
        <v>15.38</v>
      </c>
      <c r="J9" s="133">
        <v>7.41</v>
      </c>
      <c r="K9" s="135">
        <v>40684</v>
      </c>
      <c r="L9" s="135" t="s">
        <v>4692</v>
      </c>
      <c r="M9" s="135" t="s">
        <v>1429</v>
      </c>
      <c r="N9" s="135"/>
      <c r="O9"/>
      <c r="P9"/>
    </row>
    <row r="10" spans="3:16" x14ac:dyDescent="0.2">
      <c r="C10" t="s">
        <v>4708</v>
      </c>
      <c r="H10" s="133"/>
      <c r="K10" s="135">
        <v>40684</v>
      </c>
      <c r="L10" s="135" t="s">
        <v>4840</v>
      </c>
      <c r="M10" s="135" t="s">
        <v>2299</v>
      </c>
      <c r="N10" s="135"/>
      <c r="O10"/>
      <c r="P10"/>
    </row>
    <row r="11" spans="3:16" x14ac:dyDescent="0.2">
      <c r="C11" t="s">
        <v>5145</v>
      </c>
      <c r="E11">
        <v>14.45</v>
      </c>
      <c r="F11">
        <v>17.649999999999999</v>
      </c>
      <c r="G11" s="14">
        <v>54.4</v>
      </c>
      <c r="H11" s="133">
        <v>1.87</v>
      </c>
      <c r="I11" s="133">
        <v>12.14</v>
      </c>
      <c r="J11" s="133">
        <v>5.43</v>
      </c>
      <c r="K11" s="135">
        <v>40684</v>
      </c>
      <c r="L11" s="135" t="s">
        <v>3024</v>
      </c>
      <c r="M11" s="135" t="s">
        <v>2994</v>
      </c>
      <c r="N11" s="135"/>
      <c r="O11"/>
      <c r="P11"/>
    </row>
    <row r="12" spans="3:16" x14ac:dyDescent="0.2">
      <c r="C12" t="s">
        <v>1343</v>
      </c>
      <c r="E12" s="133"/>
      <c r="G12" s="14">
        <v>24</v>
      </c>
      <c r="H12" s="133"/>
      <c r="I12" s="133">
        <v>8.8000000000000007</v>
      </c>
      <c r="J12" s="133">
        <v>14.52</v>
      </c>
      <c r="K12" s="135">
        <v>40684</v>
      </c>
      <c r="L12" s="135" t="s">
        <v>4813</v>
      </c>
      <c r="M12" s="135" t="s">
        <v>659</v>
      </c>
      <c r="N12" s="135"/>
      <c r="O12"/>
      <c r="P12"/>
    </row>
    <row r="13" spans="3:16" x14ac:dyDescent="0.2">
      <c r="C13" t="s">
        <v>583</v>
      </c>
      <c r="D13">
        <v>23.88</v>
      </c>
      <c r="E13">
        <v>26.76</v>
      </c>
      <c r="F13">
        <v>31.26</v>
      </c>
      <c r="G13" s="14">
        <v>135.80000000000001</v>
      </c>
      <c r="H13" s="133">
        <v>3.69</v>
      </c>
      <c r="I13" s="133">
        <v>18.77</v>
      </c>
      <c r="J13" s="133">
        <v>6.28</v>
      </c>
      <c r="K13" s="135">
        <v>40684</v>
      </c>
      <c r="L13" s="135" t="s">
        <v>3025</v>
      </c>
      <c r="M13" s="135" t="s">
        <v>659</v>
      </c>
      <c r="N13" s="135"/>
      <c r="O13"/>
      <c r="P13"/>
    </row>
    <row r="14" spans="3:16" x14ac:dyDescent="0.2">
      <c r="C14" t="s">
        <v>4709</v>
      </c>
      <c r="H14" s="133"/>
      <c r="K14" s="135">
        <v>40684</v>
      </c>
      <c r="L14" s="135" t="s">
        <v>4814</v>
      </c>
      <c r="M14" s="135" t="s">
        <v>659</v>
      </c>
      <c r="N14" s="135"/>
      <c r="O14"/>
      <c r="P14"/>
    </row>
    <row r="15" spans="3:16" x14ac:dyDescent="0.2">
      <c r="C15" t="s">
        <v>4710</v>
      </c>
      <c r="G15" s="14">
        <v>0.73</v>
      </c>
      <c r="H15" s="133"/>
      <c r="K15" s="135">
        <v>40684</v>
      </c>
      <c r="L15" s="135" t="s">
        <v>4815</v>
      </c>
      <c r="M15" s="135" t="s">
        <v>660</v>
      </c>
      <c r="N15" s="135"/>
      <c r="O15"/>
      <c r="P15"/>
    </row>
    <row r="16" spans="3:16" x14ac:dyDescent="0.2">
      <c r="C16" t="s">
        <v>4711</v>
      </c>
      <c r="G16" s="14">
        <v>15.43</v>
      </c>
      <c r="H16" s="133"/>
      <c r="K16" s="135">
        <v>40684</v>
      </c>
      <c r="L16" s="135" t="s">
        <v>4816</v>
      </c>
      <c r="M16" s="135" t="s">
        <v>661</v>
      </c>
      <c r="N16" s="135"/>
      <c r="O16"/>
      <c r="P16"/>
    </row>
    <row r="17" spans="3:16" x14ac:dyDescent="0.2">
      <c r="C17" t="s">
        <v>5146</v>
      </c>
      <c r="D17">
        <v>68.77</v>
      </c>
      <c r="E17">
        <v>110.4</v>
      </c>
      <c r="F17">
        <v>142.5</v>
      </c>
      <c r="G17" s="14">
        <v>583.9</v>
      </c>
      <c r="H17" s="133">
        <v>0.62</v>
      </c>
      <c r="I17" s="133">
        <v>17.690000000000001</v>
      </c>
      <c r="J17" s="133">
        <v>9.0500000000000007</v>
      </c>
      <c r="K17" s="135">
        <v>40684</v>
      </c>
      <c r="L17" s="135" t="s">
        <v>5147</v>
      </c>
      <c r="M17" s="135" t="s">
        <v>1765</v>
      </c>
      <c r="N17" s="135"/>
      <c r="O17"/>
      <c r="P17"/>
    </row>
    <row r="18" spans="3:16" x14ac:dyDescent="0.2">
      <c r="C18" t="s">
        <v>1344</v>
      </c>
      <c r="D18">
        <v>2.98</v>
      </c>
      <c r="E18">
        <v>24.5</v>
      </c>
      <c r="F18">
        <v>30.66</v>
      </c>
      <c r="G18" s="14">
        <v>857.1</v>
      </c>
      <c r="H18" s="133">
        <v>0.23</v>
      </c>
      <c r="I18" s="133">
        <v>6.68</v>
      </c>
      <c r="J18" s="133">
        <v>287.36</v>
      </c>
      <c r="K18" s="135">
        <v>40684</v>
      </c>
      <c r="L18" s="135" t="s">
        <v>3026</v>
      </c>
      <c r="M18" s="135" t="s">
        <v>1756</v>
      </c>
      <c r="N18" s="135"/>
      <c r="O18"/>
      <c r="P18"/>
    </row>
    <row r="19" spans="3:16" x14ac:dyDescent="0.2">
      <c r="C19" t="s">
        <v>5148</v>
      </c>
      <c r="E19">
        <v>28.45</v>
      </c>
      <c r="F19">
        <v>33.97</v>
      </c>
      <c r="G19" s="14">
        <v>563.04999999999995</v>
      </c>
      <c r="H19" s="133"/>
      <c r="I19" s="133">
        <v>32.17</v>
      </c>
      <c r="J19" s="133">
        <v>22.31</v>
      </c>
      <c r="K19" s="135">
        <v>40684</v>
      </c>
      <c r="L19" s="135" t="s">
        <v>84</v>
      </c>
      <c r="M19" s="135" t="s">
        <v>1756</v>
      </c>
      <c r="N19" s="135"/>
      <c r="O19"/>
      <c r="P19"/>
    </row>
    <row r="20" spans="3:16" x14ac:dyDescent="0.2">
      <c r="C20" t="s">
        <v>4712</v>
      </c>
      <c r="G20" s="14">
        <v>124.65</v>
      </c>
      <c r="H20" s="133">
        <v>0.4</v>
      </c>
      <c r="I20" s="133">
        <v>2.82</v>
      </c>
      <c r="J20" s="133">
        <v>62.69</v>
      </c>
      <c r="K20" s="135">
        <v>40684</v>
      </c>
      <c r="L20" s="135" t="s">
        <v>4817</v>
      </c>
      <c r="M20" s="135" t="s">
        <v>662</v>
      </c>
      <c r="N20" s="135"/>
      <c r="O20"/>
      <c r="P20"/>
    </row>
    <row r="21" spans="3:16" x14ac:dyDescent="0.2">
      <c r="C21" t="s">
        <v>4713</v>
      </c>
      <c r="G21" s="14">
        <v>4.28</v>
      </c>
      <c r="H21" s="133"/>
      <c r="K21" s="135">
        <v>40684</v>
      </c>
      <c r="L21" s="135" t="s">
        <v>4561</v>
      </c>
      <c r="M21" s="135" t="s">
        <v>1429</v>
      </c>
      <c r="N21" s="135"/>
      <c r="O21"/>
      <c r="P21"/>
    </row>
    <row r="22" spans="3:16" x14ac:dyDescent="0.2">
      <c r="C22" t="s">
        <v>4714</v>
      </c>
      <c r="G22" s="14">
        <v>11.5</v>
      </c>
      <c r="H22" s="133">
        <v>2.31</v>
      </c>
      <c r="I22" s="133">
        <v>-1.32</v>
      </c>
      <c r="J22" s="133">
        <v>19.86</v>
      </c>
      <c r="K22" s="135">
        <v>40684</v>
      </c>
      <c r="L22" s="135" t="s">
        <v>1254</v>
      </c>
      <c r="M22" s="135" t="s">
        <v>1761</v>
      </c>
      <c r="N22" s="135"/>
      <c r="O22"/>
      <c r="P22"/>
    </row>
    <row r="23" spans="3:16" x14ac:dyDescent="0.2">
      <c r="C23" t="s">
        <v>4715</v>
      </c>
      <c r="D23">
        <v>39.22</v>
      </c>
      <c r="E23">
        <v>46.37</v>
      </c>
      <c r="F23">
        <v>52.65</v>
      </c>
      <c r="G23" s="14">
        <v>360.1</v>
      </c>
      <c r="H23" s="133">
        <v>1.1100000000000001</v>
      </c>
      <c r="I23" s="133">
        <v>17.87</v>
      </c>
      <c r="J23" s="133">
        <v>8</v>
      </c>
      <c r="K23" s="135">
        <v>40684</v>
      </c>
      <c r="L23" s="135" t="s">
        <v>1255</v>
      </c>
      <c r="M23" s="135" t="s">
        <v>2993</v>
      </c>
      <c r="N23" s="135"/>
      <c r="O23"/>
      <c r="P23"/>
    </row>
    <row r="24" spans="3:16" x14ac:dyDescent="0.2">
      <c r="C24" t="s">
        <v>4245</v>
      </c>
      <c r="H24" s="133"/>
      <c r="I24" s="133">
        <v>6.57</v>
      </c>
      <c r="J24" s="133">
        <v>24.97</v>
      </c>
      <c r="K24" s="135">
        <v>40684</v>
      </c>
      <c r="L24" s="135" t="s">
        <v>4246</v>
      </c>
      <c r="M24" s="135" t="s">
        <v>2415</v>
      </c>
      <c r="N24" s="135"/>
      <c r="O24"/>
      <c r="P24"/>
    </row>
    <row r="25" spans="3:16" x14ac:dyDescent="0.2">
      <c r="C25" t="s">
        <v>3691</v>
      </c>
      <c r="G25" s="14">
        <v>15.2</v>
      </c>
      <c r="H25" s="133"/>
      <c r="I25" s="133">
        <v>5.77</v>
      </c>
      <c r="J25" s="133">
        <v>5.04</v>
      </c>
      <c r="K25" s="135">
        <v>40684</v>
      </c>
      <c r="L25" s="135" t="s">
        <v>3027</v>
      </c>
      <c r="M25" s="135" t="s">
        <v>2994</v>
      </c>
      <c r="N25" s="135"/>
      <c r="O25"/>
      <c r="P25"/>
    </row>
    <row r="26" spans="3:16" x14ac:dyDescent="0.2">
      <c r="C26" t="s">
        <v>3461</v>
      </c>
      <c r="D26">
        <v>59.52</v>
      </c>
      <c r="E26">
        <v>61.75</v>
      </c>
      <c r="F26">
        <v>69.819999999999993</v>
      </c>
      <c r="G26" s="14">
        <v>992.75</v>
      </c>
      <c r="H26" s="133">
        <v>3.06</v>
      </c>
      <c r="I26" s="133">
        <v>15</v>
      </c>
      <c r="J26" s="133">
        <v>16.7</v>
      </c>
      <c r="K26" s="135">
        <v>40684</v>
      </c>
      <c r="L26" s="135" t="s">
        <v>3028</v>
      </c>
      <c r="M26" s="135" t="s">
        <v>2995</v>
      </c>
      <c r="N26" s="135"/>
      <c r="O26"/>
      <c r="P26"/>
    </row>
    <row r="27" spans="3:16" x14ac:dyDescent="0.2">
      <c r="C27" t="s">
        <v>361</v>
      </c>
      <c r="G27" s="14">
        <v>0.1</v>
      </c>
      <c r="H27" s="133"/>
      <c r="K27" s="135">
        <v>40684</v>
      </c>
      <c r="L27" s="135" t="s">
        <v>1256</v>
      </c>
      <c r="M27" s="135" t="s">
        <v>661</v>
      </c>
      <c r="N27" s="135"/>
      <c r="O27"/>
      <c r="P27"/>
    </row>
    <row r="28" spans="3:16" x14ac:dyDescent="0.2">
      <c r="C28" t="s">
        <v>584</v>
      </c>
      <c r="G28" s="14">
        <v>27.6</v>
      </c>
      <c r="H28" s="133"/>
      <c r="I28" s="133">
        <v>4.17</v>
      </c>
      <c r="J28" s="133">
        <v>5.85</v>
      </c>
      <c r="K28" s="135">
        <v>40684</v>
      </c>
      <c r="L28" s="135" t="s">
        <v>3029</v>
      </c>
      <c r="M28" s="135" t="s">
        <v>2994</v>
      </c>
      <c r="N28" s="135"/>
      <c r="O28"/>
      <c r="P28"/>
    </row>
    <row r="29" spans="3:16" x14ac:dyDescent="0.2">
      <c r="C29" t="s">
        <v>1345</v>
      </c>
      <c r="G29" s="14">
        <v>110.75</v>
      </c>
      <c r="H29" s="133">
        <v>3.61</v>
      </c>
      <c r="I29" s="133">
        <v>33.01</v>
      </c>
      <c r="J29" s="133">
        <v>5.57</v>
      </c>
      <c r="K29" s="135">
        <v>40684</v>
      </c>
      <c r="L29" s="135" t="s">
        <v>1257</v>
      </c>
      <c r="M29" s="135" t="s">
        <v>2996</v>
      </c>
      <c r="N29" s="135"/>
      <c r="O29"/>
      <c r="P29"/>
    </row>
    <row r="30" spans="3:16" x14ac:dyDescent="0.2">
      <c r="C30" t="s">
        <v>294</v>
      </c>
      <c r="G30" s="14">
        <v>40</v>
      </c>
      <c r="H30" s="133"/>
      <c r="K30" s="135">
        <v>40684</v>
      </c>
      <c r="L30" s="135" t="s">
        <v>627</v>
      </c>
      <c r="M30" s="135" t="s">
        <v>660</v>
      </c>
      <c r="N30" s="135"/>
      <c r="O30" s="133">
        <v>1.05</v>
      </c>
      <c r="P30" s="133">
        <v>0.06</v>
      </c>
    </row>
    <row r="31" spans="3:16" x14ac:dyDescent="0.2">
      <c r="C31" t="s">
        <v>3911</v>
      </c>
      <c r="G31" s="14">
        <v>15.65</v>
      </c>
      <c r="H31" s="133"/>
      <c r="I31" s="133">
        <v>36.26</v>
      </c>
      <c r="J31" s="133">
        <v>1.3</v>
      </c>
      <c r="K31" s="135">
        <v>40684</v>
      </c>
      <c r="L31" s="135" t="s">
        <v>95</v>
      </c>
      <c r="M31" s="135" t="s">
        <v>2416</v>
      </c>
      <c r="N31" s="135"/>
      <c r="O31"/>
      <c r="P31"/>
    </row>
    <row r="32" spans="3:16" x14ac:dyDescent="0.2">
      <c r="C32" t="s">
        <v>3912</v>
      </c>
      <c r="G32" s="14">
        <v>625.95000000000005</v>
      </c>
      <c r="H32" s="133"/>
      <c r="I32" s="133">
        <v>18.36</v>
      </c>
      <c r="J32" s="133">
        <v>255</v>
      </c>
      <c r="K32" s="135">
        <v>40684</v>
      </c>
      <c r="L32" s="135" t="s">
        <v>1267</v>
      </c>
      <c r="M32" s="135" t="s">
        <v>661</v>
      </c>
      <c r="N32" s="135"/>
      <c r="O32"/>
      <c r="P32"/>
    </row>
    <row r="33" spans="3:16" x14ac:dyDescent="0.2">
      <c r="C33" t="s">
        <v>585</v>
      </c>
      <c r="G33" s="14">
        <v>6.82</v>
      </c>
      <c r="H33" s="133"/>
      <c r="K33" s="135">
        <v>40684</v>
      </c>
      <c r="L33" s="135" t="s">
        <v>3039</v>
      </c>
      <c r="M33" s="135" t="s">
        <v>2994</v>
      </c>
      <c r="N33" s="135"/>
      <c r="O33"/>
      <c r="P33"/>
    </row>
    <row r="34" spans="3:16" x14ac:dyDescent="0.2">
      <c r="C34" t="s">
        <v>85</v>
      </c>
      <c r="D34">
        <v>4.74</v>
      </c>
      <c r="E34">
        <v>17.8</v>
      </c>
      <c r="F34">
        <v>24.1</v>
      </c>
      <c r="G34" s="14">
        <v>87.45</v>
      </c>
      <c r="H34" s="133">
        <v>1.42</v>
      </c>
      <c r="I34" s="133">
        <v>9.15</v>
      </c>
      <c r="J34" s="133">
        <v>20.149999999999999</v>
      </c>
      <c r="K34" s="135">
        <v>40684</v>
      </c>
      <c r="L34" s="135" t="s">
        <v>86</v>
      </c>
      <c r="M34" s="135" t="s">
        <v>2997</v>
      </c>
      <c r="N34" s="135"/>
      <c r="O34"/>
      <c r="P34"/>
    </row>
    <row r="35" spans="3:16" x14ac:dyDescent="0.2">
      <c r="C35" t="s">
        <v>3913</v>
      </c>
      <c r="H35" s="133"/>
      <c r="K35" s="135">
        <v>40684</v>
      </c>
      <c r="L35" s="135" t="s">
        <v>529</v>
      </c>
      <c r="M35" s="135" t="s">
        <v>2994</v>
      </c>
      <c r="N35" s="135"/>
      <c r="O35"/>
      <c r="P35"/>
    </row>
    <row r="36" spans="3:16" x14ac:dyDescent="0.2">
      <c r="C36" t="s">
        <v>3914</v>
      </c>
      <c r="H36" s="133"/>
      <c r="K36" s="135">
        <v>40684</v>
      </c>
      <c r="L36" s="135" t="s">
        <v>3495</v>
      </c>
      <c r="M36" s="135" t="s">
        <v>661</v>
      </c>
      <c r="N36" s="135"/>
      <c r="O36"/>
      <c r="P36"/>
    </row>
    <row r="37" spans="3:16" x14ac:dyDescent="0.2">
      <c r="C37" t="s">
        <v>3915</v>
      </c>
      <c r="G37" s="14">
        <v>5.96</v>
      </c>
      <c r="H37" s="133"/>
      <c r="I37" s="133">
        <v>2.44</v>
      </c>
      <c r="J37" s="133">
        <v>16.21</v>
      </c>
      <c r="K37" s="135">
        <v>40684</v>
      </c>
      <c r="L37" s="135" t="s">
        <v>4858</v>
      </c>
      <c r="M37" s="135" t="s">
        <v>2997</v>
      </c>
      <c r="N37" s="135"/>
      <c r="O37"/>
      <c r="P37"/>
    </row>
    <row r="38" spans="3:16" x14ac:dyDescent="0.2">
      <c r="C38" t="s">
        <v>894</v>
      </c>
      <c r="H38" s="133"/>
      <c r="K38" s="135">
        <v>40684</v>
      </c>
      <c r="L38" s="135" t="s">
        <v>4859</v>
      </c>
      <c r="M38" s="135" t="s">
        <v>2942</v>
      </c>
      <c r="N38" s="135"/>
      <c r="O38"/>
      <c r="P38"/>
    </row>
    <row r="39" spans="3:16" x14ac:dyDescent="0.2">
      <c r="C39" t="s">
        <v>895</v>
      </c>
      <c r="G39" s="14">
        <v>3.05</v>
      </c>
      <c r="H39" s="133"/>
      <c r="K39" s="135">
        <v>40684</v>
      </c>
      <c r="L39" s="135" t="s">
        <v>4860</v>
      </c>
      <c r="M39" s="135" t="s">
        <v>2943</v>
      </c>
      <c r="N39" s="135"/>
      <c r="O39"/>
      <c r="P39"/>
    </row>
    <row r="40" spans="3:16" x14ac:dyDescent="0.2">
      <c r="C40" t="s">
        <v>586</v>
      </c>
      <c r="G40" s="14">
        <v>4.95</v>
      </c>
      <c r="H40" s="133"/>
      <c r="I40" s="133">
        <v>0.4</v>
      </c>
      <c r="J40" s="133">
        <v>0</v>
      </c>
      <c r="K40" s="135">
        <v>40684</v>
      </c>
      <c r="L40" s="135" t="s">
        <v>5342</v>
      </c>
      <c r="M40" s="135" t="s">
        <v>659</v>
      </c>
      <c r="N40" s="135"/>
      <c r="O40"/>
      <c r="P40"/>
    </row>
    <row r="41" spans="3:16" x14ac:dyDescent="0.2">
      <c r="C41" t="s">
        <v>896</v>
      </c>
      <c r="G41" s="14">
        <v>4.08</v>
      </c>
      <c r="H41" s="133"/>
      <c r="K41" s="135">
        <v>40684</v>
      </c>
      <c r="L41" s="135" t="s">
        <v>4861</v>
      </c>
      <c r="M41" s="135" t="s">
        <v>2945</v>
      </c>
      <c r="N41" s="135"/>
      <c r="O41"/>
      <c r="P41"/>
    </row>
    <row r="42" spans="3:16" x14ac:dyDescent="0.2">
      <c r="C42" t="s">
        <v>87</v>
      </c>
      <c r="E42">
        <v>20.399999999999999</v>
      </c>
      <c r="F42">
        <v>25.6</v>
      </c>
      <c r="G42" s="14">
        <v>165.15</v>
      </c>
      <c r="H42" s="133"/>
      <c r="I42" s="133">
        <v>15.67</v>
      </c>
      <c r="J42" s="133">
        <v>8.73</v>
      </c>
      <c r="K42" s="135">
        <v>40684</v>
      </c>
      <c r="L42" s="135" t="s">
        <v>88</v>
      </c>
      <c r="M42" s="135" t="s">
        <v>3180</v>
      </c>
      <c r="N42" s="135"/>
      <c r="O42"/>
      <c r="P42"/>
    </row>
    <row r="43" spans="3:16" x14ac:dyDescent="0.2">
      <c r="C43" t="s">
        <v>897</v>
      </c>
      <c r="G43" s="14">
        <v>26</v>
      </c>
      <c r="H43" s="133"/>
      <c r="K43" s="135">
        <v>40684</v>
      </c>
      <c r="L43" s="135" t="s">
        <v>2731</v>
      </c>
      <c r="M43" s="135" t="s">
        <v>1765</v>
      </c>
      <c r="N43" s="135"/>
      <c r="O43"/>
      <c r="P43"/>
    </row>
    <row r="44" spans="3:16" x14ac:dyDescent="0.2">
      <c r="C44" t="s">
        <v>587</v>
      </c>
      <c r="G44" s="14">
        <v>65</v>
      </c>
      <c r="H44" s="133">
        <v>1.85</v>
      </c>
      <c r="I44" s="133">
        <v>23.3</v>
      </c>
      <c r="J44" s="133">
        <v>9.48</v>
      </c>
      <c r="K44" s="135">
        <v>40684</v>
      </c>
      <c r="L44" s="135" t="s">
        <v>5343</v>
      </c>
      <c r="M44" s="135" t="s">
        <v>1429</v>
      </c>
      <c r="N44" s="135"/>
      <c r="O44"/>
      <c r="P44"/>
    </row>
    <row r="45" spans="3:16" x14ac:dyDescent="0.2">
      <c r="C45" t="s">
        <v>898</v>
      </c>
      <c r="D45">
        <v>13.33</v>
      </c>
      <c r="E45">
        <v>14.58</v>
      </c>
      <c r="G45" s="14">
        <v>233.65</v>
      </c>
      <c r="H45" s="133">
        <v>2.4500000000000002</v>
      </c>
      <c r="I45" s="133">
        <v>19.47</v>
      </c>
      <c r="J45" s="133">
        <v>18.86</v>
      </c>
      <c r="K45" s="135">
        <v>40684</v>
      </c>
      <c r="L45" s="135" t="s">
        <v>2732</v>
      </c>
      <c r="M45" s="135" t="s">
        <v>661</v>
      </c>
      <c r="N45" s="135"/>
      <c r="O45"/>
      <c r="P45"/>
    </row>
    <row r="46" spans="3:16" x14ac:dyDescent="0.2">
      <c r="C46" t="s">
        <v>588</v>
      </c>
      <c r="G46" s="14">
        <v>215.6</v>
      </c>
      <c r="H46" s="133">
        <v>0.57999999999999996</v>
      </c>
      <c r="I46" s="133">
        <v>31.63</v>
      </c>
      <c r="J46" s="133">
        <v>22.35</v>
      </c>
      <c r="K46" s="135">
        <v>40684</v>
      </c>
      <c r="L46" s="135" t="s">
        <v>2434</v>
      </c>
      <c r="M46" s="135" t="s">
        <v>1429</v>
      </c>
      <c r="N46" s="135"/>
      <c r="O46"/>
      <c r="P46"/>
    </row>
    <row r="47" spans="3:16" x14ac:dyDescent="0.2">
      <c r="C47" t="s">
        <v>1346</v>
      </c>
      <c r="G47" s="14">
        <v>45.5</v>
      </c>
      <c r="H47" s="133"/>
      <c r="I47" s="133">
        <v>4.6100000000000003</v>
      </c>
      <c r="J47" s="133">
        <v>16.309999999999999</v>
      </c>
      <c r="K47" s="135">
        <v>40684</v>
      </c>
      <c r="L47" s="135" t="s">
        <v>2733</v>
      </c>
      <c r="M47" s="135" t="s">
        <v>1429</v>
      </c>
      <c r="N47" s="135"/>
      <c r="O47"/>
      <c r="P47"/>
    </row>
    <row r="48" spans="3:16" x14ac:dyDescent="0.2">
      <c r="C48" t="s">
        <v>899</v>
      </c>
      <c r="H48" s="133"/>
      <c r="K48" s="135">
        <v>40684</v>
      </c>
      <c r="L48" s="135" t="s">
        <v>2734</v>
      </c>
      <c r="M48" s="135" t="s">
        <v>1429</v>
      </c>
      <c r="N48" s="135"/>
      <c r="O48"/>
      <c r="P48"/>
    </row>
    <row r="49" spans="3:16" x14ac:dyDescent="0.2">
      <c r="C49" t="s">
        <v>589</v>
      </c>
      <c r="G49" s="14">
        <v>65</v>
      </c>
      <c r="H49" s="133"/>
      <c r="I49" s="133">
        <v>21.5</v>
      </c>
      <c r="J49" s="133">
        <v>10.9</v>
      </c>
      <c r="K49" s="135">
        <v>40684</v>
      </c>
      <c r="L49" s="135" t="s">
        <v>2435</v>
      </c>
      <c r="M49" s="135" t="s">
        <v>659</v>
      </c>
      <c r="N49" s="135"/>
      <c r="O49"/>
      <c r="P49"/>
    </row>
    <row r="50" spans="3:16" x14ac:dyDescent="0.2">
      <c r="C50" t="s">
        <v>590</v>
      </c>
      <c r="G50" s="14">
        <v>261.45</v>
      </c>
      <c r="H50" s="133"/>
      <c r="I50" s="133">
        <v>17.2</v>
      </c>
      <c r="J50" s="133">
        <v>6.6</v>
      </c>
      <c r="K50" s="135">
        <v>40684</v>
      </c>
      <c r="L50" s="135" t="s">
        <v>2436</v>
      </c>
      <c r="M50" s="135" t="s">
        <v>659</v>
      </c>
      <c r="N50" s="135"/>
      <c r="O50"/>
      <c r="P50"/>
    </row>
    <row r="51" spans="3:16" x14ac:dyDescent="0.2">
      <c r="C51" t="s">
        <v>900</v>
      </c>
      <c r="G51" s="14">
        <v>2.25</v>
      </c>
      <c r="H51" s="133"/>
      <c r="K51" s="135">
        <v>40684</v>
      </c>
      <c r="L51" s="135" t="s">
        <v>374</v>
      </c>
      <c r="M51" s="135" t="s">
        <v>2417</v>
      </c>
      <c r="N51" s="135"/>
      <c r="O51"/>
      <c r="P51"/>
    </row>
    <row r="52" spans="3:16" x14ac:dyDescent="0.2">
      <c r="C52" t="s">
        <v>901</v>
      </c>
      <c r="G52" s="14">
        <v>14.2</v>
      </c>
      <c r="H52" s="133"/>
      <c r="I52" s="133">
        <v>4.41</v>
      </c>
      <c r="J52" s="133">
        <v>18.440000000000001</v>
      </c>
      <c r="K52" s="135">
        <v>40684</v>
      </c>
      <c r="L52" s="135" t="s">
        <v>375</v>
      </c>
      <c r="M52" s="135" t="s">
        <v>660</v>
      </c>
      <c r="N52" s="135"/>
      <c r="O52"/>
      <c r="P52"/>
    </row>
    <row r="53" spans="3:16" x14ac:dyDescent="0.2">
      <c r="C53" t="s">
        <v>902</v>
      </c>
      <c r="G53" s="14">
        <v>37.799999999999997</v>
      </c>
      <c r="H53" s="133"/>
      <c r="I53" s="133">
        <v>56.97</v>
      </c>
      <c r="J53" s="133">
        <v>19.82</v>
      </c>
      <c r="K53" s="135">
        <v>40684</v>
      </c>
      <c r="L53" s="135" t="s">
        <v>376</v>
      </c>
      <c r="M53" s="135" t="s">
        <v>660</v>
      </c>
      <c r="N53" s="135"/>
      <c r="O53"/>
      <c r="P53"/>
    </row>
    <row r="54" spans="3:16" x14ac:dyDescent="0.2">
      <c r="C54" t="s">
        <v>903</v>
      </c>
      <c r="H54" s="133"/>
      <c r="K54" s="135">
        <v>40684</v>
      </c>
      <c r="L54" s="135" t="s">
        <v>377</v>
      </c>
      <c r="M54" s="135" t="s">
        <v>2996</v>
      </c>
      <c r="N54" s="135"/>
      <c r="O54"/>
      <c r="P54"/>
    </row>
    <row r="55" spans="3:16" x14ac:dyDescent="0.2">
      <c r="C55" t="s">
        <v>3732</v>
      </c>
      <c r="H55" s="133"/>
      <c r="K55" s="135">
        <v>40684</v>
      </c>
      <c r="L55" s="135" t="s">
        <v>3188</v>
      </c>
      <c r="M55" s="135" t="s">
        <v>1757</v>
      </c>
      <c r="N55" s="135"/>
      <c r="O55"/>
      <c r="P55"/>
    </row>
    <row r="56" spans="3:16" x14ac:dyDescent="0.2">
      <c r="C56" t="s">
        <v>551</v>
      </c>
      <c r="G56" s="14">
        <v>201.35</v>
      </c>
      <c r="H56" s="133">
        <v>2.4700000000000002</v>
      </c>
      <c r="I56" s="133">
        <v>12.14</v>
      </c>
      <c r="J56" s="133">
        <v>8.48</v>
      </c>
      <c r="K56" s="135">
        <v>40684</v>
      </c>
      <c r="L56" s="135" t="s">
        <v>2306</v>
      </c>
      <c r="M56" s="135" t="s">
        <v>1755</v>
      </c>
      <c r="N56" s="135" t="s">
        <v>5424</v>
      </c>
      <c r="O56"/>
      <c r="P56"/>
    </row>
    <row r="57" spans="3:16" x14ac:dyDescent="0.2">
      <c r="C57" t="s">
        <v>3733</v>
      </c>
      <c r="H57" s="133"/>
      <c r="K57" s="135">
        <v>40684</v>
      </c>
      <c r="L57" s="135" t="s">
        <v>3189</v>
      </c>
      <c r="M57" s="135" t="s">
        <v>2419</v>
      </c>
      <c r="N57" s="135"/>
      <c r="O57"/>
      <c r="P57"/>
    </row>
    <row r="58" spans="3:16" x14ac:dyDescent="0.2">
      <c r="C58" t="s">
        <v>3734</v>
      </c>
      <c r="G58" s="14">
        <v>1.55</v>
      </c>
      <c r="H58" s="133"/>
      <c r="K58" s="135">
        <v>40684</v>
      </c>
      <c r="L58" s="135" t="s">
        <v>3190</v>
      </c>
      <c r="M58" s="135" t="s">
        <v>2993</v>
      </c>
      <c r="N58" s="135"/>
      <c r="O58"/>
      <c r="P58"/>
    </row>
    <row r="59" spans="3:16" x14ac:dyDescent="0.2">
      <c r="C59" t="s">
        <v>4338</v>
      </c>
      <c r="G59" s="14">
        <v>120.4</v>
      </c>
      <c r="H59" s="133">
        <v>3.74</v>
      </c>
      <c r="I59" s="133">
        <v>16.12</v>
      </c>
      <c r="J59" s="133">
        <v>6.69</v>
      </c>
      <c r="K59" s="135">
        <v>40684</v>
      </c>
      <c r="L59" s="135" t="s">
        <v>2437</v>
      </c>
      <c r="M59" s="135" t="s">
        <v>659</v>
      </c>
      <c r="N59" s="135"/>
      <c r="O59"/>
      <c r="P59"/>
    </row>
    <row r="60" spans="3:16" x14ac:dyDescent="0.2">
      <c r="C60" t="s">
        <v>89</v>
      </c>
      <c r="D60">
        <v>1.53</v>
      </c>
      <c r="E60">
        <v>4.5999999999999996</v>
      </c>
      <c r="F60">
        <v>5.4</v>
      </c>
      <c r="G60" s="14">
        <v>19.8</v>
      </c>
      <c r="H60" s="133"/>
      <c r="I60" s="133">
        <v>6.44</v>
      </c>
      <c r="J60" s="133">
        <v>4.59</v>
      </c>
      <c r="K60" s="135">
        <v>40684</v>
      </c>
      <c r="L60" s="135" t="s">
        <v>2438</v>
      </c>
      <c r="M60" s="135" t="s">
        <v>659</v>
      </c>
      <c r="N60" s="135"/>
      <c r="O60"/>
      <c r="P60"/>
    </row>
    <row r="61" spans="3:16" x14ac:dyDescent="0.2">
      <c r="C61" t="s">
        <v>3735</v>
      </c>
      <c r="H61" s="133"/>
      <c r="K61" s="135">
        <v>40684</v>
      </c>
      <c r="L61" s="135" t="s">
        <v>4780</v>
      </c>
      <c r="M61" s="135" t="s">
        <v>2417</v>
      </c>
      <c r="N61" s="135"/>
      <c r="O61"/>
      <c r="P61"/>
    </row>
    <row r="62" spans="3:16" x14ac:dyDescent="0.2">
      <c r="C62" t="s">
        <v>3736</v>
      </c>
      <c r="G62" s="14">
        <v>1.05</v>
      </c>
      <c r="H62" s="133"/>
      <c r="K62" s="135">
        <v>40684</v>
      </c>
      <c r="L62" s="135" t="s">
        <v>5112</v>
      </c>
      <c r="M62" s="135" t="s">
        <v>2946</v>
      </c>
      <c r="N62" s="135"/>
      <c r="O62"/>
      <c r="P62"/>
    </row>
    <row r="63" spans="3:16" x14ac:dyDescent="0.2">
      <c r="C63" t="s">
        <v>628</v>
      </c>
      <c r="G63" s="14">
        <v>14.86</v>
      </c>
      <c r="H63" s="133"/>
      <c r="K63" s="135">
        <v>40684</v>
      </c>
      <c r="L63" s="135" t="s">
        <v>629</v>
      </c>
      <c r="M63" s="135" t="s">
        <v>630</v>
      </c>
      <c r="N63" s="135"/>
      <c r="O63"/>
      <c r="P63"/>
    </row>
    <row r="64" spans="3:16" x14ac:dyDescent="0.2">
      <c r="C64" t="s">
        <v>112</v>
      </c>
      <c r="D64">
        <v>67.92</v>
      </c>
      <c r="E64">
        <v>75.7</v>
      </c>
      <c r="F64">
        <v>85.2</v>
      </c>
      <c r="G64" s="14">
        <v>1523.3</v>
      </c>
      <c r="H64" s="133">
        <v>1.97</v>
      </c>
      <c r="I64" s="133">
        <v>24.92</v>
      </c>
      <c r="J64" s="133">
        <v>25.58</v>
      </c>
      <c r="K64" s="135">
        <v>40684</v>
      </c>
      <c r="L64" s="135" t="s">
        <v>508</v>
      </c>
      <c r="M64" s="135" t="s">
        <v>3180</v>
      </c>
      <c r="N64" s="135"/>
      <c r="O64"/>
      <c r="P64"/>
    </row>
    <row r="65" spans="3:16" x14ac:dyDescent="0.2">
      <c r="C65" t="s">
        <v>3737</v>
      </c>
      <c r="G65" s="14">
        <v>25.7</v>
      </c>
      <c r="H65" s="133"/>
      <c r="I65" s="133">
        <v>13.3</v>
      </c>
      <c r="J65" s="133">
        <v>57.46</v>
      </c>
      <c r="K65" s="135">
        <v>40684</v>
      </c>
      <c r="L65" s="135" t="s">
        <v>358</v>
      </c>
      <c r="M65" s="135" t="s">
        <v>660</v>
      </c>
      <c r="N65" s="135"/>
      <c r="O65"/>
      <c r="P65"/>
    </row>
    <row r="66" spans="3:16" x14ac:dyDescent="0.2">
      <c r="C66" t="s">
        <v>631</v>
      </c>
      <c r="G66" s="14">
        <v>82.5</v>
      </c>
      <c r="H66" s="133">
        <v>3.53</v>
      </c>
      <c r="I66" s="133">
        <v>15.21</v>
      </c>
      <c r="J66" s="133">
        <v>8.64</v>
      </c>
      <c r="K66" s="135">
        <v>40684</v>
      </c>
      <c r="L66" s="135" t="s">
        <v>3224</v>
      </c>
      <c r="M66" s="135" t="s">
        <v>2419</v>
      </c>
      <c r="N66" s="135"/>
      <c r="O66"/>
      <c r="P66"/>
    </row>
    <row r="67" spans="3:16" x14ac:dyDescent="0.2">
      <c r="C67" t="s">
        <v>4339</v>
      </c>
      <c r="G67" s="14">
        <v>0.23</v>
      </c>
      <c r="H67" s="133"/>
      <c r="I67" s="133">
        <v>-1.24</v>
      </c>
      <c r="J67" s="133">
        <v>0</v>
      </c>
      <c r="K67" s="135">
        <v>40684</v>
      </c>
      <c r="L67" s="135" t="s">
        <v>2439</v>
      </c>
      <c r="M67" s="135" t="s">
        <v>2994</v>
      </c>
      <c r="N67" s="135"/>
      <c r="O67"/>
      <c r="P67"/>
    </row>
    <row r="68" spans="3:16" x14ac:dyDescent="0.2">
      <c r="C68" t="s">
        <v>4537</v>
      </c>
      <c r="G68" s="14">
        <v>17</v>
      </c>
      <c r="H68" s="133"/>
      <c r="I68" s="133">
        <v>-2.21</v>
      </c>
      <c r="J68" s="133">
        <v>0</v>
      </c>
      <c r="K68" s="135">
        <v>40684</v>
      </c>
      <c r="L68" s="135" t="s">
        <v>359</v>
      </c>
      <c r="M68" s="135" t="s">
        <v>660</v>
      </c>
      <c r="N68" s="135"/>
      <c r="O68"/>
      <c r="P68"/>
    </row>
    <row r="69" spans="3:16" x14ac:dyDescent="0.2">
      <c r="C69" t="s">
        <v>4693</v>
      </c>
      <c r="G69" s="14">
        <v>53.05</v>
      </c>
      <c r="H69" s="133"/>
      <c r="I69" s="133">
        <v>15.21</v>
      </c>
      <c r="J69" s="133">
        <v>2.89</v>
      </c>
      <c r="K69" s="135">
        <v>40684</v>
      </c>
      <c r="L69" s="135" t="s">
        <v>4694</v>
      </c>
      <c r="M69" s="135" t="s">
        <v>1429</v>
      </c>
      <c r="N69" s="135"/>
      <c r="O69"/>
      <c r="P69"/>
    </row>
    <row r="70" spans="3:16" x14ac:dyDescent="0.2">
      <c r="C70" t="s">
        <v>4695</v>
      </c>
      <c r="G70" s="14">
        <v>161.15</v>
      </c>
      <c r="H70" s="133">
        <v>1.83</v>
      </c>
      <c r="I70" s="133">
        <v>11.45</v>
      </c>
      <c r="J70" s="133">
        <v>17.649999999999999</v>
      </c>
      <c r="K70" s="135">
        <v>40684</v>
      </c>
      <c r="L70" s="135" t="s">
        <v>4696</v>
      </c>
      <c r="M70" s="135" t="s">
        <v>662</v>
      </c>
      <c r="N70" s="135"/>
      <c r="O70"/>
      <c r="P70"/>
    </row>
    <row r="71" spans="3:16" x14ac:dyDescent="0.2">
      <c r="C71" t="s">
        <v>4340</v>
      </c>
      <c r="G71" s="14">
        <v>24.9</v>
      </c>
      <c r="H71" s="133"/>
      <c r="I71" s="133">
        <v>8.24</v>
      </c>
      <c r="J71" s="133">
        <v>5.19</v>
      </c>
      <c r="K71" s="135">
        <v>40684</v>
      </c>
      <c r="L71" s="135" t="s">
        <v>804</v>
      </c>
      <c r="M71" s="135" t="s">
        <v>2994</v>
      </c>
      <c r="N71" s="135"/>
      <c r="O71"/>
      <c r="P71"/>
    </row>
    <row r="72" spans="3:16" x14ac:dyDescent="0.2">
      <c r="C72" t="s">
        <v>3738</v>
      </c>
      <c r="G72" s="14">
        <v>0.5</v>
      </c>
      <c r="H72" s="133"/>
      <c r="K72" s="135">
        <v>40684</v>
      </c>
      <c r="L72" s="135" t="s">
        <v>5227</v>
      </c>
      <c r="M72" s="135" t="s">
        <v>1429</v>
      </c>
      <c r="N72" s="135"/>
      <c r="O72"/>
      <c r="P72"/>
    </row>
    <row r="73" spans="3:16" x14ac:dyDescent="0.2">
      <c r="C73" t="s">
        <v>5290</v>
      </c>
      <c r="G73" s="14">
        <v>38.65</v>
      </c>
      <c r="H73" s="133"/>
      <c r="K73" s="135">
        <v>40684</v>
      </c>
      <c r="L73" s="135" t="s">
        <v>5228</v>
      </c>
      <c r="M73" s="135" t="s">
        <v>659</v>
      </c>
      <c r="N73" s="135"/>
      <c r="O73"/>
      <c r="P73"/>
    </row>
    <row r="74" spans="3:16" x14ac:dyDescent="0.2">
      <c r="C74" t="s">
        <v>5291</v>
      </c>
      <c r="G74" s="14">
        <v>7.5</v>
      </c>
      <c r="H74" s="133"/>
      <c r="K74" s="135">
        <v>40684</v>
      </c>
      <c r="L74" s="135" t="s">
        <v>34</v>
      </c>
      <c r="M74" s="135" t="s">
        <v>660</v>
      </c>
      <c r="N74" s="135"/>
      <c r="O74"/>
      <c r="P74"/>
    </row>
    <row r="75" spans="3:16" x14ac:dyDescent="0.2">
      <c r="C75" t="s">
        <v>5292</v>
      </c>
      <c r="G75" s="14">
        <v>26.36</v>
      </c>
      <c r="H75" s="133"/>
      <c r="I75" s="133">
        <v>0.32</v>
      </c>
      <c r="J75" s="133">
        <v>946.15</v>
      </c>
      <c r="K75" s="135">
        <v>40684</v>
      </c>
      <c r="L75" s="135" t="s">
        <v>35</v>
      </c>
      <c r="M75" s="135" t="s">
        <v>3181</v>
      </c>
      <c r="N75" s="135"/>
      <c r="O75"/>
      <c r="P75"/>
    </row>
    <row r="76" spans="3:16" x14ac:dyDescent="0.2">
      <c r="C76" t="s">
        <v>2200</v>
      </c>
      <c r="G76" s="14">
        <v>0.3</v>
      </c>
      <c r="H76" s="133"/>
      <c r="K76" s="135">
        <v>40684</v>
      </c>
      <c r="L76" s="135" t="s">
        <v>36</v>
      </c>
      <c r="M76" s="135" t="s">
        <v>2416</v>
      </c>
      <c r="N76" s="135"/>
      <c r="O76" s="133">
        <v>0.6</v>
      </c>
      <c r="P76" s="133">
        <v>6.0000000000000001E-3</v>
      </c>
    </row>
    <row r="77" spans="3:16" x14ac:dyDescent="0.2">
      <c r="C77" t="s">
        <v>2201</v>
      </c>
      <c r="H77" s="133"/>
      <c r="K77" s="135">
        <v>40684</v>
      </c>
      <c r="L77" s="135" t="s">
        <v>37</v>
      </c>
      <c r="M77" s="135" t="s">
        <v>661</v>
      </c>
      <c r="N77" s="135"/>
      <c r="O77"/>
      <c r="P77"/>
    </row>
    <row r="78" spans="3:16" x14ac:dyDescent="0.2">
      <c r="C78" t="s">
        <v>2202</v>
      </c>
      <c r="H78" s="133"/>
      <c r="K78" s="135">
        <v>40684</v>
      </c>
      <c r="L78" s="135" t="s">
        <v>1999</v>
      </c>
      <c r="M78" s="135" t="s">
        <v>2415</v>
      </c>
      <c r="N78" s="135"/>
      <c r="O78"/>
      <c r="P78"/>
    </row>
    <row r="79" spans="3:16" x14ac:dyDescent="0.2">
      <c r="C79" t="s">
        <v>2203</v>
      </c>
      <c r="G79" s="14">
        <v>17</v>
      </c>
      <c r="H79" s="133"/>
      <c r="I79" s="133">
        <v>0</v>
      </c>
      <c r="J79" s="133">
        <v>0</v>
      </c>
      <c r="K79" s="135">
        <v>40684</v>
      </c>
      <c r="L79" s="135" t="s">
        <v>2000</v>
      </c>
      <c r="M79" s="135" t="s">
        <v>2943</v>
      </c>
      <c r="N79" s="135"/>
      <c r="O79"/>
      <c r="P79"/>
    </row>
    <row r="80" spans="3:16" x14ac:dyDescent="0.2">
      <c r="C80" t="s">
        <v>5138</v>
      </c>
      <c r="D80">
        <v>18.149999999999999</v>
      </c>
      <c r="E80">
        <v>16.100000000000001</v>
      </c>
      <c r="F80">
        <v>20.75</v>
      </c>
      <c r="G80" s="14">
        <v>206.55</v>
      </c>
      <c r="H80" s="133"/>
      <c r="I80" s="133">
        <v>28.69</v>
      </c>
      <c r="J80" s="133">
        <v>11.85</v>
      </c>
      <c r="K80" s="135">
        <v>40684</v>
      </c>
      <c r="L80" s="135" t="s">
        <v>4905</v>
      </c>
      <c r="M80" s="135" t="s">
        <v>2418</v>
      </c>
      <c r="N80" s="135"/>
      <c r="O80"/>
      <c r="P80"/>
    </row>
    <row r="81" spans="3:16" x14ac:dyDescent="0.2">
      <c r="C81" t="s">
        <v>4513</v>
      </c>
      <c r="G81" s="14">
        <v>113.45</v>
      </c>
      <c r="H81" s="133">
        <v>0.88</v>
      </c>
      <c r="I81" s="133">
        <v>18.28</v>
      </c>
      <c r="J81" s="133">
        <v>9.19</v>
      </c>
      <c r="K81" s="135">
        <v>40684</v>
      </c>
      <c r="L81" s="135" t="s">
        <v>2001</v>
      </c>
      <c r="M81" s="135" t="s">
        <v>2416</v>
      </c>
      <c r="N81" s="135"/>
      <c r="O81"/>
      <c r="P81"/>
    </row>
    <row r="82" spans="3:16" x14ac:dyDescent="0.2">
      <c r="C82" t="s">
        <v>4341</v>
      </c>
      <c r="G82" s="14">
        <v>64.849999999999994</v>
      </c>
      <c r="H82" s="133"/>
      <c r="I82" s="133">
        <v>27.08</v>
      </c>
      <c r="J82" s="133">
        <v>3.5</v>
      </c>
      <c r="K82" s="135">
        <v>40684</v>
      </c>
      <c r="L82" s="135" t="s">
        <v>805</v>
      </c>
      <c r="M82" s="135" t="s">
        <v>2994</v>
      </c>
      <c r="N82" s="135"/>
      <c r="O82"/>
      <c r="P82"/>
    </row>
    <row r="83" spans="3:16" x14ac:dyDescent="0.2">
      <c r="C83" t="s">
        <v>4342</v>
      </c>
      <c r="G83" s="14">
        <v>4.25</v>
      </c>
      <c r="H83" s="133"/>
      <c r="I83" s="133">
        <v>-41.39</v>
      </c>
      <c r="J83" s="133">
        <v>24.12</v>
      </c>
      <c r="K83" s="135">
        <v>40684</v>
      </c>
      <c r="L83" s="135" t="s">
        <v>806</v>
      </c>
      <c r="M83" s="135" t="s">
        <v>659</v>
      </c>
      <c r="N83" s="135"/>
      <c r="O83"/>
      <c r="P83"/>
    </row>
    <row r="84" spans="3:16" x14ac:dyDescent="0.2">
      <c r="C84" t="s">
        <v>1448</v>
      </c>
      <c r="H84" s="133"/>
      <c r="K84" s="135">
        <v>40684</v>
      </c>
      <c r="L84" s="135" t="s">
        <v>798</v>
      </c>
      <c r="M84" s="135" t="s">
        <v>1429</v>
      </c>
      <c r="N84" s="135"/>
      <c r="O84"/>
      <c r="P84"/>
    </row>
    <row r="85" spans="3:16" x14ac:dyDescent="0.2">
      <c r="C85" t="s">
        <v>1449</v>
      </c>
      <c r="G85" s="14">
        <v>1.05</v>
      </c>
      <c r="H85" s="133"/>
      <c r="K85" s="135">
        <v>40684</v>
      </c>
      <c r="L85" s="135" t="s">
        <v>1167</v>
      </c>
      <c r="M85" s="135" t="s">
        <v>2417</v>
      </c>
      <c r="N85" s="135"/>
      <c r="O85"/>
      <c r="P85"/>
    </row>
    <row r="86" spans="3:16" x14ac:dyDescent="0.2">
      <c r="C86" t="s">
        <v>4343</v>
      </c>
      <c r="G86" s="14">
        <v>2.2000000000000002</v>
      </c>
      <c r="H86" s="133"/>
      <c r="K86" s="135">
        <v>40684</v>
      </c>
      <c r="L86" s="135" t="s">
        <v>807</v>
      </c>
      <c r="M86" s="135" t="s">
        <v>3013</v>
      </c>
      <c r="N86" s="135"/>
      <c r="O86"/>
      <c r="P86"/>
    </row>
    <row r="87" spans="3:16" x14ac:dyDescent="0.2">
      <c r="C87" t="s">
        <v>4168</v>
      </c>
      <c r="G87" s="14">
        <v>50.2</v>
      </c>
      <c r="H87" s="133"/>
      <c r="K87" s="135">
        <v>40684</v>
      </c>
      <c r="L87" s="135" t="s">
        <v>4169</v>
      </c>
      <c r="M87" s="135" t="s">
        <v>2419</v>
      </c>
      <c r="N87" s="135"/>
      <c r="O87"/>
      <c r="P87"/>
    </row>
    <row r="88" spans="3:16" x14ac:dyDescent="0.2">
      <c r="C88" t="s">
        <v>5036</v>
      </c>
      <c r="G88" s="14">
        <v>3.25</v>
      </c>
      <c r="H88" s="133"/>
      <c r="K88" s="135">
        <v>40684</v>
      </c>
      <c r="L88" s="135" t="s">
        <v>808</v>
      </c>
      <c r="M88" s="135" t="s">
        <v>2994</v>
      </c>
      <c r="N88" s="135"/>
      <c r="O88"/>
      <c r="P88"/>
    </row>
    <row r="89" spans="3:16" x14ac:dyDescent="0.2">
      <c r="C89" t="s">
        <v>5037</v>
      </c>
      <c r="G89" s="14">
        <v>712</v>
      </c>
      <c r="H89" s="133"/>
      <c r="I89" s="133">
        <v>9.8699999999999992</v>
      </c>
      <c r="J89" s="133">
        <v>22.79</v>
      </c>
      <c r="K89" s="135">
        <v>40684</v>
      </c>
      <c r="L89" s="135" t="s">
        <v>3597</v>
      </c>
      <c r="M89" s="135" t="s">
        <v>659</v>
      </c>
      <c r="N89" s="135"/>
      <c r="O89"/>
      <c r="P89"/>
    </row>
    <row r="90" spans="3:16" x14ac:dyDescent="0.2">
      <c r="C90" t="s">
        <v>3692</v>
      </c>
      <c r="E90">
        <v>16.25</v>
      </c>
      <c r="F90">
        <v>20.100000000000001</v>
      </c>
      <c r="G90" s="14">
        <v>165.55</v>
      </c>
      <c r="H90" s="133">
        <v>0.6</v>
      </c>
      <c r="I90" s="133">
        <v>3.55</v>
      </c>
      <c r="J90" s="133">
        <v>25.02</v>
      </c>
      <c r="K90" s="135">
        <v>40684</v>
      </c>
      <c r="L90" s="135" t="s">
        <v>3601</v>
      </c>
      <c r="M90" s="135" t="s">
        <v>2418</v>
      </c>
      <c r="N90" s="135"/>
      <c r="O90"/>
      <c r="P90"/>
    </row>
    <row r="91" spans="3:16" x14ac:dyDescent="0.2">
      <c r="C91" t="s">
        <v>3693</v>
      </c>
      <c r="G91" s="14">
        <v>84</v>
      </c>
      <c r="H91" s="133">
        <v>0.48</v>
      </c>
      <c r="I91" s="133">
        <v>4.7300000000000004</v>
      </c>
      <c r="J91" s="133">
        <v>15.26</v>
      </c>
      <c r="K91" s="135">
        <v>40684</v>
      </c>
      <c r="L91" s="135" t="s">
        <v>3602</v>
      </c>
      <c r="M91" s="135" t="s">
        <v>2418</v>
      </c>
      <c r="N91" s="135"/>
      <c r="O91"/>
      <c r="P91"/>
    </row>
    <row r="92" spans="3:16" x14ac:dyDescent="0.2">
      <c r="C92" t="s">
        <v>4697</v>
      </c>
      <c r="G92" s="14">
        <v>12.37</v>
      </c>
      <c r="H92" s="133"/>
      <c r="I92" s="133">
        <v>1.36</v>
      </c>
      <c r="J92" s="133">
        <v>6.99</v>
      </c>
      <c r="K92" s="135">
        <v>40684</v>
      </c>
      <c r="L92" s="135" t="s">
        <v>4698</v>
      </c>
      <c r="M92" s="135"/>
      <c r="N92" s="135"/>
      <c r="O92"/>
      <c r="P92"/>
    </row>
    <row r="93" spans="3:16" x14ac:dyDescent="0.2">
      <c r="C93" t="s">
        <v>4699</v>
      </c>
      <c r="G93" s="14">
        <v>64.150000000000006</v>
      </c>
      <c r="H93" s="133">
        <v>0.94</v>
      </c>
      <c r="I93" s="133">
        <v>0.22</v>
      </c>
      <c r="J93" s="133">
        <v>7.94</v>
      </c>
      <c r="K93" s="135">
        <v>40684</v>
      </c>
      <c r="L93" s="135" t="s">
        <v>4700</v>
      </c>
      <c r="M93" s="135" t="s">
        <v>1755</v>
      </c>
      <c r="N93" s="135"/>
      <c r="O93"/>
      <c r="P93"/>
    </row>
    <row r="94" spans="3:16" x14ac:dyDescent="0.2">
      <c r="C94" t="s">
        <v>1450</v>
      </c>
      <c r="D94">
        <v>21.64</v>
      </c>
      <c r="E94">
        <v>25.45</v>
      </c>
      <c r="F94">
        <v>28.75</v>
      </c>
      <c r="G94" s="14">
        <v>137.69999999999999</v>
      </c>
      <c r="H94" s="133"/>
      <c r="I94" s="133">
        <v>23.7</v>
      </c>
      <c r="J94" s="133">
        <v>6.08</v>
      </c>
      <c r="K94" s="135">
        <v>40684</v>
      </c>
      <c r="L94" s="135" t="s">
        <v>1168</v>
      </c>
      <c r="M94" s="135" t="s">
        <v>660</v>
      </c>
      <c r="N94" s="135"/>
      <c r="O94"/>
      <c r="P94"/>
    </row>
    <row r="95" spans="3:16" x14ac:dyDescent="0.2">
      <c r="C95" t="s">
        <v>5038</v>
      </c>
      <c r="G95" s="14">
        <v>13</v>
      </c>
      <c r="H95" s="133"/>
      <c r="I95" s="133">
        <v>29.46</v>
      </c>
      <c r="J95" s="133">
        <v>3.98</v>
      </c>
      <c r="K95" s="135">
        <v>40684</v>
      </c>
      <c r="L95" s="135" t="s">
        <v>2847</v>
      </c>
      <c r="M95" s="135" t="s">
        <v>2995</v>
      </c>
      <c r="N95" s="135"/>
      <c r="O95"/>
      <c r="P95"/>
    </row>
    <row r="96" spans="3:16" x14ac:dyDescent="0.2">
      <c r="C96" t="s">
        <v>4538</v>
      </c>
      <c r="G96" s="14">
        <v>1.75</v>
      </c>
      <c r="H96" s="133"/>
      <c r="I96" s="133">
        <v>-3.24</v>
      </c>
      <c r="J96" s="133">
        <v>0</v>
      </c>
      <c r="K96" s="135">
        <v>40684</v>
      </c>
      <c r="L96" s="135" t="s">
        <v>4562</v>
      </c>
      <c r="M96" s="135" t="s">
        <v>2419</v>
      </c>
      <c r="N96" s="135"/>
      <c r="O96"/>
      <c r="P96"/>
    </row>
    <row r="97" spans="3:16" x14ac:dyDescent="0.2">
      <c r="C97" t="s">
        <v>1451</v>
      </c>
      <c r="D97">
        <v>21.03</v>
      </c>
      <c r="G97" s="14">
        <v>356.85</v>
      </c>
      <c r="H97" s="133"/>
      <c r="I97" s="133">
        <v>10.43</v>
      </c>
      <c r="J97" s="133">
        <v>31.6</v>
      </c>
      <c r="K97" s="135">
        <v>40684</v>
      </c>
      <c r="L97" s="135" t="s">
        <v>4563</v>
      </c>
      <c r="M97" s="135" t="s">
        <v>2420</v>
      </c>
      <c r="N97" s="135"/>
      <c r="O97"/>
      <c r="P97"/>
    </row>
    <row r="98" spans="3:16" x14ac:dyDescent="0.2">
      <c r="C98" t="s">
        <v>1452</v>
      </c>
      <c r="G98" s="14">
        <v>28.8</v>
      </c>
      <c r="H98" s="133"/>
      <c r="I98" s="133">
        <v>0.16</v>
      </c>
      <c r="J98" s="133">
        <v>4.8499999999999996</v>
      </c>
      <c r="K98" s="135">
        <v>40684</v>
      </c>
      <c r="L98" s="135" t="s">
        <v>4564</v>
      </c>
      <c r="M98" s="135" t="s">
        <v>2418</v>
      </c>
      <c r="N98" s="135"/>
      <c r="O98"/>
      <c r="P98"/>
    </row>
    <row r="99" spans="3:16" x14ac:dyDescent="0.2">
      <c r="C99" t="s">
        <v>5039</v>
      </c>
      <c r="G99" s="14">
        <v>31.25</v>
      </c>
      <c r="H99" s="133"/>
      <c r="I99" s="133">
        <v>2.48</v>
      </c>
      <c r="J99" s="133">
        <v>75.69</v>
      </c>
      <c r="K99" s="135">
        <v>40684</v>
      </c>
      <c r="L99" s="135" t="s">
        <v>104</v>
      </c>
      <c r="M99" s="135" t="s">
        <v>2994</v>
      </c>
      <c r="N99" s="135"/>
      <c r="O99"/>
      <c r="P99"/>
    </row>
    <row r="100" spans="3:16" x14ac:dyDescent="0.2">
      <c r="C100" t="s">
        <v>5040</v>
      </c>
      <c r="H100" s="133"/>
      <c r="I100" s="133">
        <v>17.88</v>
      </c>
      <c r="J100" s="133">
        <v>0</v>
      </c>
      <c r="K100" s="135">
        <v>40684</v>
      </c>
      <c r="L100" s="135" t="s">
        <v>105</v>
      </c>
      <c r="M100" s="135" t="s">
        <v>2995</v>
      </c>
      <c r="N100" s="135"/>
      <c r="O100"/>
      <c r="P100"/>
    </row>
    <row r="101" spans="3:16" x14ac:dyDescent="0.2">
      <c r="C101" t="s">
        <v>5041</v>
      </c>
      <c r="G101" s="14">
        <v>38.5</v>
      </c>
      <c r="H101" s="133"/>
      <c r="I101" s="133">
        <v>5.36</v>
      </c>
      <c r="J101" s="133">
        <v>3.09</v>
      </c>
      <c r="K101" s="135">
        <v>40684</v>
      </c>
      <c r="L101" s="135" t="s">
        <v>2665</v>
      </c>
      <c r="M101" s="135" t="s">
        <v>2994</v>
      </c>
      <c r="N101" s="135"/>
      <c r="O101"/>
      <c r="P101"/>
    </row>
    <row r="102" spans="3:16" x14ac:dyDescent="0.2">
      <c r="C102" t="s">
        <v>4701</v>
      </c>
      <c r="G102" s="14">
        <v>41.5</v>
      </c>
      <c r="H102" s="133">
        <v>1.22</v>
      </c>
      <c r="I102" s="133">
        <v>4.76</v>
      </c>
      <c r="J102" s="133">
        <v>9.61</v>
      </c>
      <c r="K102" s="135">
        <v>40684</v>
      </c>
      <c r="L102" s="135" t="s">
        <v>4702</v>
      </c>
      <c r="M102" s="135" t="s">
        <v>1755</v>
      </c>
      <c r="N102" s="135"/>
      <c r="O102"/>
      <c r="P102"/>
    </row>
    <row r="103" spans="3:16" x14ac:dyDescent="0.2">
      <c r="C103" t="s">
        <v>2290</v>
      </c>
      <c r="E103">
        <v>19.7</v>
      </c>
      <c r="F103">
        <v>21.8</v>
      </c>
      <c r="G103" s="14">
        <v>7.7</v>
      </c>
      <c r="H103" s="133"/>
      <c r="I103" s="133">
        <v>14.7</v>
      </c>
      <c r="J103" s="133">
        <v>5.79</v>
      </c>
      <c r="K103" s="135">
        <v>40684</v>
      </c>
      <c r="L103" s="135" t="s">
        <v>2478</v>
      </c>
      <c r="M103" s="135" t="s">
        <v>2421</v>
      </c>
      <c r="N103" s="135"/>
      <c r="O103"/>
      <c r="P103"/>
    </row>
    <row r="104" spans="3:16" x14ac:dyDescent="0.2">
      <c r="C104" t="s">
        <v>2291</v>
      </c>
      <c r="E104">
        <v>32.299999999999997</v>
      </c>
      <c r="F104">
        <v>37.200000000000003</v>
      </c>
      <c r="G104" s="14">
        <v>211.9</v>
      </c>
      <c r="H104" s="133">
        <v>2.33</v>
      </c>
      <c r="I104" s="133">
        <v>18.41</v>
      </c>
      <c r="J104" s="133">
        <v>25.28</v>
      </c>
      <c r="K104" s="135">
        <v>40684</v>
      </c>
      <c r="L104" s="135" t="s">
        <v>2479</v>
      </c>
      <c r="M104" s="135" t="s">
        <v>2945</v>
      </c>
      <c r="N104" s="135"/>
      <c r="O104"/>
      <c r="P104"/>
    </row>
    <row r="105" spans="3:16" x14ac:dyDescent="0.2">
      <c r="C105" t="s">
        <v>5042</v>
      </c>
      <c r="G105" s="14">
        <v>14.5</v>
      </c>
      <c r="H105" s="133"/>
      <c r="I105" s="133">
        <v>13.74</v>
      </c>
      <c r="J105" s="133">
        <v>2.27</v>
      </c>
      <c r="K105" s="135">
        <v>40684</v>
      </c>
      <c r="L105" s="135" t="s">
        <v>4690</v>
      </c>
      <c r="M105" s="135" t="s">
        <v>2994</v>
      </c>
      <c r="N105" s="135"/>
      <c r="O105"/>
      <c r="P105"/>
    </row>
    <row r="106" spans="3:16" x14ac:dyDescent="0.2">
      <c r="C106" t="s">
        <v>2292</v>
      </c>
      <c r="D106">
        <v>11.1</v>
      </c>
      <c r="E106">
        <v>14.45</v>
      </c>
      <c r="F106">
        <v>19.8</v>
      </c>
      <c r="G106" s="14">
        <v>484.7</v>
      </c>
      <c r="H106" s="133">
        <v>0.72</v>
      </c>
      <c r="I106" s="133">
        <v>9.68</v>
      </c>
      <c r="J106" s="133">
        <v>39.840000000000003</v>
      </c>
      <c r="K106" s="135">
        <v>40684</v>
      </c>
      <c r="L106" s="135" t="s">
        <v>2480</v>
      </c>
      <c r="M106" s="135" t="s">
        <v>2422</v>
      </c>
      <c r="N106" s="135"/>
      <c r="O106"/>
      <c r="P106"/>
    </row>
    <row r="107" spans="3:16" x14ac:dyDescent="0.2">
      <c r="C107" t="s">
        <v>2293</v>
      </c>
      <c r="D107">
        <v>12.96</v>
      </c>
      <c r="E107">
        <v>6.84</v>
      </c>
      <c r="F107">
        <v>8.6</v>
      </c>
      <c r="G107" s="14">
        <v>65.849999999999994</v>
      </c>
      <c r="H107" s="133"/>
      <c r="I107" s="133">
        <v>24.21</v>
      </c>
      <c r="J107" s="133">
        <v>16.739999999999998</v>
      </c>
      <c r="K107" s="135">
        <v>40684</v>
      </c>
      <c r="L107" s="135" t="s">
        <v>2481</v>
      </c>
      <c r="M107" s="135" t="s">
        <v>2423</v>
      </c>
      <c r="N107" s="135"/>
      <c r="O107"/>
      <c r="P107"/>
    </row>
    <row r="108" spans="3:16" x14ac:dyDescent="0.2">
      <c r="C108" t="s">
        <v>4726</v>
      </c>
      <c r="D108">
        <v>5.73</v>
      </c>
      <c r="E108">
        <v>9.93</v>
      </c>
      <c r="F108">
        <v>11</v>
      </c>
      <c r="G108" s="14">
        <v>63.65</v>
      </c>
      <c r="H108" s="133">
        <v>4.71</v>
      </c>
      <c r="I108" s="133">
        <v>7.22</v>
      </c>
      <c r="J108" s="133">
        <v>19.96</v>
      </c>
      <c r="K108" s="135">
        <v>40684</v>
      </c>
      <c r="L108" s="135" t="s">
        <v>3694</v>
      </c>
      <c r="M108" s="135" t="s">
        <v>1429</v>
      </c>
      <c r="N108" s="135"/>
      <c r="O108"/>
      <c r="P108"/>
    </row>
    <row r="109" spans="3:16" x14ac:dyDescent="0.2">
      <c r="C109" t="s">
        <v>5043</v>
      </c>
      <c r="G109" s="14">
        <v>38.39</v>
      </c>
      <c r="H109" s="133"/>
      <c r="I109" s="133">
        <v>0</v>
      </c>
      <c r="J109" s="133">
        <v>0</v>
      </c>
      <c r="K109" s="135">
        <v>40684</v>
      </c>
      <c r="L109" s="135" t="s">
        <v>1635</v>
      </c>
      <c r="M109" s="135" t="s">
        <v>2994</v>
      </c>
      <c r="N109" s="135"/>
      <c r="O109"/>
      <c r="P109"/>
    </row>
    <row r="110" spans="3:16" x14ac:dyDescent="0.2">
      <c r="C110" t="s">
        <v>5044</v>
      </c>
      <c r="G110" s="14">
        <v>4</v>
      </c>
      <c r="H110" s="133"/>
      <c r="K110" s="135">
        <v>40684</v>
      </c>
      <c r="L110" s="135" t="s">
        <v>1636</v>
      </c>
      <c r="M110" s="135" t="s">
        <v>2994</v>
      </c>
      <c r="N110" s="135"/>
      <c r="O110"/>
      <c r="P110"/>
    </row>
    <row r="111" spans="3:16" x14ac:dyDescent="0.2">
      <c r="C111" t="s">
        <v>1399</v>
      </c>
      <c r="E111">
        <v>4.5</v>
      </c>
      <c r="F111">
        <v>5.7</v>
      </c>
      <c r="G111" s="14">
        <v>73.150000000000006</v>
      </c>
      <c r="H111" s="133"/>
      <c r="I111" s="133">
        <v>1.43</v>
      </c>
      <c r="J111" s="133">
        <v>13.8</v>
      </c>
      <c r="K111" s="135">
        <v>40684</v>
      </c>
      <c r="L111" s="135" t="s">
        <v>1309</v>
      </c>
      <c r="M111" s="135" t="s">
        <v>2994</v>
      </c>
      <c r="N111" s="135"/>
      <c r="O111"/>
      <c r="P111"/>
    </row>
    <row r="112" spans="3:16" x14ac:dyDescent="0.2">
      <c r="C112" t="s">
        <v>5045</v>
      </c>
      <c r="H112" s="133"/>
      <c r="I112" s="133">
        <v>1.43</v>
      </c>
      <c r="J112" s="133">
        <v>13.8</v>
      </c>
      <c r="K112" s="135">
        <v>40684</v>
      </c>
      <c r="L112" s="135" t="s">
        <v>4760</v>
      </c>
      <c r="M112" s="135" t="s">
        <v>2994</v>
      </c>
      <c r="N112" s="135"/>
      <c r="O112"/>
      <c r="P112"/>
    </row>
    <row r="113" spans="3:16" x14ac:dyDescent="0.2">
      <c r="C113" t="s">
        <v>4170</v>
      </c>
      <c r="G113" s="14">
        <v>7.02</v>
      </c>
      <c r="H113" s="133"/>
      <c r="I113" s="133">
        <v>16.22</v>
      </c>
      <c r="J113" s="133">
        <v>140.91</v>
      </c>
      <c r="K113" s="135">
        <v>40684</v>
      </c>
      <c r="L113" s="135" t="s">
        <v>3225</v>
      </c>
      <c r="M113" s="135" t="s">
        <v>661</v>
      </c>
      <c r="N113" s="135"/>
      <c r="O113"/>
      <c r="P113"/>
    </row>
    <row r="114" spans="3:16" x14ac:dyDescent="0.2">
      <c r="C114" t="s">
        <v>5046</v>
      </c>
      <c r="G114" s="14">
        <v>2.2000000000000002</v>
      </c>
      <c r="H114" s="133">
        <v>2.2799999999999998</v>
      </c>
      <c r="I114" s="133">
        <v>18.739999999999998</v>
      </c>
      <c r="J114" s="133">
        <v>9.93</v>
      </c>
      <c r="K114" s="135">
        <v>40684</v>
      </c>
      <c r="L114" s="135" t="s">
        <v>2444</v>
      </c>
      <c r="M114" s="135" t="s">
        <v>659</v>
      </c>
      <c r="N114" s="135"/>
      <c r="O114"/>
      <c r="P114"/>
    </row>
    <row r="115" spans="3:16" x14ac:dyDescent="0.2">
      <c r="C115" t="s">
        <v>2294</v>
      </c>
      <c r="E115">
        <v>1.2</v>
      </c>
      <c r="F115">
        <v>3</v>
      </c>
      <c r="G115" s="14">
        <v>89.85</v>
      </c>
      <c r="H115" s="133"/>
      <c r="I115" s="133">
        <v>-10.73</v>
      </c>
      <c r="J115" s="133">
        <v>94.75</v>
      </c>
      <c r="K115" s="135">
        <v>40684</v>
      </c>
      <c r="L115" s="135" t="s">
        <v>514</v>
      </c>
      <c r="M115" s="135" t="s">
        <v>2424</v>
      </c>
      <c r="N115" s="135"/>
      <c r="O115"/>
      <c r="P115"/>
    </row>
    <row r="116" spans="3:16" x14ac:dyDescent="0.2">
      <c r="C116" t="s">
        <v>1412</v>
      </c>
      <c r="D116">
        <v>3.2</v>
      </c>
      <c r="E116">
        <v>4.4000000000000004</v>
      </c>
      <c r="F116">
        <v>5.7</v>
      </c>
      <c r="G116" s="14">
        <v>51.2</v>
      </c>
      <c r="H116" s="133"/>
      <c r="I116" s="133">
        <v>15.99</v>
      </c>
      <c r="J116" s="133">
        <v>10.78</v>
      </c>
      <c r="K116" s="135">
        <v>40684</v>
      </c>
      <c r="L116" s="135" t="s">
        <v>1413</v>
      </c>
      <c r="M116" s="135" t="s">
        <v>2418</v>
      </c>
      <c r="N116" s="135"/>
      <c r="O116"/>
      <c r="P116"/>
    </row>
    <row r="117" spans="3:16" x14ac:dyDescent="0.2">
      <c r="C117" t="s">
        <v>4703</v>
      </c>
      <c r="G117" s="14">
        <v>26.35</v>
      </c>
      <c r="H117" s="133"/>
      <c r="I117" s="133">
        <v>-14.41</v>
      </c>
      <c r="J117" s="133">
        <v>21.4</v>
      </c>
      <c r="K117" s="135">
        <v>40684</v>
      </c>
      <c r="L117" s="135" t="s">
        <v>4704</v>
      </c>
      <c r="M117" s="135" t="s">
        <v>2417</v>
      </c>
      <c r="N117" s="135"/>
      <c r="O117"/>
      <c r="P117"/>
    </row>
    <row r="118" spans="3:16" x14ac:dyDescent="0.2">
      <c r="C118" t="s">
        <v>5047</v>
      </c>
      <c r="G118" s="14">
        <v>13.13</v>
      </c>
      <c r="H118" s="133"/>
      <c r="K118" s="135">
        <v>40684</v>
      </c>
      <c r="L118" s="135" t="s">
        <v>2445</v>
      </c>
      <c r="M118" s="135" t="s">
        <v>2997</v>
      </c>
      <c r="N118" s="135"/>
      <c r="O118"/>
      <c r="P118"/>
    </row>
    <row r="119" spans="3:16" x14ac:dyDescent="0.2">
      <c r="C119" t="s">
        <v>5048</v>
      </c>
      <c r="G119" s="14">
        <v>5.65</v>
      </c>
      <c r="H119" s="133"/>
      <c r="I119" s="133">
        <v>0</v>
      </c>
      <c r="J119" s="133">
        <v>0</v>
      </c>
      <c r="K119" s="135">
        <v>40684</v>
      </c>
      <c r="L119" s="135" t="s">
        <v>2446</v>
      </c>
      <c r="M119" s="135" t="s">
        <v>2994</v>
      </c>
      <c r="N119" s="135"/>
      <c r="O119"/>
      <c r="P119"/>
    </row>
    <row r="120" spans="3:16" x14ac:dyDescent="0.2">
      <c r="C120" t="s">
        <v>4705</v>
      </c>
      <c r="G120" s="14">
        <v>10.95</v>
      </c>
      <c r="H120" s="133"/>
      <c r="I120" s="133">
        <v>2.99</v>
      </c>
      <c r="J120" s="133">
        <v>13.17</v>
      </c>
      <c r="K120" s="135">
        <v>40684</v>
      </c>
      <c r="L120" s="135" t="s">
        <v>4706</v>
      </c>
      <c r="M120" s="135" t="s">
        <v>2428</v>
      </c>
      <c r="N120" s="135"/>
      <c r="O120"/>
      <c r="P120"/>
    </row>
    <row r="121" spans="3:16" x14ac:dyDescent="0.2">
      <c r="C121" t="s">
        <v>4539</v>
      </c>
      <c r="G121" s="14">
        <v>203.85</v>
      </c>
      <c r="H121" s="133">
        <v>2.4300000000000002</v>
      </c>
      <c r="I121" s="133">
        <v>6.2</v>
      </c>
      <c r="J121" s="133">
        <v>14.87</v>
      </c>
      <c r="K121" s="135">
        <v>40684</v>
      </c>
      <c r="L121" s="135" t="s">
        <v>2447</v>
      </c>
      <c r="M121" s="135" t="s">
        <v>2425</v>
      </c>
      <c r="N121" s="135"/>
      <c r="O121"/>
      <c r="P121"/>
    </row>
    <row r="122" spans="3:16" x14ac:dyDescent="0.2">
      <c r="C122" t="s">
        <v>5049</v>
      </c>
      <c r="G122" s="14">
        <v>10.5</v>
      </c>
      <c r="H122" s="133"/>
      <c r="I122" s="133">
        <v>12.44</v>
      </c>
      <c r="J122" s="133">
        <v>5.55</v>
      </c>
      <c r="K122" s="135">
        <v>40684</v>
      </c>
      <c r="L122" s="135" t="s">
        <v>5130</v>
      </c>
      <c r="M122" s="135" t="s">
        <v>2997</v>
      </c>
      <c r="N122" s="135"/>
      <c r="O122"/>
      <c r="P122"/>
    </row>
    <row r="123" spans="3:16" x14ac:dyDescent="0.2">
      <c r="C123" t="s">
        <v>3191</v>
      </c>
      <c r="G123" s="14">
        <v>47.5</v>
      </c>
      <c r="H123" s="133"/>
      <c r="I123" s="133">
        <v>-1.41</v>
      </c>
      <c r="J123" s="133">
        <v>0</v>
      </c>
      <c r="K123" s="135">
        <v>40684</v>
      </c>
      <c r="L123" s="135" t="s">
        <v>3192</v>
      </c>
      <c r="M123" s="135" t="s">
        <v>1765</v>
      </c>
      <c r="N123" s="135"/>
      <c r="O123"/>
      <c r="P123"/>
    </row>
    <row r="124" spans="3:16" x14ac:dyDescent="0.2">
      <c r="C124" t="s">
        <v>1400</v>
      </c>
      <c r="D124">
        <v>87.12</v>
      </c>
      <c r="E124">
        <v>92.35</v>
      </c>
      <c r="F124">
        <v>111.2</v>
      </c>
      <c r="G124" s="14">
        <v>2909.75</v>
      </c>
      <c r="H124" s="133"/>
      <c r="I124" s="133">
        <v>42.79</v>
      </c>
      <c r="J124" s="133">
        <v>35.94</v>
      </c>
      <c r="K124" s="135">
        <v>40684</v>
      </c>
      <c r="L124" s="135" t="s">
        <v>1418</v>
      </c>
      <c r="M124" s="135" t="s">
        <v>2419</v>
      </c>
      <c r="N124" s="135"/>
      <c r="O124"/>
      <c r="P124"/>
    </row>
    <row r="125" spans="3:16" x14ac:dyDescent="0.2">
      <c r="C125" t="s">
        <v>4247</v>
      </c>
      <c r="G125" s="14">
        <v>1170</v>
      </c>
      <c r="H125" s="133">
        <v>0.17</v>
      </c>
      <c r="I125" s="133">
        <v>8.0500000000000007</v>
      </c>
      <c r="J125" s="133">
        <v>43.71</v>
      </c>
      <c r="K125" s="135">
        <v>40684</v>
      </c>
      <c r="L125" s="135" t="s">
        <v>4248</v>
      </c>
      <c r="M125" s="135" t="s">
        <v>4249</v>
      </c>
      <c r="N125" s="135"/>
      <c r="O125"/>
      <c r="P125"/>
    </row>
    <row r="126" spans="3:16" x14ac:dyDescent="0.2">
      <c r="C126" t="s">
        <v>5050</v>
      </c>
      <c r="G126" s="14">
        <v>41.7</v>
      </c>
      <c r="H126" s="133">
        <v>3.6</v>
      </c>
      <c r="I126" s="133">
        <v>8.49</v>
      </c>
      <c r="J126" s="133">
        <v>9.61</v>
      </c>
      <c r="K126" s="135">
        <v>40684</v>
      </c>
      <c r="L126" s="135" t="s">
        <v>1430</v>
      </c>
      <c r="M126" s="135" t="s">
        <v>2417</v>
      </c>
      <c r="N126" s="135"/>
      <c r="O126"/>
      <c r="P126"/>
    </row>
    <row r="127" spans="3:16" x14ac:dyDescent="0.2">
      <c r="C127" t="s">
        <v>5051</v>
      </c>
      <c r="G127" s="14">
        <v>1291.8</v>
      </c>
      <c r="H127" s="133"/>
      <c r="I127" s="133">
        <v>40.630000000000003</v>
      </c>
      <c r="J127" s="133">
        <v>57.2</v>
      </c>
      <c r="K127" s="135">
        <v>40684</v>
      </c>
      <c r="L127" s="135" t="s">
        <v>2476</v>
      </c>
      <c r="M127" s="135" t="s">
        <v>659</v>
      </c>
      <c r="N127" s="135"/>
      <c r="O127"/>
      <c r="P127"/>
    </row>
    <row r="128" spans="3:16" x14ac:dyDescent="0.2">
      <c r="C128" t="s">
        <v>5052</v>
      </c>
      <c r="G128" s="14">
        <v>272.14999999999998</v>
      </c>
      <c r="H128" s="133"/>
      <c r="K128" s="135">
        <v>40684</v>
      </c>
      <c r="L128" s="135" t="s">
        <v>2477</v>
      </c>
      <c r="M128" s="135" t="s">
        <v>3180</v>
      </c>
      <c r="N128" s="135"/>
      <c r="O128"/>
      <c r="P128"/>
    </row>
    <row r="129" spans="3:16" x14ac:dyDescent="0.2">
      <c r="C129" t="s">
        <v>4250</v>
      </c>
      <c r="G129" s="14">
        <v>71</v>
      </c>
      <c r="H129" s="133">
        <v>0.28000000000000003</v>
      </c>
      <c r="I129" s="133">
        <v>20.29</v>
      </c>
      <c r="J129" s="133">
        <v>14.03</v>
      </c>
      <c r="K129" s="135">
        <v>40684</v>
      </c>
      <c r="L129" s="135" t="s">
        <v>4251</v>
      </c>
      <c r="M129" s="135" t="s">
        <v>5141</v>
      </c>
      <c r="N129" s="135"/>
      <c r="O129"/>
      <c r="P129"/>
    </row>
    <row r="130" spans="3:16" x14ac:dyDescent="0.2">
      <c r="C130" t="s">
        <v>4762</v>
      </c>
      <c r="G130" s="14">
        <v>13.24</v>
      </c>
      <c r="H130" s="133"/>
      <c r="I130" s="133">
        <v>-6.32</v>
      </c>
      <c r="J130" s="133">
        <v>0</v>
      </c>
      <c r="K130" s="135">
        <v>40684</v>
      </c>
      <c r="L130" s="135" t="s">
        <v>541</v>
      </c>
      <c r="M130" s="135" t="s">
        <v>2994</v>
      </c>
      <c r="N130" s="135"/>
      <c r="O130"/>
      <c r="P130"/>
    </row>
    <row r="131" spans="3:16" x14ac:dyDescent="0.2">
      <c r="C131" t="s">
        <v>5053</v>
      </c>
      <c r="G131" s="14">
        <v>1.1499999999999999</v>
      </c>
      <c r="H131" s="133"/>
      <c r="K131" s="135">
        <v>40684</v>
      </c>
      <c r="L131" s="135" t="s">
        <v>59</v>
      </c>
      <c r="M131" s="135" t="s">
        <v>2944</v>
      </c>
      <c r="N131" s="135"/>
      <c r="O131"/>
      <c r="P131"/>
    </row>
    <row r="132" spans="3:16" x14ac:dyDescent="0.2">
      <c r="C132" t="s">
        <v>5054</v>
      </c>
      <c r="G132" s="14">
        <v>126.85</v>
      </c>
      <c r="H132" s="133">
        <v>1.58</v>
      </c>
      <c r="I132" s="133">
        <v>13.4</v>
      </c>
      <c r="J132" s="133">
        <v>16.350000000000001</v>
      </c>
      <c r="K132" s="135">
        <v>40684</v>
      </c>
      <c r="L132" s="135" t="s">
        <v>60</v>
      </c>
      <c r="M132" s="135" t="s">
        <v>2418</v>
      </c>
      <c r="N132" s="135"/>
      <c r="O132"/>
      <c r="P132"/>
    </row>
    <row r="133" spans="3:16" x14ac:dyDescent="0.2">
      <c r="C133" t="s">
        <v>5055</v>
      </c>
      <c r="G133" s="14">
        <v>7.65</v>
      </c>
      <c r="H133" s="133"/>
      <c r="I133" s="133">
        <v>1.59</v>
      </c>
      <c r="J133" s="133">
        <v>58.67</v>
      </c>
      <c r="K133" s="135">
        <v>40684</v>
      </c>
      <c r="L133" s="135" t="s">
        <v>61</v>
      </c>
      <c r="M133" s="135" t="s">
        <v>659</v>
      </c>
      <c r="N133" s="135"/>
      <c r="O133"/>
      <c r="P133"/>
    </row>
    <row r="134" spans="3:16" x14ac:dyDescent="0.2">
      <c r="C134" t="s">
        <v>4763</v>
      </c>
      <c r="G134" s="14">
        <v>10.18</v>
      </c>
      <c r="H134" s="133"/>
      <c r="I134" s="133">
        <v>0</v>
      </c>
      <c r="J134" s="133">
        <v>0</v>
      </c>
      <c r="K134" s="135">
        <v>40684</v>
      </c>
      <c r="L134" s="135" t="s">
        <v>4764</v>
      </c>
      <c r="M134" s="135" t="s">
        <v>2420</v>
      </c>
      <c r="N134" s="135"/>
      <c r="O134"/>
      <c r="P134"/>
    </row>
    <row r="135" spans="3:16" x14ac:dyDescent="0.2">
      <c r="C135" t="s">
        <v>1414</v>
      </c>
      <c r="D135">
        <v>17.82</v>
      </c>
      <c r="E135">
        <v>18.96</v>
      </c>
      <c r="F135">
        <v>22.93</v>
      </c>
      <c r="G135" s="14">
        <v>193.4</v>
      </c>
      <c r="H135" s="133"/>
      <c r="I135" s="133">
        <v>22.47</v>
      </c>
      <c r="J135" s="133">
        <v>9.48</v>
      </c>
      <c r="K135" s="135">
        <v>40684</v>
      </c>
      <c r="L135" s="135" t="s">
        <v>3678</v>
      </c>
      <c r="M135" s="135" t="s">
        <v>659</v>
      </c>
      <c r="N135" s="135"/>
      <c r="O135"/>
      <c r="P135"/>
    </row>
    <row r="136" spans="3:16" x14ac:dyDescent="0.2">
      <c r="C136" t="s">
        <v>3679</v>
      </c>
      <c r="D136">
        <v>29.17</v>
      </c>
      <c r="E136">
        <v>32.6</v>
      </c>
      <c r="F136">
        <v>43.7</v>
      </c>
      <c r="G136" s="14">
        <v>430.2</v>
      </c>
      <c r="H136" s="133">
        <v>1.98</v>
      </c>
      <c r="I136" s="133">
        <v>20.73</v>
      </c>
      <c r="J136" s="133">
        <v>14.74</v>
      </c>
      <c r="K136" s="135">
        <v>40684</v>
      </c>
      <c r="L136" s="135" t="s">
        <v>3680</v>
      </c>
      <c r="M136" s="135" t="s">
        <v>2418</v>
      </c>
      <c r="N136" s="135"/>
      <c r="O136"/>
      <c r="P136"/>
    </row>
    <row r="137" spans="3:16" x14ac:dyDescent="0.2">
      <c r="C137" t="s">
        <v>3681</v>
      </c>
      <c r="G137" s="14">
        <v>10</v>
      </c>
      <c r="H137" s="133"/>
      <c r="I137" s="133">
        <v>-1.67</v>
      </c>
      <c r="J137" s="133">
        <v>8.43</v>
      </c>
      <c r="K137" s="135">
        <v>40684</v>
      </c>
      <c r="L137" s="135" t="s">
        <v>4137</v>
      </c>
      <c r="M137" s="135" t="s">
        <v>2418</v>
      </c>
      <c r="N137" s="135"/>
      <c r="O137"/>
      <c r="P137"/>
    </row>
    <row r="138" spans="3:16" x14ac:dyDescent="0.2">
      <c r="C138" t="s">
        <v>4765</v>
      </c>
      <c r="G138" s="14">
        <v>129.1</v>
      </c>
      <c r="H138" s="133"/>
      <c r="I138" s="133">
        <v>1.28</v>
      </c>
      <c r="J138" s="133">
        <v>0</v>
      </c>
      <c r="K138" s="135">
        <v>40684</v>
      </c>
      <c r="L138" s="135" t="s">
        <v>542</v>
      </c>
      <c r="M138" s="135" t="s">
        <v>2418</v>
      </c>
      <c r="N138" s="135"/>
      <c r="O138"/>
      <c r="P138"/>
    </row>
    <row r="139" spans="3:16" x14ac:dyDescent="0.2">
      <c r="C139" t="s">
        <v>5056</v>
      </c>
      <c r="G139" s="14">
        <v>19.350000000000001</v>
      </c>
      <c r="H139" s="133"/>
      <c r="I139" s="133">
        <v>1.28</v>
      </c>
      <c r="J139" s="133">
        <v>0</v>
      </c>
      <c r="K139" s="135">
        <v>40684</v>
      </c>
      <c r="L139" s="135" t="s">
        <v>2692</v>
      </c>
      <c r="M139" s="135" t="s">
        <v>2418</v>
      </c>
      <c r="N139" s="135"/>
      <c r="O139"/>
      <c r="P139"/>
    </row>
    <row r="140" spans="3:16" x14ac:dyDescent="0.2">
      <c r="C140" t="s">
        <v>5057</v>
      </c>
      <c r="G140" s="14">
        <v>76.5</v>
      </c>
      <c r="H140" s="133"/>
      <c r="K140" s="135">
        <v>40684</v>
      </c>
      <c r="L140" s="135" t="s">
        <v>2693</v>
      </c>
      <c r="M140" s="135" t="s">
        <v>1429</v>
      </c>
      <c r="N140" s="135"/>
      <c r="O140"/>
      <c r="P140"/>
    </row>
    <row r="141" spans="3:16" x14ac:dyDescent="0.2">
      <c r="C141" t="s">
        <v>3193</v>
      </c>
      <c r="G141" s="14">
        <v>619.65</v>
      </c>
      <c r="H141" s="133"/>
      <c r="I141" s="133">
        <v>7.43</v>
      </c>
      <c r="J141" s="133">
        <v>9.15</v>
      </c>
      <c r="K141" s="135">
        <v>40684</v>
      </c>
      <c r="L141" s="135" t="s">
        <v>3194</v>
      </c>
      <c r="M141" s="135" t="s">
        <v>660</v>
      </c>
      <c r="N141" s="135"/>
      <c r="O141"/>
      <c r="P141"/>
    </row>
    <row r="142" spans="3:16" x14ac:dyDescent="0.2">
      <c r="C142" t="s">
        <v>4138</v>
      </c>
      <c r="G142" s="14">
        <v>762.95</v>
      </c>
      <c r="H142" s="133"/>
      <c r="I142" s="133">
        <v>20.07</v>
      </c>
      <c r="J142" s="133">
        <v>8.48</v>
      </c>
      <c r="K142" s="135">
        <v>40684</v>
      </c>
      <c r="L142" s="135" t="s">
        <v>5382</v>
      </c>
      <c r="M142" s="135" t="s">
        <v>2418</v>
      </c>
      <c r="N142" s="135"/>
      <c r="O142"/>
      <c r="P142"/>
    </row>
    <row r="143" spans="3:16" x14ac:dyDescent="0.2">
      <c r="C143" t="s">
        <v>2295</v>
      </c>
      <c r="D143">
        <v>12.68</v>
      </c>
      <c r="E143">
        <v>15.15</v>
      </c>
      <c r="F143">
        <v>19.55</v>
      </c>
      <c r="G143" s="14">
        <v>232.25</v>
      </c>
      <c r="H143" s="133">
        <v>1.03</v>
      </c>
      <c r="I143" s="133">
        <v>25.89</v>
      </c>
      <c r="J143" s="133">
        <v>19.600000000000001</v>
      </c>
      <c r="K143" s="135">
        <v>40684</v>
      </c>
      <c r="L143" s="135" t="s">
        <v>2482</v>
      </c>
      <c r="M143" s="135" t="s">
        <v>1756</v>
      </c>
      <c r="N143" s="135"/>
      <c r="O143"/>
      <c r="P143"/>
    </row>
    <row r="144" spans="3:16" x14ac:dyDescent="0.2">
      <c r="C144" t="s">
        <v>2296</v>
      </c>
      <c r="D144">
        <v>2.5099999999999998</v>
      </c>
      <c r="E144">
        <v>2.15</v>
      </c>
      <c r="F144">
        <v>6.76</v>
      </c>
      <c r="G144" s="14">
        <v>66.900000000000006</v>
      </c>
      <c r="H144" s="133">
        <v>1.05</v>
      </c>
      <c r="I144" s="133">
        <v>-1.44</v>
      </c>
      <c r="J144" s="133">
        <v>29.52</v>
      </c>
      <c r="K144" s="135">
        <v>40684</v>
      </c>
      <c r="L144" s="135" t="s">
        <v>5383</v>
      </c>
      <c r="M144" s="135" t="s">
        <v>2427</v>
      </c>
      <c r="N144" s="135"/>
      <c r="O144"/>
      <c r="P144"/>
    </row>
    <row r="145" spans="3:16" x14ac:dyDescent="0.2">
      <c r="C145" t="s">
        <v>4088</v>
      </c>
      <c r="G145" s="14">
        <v>207.55</v>
      </c>
      <c r="H145" s="133">
        <v>0.42</v>
      </c>
      <c r="I145" s="133">
        <v>20</v>
      </c>
      <c r="J145" s="133">
        <v>15.4</v>
      </c>
      <c r="K145" s="135">
        <v>40684</v>
      </c>
      <c r="L145" s="135" t="s">
        <v>4089</v>
      </c>
      <c r="M145" s="135" t="s">
        <v>2418</v>
      </c>
      <c r="N145" s="135"/>
      <c r="O145"/>
      <c r="P145"/>
    </row>
    <row r="146" spans="3:16" x14ac:dyDescent="0.2">
      <c r="C146" t="s">
        <v>4071</v>
      </c>
      <c r="D146">
        <v>8.84</v>
      </c>
      <c r="E146">
        <v>5.8</v>
      </c>
      <c r="F146">
        <v>7.2</v>
      </c>
      <c r="G146" s="14">
        <v>63.1</v>
      </c>
      <c r="H146" s="133"/>
      <c r="I146" s="133">
        <v>18.39</v>
      </c>
      <c r="J146" s="133">
        <v>9.84</v>
      </c>
      <c r="K146" s="135">
        <v>40684</v>
      </c>
      <c r="L146" s="135" t="s">
        <v>1537</v>
      </c>
      <c r="M146" s="135" t="s">
        <v>2427</v>
      </c>
      <c r="N146" s="135"/>
      <c r="O146"/>
      <c r="P146"/>
    </row>
    <row r="147" spans="3:16" x14ac:dyDescent="0.2">
      <c r="C147" t="s">
        <v>4252</v>
      </c>
      <c r="G147" s="14">
        <v>3.75</v>
      </c>
      <c r="H147" s="133"/>
      <c r="K147" s="135">
        <v>40684</v>
      </c>
      <c r="L147" s="135" t="s">
        <v>4253</v>
      </c>
      <c r="M147" s="135" t="s">
        <v>2415</v>
      </c>
      <c r="N147" s="135"/>
      <c r="O147"/>
      <c r="P147"/>
    </row>
    <row r="148" spans="3:16" x14ac:dyDescent="0.2">
      <c r="C148" t="s">
        <v>4540</v>
      </c>
      <c r="G148" s="14">
        <v>27.15</v>
      </c>
      <c r="H148" s="133"/>
      <c r="I148" s="133">
        <v>3.66</v>
      </c>
      <c r="J148" s="133">
        <v>65.040000000000006</v>
      </c>
      <c r="K148" s="135">
        <v>40684</v>
      </c>
      <c r="L148" s="135" t="s">
        <v>2483</v>
      </c>
      <c r="M148" s="135" t="s">
        <v>1429</v>
      </c>
      <c r="N148" s="135"/>
      <c r="O148"/>
      <c r="P148"/>
    </row>
    <row r="149" spans="3:16" x14ac:dyDescent="0.2">
      <c r="C149" t="s">
        <v>3195</v>
      </c>
      <c r="G149" s="14">
        <v>32.200000000000003</v>
      </c>
      <c r="H149" s="133">
        <v>1.56</v>
      </c>
      <c r="I149" s="133">
        <v>3.19</v>
      </c>
      <c r="J149" s="133">
        <v>36.159999999999997</v>
      </c>
      <c r="K149" s="135">
        <v>40684</v>
      </c>
      <c r="L149" s="135" t="s">
        <v>2059</v>
      </c>
      <c r="M149" s="135"/>
      <c r="N149" s="135"/>
      <c r="O149"/>
      <c r="P149"/>
    </row>
    <row r="150" spans="3:16" x14ac:dyDescent="0.2">
      <c r="C150" t="s">
        <v>4072</v>
      </c>
      <c r="G150" s="14">
        <v>150</v>
      </c>
      <c r="H150" s="133">
        <v>0.94</v>
      </c>
      <c r="I150" s="133">
        <v>28.63</v>
      </c>
      <c r="J150" s="133">
        <v>6.99</v>
      </c>
      <c r="K150" s="135">
        <v>40684</v>
      </c>
      <c r="L150" s="135" t="s">
        <v>2060</v>
      </c>
      <c r="M150" s="135" t="s">
        <v>2423</v>
      </c>
      <c r="N150" s="135"/>
      <c r="O150"/>
      <c r="P150"/>
    </row>
    <row r="151" spans="3:16" x14ac:dyDescent="0.2">
      <c r="C151" t="s">
        <v>2764</v>
      </c>
      <c r="G151" s="14">
        <v>29.7</v>
      </c>
      <c r="H151" s="133"/>
      <c r="I151" s="133">
        <v>-9.7799999999999994</v>
      </c>
      <c r="J151" s="133">
        <v>59.91</v>
      </c>
      <c r="K151" s="135">
        <v>40684</v>
      </c>
      <c r="L151" s="135" t="s">
        <v>2694</v>
      </c>
      <c r="M151" s="135" t="s">
        <v>659</v>
      </c>
      <c r="N151" s="135"/>
      <c r="O151"/>
      <c r="P151"/>
    </row>
    <row r="152" spans="3:16" x14ac:dyDescent="0.2">
      <c r="C152" t="s">
        <v>4766</v>
      </c>
      <c r="G152" s="14">
        <v>1.7</v>
      </c>
      <c r="H152" s="133"/>
      <c r="I152" s="133">
        <v>31.69</v>
      </c>
      <c r="J152" s="133">
        <v>257.85000000000002</v>
      </c>
      <c r="K152" s="135">
        <v>40684</v>
      </c>
      <c r="L152" s="135" t="s">
        <v>4767</v>
      </c>
      <c r="M152" s="135" t="s">
        <v>2994</v>
      </c>
      <c r="N152" s="135"/>
      <c r="O152"/>
      <c r="P152"/>
    </row>
    <row r="153" spans="3:16" x14ac:dyDescent="0.2">
      <c r="C153" t="s">
        <v>1538</v>
      </c>
      <c r="D153">
        <v>2.33</v>
      </c>
      <c r="E153">
        <v>1.5</v>
      </c>
      <c r="F153">
        <v>2.1</v>
      </c>
      <c r="G153" s="14">
        <v>33.200000000000003</v>
      </c>
      <c r="H153" s="133">
        <v>0.9</v>
      </c>
      <c r="I153" s="133">
        <v>-0.57999999999999996</v>
      </c>
      <c r="J153" s="133">
        <v>14.27</v>
      </c>
      <c r="K153" s="135">
        <v>40684</v>
      </c>
      <c r="L153" s="135" t="s">
        <v>1539</v>
      </c>
      <c r="M153" s="135" t="s">
        <v>2944</v>
      </c>
      <c r="N153" s="135"/>
      <c r="O153"/>
      <c r="P153"/>
    </row>
    <row r="154" spans="3:16" x14ac:dyDescent="0.2">
      <c r="C154" t="s">
        <v>252</v>
      </c>
      <c r="G154" s="14">
        <v>540.6</v>
      </c>
      <c r="H154" s="133">
        <v>1.83</v>
      </c>
      <c r="I154" s="133">
        <v>20.82</v>
      </c>
      <c r="J154" s="133">
        <v>4.3499999999999996</v>
      </c>
      <c r="K154" s="135">
        <v>40684</v>
      </c>
      <c r="L154" s="135" t="s">
        <v>5289</v>
      </c>
      <c r="M154" s="135" t="s">
        <v>2427</v>
      </c>
      <c r="N154" s="135"/>
      <c r="O154"/>
      <c r="P154"/>
    </row>
    <row r="155" spans="3:16" x14ac:dyDescent="0.2">
      <c r="C155" t="s">
        <v>5322</v>
      </c>
      <c r="D155">
        <v>81.72</v>
      </c>
      <c r="E155">
        <v>109.21</v>
      </c>
      <c r="F155">
        <v>126.32</v>
      </c>
      <c r="G155" s="14">
        <v>837.8</v>
      </c>
      <c r="H155" s="133"/>
      <c r="I155" s="133">
        <v>20.239999999999998</v>
      </c>
      <c r="J155" s="133">
        <v>7.77</v>
      </c>
      <c r="K155" s="135">
        <v>40684</v>
      </c>
      <c r="L155" s="135" t="s">
        <v>2484</v>
      </c>
      <c r="M155" s="135" t="s">
        <v>660</v>
      </c>
      <c r="N155" s="135"/>
      <c r="O155"/>
      <c r="P155"/>
    </row>
    <row r="156" spans="3:16" x14ac:dyDescent="0.2">
      <c r="C156" t="s">
        <v>1401</v>
      </c>
      <c r="D156">
        <v>33.15</v>
      </c>
      <c r="E156">
        <v>51.45</v>
      </c>
      <c r="F156">
        <v>64.540000000000006</v>
      </c>
      <c r="G156" s="14">
        <v>412.7</v>
      </c>
      <c r="H156" s="133"/>
      <c r="I156" s="133">
        <v>13.6</v>
      </c>
      <c r="J156" s="133">
        <v>9.08</v>
      </c>
      <c r="K156" s="135">
        <v>40684</v>
      </c>
      <c r="L156" s="135" t="s">
        <v>4174</v>
      </c>
      <c r="M156" s="135" t="s">
        <v>660</v>
      </c>
      <c r="N156" s="135"/>
      <c r="O156"/>
      <c r="P156"/>
    </row>
    <row r="157" spans="3:16" x14ac:dyDescent="0.2">
      <c r="C157" t="s">
        <v>4541</v>
      </c>
      <c r="G157" s="14">
        <v>56.75</v>
      </c>
      <c r="H157" s="133"/>
      <c r="I157" s="133">
        <v>18.28</v>
      </c>
      <c r="J157" s="133">
        <v>8.2799999999999994</v>
      </c>
      <c r="K157" s="135">
        <v>40684</v>
      </c>
      <c r="L157" s="135" t="s">
        <v>2485</v>
      </c>
      <c r="M157" s="135" t="s">
        <v>660</v>
      </c>
      <c r="N157" s="135"/>
      <c r="O157"/>
      <c r="P157"/>
    </row>
    <row r="158" spans="3:16" x14ac:dyDescent="0.2">
      <c r="C158" t="s">
        <v>2765</v>
      </c>
      <c r="G158" s="14">
        <v>70.099999999999994</v>
      </c>
      <c r="H158" s="133">
        <v>2.85</v>
      </c>
      <c r="I158" s="133">
        <v>32.72</v>
      </c>
      <c r="J158" s="133">
        <v>6.4</v>
      </c>
      <c r="K158" s="135">
        <v>40684</v>
      </c>
      <c r="L158" s="135" t="s">
        <v>636</v>
      </c>
      <c r="M158" s="135" t="s">
        <v>2418</v>
      </c>
      <c r="N158" s="135"/>
      <c r="O158"/>
      <c r="P158"/>
    </row>
    <row r="159" spans="3:16" x14ac:dyDescent="0.2">
      <c r="C159" t="s">
        <v>3635</v>
      </c>
      <c r="G159" s="14">
        <v>212.6</v>
      </c>
      <c r="H159" s="133"/>
      <c r="K159" s="135">
        <v>40684</v>
      </c>
      <c r="L159" s="135" t="s">
        <v>2486</v>
      </c>
      <c r="M159" s="135" t="s">
        <v>660</v>
      </c>
      <c r="N159" s="135"/>
      <c r="O159"/>
      <c r="P159"/>
    </row>
    <row r="160" spans="3:16" x14ac:dyDescent="0.2">
      <c r="C160" t="s">
        <v>2766</v>
      </c>
      <c r="G160" s="14">
        <v>141.1</v>
      </c>
      <c r="H160" s="133"/>
      <c r="I160" s="133">
        <v>22.11</v>
      </c>
      <c r="J160" s="133">
        <v>4.57</v>
      </c>
      <c r="K160" s="135">
        <v>40684</v>
      </c>
      <c r="L160" s="135" t="s">
        <v>637</v>
      </c>
      <c r="M160" s="135" t="s">
        <v>2994</v>
      </c>
      <c r="N160" s="135"/>
      <c r="O160"/>
      <c r="P160"/>
    </row>
    <row r="161" spans="3:16" x14ac:dyDescent="0.2">
      <c r="C161" t="s">
        <v>4073</v>
      </c>
      <c r="E161">
        <v>36.200000000000003</v>
      </c>
      <c r="F161">
        <v>58.8</v>
      </c>
      <c r="G161" s="14">
        <v>60.8</v>
      </c>
      <c r="H161" s="133"/>
      <c r="I161" s="133">
        <v>18.68</v>
      </c>
      <c r="J161" s="133">
        <v>2.91</v>
      </c>
      <c r="K161" s="135">
        <v>40684</v>
      </c>
      <c r="L161" s="135" t="s">
        <v>4836</v>
      </c>
      <c r="M161" s="135" t="s">
        <v>1429</v>
      </c>
      <c r="N161" s="135" t="s">
        <v>5420</v>
      </c>
      <c r="O161"/>
      <c r="P161"/>
    </row>
    <row r="162" spans="3:16" x14ac:dyDescent="0.2">
      <c r="C162" t="s">
        <v>1347</v>
      </c>
      <c r="D162">
        <v>24.82</v>
      </c>
      <c r="E162">
        <v>35.5</v>
      </c>
      <c r="F162">
        <v>45.1</v>
      </c>
      <c r="G162" s="14">
        <v>594.75</v>
      </c>
      <c r="H162" s="133"/>
      <c r="I162" s="133">
        <v>11.59</v>
      </c>
      <c r="J162" s="133">
        <v>21.84</v>
      </c>
      <c r="K162" s="135">
        <v>40684</v>
      </c>
      <c r="L162" s="135"/>
      <c r="M162" s="135" t="s">
        <v>2419</v>
      </c>
      <c r="N162" s="135"/>
      <c r="O162"/>
      <c r="P162"/>
    </row>
    <row r="163" spans="3:16" x14ac:dyDescent="0.2">
      <c r="C163" t="s">
        <v>1511</v>
      </c>
      <c r="D163">
        <v>10.46</v>
      </c>
      <c r="E163">
        <v>12.94</v>
      </c>
      <c r="F163">
        <v>15.3</v>
      </c>
      <c r="G163" s="14">
        <v>456.1</v>
      </c>
      <c r="H163" s="133"/>
      <c r="I163" s="133">
        <v>24.26</v>
      </c>
      <c r="J163" s="133">
        <v>30.79</v>
      </c>
      <c r="K163" s="135">
        <v>40684</v>
      </c>
      <c r="L163" s="135" t="s">
        <v>3559</v>
      </c>
      <c r="M163" s="135" t="s">
        <v>2416</v>
      </c>
      <c r="N163" s="135"/>
      <c r="O163"/>
      <c r="P163"/>
    </row>
    <row r="164" spans="3:16" x14ac:dyDescent="0.2">
      <c r="C164" t="s">
        <v>4768</v>
      </c>
      <c r="G164" s="14">
        <v>22.1</v>
      </c>
      <c r="H164" s="133"/>
      <c r="I164" s="133">
        <v>-7.69</v>
      </c>
      <c r="J164" s="133">
        <v>12.16</v>
      </c>
      <c r="K164" s="135">
        <v>40684</v>
      </c>
      <c r="L164" s="135"/>
      <c r="M164" s="135"/>
      <c r="N164" s="135"/>
      <c r="O164"/>
      <c r="P164"/>
    </row>
    <row r="165" spans="3:16" x14ac:dyDescent="0.2">
      <c r="C165" t="s">
        <v>4175</v>
      </c>
      <c r="G165" s="14">
        <v>845.8</v>
      </c>
      <c r="H165" s="133"/>
      <c r="I165" s="133">
        <v>22.01</v>
      </c>
      <c r="J165" s="133">
        <v>25.39</v>
      </c>
      <c r="K165" s="135">
        <v>40684</v>
      </c>
      <c r="L165" s="135" t="s">
        <v>4227</v>
      </c>
      <c r="M165" s="135"/>
      <c r="N165" s="135"/>
      <c r="O165"/>
      <c r="P165"/>
    </row>
    <row r="166" spans="3:16" x14ac:dyDescent="0.2">
      <c r="C166" t="s">
        <v>4769</v>
      </c>
      <c r="G166" s="14">
        <v>10.5</v>
      </c>
      <c r="H166" s="133"/>
      <c r="I166" s="133">
        <v>-45.48</v>
      </c>
      <c r="J166" s="133">
        <v>0</v>
      </c>
      <c r="K166" s="135">
        <v>40684</v>
      </c>
      <c r="L166" s="135" t="s">
        <v>4770</v>
      </c>
      <c r="M166" s="135" t="s">
        <v>3013</v>
      </c>
      <c r="N166" s="135"/>
      <c r="O166"/>
      <c r="P166"/>
    </row>
    <row r="167" spans="3:16" x14ac:dyDescent="0.2">
      <c r="C167" t="s">
        <v>1512</v>
      </c>
      <c r="G167" s="14">
        <v>18.75</v>
      </c>
      <c r="H167" s="133"/>
      <c r="I167" s="133">
        <v>3.1</v>
      </c>
      <c r="J167" s="133">
        <v>15.65</v>
      </c>
      <c r="K167" s="135">
        <v>40684</v>
      </c>
      <c r="L167" s="135" t="s">
        <v>3560</v>
      </c>
      <c r="M167" s="135" t="s">
        <v>659</v>
      </c>
      <c r="N167" s="135"/>
      <c r="O167"/>
      <c r="P167"/>
    </row>
    <row r="168" spans="3:16" x14ac:dyDescent="0.2">
      <c r="C168" t="s">
        <v>4771</v>
      </c>
      <c r="G168" s="14">
        <v>14.75</v>
      </c>
      <c r="H168" s="133"/>
      <c r="I168" s="133">
        <v>-60.99</v>
      </c>
      <c r="J168" s="133">
        <v>0</v>
      </c>
      <c r="K168" s="135">
        <v>40684</v>
      </c>
      <c r="L168" s="135" t="s">
        <v>4772</v>
      </c>
      <c r="M168" s="135" t="s">
        <v>1757</v>
      </c>
      <c r="N168" s="135"/>
      <c r="O168"/>
      <c r="P168"/>
    </row>
    <row r="169" spans="3:16" x14ac:dyDescent="0.2">
      <c r="C169" t="s">
        <v>1513</v>
      </c>
      <c r="G169" s="14">
        <v>3.3</v>
      </c>
      <c r="H169" s="133"/>
      <c r="K169" s="135">
        <v>40684</v>
      </c>
      <c r="L169" s="135" t="s">
        <v>1776</v>
      </c>
      <c r="M169" s="135" t="s">
        <v>2997</v>
      </c>
      <c r="N169" s="135"/>
      <c r="O169"/>
      <c r="P169"/>
    </row>
    <row r="170" spans="3:16" x14ac:dyDescent="0.2">
      <c r="C170" t="s">
        <v>1540</v>
      </c>
      <c r="D170">
        <v>53.51</v>
      </c>
      <c r="E170">
        <v>60.6</v>
      </c>
      <c r="F170">
        <v>67.400000000000006</v>
      </c>
      <c r="G170" s="14">
        <v>643.54999999999995</v>
      </c>
      <c r="H170" s="133">
        <v>1.55</v>
      </c>
      <c r="I170" s="133">
        <v>9.42</v>
      </c>
      <c r="J170" s="133">
        <v>12.02</v>
      </c>
      <c r="K170" s="135">
        <v>40684</v>
      </c>
      <c r="L170" s="135" t="s">
        <v>1528</v>
      </c>
      <c r="M170" s="135" t="s">
        <v>3180</v>
      </c>
      <c r="N170" s="135"/>
      <c r="O170"/>
      <c r="P170"/>
    </row>
    <row r="171" spans="3:16" x14ac:dyDescent="0.2">
      <c r="C171" t="s">
        <v>4354</v>
      </c>
      <c r="H171" s="133"/>
      <c r="K171" s="135">
        <v>40684</v>
      </c>
      <c r="L171" s="135" t="s">
        <v>3797</v>
      </c>
      <c r="M171" s="135" t="s">
        <v>2994</v>
      </c>
      <c r="N171" s="135"/>
      <c r="O171"/>
      <c r="P171"/>
    </row>
    <row r="172" spans="3:16" x14ac:dyDescent="0.2">
      <c r="C172" t="s">
        <v>4228</v>
      </c>
      <c r="G172" s="14">
        <v>100.25</v>
      </c>
      <c r="H172" s="133">
        <v>1.0900000000000001</v>
      </c>
      <c r="I172" s="133">
        <v>19.190000000000001</v>
      </c>
      <c r="J172" s="133">
        <v>28.98</v>
      </c>
      <c r="K172" s="135">
        <v>40684</v>
      </c>
      <c r="L172" s="135" t="s">
        <v>4229</v>
      </c>
      <c r="M172" s="135" t="s">
        <v>2419</v>
      </c>
      <c r="N172" s="135"/>
      <c r="O172"/>
      <c r="P172"/>
    </row>
    <row r="173" spans="3:16" x14ac:dyDescent="0.2">
      <c r="C173" t="s">
        <v>4254</v>
      </c>
      <c r="G173" s="14">
        <v>11.67</v>
      </c>
      <c r="H173" s="133"/>
      <c r="I173" s="133">
        <v>0.76</v>
      </c>
      <c r="J173" s="133">
        <v>0</v>
      </c>
      <c r="K173" s="135">
        <v>40684</v>
      </c>
      <c r="L173" s="135" t="s">
        <v>4255</v>
      </c>
      <c r="M173" s="135" t="s">
        <v>1756</v>
      </c>
      <c r="N173" s="135"/>
      <c r="O173"/>
      <c r="P173"/>
    </row>
    <row r="174" spans="3:16" x14ac:dyDescent="0.2">
      <c r="C174" t="s">
        <v>4773</v>
      </c>
      <c r="G174" s="14">
        <v>158.9</v>
      </c>
      <c r="H174" s="133"/>
      <c r="K174" s="135">
        <v>40684</v>
      </c>
      <c r="L174" s="135" t="s">
        <v>4774</v>
      </c>
      <c r="M174" s="135" t="s">
        <v>2425</v>
      </c>
      <c r="N174" s="135"/>
      <c r="O174"/>
      <c r="P174"/>
    </row>
    <row r="175" spans="3:16" x14ac:dyDescent="0.2">
      <c r="C175" t="s">
        <v>2653</v>
      </c>
      <c r="D175">
        <v>51.76</v>
      </c>
      <c r="E175">
        <v>53.3</v>
      </c>
      <c r="F175">
        <v>57.15</v>
      </c>
      <c r="G175" s="14">
        <v>424.2</v>
      </c>
      <c r="H175" s="133"/>
      <c r="K175" s="135">
        <v>40684</v>
      </c>
      <c r="L175" s="135" t="s">
        <v>2654</v>
      </c>
      <c r="M175" s="135" t="s">
        <v>1429</v>
      </c>
      <c r="N175" s="135"/>
      <c r="O175"/>
      <c r="P175"/>
    </row>
    <row r="176" spans="3:16" x14ac:dyDescent="0.2">
      <c r="C176" t="s">
        <v>4355</v>
      </c>
      <c r="G176" s="14">
        <v>742.3</v>
      </c>
      <c r="H176" s="133"/>
      <c r="I176" s="133">
        <v>-7.57</v>
      </c>
      <c r="J176" s="133">
        <v>0</v>
      </c>
      <c r="K176" s="135">
        <v>40684</v>
      </c>
      <c r="L176" s="135" t="s">
        <v>3801</v>
      </c>
      <c r="M176" s="135" t="s">
        <v>1756</v>
      </c>
      <c r="N176" s="135"/>
      <c r="O176"/>
      <c r="P176"/>
    </row>
    <row r="177" spans="3:16" x14ac:dyDescent="0.2">
      <c r="C177" t="s">
        <v>4356</v>
      </c>
      <c r="G177" s="14">
        <v>37.85</v>
      </c>
      <c r="H177" s="133"/>
      <c r="I177" s="133">
        <v>17.12</v>
      </c>
      <c r="J177" s="133">
        <v>4.26</v>
      </c>
      <c r="K177" s="135">
        <v>40684</v>
      </c>
      <c r="L177" s="135" t="s">
        <v>3802</v>
      </c>
      <c r="M177" s="135" t="s">
        <v>2418</v>
      </c>
      <c r="N177" s="135"/>
      <c r="O177"/>
      <c r="P177"/>
    </row>
    <row r="178" spans="3:16" x14ac:dyDescent="0.2">
      <c r="C178" t="s">
        <v>4074</v>
      </c>
      <c r="D178">
        <v>72.94</v>
      </c>
      <c r="E178">
        <v>95.7</v>
      </c>
      <c r="F178">
        <v>117.35</v>
      </c>
      <c r="G178" s="14">
        <v>990.05</v>
      </c>
      <c r="H178" s="133"/>
      <c r="I178" s="133">
        <v>16.95</v>
      </c>
      <c r="J178" s="133">
        <v>7.6</v>
      </c>
      <c r="K178" s="135">
        <v>40684</v>
      </c>
      <c r="L178" s="135" t="s">
        <v>4230</v>
      </c>
      <c r="M178" s="135" t="s">
        <v>1756</v>
      </c>
      <c r="N178" s="135"/>
      <c r="O178"/>
      <c r="P178"/>
    </row>
    <row r="179" spans="3:16" x14ac:dyDescent="0.2">
      <c r="C179" t="s">
        <v>2655</v>
      </c>
      <c r="E179">
        <v>99.6</v>
      </c>
      <c r="F179">
        <v>120.25</v>
      </c>
      <c r="G179" s="14">
        <v>1720.55</v>
      </c>
      <c r="H179" s="133"/>
      <c r="I179" s="133">
        <v>13.76</v>
      </c>
      <c r="J179" s="133">
        <v>17.059999999999999</v>
      </c>
      <c r="K179" s="135">
        <v>40684</v>
      </c>
      <c r="L179" s="135" t="s">
        <v>2656</v>
      </c>
      <c r="M179" s="135" t="s">
        <v>2428</v>
      </c>
      <c r="N179" s="135"/>
      <c r="O179"/>
      <c r="P179"/>
    </row>
    <row r="180" spans="3:16" x14ac:dyDescent="0.2">
      <c r="C180" t="s">
        <v>4165</v>
      </c>
      <c r="D180">
        <v>0.74</v>
      </c>
      <c r="E180">
        <v>12.4</v>
      </c>
      <c r="F180">
        <v>18.899999999999999</v>
      </c>
      <c r="G180" s="14">
        <v>329.05</v>
      </c>
      <c r="H180" s="133">
        <v>0.3</v>
      </c>
      <c r="I180" s="133">
        <v>9.16</v>
      </c>
      <c r="J180" s="133">
        <v>60.27</v>
      </c>
      <c r="K180" s="135">
        <v>40684</v>
      </c>
      <c r="L180" s="135" t="s">
        <v>4166</v>
      </c>
      <c r="M180" s="135" t="s">
        <v>3013</v>
      </c>
      <c r="N180" s="135"/>
      <c r="O180"/>
      <c r="P180"/>
    </row>
    <row r="181" spans="3:16" x14ac:dyDescent="0.2">
      <c r="C181" t="s">
        <v>4357</v>
      </c>
      <c r="G181" s="14">
        <v>56.4</v>
      </c>
      <c r="H181" s="133">
        <v>2.12</v>
      </c>
      <c r="I181" s="133">
        <v>12.64</v>
      </c>
      <c r="J181" s="133">
        <v>7.21</v>
      </c>
      <c r="K181" s="135">
        <v>40684</v>
      </c>
      <c r="L181" s="135" t="s">
        <v>3803</v>
      </c>
      <c r="M181" s="135" t="s">
        <v>2418</v>
      </c>
      <c r="N181" s="135"/>
      <c r="O181"/>
      <c r="P181"/>
    </row>
    <row r="182" spans="3:16" x14ac:dyDescent="0.2">
      <c r="C182" t="s">
        <v>4358</v>
      </c>
      <c r="G182" s="14">
        <v>31.05</v>
      </c>
      <c r="H182" s="133"/>
      <c r="I182" s="133">
        <v>2.2599999999999998</v>
      </c>
      <c r="J182" s="133">
        <v>19.61</v>
      </c>
      <c r="K182" s="135">
        <v>40684</v>
      </c>
      <c r="L182" s="135" t="s">
        <v>3804</v>
      </c>
      <c r="M182" s="135" t="s">
        <v>2994</v>
      </c>
      <c r="N182" s="135"/>
      <c r="O182"/>
      <c r="P182"/>
    </row>
    <row r="183" spans="3:16" x14ac:dyDescent="0.2">
      <c r="C183" t="s">
        <v>4359</v>
      </c>
      <c r="G183" s="14">
        <v>13.21</v>
      </c>
      <c r="H183" s="133"/>
      <c r="I183" s="133">
        <v>-49.99</v>
      </c>
      <c r="J183" s="133">
        <v>0</v>
      </c>
      <c r="K183" s="135">
        <v>40684</v>
      </c>
      <c r="L183" s="135" t="s">
        <v>2977</v>
      </c>
      <c r="M183" s="135" t="s">
        <v>659</v>
      </c>
      <c r="N183" s="135"/>
      <c r="O183"/>
      <c r="P183"/>
    </row>
    <row r="184" spans="3:16" x14ac:dyDescent="0.2">
      <c r="C184" t="s">
        <v>4231</v>
      </c>
      <c r="G184" s="14">
        <v>379.1</v>
      </c>
      <c r="H184" s="133"/>
      <c r="I184" s="133">
        <v>9.14</v>
      </c>
      <c r="J184" s="133">
        <v>10.3</v>
      </c>
      <c r="K184" s="135">
        <v>40684</v>
      </c>
      <c r="L184" s="135" t="s">
        <v>4232</v>
      </c>
      <c r="M184" s="135" t="s">
        <v>2942</v>
      </c>
      <c r="N184" s="135"/>
      <c r="O184"/>
      <c r="P184"/>
    </row>
    <row r="185" spans="3:16" x14ac:dyDescent="0.2">
      <c r="C185" t="s">
        <v>3636</v>
      </c>
      <c r="G185" s="14">
        <v>625.70000000000005</v>
      </c>
      <c r="H185" s="133">
        <v>2.2400000000000002</v>
      </c>
      <c r="I185" s="133">
        <v>15.94</v>
      </c>
      <c r="J185" s="133">
        <v>14.72</v>
      </c>
      <c r="K185" s="135">
        <v>40684</v>
      </c>
      <c r="L185" s="135" t="s">
        <v>2978</v>
      </c>
      <c r="M185" s="135" t="s">
        <v>1765</v>
      </c>
      <c r="N185" s="135"/>
      <c r="O185"/>
      <c r="P185"/>
    </row>
    <row r="186" spans="3:16" x14ac:dyDescent="0.2">
      <c r="C186" t="s">
        <v>1250</v>
      </c>
      <c r="G186" s="14">
        <v>18.399999999999999</v>
      </c>
      <c r="H186" s="133"/>
      <c r="I186" s="133">
        <v>13.56</v>
      </c>
      <c r="J186" s="133">
        <v>7.02</v>
      </c>
      <c r="K186" s="135">
        <v>40684</v>
      </c>
      <c r="L186" s="135" t="s">
        <v>856</v>
      </c>
      <c r="M186" s="135" t="s">
        <v>2418</v>
      </c>
      <c r="N186" s="135"/>
      <c r="O186"/>
      <c r="P186"/>
    </row>
    <row r="187" spans="3:16" x14ac:dyDescent="0.2">
      <c r="C187" t="s">
        <v>4075</v>
      </c>
      <c r="D187">
        <v>41.72</v>
      </c>
      <c r="E187">
        <v>36.6</v>
      </c>
      <c r="F187">
        <v>22.2</v>
      </c>
      <c r="G187" s="14">
        <v>141.4</v>
      </c>
      <c r="H187" s="133"/>
      <c r="I187" s="133">
        <v>16.46</v>
      </c>
      <c r="J187" s="133">
        <v>3.8</v>
      </c>
      <c r="K187" s="135">
        <v>40684</v>
      </c>
      <c r="L187" s="135" t="s">
        <v>2506</v>
      </c>
      <c r="M187" s="135" t="s">
        <v>2993</v>
      </c>
      <c r="N187" s="135" t="s">
        <v>5425</v>
      </c>
      <c r="O187"/>
      <c r="P187"/>
    </row>
    <row r="188" spans="3:16" x14ac:dyDescent="0.2">
      <c r="C188" t="s">
        <v>4167</v>
      </c>
      <c r="D188">
        <v>23.99</v>
      </c>
      <c r="E188">
        <v>17.149999999999999</v>
      </c>
      <c r="F188">
        <v>21.8</v>
      </c>
      <c r="G188" s="14">
        <v>373.85</v>
      </c>
      <c r="H188" s="133"/>
      <c r="I188" s="133">
        <v>23.27</v>
      </c>
      <c r="J188" s="133">
        <v>18.39</v>
      </c>
      <c r="K188" s="135">
        <v>40684</v>
      </c>
      <c r="L188" s="135" t="s">
        <v>360</v>
      </c>
      <c r="M188" s="135" t="s">
        <v>1754</v>
      </c>
      <c r="N188" s="135"/>
      <c r="O188"/>
      <c r="P188"/>
    </row>
    <row r="189" spans="3:16" x14ac:dyDescent="0.2">
      <c r="C189" t="s">
        <v>4335</v>
      </c>
      <c r="D189">
        <v>88.06</v>
      </c>
      <c r="E189">
        <v>113.9</v>
      </c>
      <c r="F189">
        <v>138.1</v>
      </c>
      <c r="G189" s="14">
        <v>2078</v>
      </c>
      <c r="H189" s="133">
        <v>1.1200000000000001</v>
      </c>
      <c r="I189" s="133">
        <v>26.88</v>
      </c>
      <c r="J189" s="133">
        <v>23.56</v>
      </c>
      <c r="K189" s="135">
        <v>40684</v>
      </c>
      <c r="L189" s="135" t="s">
        <v>3507</v>
      </c>
      <c r="M189" s="135" t="s">
        <v>3180</v>
      </c>
      <c r="N189" s="135"/>
      <c r="O189"/>
      <c r="P189"/>
    </row>
    <row r="190" spans="3:16" x14ac:dyDescent="0.2">
      <c r="C190" t="s">
        <v>1251</v>
      </c>
      <c r="G190" s="14">
        <v>15.97</v>
      </c>
      <c r="H190" s="133"/>
      <c r="I190" s="133">
        <v>-157.4</v>
      </c>
      <c r="J190" s="133">
        <v>1079.75</v>
      </c>
      <c r="K190" s="135">
        <v>40684</v>
      </c>
      <c r="L190" s="135" t="s">
        <v>3058</v>
      </c>
      <c r="M190" s="135" t="s">
        <v>2994</v>
      </c>
      <c r="N190" s="135"/>
      <c r="O190"/>
      <c r="P190"/>
    </row>
    <row r="191" spans="3:16" x14ac:dyDescent="0.2">
      <c r="C191" t="s">
        <v>1252</v>
      </c>
      <c r="G191" s="14">
        <v>453.4</v>
      </c>
      <c r="H191" s="133"/>
      <c r="I191" s="133">
        <v>19.18</v>
      </c>
      <c r="J191" s="133">
        <v>9.31</v>
      </c>
      <c r="K191" s="135">
        <v>40684</v>
      </c>
      <c r="L191" s="135" t="s">
        <v>2</v>
      </c>
      <c r="M191" s="135" t="s">
        <v>2997</v>
      </c>
      <c r="N191" s="135"/>
      <c r="O191"/>
      <c r="P191"/>
    </row>
    <row r="192" spans="3:16" x14ac:dyDescent="0.2">
      <c r="C192" t="s">
        <v>3508</v>
      </c>
      <c r="D192">
        <v>39.04</v>
      </c>
      <c r="E192">
        <v>46.05</v>
      </c>
      <c r="F192">
        <v>59.02</v>
      </c>
      <c r="G192" s="14">
        <v>41.05</v>
      </c>
      <c r="H192" s="133"/>
      <c r="I192" s="133">
        <v>6.82</v>
      </c>
      <c r="J192" s="133">
        <v>10.210000000000001</v>
      </c>
      <c r="K192" s="135">
        <v>40684</v>
      </c>
      <c r="L192" s="135" t="s">
        <v>2735</v>
      </c>
      <c r="M192" s="135" t="s">
        <v>2997</v>
      </c>
      <c r="N192" s="135"/>
      <c r="O192"/>
      <c r="P192"/>
    </row>
    <row r="193" spans="3:16" x14ac:dyDescent="0.2">
      <c r="C193" t="s">
        <v>1480</v>
      </c>
      <c r="G193" s="14">
        <v>9.3000000000000007</v>
      </c>
      <c r="H193" s="133"/>
      <c r="I193" s="133">
        <v>-18.670000000000002</v>
      </c>
      <c r="J193" s="133">
        <v>0</v>
      </c>
      <c r="K193" s="135">
        <v>40684</v>
      </c>
      <c r="L193" s="135" t="s">
        <v>3</v>
      </c>
      <c r="M193" s="135" t="s">
        <v>2997</v>
      </c>
      <c r="N193" s="135"/>
      <c r="O193"/>
      <c r="P193"/>
    </row>
    <row r="194" spans="3:16" x14ac:dyDescent="0.2">
      <c r="C194" t="s">
        <v>5027</v>
      </c>
      <c r="G194" s="14">
        <v>290.05</v>
      </c>
      <c r="H194" s="133"/>
      <c r="I194" s="133">
        <v>7.76</v>
      </c>
      <c r="J194" s="133">
        <v>13.59</v>
      </c>
      <c r="K194" s="135">
        <v>40684</v>
      </c>
      <c r="L194" s="135" t="s">
        <v>325</v>
      </c>
      <c r="M194" s="135" t="s">
        <v>2418</v>
      </c>
      <c r="N194" s="135"/>
      <c r="O194"/>
      <c r="P194"/>
    </row>
    <row r="195" spans="3:16" x14ac:dyDescent="0.2">
      <c r="C195" t="s">
        <v>2736</v>
      </c>
      <c r="G195" s="14">
        <v>177.95</v>
      </c>
      <c r="H195" s="133"/>
      <c r="I195" s="133">
        <v>8.5500000000000007</v>
      </c>
      <c r="J195" s="133">
        <v>46.16</v>
      </c>
      <c r="K195" s="135">
        <v>40684</v>
      </c>
      <c r="L195" s="135" t="s">
        <v>2737</v>
      </c>
      <c r="M195" s="135" t="s">
        <v>2424</v>
      </c>
      <c r="N195" s="135"/>
      <c r="O195"/>
      <c r="P195"/>
    </row>
    <row r="196" spans="3:16" x14ac:dyDescent="0.2">
      <c r="C196" t="s">
        <v>4727</v>
      </c>
      <c r="G196" s="14">
        <v>338.4</v>
      </c>
      <c r="H196" s="133"/>
      <c r="I196" s="133">
        <v>16.25</v>
      </c>
      <c r="J196" s="133">
        <v>14.74</v>
      </c>
      <c r="K196" s="135">
        <v>40684</v>
      </c>
      <c r="L196" s="135" t="s">
        <v>2738</v>
      </c>
      <c r="M196" s="135" t="s">
        <v>659</v>
      </c>
      <c r="N196" s="135"/>
      <c r="O196"/>
      <c r="P196"/>
    </row>
    <row r="197" spans="3:16" x14ac:dyDescent="0.2">
      <c r="C197" t="s">
        <v>4233</v>
      </c>
      <c r="G197" s="14">
        <v>3966.95</v>
      </c>
      <c r="H197" s="133"/>
      <c r="I197" s="133">
        <v>20.52</v>
      </c>
      <c r="J197" s="133">
        <v>48.06</v>
      </c>
      <c r="K197" s="135">
        <v>40684</v>
      </c>
      <c r="L197" s="135" t="s">
        <v>4234</v>
      </c>
      <c r="M197" s="135"/>
      <c r="N197" s="135"/>
      <c r="O197"/>
      <c r="P197"/>
    </row>
    <row r="198" spans="3:16" x14ac:dyDescent="0.2">
      <c r="C198" t="s">
        <v>2739</v>
      </c>
      <c r="G198" s="14">
        <v>374.75</v>
      </c>
      <c r="H198" s="133"/>
      <c r="I198" s="133">
        <v>28.49</v>
      </c>
      <c r="J198" s="133">
        <v>9.02</v>
      </c>
      <c r="K198" s="135">
        <v>40684</v>
      </c>
      <c r="L198" s="135" t="s">
        <v>2740</v>
      </c>
      <c r="M198" s="135" t="s">
        <v>2995</v>
      </c>
      <c r="N198" s="135"/>
      <c r="O198"/>
      <c r="P198"/>
    </row>
    <row r="199" spans="3:16" x14ac:dyDescent="0.2">
      <c r="C199" t="s">
        <v>5028</v>
      </c>
      <c r="G199" s="14">
        <v>1</v>
      </c>
      <c r="H199" s="133"/>
      <c r="I199" s="133">
        <v>1.1100000000000001</v>
      </c>
      <c r="J199" s="133">
        <v>28.39</v>
      </c>
      <c r="K199" s="135">
        <v>40684</v>
      </c>
      <c r="L199" s="135" t="s">
        <v>232</v>
      </c>
      <c r="M199" s="135" t="s">
        <v>1756</v>
      </c>
      <c r="N199" s="135"/>
      <c r="O199"/>
      <c r="P199"/>
    </row>
    <row r="200" spans="3:16" x14ac:dyDescent="0.2">
      <c r="C200" t="s">
        <v>5029</v>
      </c>
      <c r="G200" s="14">
        <v>0.53</v>
      </c>
      <c r="H200" s="133"/>
      <c r="I200" s="133">
        <v>-0.06</v>
      </c>
      <c r="J200" s="133">
        <v>0</v>
      </c>
      <c r="K200" s="135">
        <v>40684</v>
      </c>
      <c r="L200" s="135" t="s">
        <v>233</v>
      </c>
      <c r="M200" s="135" t="s">
        <v>1429</v>
      </c>
      <c r="N200" s="135"/>
      <c r="O200"/>
      <c r="P200"/>
    </row>
    <row r="201" spans="3:16" x14ac:dyDescent="0.2">
      <c r="C201" t="s">
        <v>4076</v>
      </c>
      <c r="D201">
        <v>0.2</v>
      </c>
      <c r="E201">
        <v>2.5</v>
      </c>
      <c r="F201">
        <v>3.1</v>
      </c>
      <c r="G201" s="14">
        <v>21.75</v>
      </c>
      <c r="H201" s="133">
        <v>0.92</v>
      </c>
      <c r="I201" s="133">
        <v>7.73</v>
      </c>
      <c r="J201" s="133">
        <v>10.73</v>
      </c>
      <c r="K201" s="135">
        <v>40684</v>
      </c>
      <c r="L201" s="135" t="s">
        <v>329</v>
      </c>
      <c r="M201" s="135" t="s">
        <v>1755</v>
      </c>
      <c r="N201" s="135"/>
      <c r="O201"/>
      <c r="P201"/>
    </row>
    <row r="202" spans="3:16" x14ac:dyDescent="0.2">
      <c r="C202" t="s">
        <v>4077</v>
      </c>
      <c r="G202" s="14">
        <v>1355.6</v>
      </c>
      <c r="H202" s="133">
        <v>7.0000000000000007E-2</v>
      </c>
      <c r="I202" s="133">
        <v>17.5</v>
      </c>
      <c r="J202" s="133">
        <v>34.020000000000003</v>
      </c>
      <c r="K202" s="135">
        <v>40684</v>
      </c>
      <c r="L202" s="135"/>
      <c r="M202" s="135" t="s">
        <v>1761</v>
      </c>
      <c r="N202" s="135"/>
      <c r="O202"/>
      <c r="P202"/>
    </row>
    <row r="203" spans="3:16" x14ac:dyDescent="0.2">
      <c r="C203" t="s">
        <v>4235</v>
      </c>
      <c r="G203" s="14">
        <v>395.25</v>
      </c>
      <c r="H203" s="133">
        <v>0.89</v>
      </c>
      <c r="I203" s="133">
        <v>31.74</v>
      </c>
      <c r="J203" s="133">
        <v>40.299999999999997</v>
      </c>
      <c r="K203" s="135">
        <v>40684</v>
      </c>
      <c r="L203" s="135" t="s">
        <v>4680</v>
      </c>
      <c r="M203" s="135"/>
      <c r="N203" s="135"/>
      <c r="O203"/>
      <c r="P203"/>
    </row>
    <row r="204" spans="3:16" x14ac:dyDescent="0.2">
      <c r="C204" t="s">
        <v>5030</v>
      </c>
      <c r="G204" s="14">
        <v>341.6</v>
      </c>
      <c r="H204" s="133">
        <v>0.73</v>
      </c>
      <c r="I204" s="133">
        <v>19</v>
      </c>
      <c r="J204" s="133">
        <v>75.23</v>
      </c>
      <c r="K204" s="135">
        <v>40684</v>
      </c>
      <c r="L204" s="135" t="s">
        <v>330</v>
      </c>
      <c r="M204" s="135" t="s">
        <v>2994</v>
      </c>
      <c r="N204" s="135"/>
      <c r="O204"/>
      <c r="P204"/>
    </row>
    <row r="205" spans="3:16" x14ac:dyDescent="0.2">
      <c r="C205" t="s">
        <v>4078</v>
      </c>
      <c r="D205">
        <v>17.07</v>
      </c>
      <c r="E205">
        <v>18.54</v>
      </c>
      <c r="F205">
        <v>23.73</v>
      </c>
      <c r="G205" s="14">
        <v>287.55</v>
      </c>
      <c r="H205" s="133">
        <v>0.52</v>
      </c>
      <c r="I205" s="133">
        <v>9.07</v>
      </c>
      <c r="J205" s="133">
        <v>20.9</v>
      </c>
      <c r="K205" s="135">
        <v>40684</v>
      </c>
      <c r="L205" s="135" t="s">
        <v>2741</v>
      </c>
      <c r="M205" s="135" t="s">
        <v>2994</v>
      </c>
      <c r="N205" s="135"/>
      <c r="O205"/>
      <c r="P205"/>
    </row>
    <row r="206" spans="3:16" x14ac:dyDescent="0.2">
      <c r="C206" t="s">
        <v>1437</v>
      </c>
      <c r="G206" s="14">
        <v>45.6</v>
      </c>
      <c r="H206" s="133"/>
      <c r="K206" s="135">
        <v>40684</v>
      </c>
      <c r="L206" s="135" t="s">
        <v>4956</v>
      </c>
      <c r="M206" s="135" t="s">
        <v>1765</v>
      </c>
      <c r="N206" s="135"/>
      <c r="O206"/>
      <c r="P206"/>
    </row>
    <row r="207" spans="3:16" x14ac:dyDescent="0.2">
      <c r="C207" t="s">
        <v>4775</v>
      </c>
      <c r="G207" s="14">
        <v>23</v>
      </c>
      <c r="H207" s="133"/>
      <c r="I207" s="133">
        <v>-38.61</v>
      </c>
      <c r="J207" s="133">
        <v>338.13</v>
      </c>
      <c r="K207" s="135">
        <v>40684</v>
      </c>
      <c r="L207" s="135" t="s">
        <v>4681</v>
      </c>
      <c r="M207" s="135" t="s">
        <v>2428</v>
      </c>
      <c r="N207" s="135"/>
      <c r="O207"/>
      <c r="P207"/>
    </row>
    <row r="208" spans="3:16" x14ac:dyDescent="0.2">
      <c r="C208" t="s">
        <v>4776</v>
      </c>
      <c r="G208" s="14">
        <v>57.45</v>
      </c>
      <c r="H208" s="133">
        <v>3.48</v>
      </c>
      <c r="I208" s="133">
        <v>5.0199999999999996</v>
      </c>
      <c r="J208" s="133">
        <v>11.52</v>
      </c>
      <c r="K208" s="135">
        <v>40684</v>
      </c>
      <c r="L208" s="135" t="s">
        <v>352</v>
      </c>
      <c r="M208" s="135" t="s">
        <v>2996</v>
      </c>
      <c r="N208" s="135"/>
      <c r="O208"/>
      <c r="P208"/>
    </row>
    <row r="209" spans="3:16" x14ac:dyDescent="0.2">
      <c r="C209" t="s">
        <v>2742</v>
      </c>
      <c r="G209" s="14">
        <v>382.05</v>
      </c>
      <c r="H209" s="133">
        <v>1.31</v>
      </c>
      <c r="I209" s="133">
        <v>48.27</v>
      </c>
      <c r="J209" s="133">
        <v>39.07</v>
      </c>
      <c r="K209" s="135">
        <v>40684</v>
      </c>
      <c r="L209" s="135" t="s">
        <v>2743</v>
      </c>
      <c r="M209" s="135" t="s">
        <v>2416</v>
      </c>
      <c r="N209" s="135"/>
      <c r="O209"/>
      <c r="P209"/>
    </row>
    <row r="210" spans="3:16" x14ac:dyDescent="0.2">
      <c r="C210" t="s">
        <v>1372</v>
      </c>
      <c r="D210">
        <v>48.68</v>
      </c>
      <c r="E210">
        <v>49.87</v>
      </c>
      <c r="F210">
        <v>61.8</v>
      </c>
      <c r="G210" s="14">
        <v>569.04999999999995</v>
      </c>
      <c r="H210" s="133">
        <v>1.25</v>
      </c>
      <c r="I210" s="133">
        <v>6.95</v>
      </c>
      <c r="J210" s="133">
        <v>13.2</v>
      </c>
      <c r="K210" s="135">
        <v>40684</v>
      </c>
      <c r="L210" s="135" t="s">
        <v>2744</v>
      </c>
      <c r="M210" s="135" t="s">
        <v>1756</v>
      </c>
      <c r="N210" s="135"/>
      <c r="O210"/>
      <c r="P210"/>
    </row>
    <row r="211" spans="3:16" x14ac:dyDescent="0.2">
      <c r="C211" t="s">
        <v>1438</v>
      </c>
      <c r="G211" s="14">
        <v>25.8</v>
      </c>
      <c r="H211" s="133"/>
      <c r="I211" s="133">
        <v>6.86</v>
      </c>
      <c r="J211" s="133">
        <v>4.7699999999999996</v>
      </c>
      <c r="K211" s="135">
        <v>40684</v>
      </c>
      <c r="L211" s="135" t="s">
        <v>4957</v>
      </c>
      <c r="M211" s="135" t="s">
        <v>2994</v>
      </c>
      <c r="N211" s="135"/>
      <c r="O211"/>
      <c r="P211"/>
    </row>
    <row r="212" spans="3:16" x14ac:dyDescent="0.2">
      <c r="C212" t="s">
        <v>3638</v>
      </c>
      <c r="G212" s="14">
        <v>78.7</v>
      </c>
      <c r="H212" s="133"/>
      <c r="I212" s="133">
        <v>24.76</v>
      </c>
      <c r="J212" s="133">
        <v>2.94</v>
      </c>
      <c r="K212" s="135">
        <v>40684</v>
      </c>
      <c r="L212" s="135" t="s">
        <v>2507</v>
      </c>
      <c r="M212" s="135" t="s">
        <v>1429</v>
      </c>
      <c r="N212" s="135"/>
      <c r="O212"/>
      <c r="P212"/>
    </row>
    <row r="213" spans="3:16" x14ac:dyDescent="0.2">
      <c r="C213" t="s">
        <v>4256</v>
      </c>
      <c r="G213" s="14">
        <v>2.85</v>
      </c>
      <c r="H213" s="133"/>
      <c r="I213" s="133">
        <v>-35.6</v>
      </c>
      <c r="J213" s="133">
        <v>0</v>
      </c>
      <c r="K213" s="135">
        <v>40684</v>
      </c>
      <c r="L213" s="135" t="s">
        <v>2955</v>
      </c>
      <c r="M213" s="135" t="s">
        <v>1763</v>
      </c>
      <c r="N213" s="135"/>
      <c r="O213"/>
      <c r="P213"/>
    </row>
    <row r="214" spans="3:16" x14ac:dyDescent="0.2">
      <c r="C214" t="s">
        <v>2745</v>
      </c>
      <c r="D214">
        <v>24.67</v>
      </c>
      <c r="E214">
        <v>32.299999999999997</v>
      </c>
      <c r="F214">
        <v>39.4</v>
      </c>
      <c r="G214" s="14">
        <v>890.6</v>
      </c>
      <c r="H214" s="133"/>
      <c r="I214" s="133">
        <v>33.75</v>
      </c>
      <c r="J214" s="133">
        <v>29.91</v>
      </c>
      <c r="K214" s="135">
        <v>40684</v>
      </c>
      <c r="L214" s="135" t="s">
        <v>2746</v>
      </c>
      <c r="M214" s="135" t="s">
        <v>659</v>
      </c>
      <c r="N214" s="135"/>
      <c r="O214"/>
      <c r="P214"/>
    </row>
    <row r="215" spans="3:16" x14ac:dyDescent="0.2">
      <c r="C215" t="s">
        <v>4682</v>
      </c>
      <c r="G215" s="14">
        <v>339.9</v>
      </c>
      <c r="H215" s="133"/>
      <c r="I215" s="133">
        <v>-0.27</v>
      </c>
      <c r="J215" s="133">
        <v>0</v>
      </c>
      <c r="K215" s="135">
        <v>40684</v>
      </c>
      <c r="L215" s="135" t="s">
        <v>4683</v>
      </c>
      <c r="M215" s="135" t="s">
        <v>1765</v>
      </c>
      <c r="N215" s="135"/>
      <c r="O215"/>
      <c r="P215"/>
    </row>
    <row r="216" spans="3:16" x14ac:dyDescent="0.2">
      <c r="C216" t="s">
        <v>4079</v>
      </c>
      <c r="D216">
        <v>73.69</v>
      </c>
      <c r="E216">
        <v>98.35</v>
      </c>
      <c r="F216">
        <v>107.34</v>
      </c>
      <c r="G216" s="14">
        <v>523.04999999999995</v>
      </c>
      <c r="H216" s="133"/>
      <c r="I216" s="133">
        <v>24.07</v>
      </c>
      <c r="J216" s="133">
        <v>5.76</v>
      </c>
      <c r="K216" s="135">
        <v>40684</v>
      </c>
      <c r="L216" s="135" t="s">
        <v>2508</v>
      </c>
      <c r="M216" s="135" t="s">
        <v>660</v>
      </c>
      <c r="N216" s="135"/>
      <c r="O216"/>
      <c r="P216"/>
    </row>
    <row r="217" spans="3:16" x14ac:dyDescent="0.2">
      <c r="C217" t="s">
        <v>4080</v>
      </c>
      <c r="D217">
        <v>12.17</v>
      </c>
      <c r="E217">
        <v>10.85</v>
      </c>
      <c r="F217">
        <v>12.7</v>
      </c>
      <c r="G217" s="14">
        <v>96.2</v>
      </c>
      <c r="H217" s="133"/>
      <c r="I217" s="133">
        <v>18.54</v>
      </c>
      <c r="J217" s="133">
        <v>10.91</v>
      </c>
      <c r="K217" s="135">
        <v>40684</v>
      </c>
      <c r="L217" s="135" t="s">
        <v>5286</v>
      </c>
      <c r="M217" s="135" t="s">
        <v>2417</v>
      </c>
      <c r="N217" s="135"/>
      <c r="O217"/>
      <c r="P217"/>
    </row>
    <row r="218" spans="3:16" x14ac:dyDescent="0.2">
      <c r="C218" t="s">
        <v>107</v>
      </c>
      <c r="D218">
        <v>10.82</v>
      </c>
      <c r="E218">
        <v>15.35</v>
      </c>
      <c r="F218">
        <v>17.350000000000001</v>
      </c>
      <c r="G218" s="14">
        <v>262.75</v>
      </c>
      <c r="H218" s="133"/>
      <c r="I218" s="133">
        <v>13.57</v>
      </c>
      <c r="J218" s="133">
        <v>19.66</v>
      </c>
      <c r="K218" s="135">
        <v>40684</v>
      </c>
      <c r="L218" s="135" t="s">
        <v>4495</v>
      </c>
      <c r="M218" s="135" t="s">
        <v>1757</v>
      </c>
      <c r="N218" s="135"/>
      <c r="O218"/>
      <c r="P218"/>
    </row>
    <row r="219" spans="3:16" x14ac:dyDescent="0.2">
      <c r="C219" t="s">
        <v>4081</v>
      </c>
      <c r="D219">
        <v>19.829999999999998</v>
      </c>
      <c r="E219">
        <v>22.25</v>
      </c>
      <c r="F219">
        <v>25.4</v>
      </c>
      <c r="G219" s="14">
        <v>492.35</v>
      </c>
      <c r="H219" s="133"/>
      <c r="I219" s="133">
        <v>81.44</v>
      </c>
      <c r="J219" s="133">
        <v>24.8</v>
      </c>
      <c r="K219" s="135">
        <v>40684</v>
      </c>
      <c r="L219" s="135" t="s">
        <v>4496</v>
      </c>
      <c r="M219" s="135" t="s">
        <v>1765</v>
      </c>
      <c r="N219" s="135"/>
      <c r="O219"/>
      <c r="P219"/>
    </row>
    <row r="220" spans="3:16" x14ac:dyDescent="0.2">
      <c r="C220" t="s">
        <v>353</v>
      </c>
      <c r="G220" s="14">
        <v>1.8</v>
      </c>
      <c r="H220" s="133"/>
      <c r="I220" s="133">
        <v>0</v>
      </c>
      <c r="J220" s="133">
        <v>0</v>
      </c>
      <c r="K220" s="135">
        <v>40684</v>
      </c>
      <c r="L220" s="135"/>
      <c r="M220" s="135" t="s">
        <v>660</v>
      </c>
      <c r="N220" s="135"/>
      <c r="O220"/>
      <c r="P220"/>
    </row>
    <row r="221" spans="3:16" x14ac:dyDescent="0.2">
      <c r="C221" t="s">
        <v>1348</v>
      </c>
      <c r="E221">
        <v>13.8</v>
      </c>
      <c r="F221">
        <v>37.799999999999997</v>
      </c>
      <c r="G221" s="14">
        <v>95.6</v>
      </c>
      <c r="H221" s="133"/>
      <c r="I221" s="133">
        <v>26.29</v>
      </c>
      <c r="J221" s="133">
        <v>14.67</v>
      </c>
      <c r="K221" s="135">
        <v>40684</v>
      </c>
      <c r="L221" s="135" t="s">
        <v>2908</v>
      </c>
      <c r="M221" s="135" t="s">
        <v>2423</v>
      </c>
      <c r="N221" s="135"/>
      <c r="O221"/>
      <c r="P221"/>
    </row>
    <row r="222" spans="3:16" x14ac:dyDescent="0.2">
      <c r="C222" t="s">
        <v>1772</v>
      </c>
      <c r="G222" s="14">
        <v>168.45</v>
      </c>
      <c r="H222" s="133"/>
      <c r="K222" s="135">
        <v>40684</v>
      </c>
      <c r="L222" s="135" t="s">
        <v>4958</v>
      </c>
      <c r="M222" s="135" t="s">
        <v>2418</v>
      </c>
      <c r="N222" s="135"/>
      <c r="O222"/>
      <c r="P222"/>
    </row>
    <row r="223" spans="3:16" x14ac:dyDescent="0.2">
      <c r="C223" t="s">
        <v>1773</v>
      </c>
      <c r="G223" s="14">
        <v>9.8000000000000007</v>
      </c>
      <c r="H223" s="133"/>
      <c r="I223" s="133">
        <v>-15950.78</v>
      </c>
      <c r="J223" s="133">
        <v>0</v>
      </c>
      <c r="K223" s="135">
        <v>40684</v>
      </c>
      <c r="L223" s="135" t="s">
        <v>4959</v>
      </c>
      <c r="M223" s="135" t="s">
        <v>2994</v>
      </c>
      <c r="N223" s="135"/>
      <c r="O223"/>
      <c r="P223"/>
    </row>
    <row r="224" spans="3:16" x14ac:dyDescent="0.2">
      <c r="C224" t="s">
        <v>354</v>
      </c>
      <c r="G224" s="14">
        <v>121.3</v>
      </c>
      <c r="H224" s="133"/>
      <c r="I224" s="133">
        <v>23.04</v>
      </c>
      <c r="J224" s="133">
        <v>6.25</v>
      </c>
      <c r="K224" s="135">
        <v>40684</v>
      </c>
      <c r="L224" s="135" t="s">
        <v>869</v>
      </c>
      <c r="M224" s="135" t="s">
        <v>660</v>
      </c>
      <c r="N224" s="135"/>
      <c r="O224"/>
      <c r="P224"/>
    </row>
    <row r="225" spans="3:16" x14ac:dyDescent="0.2">
      <c r="C225" t="s">
        <v>5330</v>
      </c>
      <c r="G225" s="14">
        <v>41.5</v>
      </c>
      <c r="H225" s="133"/>
      <c r="K225" s="135">
        <v>40684</v>
      </c>
      <c r="L225" s="135" t="s">
        <v>515</v>
      </c>
      <c r="M225" s="135" t="s">
        <v>660</v>
      </c>
      <c r="N225" s="135"/>
      <c r="O225"/>
      <c r="P225"/>
    </row>
    <row r="226" spans="3:16" x14ac:dyDescent="0.2">
      <c r="C226" t="s">
        <v>1774</v>
      </c>
      <c r="G226" s="14">
        <v>192.1</v>
      </c>
      <c r="H226" s="133"/>
      <c r="I226" s="133">
        <v>19.38</v>
      </c>
      <c r="J226" s="133">
        <v>5.29</v>
      </c>
      <c r="K226" s="135">
        <v>40684</v>
      </c>
      <c r="L226" s="135" t="s">
        <v>4960</v>
      </c>
      <c r="M226" s="135" t="s">
        <v>2994</v>
      </c>
      <c r="N226" s="135"/>
      <c r="O226"/>
      <c r="P226"/>
    </row>
    <row r="227" spans="3:16" x14ac:dyDescent="0.2">
      <c r="C227" t="s">
        <v>1775</v>
      </c>
      <c r="G227" s="14">
        <v>7.2</v>
      </c>
      <c r="H227" s="133"/>
      <c r="I227" s="133">
        <v>5.91</v>
      </c>
      <c r="J227" s="133">
        <v>36.92</v>
      </c>
      <c r="K227" s="135">
        <v>40684</v>
      </c>
      <c r="L227" s="135" t="s">
        <v>4961</v>
      </c>
      <c r="M227" s="135" t="s">
        <v>659</v>
      </c>
      <c r="N227" s="135"/>
      <c r="O227"/>
      <c r="P227"/>
    </row>
    <row r="228" spans="3:16" x14ac:dyDescent="0.2">
      <c r="C228" t="s">
        <v>3179</v>
      </c>
      <c r="G228" s="14">
        <v>65.900000000000006</v>
      </c>
      <c r="H228" s="133">
        <v>1.52</v>
      </c>
      <c r="I228" s="133">
        <v>26.19</v>
      </c>
      <c r="J228" s="133">
        <v>18.09</v>
      </c>
      <c r="K228" s="135">
        <v>40684</v>
      </c>
      <c r="L228" s="135" t="s">
        <v>3504</v>
      </c>
      <c r="M228" s="135"/>
      <c r="N228" s="135"/>
      <c r="O228"/>
      <c r="P228"/>
    </row>
    <row r="229" spans="3:16" x14ac:dyDescent="0.2">
      <c r="C229" t="s">
        <v>4082</v>
      </c>
      <c r="D229">
        <v>11.33</v>
      </c>
      <c r="E229">
        <v>14.32</v>
      </c>
      <c r="F229">
        <v>15.55</v>
      </c>
      <c r="G229" s="14">
        <v>47</v>
      </c>
      <c r="H229" s="133"/>
      <c r="I229" s="133">
        <v>20.77</v>
      </c>
      <c r="J229" s="133">
        <v>3.44</v>
      </c>
      <c r="K229" s="135">
        <v>40684</v>
      </c>
      <c r="L229" s="135"/>
      <c r="M229" s="135" t="s">
        <v>2420</v>
      </c>
      <c r="N229" s="135"/>
      <c r="O229"/>
      <c r="P229"/>
    </row>
    <row r="230" spans="3:16" x14ac:dyDescent="0.2">
      <c r="C230" t="s">
        <v>4083</v>
      </c>
      <c r="E230">
        <v>35.700000000000003</v>
      </c>
      <c r="F230">
        <v>43.5</v>
      </c>
      <c r="G230" s="14">
        <v>307.60000000000002</v>
      </c>
      <c r="H230" s="133"/>
      <c r="I230" s="133">
        <v>24.01</v>
      </c>
      <c r="J230" s="133">
        <v>12.04</v>
      </c>
      <c r="K230" s="135">
        <v>40684</v>
      </c>
      <c r="L230" s="135" t="s">
        <v>4497</v>
      </c>
      <c r="M230" s="135" t="s">
        <v>1758</v>
      </c>
      <c r="N230" s="135"/>
      <c r="O230"/>
      <c r="P230"/>
    </row>
    <row r="231" spans="3:16" x14ac:dyDescent="0.2">
      <c r="C231" t="s">
        <v>1349</v>
      </c>
      <c r="D231">
        <v>34.659999999999997</v>
      </c>
      <c r="E231">
        <v>38.6</v>
      </c>
      <c r="F231">
        <v>41.25</v>
      </c>
      <c r="G231" s="14">
        <v>279.3</v>
      </c>
      <c r="H231" s="133"/>
      <c r="I231" s="133">
        <v>12.19</v>
      </c>
      <c r="J231" s="133">
        <v>7.23</v>
      </c>
      <c r="K231" s="135">
        <v>40684</v>
      </c>
      <c r="L231" s="135" t="s">
        <v>2747</v>
      </c>
      <c r="M231" s="135" t="s">
        <v>1756</v>
      </c>
      <c r="N231" s="135"/>
      <c r="O231"/>
      <c r="P231"/>
    </row>
    <row r="232" spans="3:16" x14ac:dyDescent="0.2">
      <c r="C232" t="s">
        <v>3639</v>
      </c>
      <c r="G232" s="14">
        <v>53.85</v>
      </c>
      <c r="H232" s="133"/>
      <c r="I232" s="133">
        <v>10.49</v>
      </c>
      <c r="J232" s="133">
        <v>41.09</v>
      </c>
      <c r="K232" s="135">
        <v>40684</v>
      </c>
      <c r="L232" s="135" t="s">
        <v>1807</v>
      </c>
      <c r="M232" s="135" t="s">
        <v>1756</v>
      </c>
      <c r="N232" s="135"/>
      <c r="O232"/>
      <c r="P232"/>
    </row>
    <row r="233" spans="3:16" x14ac:dyDescent="0.2">
      <c r="C233" t="s">
        <v>1857</v>
      </c>
      <c r="D233">
        <v>5.15</v>
      </c>
      <c r="E233">
        <v>7</v>
      </c>
      <c r="F233">
        <v>7.11</v>
      </c>
      <c r="G233" s="14">
        <v>77.150000000000006</v>
      </c>
      <c r="H233" s="133"/>
      <c r="K233" s="135">
        <v>40684</v>
      </c>
      <c r="L233" s="135" t="s">
        <v>2089</v>
      </c>
      <c r="M233" s="135" t="s">
        <v>1759</v>
      </c>
      <c r="N233" s="135"/>
      <c r="O233"/>
      <c r="P233"/>
    </row>
    <row r="234" spans="3:16" x14ac:dyDescent="0.2">
      <c r="C234" t="s">
        <v>2748</v>
      </c>
      <c r="E234">
        <v>63.6</v>
      </c>
      <c r="F234">
        <v>108.9</v>
      </c>
      <c r="G234" s="14">
        <v>429.9</v>
      </c>
      <c r="H234" s="133"/>
      <c r="I234" s="133">
        <v>11.3</v>
      </c>
      <c r="J234" s="133">
        <v>17.28</v>
      </c>
      <c r="K234" s="135">
        <v>40684</v>
      </c>
      <c r="L234" s="135" t="s">
        <v>2749</v>
      </c>
      <c r="M234" s="135" t="s">
        <v>2995</v>
      </c>
      <c r="N234" s="135"/>
      <c r="O234"/>
      <c r="P234"/>
    </row>
    <row r="235" spans="3:16" x14ac:dyDescent="0.2">
      <c r="C235" t="s">
        <v>2672</v>
      </c>
      <c r="G235" s="14">
        <v>14.1</v>
      </c>
      <c r="H235" s="133"/>
      <c r="I235" s="133">
        <v>-13.71</v>
      </c>
      <c r="J235" s="133">
        <v>2.8</v>
      </c>
      <c r="K235" s="135">
        <v>40684</v>
      </c>
      <c r="L235" s="135" t="s">
        <v>4962</v>
      </c>
      <c r="M235" s="135" t="s">
        <v>2994</v>
      </c>
      <c r="N235" s="135"/>
      <c r="O235"/>
      <c r="P235"/>
    </row>
    <row r="236" spans="3:16" x14ac:dyDescent="0.2">
      <c r="C236" t="s">
        <v>3505</v>
      </c>
      <c r="G236" s="14">
        <v>154</v>
      </c>
      <c r="H236" s="133"/>
      <c r="I236" s="133">
        <v>17.64</v>
      </c>
      <c r="J236" s="133">
        <v>29.73</v>
      </c>
      <c r="K236" s="135">
        <v>40684</v>
      </c>
      <c r="L236" s="135" t="s">
        <v>3506</v>
      </c>
      <c r="M236" s="135" t="s">
        <v>660</v>
      </c>
      <c r="N236" s="135"/>
      <c r="O236"/>
      <c r="P236"/>
    </row>
    <row r="237" spans="3:16" x14ac:dyDescent="0.2">
      <c r="C237" t="s">
        <v>2673</v>
      </c>
      <c r="G237" s="14">
        <v>8.1</v>
      </c>
      <c r="H237" s="133"/>
      <c r="I237" s="133">
        <v>-16.43</v>
      </c>
      <c r="J237" s="133">
        <v>0</v>
      </c>
      <c r="K237" s="135">
        <v>40684</v>
      </c>
      <c r="L237" s="135" t="s">
        <v>4963</v>
      </c>
      <c r="M237" s="135" t="s">
        <v>2993</v>
      </c>
      <c r="N237" s="135"/>
      <c r="O237"/>
      <c r="P237"/>
    </row>
    <row r="238" spans="3:16" x14ac:dyDescent="0.2">
      <c r="C238" t="s">
        <v>2674</v>
      </c>
      <c r="G238" s="14">
        <v>7.3</v>
      </c>
      <c r="H238" s="133"/>
      <c r="I238" s="133">
        <v>-22.78</v>
      </c>
      <c r="J238" s="133">
        <v>0</v>
      </c>
      <c r="K238" s="135">
        <v>40684</v>
      </c>
      <c r="L238" s="135" t="s">
        <v>2657</v>
      </c>
      <c r="M238" s="135" t="s">
        <v>2944</v>
      </c>
      <c r="N238" s="135"/>
      <c r="O238"/>
      <c r="P238"/>
    </row>
    <row r="239" spans="3:16" x14ac:dyDescent="0.2">
      <c r="C239" t="s">
        <v>2675</v>
      </c>
      <c r="G239" s="14">
        <v>3.65</v>
      </c>
      <c r="H239" s="133"/>
      <c r="I239" s="133">
        <v>7.0000000000000007E-2</v>
      </c>
      <c r="J239" s="133">
        <v>65.13</v>
      </c>
      <c r="K239" s="135">
        <v>40684</v>
      </c>
      <c r="L239" s="135" t="s">
        <v>2658</v>
      </c>
      <c r="M239" s="135" t="s">
        <v>2944</v>
      </c>
      <c r="N239" s="135"/>
      <c r="O239"/>
      <c r="P239"/>
    </row>
    <row r="240" spans="3:16" x14ac:dyDescent="0.2">
      <c r="C240" t="s">
        <v>355</v>
      </c>
      <c r="G240" s="14">
        <v>37.6</v>
      </c>
      <c r="H240" s="133">
        <v>3.2</v>
      </c>
      <c r="I240" s="133">
        <v>4.0999999999999996</v>
      </c>
      <c r="J240" s="133">
        <v>17.41</v>
      </c>
      <c r="K240" s="135">
        <v>40684</v>
      </c>
      <c r="L240" s="135" t="s">
        <v>543</v>
      </c>
      <c r="M240" s="135" t="s">
        <v>2944</v>
      </c>
      <c r="N240" s="135"/>
      <c r="O240"/>
      <c r="P240"/>
    </row>
    <row r="241" spans="3:16" x14ac:dyDescent="0.2">
      <c r="C241" t="s">
        <v>1373</v>
      </c>
      <c r="D241">
        <v>12.49</v>
      </c>
      <c r="E241">
        <v>12.67</v>
      </c>
      <c r="F241">
        <v>15.3</v>
      </c>
      <c r="G241" s="14">
        <v>315.5</v>
      </c>
      <c r="H241" s="133"/>
      <c r="I241" s="133">
        <v>17.57</v>
      </c>
      <c r="J241" s="133">
        <v>26.23</v>
      </c>
      <c r="K241" s="135">
        <v>40684</v>
      </c>
      <c r="L241" s="135" t="s">
        <v>2750</v>
      </c>
      <c r="M241" s="135" t="s">
        <v>659</v>
      </c>
      <c r="N241" s="135"/>
      <c r="O241"/>
      <c r="P241"/>
    </row>
    <row r="242" spans="3:16" x14ac:dyDescent="0.2">
      <c r="C242" t="s">
        <v>1585</v>
      </c>
      <c r="D242">
        <v>3.99</v>
      </c>
      <c r="E242">
        <v>4.68</v>
      </c>
      <c r="F242">
        <v>5.91</v>
      </c>
      <c r="G242" s="14">
        <v>42.15</v>
      </c>
      <c r="H242" s="133">
        <v>1.79</v>
      </c>
      <c r="I242" s="133">
        <v>18.43</v>
      </c>
      <c r="J242" s="133">
        <v>11</v>
      </c>
      <c r="K242" s="135">
        <v>40684</v>
      </c>
      <c r="L242" s="135" t="s">
        <v>863</v>
      </c>
      <c r="M242" s="135" t="s">
        <v>660</v>
      </c>
      <c r="N242" s="135"/>
      <c r="O242"/>
      <c r="P242"/>
    </row>
    <row r="243" spans="3:16" x14ac:dyDescent="0.2">
      <c r="C243" t="s">
        <v>2676</v>
      </c>
      <c r="G243" s="14">
        <v>45</v>
      </c>
      <c r="H243" s="133"/>
      <c r="I243" s="133">
        <v>6.46</v>
      </c>
      <c r="J243" s="133">
        <v>9.02</v>
      </c>
      <c r="K243" s="135">
        <v>40684</v>
      </c>
      <c r="L243" s="135" t="s">
        <v>2659</v>
      </c>
      <c r="M243" s="135" t="s">
        <v>2418</v>
      </c>
      <c r="N243" s="135"/>
      <c r="O243"/>
      <c r="P243"/>
    </row>
    <row r="244" spans="3:16" x14ac:dyDescent="0.2">
      <c r="C244" t="s">
        <v>4240</v>
      </c>
      <c r="E244">
        <v>121.1</v>
      </c>
      <c r="F244">
        <v>145.69999999999999</v>
      </c>
      <c r="G244" s="14">
        <v>2498</v>
      </c>
      <c r="H244" s="133"/>
      <c r="I244" s="133">
        <v>27.5</v>
      </c>
      <c r="J244" s="133">
        <v>24.32</v>
      </c>
      <c r="K244" s="135">
        <v>40684</v>
      </c>
      <c r="L244" s="135" t="s">
        <v>4241</v>
      </c>
      <c r="M244" s="135" t="s">
        <v>1429</v>
      </c>
      <c r="N244" s="135"/>
      <c r="O244"/>
      <c r="P244"/>
    </row>
    <row r="245" spans="3:16" x14ac:dyDescent="0.2">
      <c r="C245" t="s">
        <v>4242</v>
      </c>
      <c r="D245">
        <v>31.12</v>
      </c>
      <c r="E245">
        <v>31.94</v>
      </c>
      <c r="F245">
        <v>36.700000000000003</v>
      </c>
      <c r="G245" s="14">
        <v>905.9</v>
      </c>
      <c r="H245" s="133">
        <v>2.21</v>
      </c>
      <c r="I245" s="133">
        <v>125.63</v>
      </c>
      <c r="J245" s="133">
        <v>29.07</v>
      </c>
      <c r="K245" s="135">
        <v>40684</v>
      </c>
      <c r="L245" s="135" t="s">
        <v>3450</v>
      </c>
      <c r="M245" s="135" t="s">
        <v>2416</v>
      </c>
      <c r="N245" s="135"/>
      <c r="O245"/>
      <c r="P245"/>
    </row>
    <row r="246" spans="3:16" x14ac:dyDescent="0.2">
      <c r="C246" t="s">
        <v>3468</v>
      </c>
      <c r="G246" s="14">
        <v>2.7</v>
      </c>
      <c r="H246" s="133"/>
      <c r="K246" s="135">
        <v>40684</v>
      </c>
      <c r="L246" s="135" t="s">
        <v>2860</v>
      </c>
      <c r="M246" s="135" t="s">
        <v>2420</v>
      </c>
      <c r="N246" s="135"/>
      <c r="O246"/>
      <c r="P246"/>
    </row>
    <row r="247" spans="3:16" x14ac:dyDescent="0.2">
      <c r="C247" t="s">
        <v>1350</v>
      </c>
      <c r="G247" s="14">
        <v>228.8</v>
      </c>
      <c r="H247" s="133">
        <v>0.66</v>
      </c>
      <c r="I247" s="133">
        <v>11.23</v>
      </c>
      <c r="J247" s="133">
        <v>11.27</v>
      </c>
      <c r="K247" s="135">
        <v>40684</v>
      </c>
      <c r="L247" s="135"/>
      <c r="M247" s="135" t="s">
        <v>1760</v>
      </c>
      <c r="N247" s="135"/>
      <c r="O247"/>
      <c r="P247"/>
    </row>
    <row r="248" spans="3:16" x14ac:dyDescent="0.2">
      <c r="C248" t="s">
        <v>2677</v>
      </c>
      <c r="G248" s="14">
        <v>821.2</v>
      </c>
      <c r="H248" s="133"/>
      <c r="I248" s="133">
        <v>13.75</v>
      </c>
      <c r="J248" s="133">
        <v>27.85</v>
      </c>
      <c r="K248" s="135">
        <v>40684</v>
      </c>
      <c r="L248" s="135" t="s">
        <v>80</v>
      </c>
      <c r="M248" s="135" t="s">
        <v>2416</v>
      </c>
      <c r="N248" s="135"/>
      <c r="O248"/>
      <c r="P248"/>
    </row>
    <row r="249" spans="3:16" x14ac:dyDescent="0.2">
      <c r="C249" t="s">
        <v>2667</v>
      </c>
      <c r="D249">
        <v>59.9</v>
      </c>
      <c r="E249">
        <v>67.05</v>
      </c>
      <c r="F249">
        <v>76</v>
      </c>
      <c r="G249" s="14">
        <v>1075.4000000000001</v>
      </c>
      <c r="H249" s="133"/>
      <c r="K249" s="135">
        <v>40684</v>
      </c>
      <c r="L249" s="135" t="s">
        <v>3171</v>
      </c>
      <c r="M249" s="135" t="s">
        <v>662</v>
      </c>
      <c r="N249" s="135"/>
      <c r="O249"/>
      <c r="P249"/>
    </row>
    <row r="250" spans="3:16" x14ac:dyDescent="0.2">
      <c r="C250" t="s">
        <v>2668</v>
      </c>
      <c r="D250">
        <v>81.58</v>
      </c>
      <c r="E250">
        <v>97.2</v>
      </c>
      <c r="F250">
        <v>115.43</v>
      </c>
      <c r="G250" s="14">
        <v>536</v>
      </c>
      <c r="H250" s="133"/>
      <c r="I250" s="133">
        <v>18.61</v>
      </c>
      <c r="J250" s="133">
        <v>5.63</v>
      </c>
      <c r="K250" s="135">
        <v>40684</v>
      </c>
      <c r="L250" s="135" t="s">
        <v>418</v>
      </c>
      <c r="M250" s="135" t="s">
        <v>660</v>
      </c>
      <c r="N250" s="135" t="s">
        <v>5426</v>
      </c>
      <c r="O250"/>
      <c r="P250"/>
    </row>
    <row r="251" spans="3:16" x14ac:dyDescent="0.2">
      <c r="C251" t="s">
        <v>2861</v>
      </c>
      <c r="G251" s="14">
        <v>44</v>
      </c>
      <c r="H251" s="133"/>
      <c r="I251" s="133">
        <v>0</v>
      </c>
      <c r="J251" s="133">
        <v>252.17</v>
      </c>
      <c r="K251" s="135">
        <v>40684</v>
      </c>
      <c r="L251" s="135" t="s">
        <v>2862</v>
      </c>
      <c r="M251" s="135" t="s">
        <v>2942</v>
      </c>
      <c r="N251" s="135"/>
      <c r="O251"/>
      <c r="P251"/>
    </row>
    <row r="252" spans="3:16" x14ac:dyDescent="0.2">
      <c r="C252" t="s">
        <v>3991</v>
      </c>
      <c r="D252">
        <v>16.54</v>
      </c>
      <c r="E252">
        <v>19.45</v>
      </c>
      <c r="F252">
        <v>23.85</v>
      </c>
      <c r="G252" s="14">
        <v>316.8</v>
      </c>
      <c r="H252" s="133"/>
      <c r="I252" s="133">
        <v>30.86</v>
      </c>
      <c r="J252" s="133">
        <v>12.84</v>
      </c>
      <c r="K252" s="135">
        <v>40684</v>
      </c>
      <c r="L252" s="135"/>
      <c r="M252" s="135" t="s">
        <v>1759</v>
      </c>
      <c r="N252" s="135"/>
      <c r="O252"/>
      <c r="P252"/>
    </row>
    <row r="253" spans="3:16" x14ac:dyDescent="0.2">
      <c r="C253" t="s">
        <v>2678</v>
      </c>
      <c r="G253" s="14">
        <v>79</v>
      </c>
      <c r="H253" s="133"/>
      <c r="I253" s="133">
        <v>15.77</v>
      </c>
      <c r="J253" s="133">
        <v>6.34</v>
      </c>
      <c r="K253" s="135">
        <v>40684</v>
      </c>
      <c r="L253" s="135" t="s">
        <v>81</v>
      </c>
      <c r="M253" s="135" t="s">
        <v>659</v>
      </c>
      <c r="N253" s="135"/>
      <c r="O253"/>
      <c r="P253"/>
    </row>
    <row r="254" spans="3:16" x14ac:dyDescent="0.2">
      <c r="C254" t="s">
        <v>2863</v>
      </c>
      <c r="G254" s="14">
        <v>15.6</v>
      </c>
      <c r="H254" s="133"/>
      <c r="I254" s="133">
        <v>11.37</v>
      </c>
      <c r="J254" s="133">
        <v>4.49</v>
      </c>
      <c r="K254" s="135">
        <v>40684</v>
      </c>
      <c r="L254" s="135" t="s">
        <v>2864</v>
      </c>
      <c r="M254" s="135" t="s">
        <v>2428</v>
      </c>
      <c r="N254" s="135"/>
      <c r="O254"/>
      <c r="P254"/>
    </row>
    <row r="255" spans="3:16" x14ac:dyDescent="0.2">
      <c r="C255" t="s">
        <v>419</v>
      </c>
      <c r="G255" s="14">
        <v>11.9</v>
      </c>
      <c r="H255" s="133"/>
      <c r="I255" s="133">
        <v>2.68</v>
      </c>
      <c r="J255" s="133">
        <v>8.99</v>
      </c>
      <c r="K255" s="135">
        <v>40684</v>
      </c>
      <c r="L255" s="135" t="s">
        <v>5293</v>
      </c>
      <c r="M255" s="135" t="s">
        <v>2425</v>
      </c>
      <c r="N255" s="135"/>
      <c r="O255"/>
      <c r="P255"/>
    </row>
    <row r="256" spans="3:16" x14ac:dyDescent="0.2">
      <c r="C256" t="s">
        <v>2679</v>
      </c>
      <c r="G256" s="14">
        <v>10.81</v>
      </c>
      <c r="H256" s="133"/>
      <c r="I256" s="133">
        <v>5.57</v>
      </c>
      <c r="J256" s="133">
        <v>11.03</v>
      </c>
      <c r="K256" s="135">
        <v>40684</v>
      </c>
      <c r="L256" s="135" t="s">
        <v>3966</v>
      </c>
      <c r="M256" s="135" t="s">
        <v>2418</v>
      </c>
      <c r="N256" s="135"/>
      <c r="O256"/>
      <c r="P256"/>
    </row>
    <row r="257" spans="3:16" x14ac:dyDescent="0.2">
      <c r="C257" t="s">
        <v>2680</v>
      </c>
      <c r="G257" s="14">
        <v>691.6</v>
      </c>
      <c r="H257" s="133">
        <v>0.65</v>
      </c>
      <c r="I257" s="133">
        <v>31.18</v>
      </c>
      <c r="J257" s="133">
        <v>24.22</v>
      </c>
      <c r="K257" s="135">
        <v>40684</v>
      </c>
      <c r="L257" s="135" t="s">
        <v>3967</v>
      </c>
      <c r="M257" s="135" t="s">
        <v>2994</v>
      </c>
      <c r="N257" s="135"/>
      <c r="O257"/>
      <c r="P257"/>
    </row>
    <row r="258" spans="3:16" x14ac:dyDescent="0.2">
      <c r="C258" t="s">
        <v>2681</v>
      </c>
      <c r="G258" s="14">
        <v>53.45</v>
      </c>
      <c r="H258" s="133"/>
      <c r="I258" s="133">
        <v>1.96</v>
      </c>
      <c r="J258" s="133">
        <v>0</v>
      </c>
      <c r="K258" s="135">
        <v>40684</v>
      </c>
      <c r="L258" s="135" t="s">
        <v>3968</v>
      </c>
      <c r="M258" s="135" t="s">
        <v>2944</v>
      </c>
      <c r="N258" s="135"/>
      <c r="O258"/>
      <c r="P258"/>
    </row>
    <row r="259" spans="3:16" x14ac:dyDescent="0.2">
      <c r="C259" t="s">
        <v>2682</v>
      </c>
      <c r="G259" s="14">
        <v>5.8</v>
      </c>
      <c r="H259" s="133"/>
      <c r="I259" s="133">
        <v>-8.5299999999999994</v>
      </c>
      <c r="J259" s="133">
        <v>0</v>
      </c>
      <c r="K259" s="135">
        <v>40684</v>
      </c>
      <c r="L259" s="135" t="s">
        <v>3969</v>
      </c>
      <c r="M259" s="135" t="s">
        <v>2944</v>
      </c>
      <c r="N259" s="135"/>
      <c r="O259"/>
      <c r="P259"/>
    </row>
    <row r="260" spans="3:16" x14ac:dyDescent="0.2">
      <c r="C260" t="s">
        <v>3992</v>
      </c>
      <c r="D260">
        <v>285.08999999999997</v>
      </c>
      <c r="E260">
        <v>285.14999999999998</v>
      </c>
      <c r="F260">
        <v>377</v>
      </c>
      <c r="G260" s="14">
        <v>6797.15</v>
      </c>
      <c r="H260" s="133">
        <v>2.95</v>
      </c>
      <c r="I260" s="133">
        <v>38.840000000000003</v>
      </c>
      <c r="J260" s="133">
        <v>24.61</v>
      </c>
      <c r="K260" s="135">
        <v>40684</v>
      </c>
      <c r="L260" s="135" t="s">
        <v>4498</v>
      </c>
      <c r="M260" s="135" t="s">
        <v>1761</v>
      </c>
      <c r="N260" s="135"/>
      <c r="O260"/>
      <c r="P260"/>
    </row>
    <row r="261" spans="3:16" x14ac:dyDescent="0.2">
      <c r="C261" t="s">
        <v>3451</v>
      </c>
      <c r="D261">
        <v>12.86</v>
      </c>
      <c r="E261">
        <v>14.2</v>
      </c>
      <c r="F261">
        <v>16.37</v>
      </c>
      <c r="G261" s="14">
        <v>248</v>
      </c>
      <c r="H261" s="133"/>
      <c r="I261" s="133">
        <v>31.37</v>
      </c>
      <c r="J261" s="133">
        <v>22.89</v>
      </c>
      <c r="K261" s="135">
        <v>40684</v>
      </c>
      <c r="L261" s="135" t="s">
        <v>3452</v>
      </c>
      <c r="M261" s="135" t="s">
        <v>1756</v>
      </c>
      <c r="N261" s="135"/>
      <c r="O261"/>
      <c r="P261"/>
    </row>
    <row r="262" spans="3:16" x14ac:dyDescent="0.2">
      <c r="C262" t="s">
        <v>3993</v>
      </c>
      <c r="D262">
        <v>22.42</v>
      </c>
      <c r="E262">
        <v>31.27</v>
      </c>
      <c r="F262">
        <v>38.799999999999997</v>
      </c>
      <c r="G262" s="14">
        <v>707.6</v>
      </c>
      <c r="H262" s="133">
        <v>1.69</v>
      </c>
      <c r="I262" s="133">
        <v>28.82</v>
      </c>
      <c r="J262" s="133">
        <v>31.6</v>
      </c>
      <c r="K262" s="135">
        <v>40684</v>
      </c>
      <c r="L262" s="135" t="s">
        <v>2090</v>
      </c>
      <c r="M262" s="135" t="s">
        <v>3180</v>
      </c>
      <c r="N262" s="135"/>
      <c r="O262"/>
      <c r="P262"/>
    </row>
    <row r="263" spans="3:16" x14ac:dyDescent="0.2">
      <c r="C263" t="s">
        <v>3640</v>
      </c>
      <c r="G263" s="14">
        <v>27.5</v>
      </c>
      <c r="H263" s="133"/>
      <c r="I263" s="133">
        <v>20.75</v>
      </c>
      <c r="J263" s="133">
        <v>12.02</v>
      </c>
      <c r="K263" s="135">
        <v>40684</v>
      </c>
      <c r="L263" s="135" t="s">
        <v>1622</v>
      </c>
      <c r="M263" s="135" t="s">
        <v>659</v>
      </c>
      <c r="N263" s="135"/>
      <c r="O263"/>
      <c r="P263"/>
    </row>
    <row r="264" spans="3:16" x14ac:dyDescent="0.2">
      <c r="C264" t="s">
        <v>2683</v>
      </c>
      <c r="G264" s="14">
        <v>13.3</v>
      </c>
      <c r="H264" s="133"/>
      <c r="K264" s="135">
        <v>40684</v>
      </c>
      <c r="L264" s="135" t="s">
        <v>3970</v>
      </c>
      <c r="M264" s="135" t="s">
        <v>1429</v>
      </c>
      <c r="N264" s="135"/>
      <c r="O264"/>
      <c r="P264"/>
    </row>
    <row r="265" spans="3:16" x14ac:dyDescent="0.2">
      <c r="C265" t="s">
        <v>4906</v>
      </c>
      <c r="D265">
        <v>2.9</v>
      </c>
      <c r="E265">
        <v>3.36</v>
      </c>
      <c r="F265">
        <v>4.13</v>
      </c>
      <c r="G265" s="14">
        <v>103.05</v>
      </c>
      <c r="H265" s="133"/>
      <c r="I265" s="133">
        <v>56.29</v>
      </c>
      <c r="J265" s="133">
        <v>38.03</v>
      </c>
      <c r="K265" s="135">
        <v>40684</v>
      </c>
      <c r="L265" s="135" t="s">
        <v>3971</v>
      </c>
      <c r="M265" s="135" t="s">
        <v>2416</v>
      </c>
      <c r="N265" s="135"/>
      <c r="O265"/>
      <c r="P265"/>
    </row>
    <row r="266" spans="3:16" x14ac:dyDescent="0.2">
      <c r="C266" t="s">
        <v>4907</v>
      </c>
      <c r="H266" s="133"/>
      <c r="K266" s="135">
        <v>40684</v>
      </c>
      <c r="L266" s="135" t="s">
        <v>4908</v>
      </c>
      <c r="M266" s="135" t="s">
        <v>659</v>
      </c>
      <c r="N266" s="135"/>
      <c r="O266"/>
      <c r="P266"/>
    </row>
    <row r="267" spans="3:16" x14ac:dyDescent="0.2">
      <c r="C267" t="s">
        <v>3994</v>
      </c>
      <c r="G267" s="14">
        <v>11.4</v>
      </c>
      <c r="H267" s="133"/>
      <c r="I267" s="133">
        <v>4.6900000000000004</v>
      </c>
      <c r="J267" s="133">
        <v>8.27</v>
      </c>
      <c r="K267" s="135">
        <v>40684</v>
      </c>
      <c r="L267" s="135"/>
      <c r="M267" s="135" t="s">
        <v>2419</v>
      </c>
      <c r="N267" s="135"/>
      <c r="O267"/>
      <c r="P267"/>
    </row>
    <row r="268" spans="3:16" x14ac:dyDescent="0.2">
      <c r="C268" t="s">
        <v>3995</v>
      </c>
      <c r="G268" s="14">
        <v>18.2</v>
      </c>
      <c r="H268" s="133"/>
      <c r="K268" s="135">
        <v>40684</v>
      </c>
      <c r="L268" s="135" t="s">
        <v>5143</v>
      </c>
      <c r="M268" s="135" t="s">
        <v>2416</v>
      </c>
      <c r="N268" s="135"/>
      <c r="O268"/>
      <c r="P268"/>
    </row>
    <row r="269" spans="3:16" x14ac:dyDescent="0.2">
      <c r="C269" t="s">
        <v>1823</v>
      </c>
      <c r="G269" s="14">
        <v>21.75</v>
      </c>
      <c r="H269" s="133">
        <v>9.07</v>
      </c>
      <c r="I269" s="133">
        <v>9.9700000000000006</v>
      </c>
      <c r="J269" s="133">
        <v>1.3</v>
      </c>
      <c r="K269" s="135">
        <v>40684</v>
      </c>
      <c r="L269" s="135" t="s">
        <v>852</v>
      </c>
      <c r="M269" s="135" t="s">
        <v>2995</v>
      </c>
      <c r="N269" s="135"/>
      <c r="O269"/>
      <c r="P269"/>
    </row>
    <row r="270" spans="3:16" x14ac:dyDescent="0.2">
      <c r="C270" t="s">
        <v>2684</v>
      </c>
      <c r="G270" s="14">
        <v>38.85</v>
      </c>
      <c r="H270" s="133">
        <v>2.57</v>
      </c>
      <c r="I270" s="133">
        <v>6.14</v>
      </c>
      <c r="J270" s="133">
        <v>11.63</v>
      </c>
      <c r="K270" s="135">
        <v>40684</v>
      </c>
      <c r="L270" s="135" t="s">
        <v>3972</v>
      </c>
      <c r="M270" s="135" t="s">
        <v>2994</v>
      </c>
      <c r="N270" s="135"/>
      <c r="O270"/>
      <c r="P270"/>
    </row>
    <row r="271" spans="3:16" x14ac:dyDescent="0.2">
      <c r="C271" t="s">
        <v>3996</v>
      </c>
      <c r="G271" s="14">
        <v>10.4</v>
      </c>
      <c r="H271" s="133"/>
      <c r="K271" s="135">
        <v>40684</v>
      </c>
      <c r="L271" s="135"/>
      <c r="M271" s="135" t="s">
        <v>1429</v>
      </c>
      <c r="N271" s="135"/>
      <c r="O271"/>
      <c r="P271"/>
    </row>
    <row r="272" spans="3:16" x14ac:dyDescent="0.2">
      <c r="C272" t="s">
        <v>3997</v>
      </c>
      <c r="G272" s="14">
        <v>5.95</v>
      </c>
      <c r="H272" s="133"/>
      <c r="K272" s="135">
        <v>40684</v>
      </c>
      <c r="L272" s="135"/>
      <c r="M272" s="135" t="s">
        <v>2416</v>
      </c>
      <c r="N272" s="135"/>
      <c r="O272"/>
      <c r="P272"/>
    </row>
    <row r="273" spans="3:16" x14ac:dyDescent="0.2">
      <c r="C273" t="s">
        <v>3998</v>
      </c>
      <c r="G273" s="14">
        <v>76.45</v>
      </c>
      <c r="H273" s="133"/>
      <c r="K273" s="135">
        <v>40684</v>
      </c>
      <c r="L273" s="135" t="s">
        <v>5294</v>
      </c>
      <c r="M273" s="135" t="s">
        <v>1760</v>
      </c>
      <c r="N273" s="135"/>
      <c r="O273"/>
      <c r="P273"/>
    </row>
    <row r="274" spans="3:16" x14ac:dyDescent="0.2">
      <c r="C274" t="s">
        <v>3999</v>
      </c>
      <c r="G274" s="14">
        <v>3.55</v>
      </c>
      <c r="H274" s="133"/>
      <c r="I274" s="133">
        <v>5.73</v>
      </c>
      <c r="J274" s="133">
        <v>93.79</v>
      </c>
      <c r="K274" s="135">
        <v>40684</v>
      </c>
      <c r="L274" s="135" t="s">
        <v>1745</v>
      </c>
      <c r="M274" s="135" t="s">
        <v>1429</v>
      </c>
      <c r="N274" s="135"/>
      <c r="O274"/>
      <c r="P274"/>
    </row>
    <row r="275" spans="3:16" x14ac:dyDescent="0.2">
      <c r="C275" t="s">
        <v>4000</v>
      </c>
      <c r="G275" s="14">
        <v>38.25</v>
      </c>
      <c r="H275" s="133"/>
      <c r="K275" s="135">
        <v>40684</v>
      </c>
      <c r="L275" s="135"/>
      <c r="M275" s="135" t="s">
        <v>660</v>
      </c>
      <c r="N275" s="135"/>
      <c r="O275"/>
      <c r="P275"/>
    </row>
    <row r="276" spans="3:16" x14ac:dyDescent="0.2">
      <c r="C276" t="s">
        <v>4842</v>
      </c>
      <c r="G276" s="14">
        <v>2.6</v>
      </c>
      <c r="H276" s="133"/>
      <c r="I276" s="133">
        <v>-3.18</v>
      </c>
      <c r="J276" s="133">
        <v>3.95</v>
      </c>
      <c r="K276" s="135">
        <v>40684</v>
      </c>
      <c r="L276" s="135" t="s">
        <v>4499</v>
      </c>
      <c r="M276" s="135" t="s">
        <v>2428</v>
      </c>
      <c r="N276" s="135"/>
      <c r="O276"/>
      <c r="P276"/>
    </row>
    <row r="277" spans="3:16" x14ac:dyDescent="0.2">
      <c r="C277" t="s">
        <v>4843</v>
      </c>
      <c r="G277" s="14">
        <v>7.25</v>
      </c>
      <c r="H277" s="133"/>
      <c r="K277" s="135">
        <v>40684</v>
      </c>
      <c r="L277" s="135"/>
      <c r="M277" s="135" t="s">
        <v>1756</v>
      </c>
      <c r="N277" s="135"/>
      <c r="O277"/>
      <c r="P277"/>
    </row>
    <row r="278" spans="3:16" x14ac:dyDescent="0.2">
      <c r="C278" t="s">
        <v>4404</v>
      </c>
      <c r="G278" s="14">
        <v>3.93</v>
      </c>
      <c r="H278" s="133"/>
      <c r="K278" s="135">
        <v>40684</v>
      </c>
      <c r="L278" s="135"/>
      <c r="M278" s="135" t="s">
        <v>1429</v>
      </c>
      <c r="N278" s="135"/>
      <c r="O278"/>
      <c r="P278"/>
    </row>
    <row r="279" spans="3:16" x14ac:dyDescent="0.2">
      <c r="C279" t="s">
        <v>2685</v>
      </c>
      <c r="G279" s="14">
        <v>28.2</v>
      </c>
      <c r="H279" s="133">
        <v>4.3899999999999997</v>
      </c>
      <c r="I279" s="133">
        <v>6.7</v>
      </c>
      <c r="J279" s="133">
        <v>6.9</v>
      </c>
      <c r="K279" s="135">
        <v>40684</v>
      </c>
      <c r="L279" s="135" t="s">
        <v>3973</v>
      </c>
      <c r="M279" s="135" t="s">
        <v>1429</v>
      </c>
      <c r="N279" s="135"/>
      <c r="O279"/>
      <c r="P279"/>
    </row>
    <row r="280" spans="3:16" x14ac:dyDescent="0.2">
      <c r="C280" t="s">
        <v>4405</v>
      </c>
      <c r="G280" s="14">
        <v>8.35</v>
      </c>
      <c r="H280" s="133"/>
      <c r="I280" s="133">
        <v>6.74</v>
      </c>
      <c r="J280" s="133">
        <v>5.35</v>
      </c>
      <c r="K280" s="135">
        <v>40684</v>
      </c>
      <c r="L280" s="135"/>
      <c r="M280" s="135" t="s">
        <v>660</v>
      </c>
      <c r="N280" s="135"/>
      <c r="O280"/>
      <c r="P280"/>
    </row>
    <row r="281" spans="3:16" x14ac:dyDescent="0.2">
      <c r="C281" t="s">
        <v>4406</v>
      </c>
      <c r="G281" s="14">
        <v>9754.15</v>
      </c>
      <c r="H281" s="133"/>
      <c r="K281" s="135">
        <v>40684</v>
      </c>
      <c r="L281" s="135"/>
      <c r="M281" s="135" t="s">
        <v>2994</v>
      </c>
      <c r="N281" s="135"/>
      <c r="O281"/>
      <c r="P281"/>
    </row>
    <row r="282" spans="3:16" x14ac:dyDescent="0.2">
      <c r="C282" t="s">
        <v>1351</v>
      </c>
      <c r="G282" s="14">
        <v>88.7</v>
      </c>
      <c r="H282" s="133"/>
      <c r="I282" s="133">
        <v>4.6900000000000004</v>
      </c>
      <c r="J282" s="133">
        <v>186.61</v>
      </c>
      <c r="K282" s="135">
        <v>40684</v>
      </c>
      <c r="L282" s="135"/>
      <c r="M282" s="135" t="s">
        <v>660</v>
      </c>
      <c r="N282" s="135"/>
      <c r="O282"/>
      <c r="P282"/>
    </row>
    <row r="283" spans="3:16" x14ac:dyDescent="0.2">
      <c r="C283" t="s">
        <v>5295</v>
      </c>
      <c r="G283" s="14">
        <v>55.9</v>
      </c>
      <c r="H283" s="133"/>
      <c r="I283" s="133">
        <v>3.62</v>
      </c>
      <c r="J283" s="133">
        <v>52.03</v>
      </c>
      <c r="K283" s="135">
        <v>40684</v>
      </c>
      <c r="L283" s="135" t="s">
        <v>5296</v>
      </c>
      <c r="M283" s="135" t="s">
        <v>660</v>
      </c>
      <c r="N283" s="135"/>
      <c r="O283"/>
      <c r="P283"/>
    </row>
    <row r="284" spans="3:16" x14ac:dyDescent="0.2">
      <c r="C284" t="s">
        <v>4407</v>
      </c>
      <c r="G284" s="14">
        <v>1.1499999999999999</v>
      </c>
      <c r="H284" s="133"/>
      <c r="K284" s="135">
        <v>40684</v>
      </c>
      <c r="L284" s="135" t="s">
        <v>1623</v>
      </c>
      <c r="M284" s="135" t="s">
        <v>660</v>
      </c>
      <c r="N284" s="135"/>
      <c r="O284"/>
      <c r="P284"/>
    </row>
    <row r="285" spans="3:16" x14ac:dyDescent="0.2">
      <c r="C285" t="s">
        <v>2686</v>
      </c>
      <c r="G285" s="14">
        <v>78.099999999999994</v>
      </c>
      <c r="H285" s="133"/>
      <c r="I285" s="133">
        <v>4.75</v>
      </c>
      <c r="J285" s="133">
        <v>2.0699999999999998</v>
      </c>
      <c r="K285" s="135">
        <v>40684</v>
      </c>
      <c r="L285" s="135" t="s">
        <v>3974</v>
      </c>
      <c r="M285" s="135" t="s">
        <v>2994</v>
      </c>
      <c r="N285" s="135"/>
      <c r="O285"/>
      <c r="P285"/>
    </row>
    <row r="286" spans="3:16" x14ac:dyDescent="0.2">
      <c r="C286" t="s">
        <v>4909</v>
      </c>
      <c r="E286">
        <v>1.4</v>
      </c>
      <c r="F286">
        <v>3.9</v>
      </c>
      <c r="G286" s="14">
        <v>42.95</v>
      </c>
      <c r="H286" s="133"/>
      <c r="I286" s="133">
        <v>6.5</v>
      </c>
      <c r="J286" s="133">
        <v>0</v>
      </c>
      <c r="K286" s="135">
        <v>40684</v>
      </c>
      <c r="L286" s="135" t="s">
        <v>4910</v>
      </c>
      <c r="M286" s="135" t="s">
        <v>1758</v>
      </c>
      <c r="N286" s="135"/>
      <c r="O286"/>
      <c r="P286"/>
    </row>
    <row r="287" spans="3:16" x14ac:dyDescent="0.2">
      <c r="C287" t="s">
        <v>1551</v>
      </c>
      <c r="E287">
        <v>-18.95</v>
      </c>
      <c r="F287">
        <v>-5.3</v>
      </c>
      <c r="G287" s="14">
        <v>41.5</v>
      </c>
      <c r="H287" s="133"/>
      <c r="I287" s="133">
        <v>0</v>
      </c>
      <c r="J287" s="133">
        <v>0</v>
      </c>
      <c r="K287" s="135">
        <v>40684</v>
      </c>
      <c r="L287" s="135" t="s">
        <v>4500</v>
      </c>
      <c r="M287" s="135" t="s">
        <v>662</v>
      </c>
      <c r="N287" s="135"/>
      <c r="O287"/>
      <c r="P287"/>
    </row>
    <row r="288" spans="3:16" x14ac:dyDescent="0.2">
      <c r="C288" t="s">
        <v>1552</v>
      </c>
      <c r="G288" s="14">
        <v>28.55</v>
      </c>
      <c r="H288" s="133"/>
      <c r="K288" s="135">
        <v>40684</v>
      </c>
      <c r="L288" s="135" t="s">
        <v>5297</v>
      </c>
      <c r="M288" s="135" t="s">
        <v>2421</v>
      </c>
      <c r="N288" s="135"/>
      <c r="O288"/>
      <c r="P288"/>
    </row>
    <row r="289" spans="3:16" x14ac:dyDescent="0.2">
      <c r="C289" t="s">
        <v>853</v>
      </c>
      <c r="G289" s="14">
        <v>142.35</v>
      </c>
      <c r="H289" s="133">
        <v>2.11</v>
      </c>
      <c r="I289" s="133">
        <v>2.89</v>
      </c>
      <c r="J289" s="133">
        <v>22.96</v>
      </c>
      <c r="K289" s="135">
        <v>40684</v>
      </c>
      <c r="L289" s="135" t="s">
        <v>854</v>
      </c>
      <c r="M289" s="135" t="s">
        <v>2995</v>
      </c>
      <c r="N289" s="135"/>
      <c r="O289"/>
      <c r="P289"/>
    </row>
    <row r="290" spans="3:16" x14ac:dyDescent="0.2">
      <c r="C290" t="s">
        <v>1553</v>
      </c>
      <c r="G290" s="14">
        <v>7.85</v>
      </c>
      <c r="H290" s="133"/>
      <c r="I290" s="133">
        <v>-5.72</v>
      </c>
      <c r="J290" s="133">
        <v>0</v>
      </c>
      <c r="K290" s="135">
        <v>40684</v>
      </c>
      <c r="L290" s="135" t="s">
        <v>5298</v>
      </c>
      <c r="M290" s="135" t="s">
        <v>1757</v>
      </c>
      <c r="N290" s="135"/>
      <c r="O290"/>
      <c r="P290"/>
    </row>
    <row r="291" spans="3:16" x14ac:dyDescent="0.2">
      <c r="C291" t="s">
        <v>2126</v>
      </c>
      <c r="D291">
        <v>10.73</v>
      </c>
      <c r="E291">
        <v>11.05</v>
      </c>
      <c r="F291">
        <v>12.02</v>
      </c>
      <c r="G291" s="14">
        <v>69.2</v>
      </c>
      <c r="H291" s="133"/>
      <c r="I291" s="133">
        <v>20.84</v>
      </c>
      <c r="J291" s="133">
        <v>10.41</v>
      </c>
      <c r="K291" s="135">
        <v>40684</v>
      </c>
      <c r="L291" s="135" t="s">
        <v>3975</v>
      </c>
      <c r="M291" s="135" t="s">
        <v>2420</v>
      </c>
      <c r="N291" s="135"/>
      <c r="O291"/>
      <c r="P291"/>
    </row>
    <row r="292" spans="3:16" x14ac:dyDescent="0.2">
      <c r="C292" t="s">
        <v>1554</v>
      </c>
      <c r="G292" s="14">
        <v>6</v>
      </c>
      <c r="H292" s="133"/>
      <c r="K292" s="135">
        <v>40684</v>
      </c>
      <c r="L292" s="135" t="s">
        <v>2980</v>
      </c>
      <c r="M292" s="135" t="s">
        <v>2417</v>
      </c>
      <c r="N292" s="135"/>
      <c r="O292"/>
      <c r="P292"/>
    </row>
    <row r="293" spans="3:16" x14ac:dyDescent="0.2">
      <c r="C293" t="s">
        <v>4257</v>
      </c>
      <c r="G293" s="14">
        <v>10.5</v>
      </c>
      <c r="H293" s="133"/>
      <c r="I293" s="133">
        <v>13.16</v>
      </c>
      <c r="J293" s="133">
        <v>4.54</v>
      </c>
      <c r="K293" s="135">
        <v>40684</v>
      </c>
      <c r="L293" s="135"/>
      <c r="M293" s="135" t="s">
        <v>2942</v>
      </c>
      <c r="N293" s="135"/>
      <c r="O293"/>
      <c r="P293"/>
    </row>
    <row r="294" spans="3:16" x14ac:dyDescent="0.2">
      <c r="C294" t="s">
        <v>4258</v>
      </c>
      <c r="D294">
        <v>16.670000000000002</v>
      </c>
      <c r="E294">
        <v>21.1</v>
      </c>
      <c r="F294">
        <v>26.7</v>
      </c>
      <c r="G294" s="14">
        <v>174.15</v>
      </c>
      <c r="H294" s="133"/>
      <c r="I294" s="133">
        <v>13.97</v>
      </c>
      <c r="J294" s="133">
        <v>8.24</v>
      </c>
      <c r="K294" s="135">
        <v>40684</v>
      </c>
      <c r="L294" s="135"/>
      <c r="M294" s="135" t="s">
        <v>1759</v>
      </c>
      <c r="N294" s="135"/>
      <c r="O294"/>
      <c r="P294"/>
    </row>
    <row r="295" spans="3:16" x14ac:dyDescent="0.2">
      <c r="C295" t="s">
        <v>4259</v>
      </c>
      <c r="G295" s="14">
        <v>185.95</v>
      </c>
      <c r="H295" s="133"/>
      <c r="I295" s="133">
        <v>7.8</v>
      </c>
      <c r="J295" s="133">
        <v>7.64</v>
      </c>
      <c r="K295" s="135">
        <v>40684</v>
      </c>
      <c r="L295" s="135"/>
      <c r="M295" s="135" t="s">
        <v>2419</v>
      </c>
      <c r="N295" s="135"/>
      <c r="O295"/>
      <c r="P295"/>
    </row>
    <row r="296" spans="3:16" x14ac:dyDescent="0.2">
      <c r="C296" t="s">
        <v>2687</v>
      </c>
      <c r="G296" s="14">
        <v>17.25</v>
      </c>
      <c r="H296" s="133"/>
      <c r="I296" s="133">
        <v>-24.8</v>
      </c>
      <c r="J296" s="133">
        <v>0</v>
      </c>
      <c r="K296" s="135">
        <v>40684</v>
      </c>
      <c r="L296" s="135" t="s">
        <v>3976</v>
      </c>
      <c r="M296" s="135" t="s">
        <v>2994</v>
      </c>
      <c r="N296" s="135"/>
      <c r="O296"/>
      <c r="P296"/>
    </row>
    <row r="297" spans="3:16" x14ac:dyDescent="0.2">
      <c r="C297" t="s">
        <v>3228</v>
      </c>
      <c r="H297" s="133"/>
      <c r="K297" s="135">
        <v>40684</v>
      </c>
      <c r="L297" s="135"/>
      <c r="M297" s="135" t="s">
        <v>660</v>
      </c>
      <c r="N297" s="135"/>
      <c r="O297"/>
      <c r="P297"/>
    </row>
    <row r="298" spans="3:16" x14ac:dyDescent="0.2">
      <c r="C298" t="s">
        <v>3229</v>
      </c>
      <c r="G298" s="14">
        <v>1.5</v>
      </c>
      <c r="H298" s="133"/>
      <c r="K298" s="135">
        <v>40684</v>
      </c>
      <c r="L298" s="135"/>
      <c r="M298" s="135" t="s">
        <v>2994</v>
      </c>
      <c r="N298" s="135"/>
      <c r="O298"/>
      <c r="P298"/>
    </row>
    <row r="299" spans="3:16" x14ac:dyDescent="0.2">
      <c r="C299" t="s">
        <v>3230</v>
      </c>
      <c r="G299" s="14">
        <v>45.65</v>
      </c>
      <c r="H299" s="133"/>
      <c r="K299" s="135">
        <v>40684</v>
      </c>
      <c r="L299" s="135" t="s">
        <v>1624</v>
      </c>
      <c r="M299" s="135" t="s">
        <v>2428</v>
      </c>
      <c r="N299" s="135"/>
      <c r="O299"/>
      <c r="P299"/>
    </row>
    <row r="300" spans="3:16" x14ac:dyDescent="0.2">
      <c r="C300" t="s">
        <v>2127</v>
      </c>
      <c r="D300">
        <v>17.829999999999998</v>
      </c>
      <c r="E300">
        <v>19.7</v>
      </c>
      <c r="F300">
        <v>21.9</v>
      </c>
      <c r="G300" s="14">
        <v>89.6</v>
      </c>
      <c r="H300" s="133"/>
      <c r="I300" s="133">
        <v>21.38</v>
      </c>
      <c r="J300" s="133">
        <v>4.8899999999999997</v>
      </c>
      <c r="K300" s="135">
        <v>40684</v>
      </c>
      <c r="L300" s="135" t="s">
        <v>579</v>
      </c>
      <c r="M300" s="135" t="s">
        <v>660</v>
      </c>
      <c r="N300" s="135"/>
      <c r="O300"/>
      <c r="P300"/>
    </row>
    <row r="301" spans="3:16" x14ac:dyDescent="0.2">
      <c r="C301" t="s">
        <v>3231</v>
      </c>
      <c r="G301" s="14">
        <v>1.3</v>
      </c>
      <c r="H301" s="133"/>
      <c r="K301" s="135">
        <v>40684</v>
      </c>
      <c r="L301" s="135" t="s">
        <v>1625</v>
      </c>
      <c r="M301" s="135" t="s">
        <v>2419</v>
      </c>
      <c r="N301" s="135"/>
      <c r="O301"/>
      <c r="P301"/>
    </row>
    <row r="302" spans="3:16" x14ac:dyDescent="0.2">
      <c r="C302" t="s">
        <v>3453</v>
      </c>
      <c r="E302">
        <v>5.05</v>
      </c>
      <c r="F302">
        <v>10.3</v>
      </c>
      <c r="G302" s="14">
        <v>66.349999999999994</v>
      </c>
      <c r="H302" s="133">
        <v>3.01</v>
      </c>
      <c r="I302" s="133">
        <v>9.24</v>
      </c>
      <c r="J302" s="133">
        <v>9.7899999999999991</v>
      </c>
      <c r="K302" s="135">
        <v>40684</v>
      </c>
      <c r="L302" s="135" t="s">
        <v>3454</v>
      </c>
      <c r="M302" s="135" t="s">
        <v>2418</v>
      </c>
      <c r="N302" s="135"/>
      <c r="O302"/>
      <c r="P302"/>
    </row>
    <row r="303" spans="3:16" x14ac:dyDescent="0.2">
      <c r="C303" t="s">
        <v>3232</v>
      </c>
      <c r="H303" s="133"/>
      <c r="K303" s="135">
        <v>40684</v>
      </c>
      <c r="L303" s="135"/>
      <c r="M303" s="135" t="s">
        <v>2994</v>
      </c>
      <c r="N303" s="135"/>
      <c r="O303"/>
      <c r="P303"/>
    </row>
    <row r="304" spans="3:16" x14ac:dyDescent="0.2">
      <c r="C304" t="s">
        <v>3233</v>
      </c>
      <c r="H304" s="133"/>
      <c r="K304" s="135">
        <v>40684</v>
      </c>
      <c r="L304" s="135"/>
      <c r="M304" s="135" t="s">
        <v>2994</v>
      </c>
      <c r="N304" s="135"/>
      <c r="O304"/>
      <c r="P304"/>
    </row>
    <row r="305" spans="3:16" x14ac:dyDescent="0.2">
      <c r="C305" t="s">
        <v>3234</v>
      </c>
      <c r="G305" s="14">
        <v>2.85</v>
      </c>
      <c r="H305" s="133"/>
      <c r="K305" s="135">
        <v>40684</v>
      </c>
      <c r="L305" s="135"/>
      <c r="M305" s="135" t="s">
        <v>1762</v>
      </c>
      <c r="N305" s="135"/>
      <c r="O305"/>
      <c r="P305"/>
    </row>
    <row r="306" spans="3:16" x14ac:dyDescent="0.2">
      <c r="C306" t="s">
        <v>5299</v>
      </c>
      <c r="G306" s="14">
        <v>16.100000000000001</v>
      </c>
      <c r="H306" s="133"/>
      <c r="I306" s="133">
        <v>14.67</v>
      </c>
      <c r="J306" s="133">
        <v>17.239999999999998</v>
      </c>
      <c r="K306" s="135">
        <v>40684</v>
      </c>
      <c r="L306" s="135" t="s">
        <v>5300</v>
      </c>
      <c r="M306" s="135" t="s">
        <v>1765</v>
      </c>
      <c r="N306" s="135"/>
      <c r="O306"/>
      <c r="P306"/>
    </row>
    <row r="307" spans="3:16" x14ac:dyDescent="0.2">
      <c r="C307" t="s">
        <v>3235</v>
      </c>
      <c r="G307" s="14">
        <v>0.9</v>
      </c>
      <c r="H307" s="133"/>
      <c r="K307" s="135">
        <v>40684</v>
      </c>
      <c r="L307" s="135" t="s">
        <v>2981</v>
      </c>
      <c r="M307" s="135" t="s">
        <v>2417</v>
      </c>
      <c r="N307" s="135"/>
      <c r="O307"/>
      <c r="P307"/>
    </row>
    <row r="308" spans="3:16" x14ac:dyDescent="0.2">
      <c r="C308" t="s">
        <v>2865</v>
      </c>
      <c r="G308" s="14">
        <v>18.7</v>
      </c>
      <c r="H308" s="133"/>
      <c r="K308" s="135">
        <v>40684</v>
      </c>
      <c r="L308" s="135" t="s">
        <v>2866</v>
      </c>
      <c r="M308" s="135" t="s">
        <v>2943</v>
      </c>
      <c r="N308" s="135"/>
      <c r="O308"/>
      <c r="P308"/>
    </row>
    <row r="309" spans="3:16" x14ac:dyDescent="0.2">
      <c r="C309" t="s">
        <v>2956</v>
      </c>
      <c r="G309" s="14">
        <v>240.05</v>
      </c>
      <c r="H309" s="133"/>
      <c r="I309" s="133">
        <v>16.399999999999999</v>
      </c>
      <c r="J309" s="133">
        <v>9.4499999999999993</v>
      </c>
      <c r="K309" s="135">
        <v>40684</v>
      </c>
      <c r="L309" s="135" t="s">
        <v>1241</v>
      </c>
      <c r="M309" s="135" t="s">
        <v>660</v>
      </c>
      <c r="N309" s="135"/>
      <c r="O309"/>
      <c r="P309"/>
    </row>
    <row r="310" spans="3:16" x14ac:dyDescent="0.2">
      <c r="C310" t="s">
        <v>3236</v>
      </c>
      <c r="G310" s="14">
        <v>14</v>
      </c>
      <c r="H310" s="133"/>
      <c r="K310" s="135">
        <v>40684</v>
      </c>
      <c r="L310" s="135"/>
      <c r="M310" s="135" t="s">
        <v>660</v>
      </c>
      <c r="N310" s="135"/>
      <c r="O310"/>
      <c r="P310"/>
    </row>
    <row r="311" spans="3:16" x14ac:dyDescent="0.2">
      <c r="C311" t="s">
        <v>2867</v>
      </c>
      <c r="G311" s="14">
        <v>8</v>
      </c>
      <c r="H311" s="133"/>
      <c r="K311" s="135">
        <v>40684</v>
      </c>
      <c r="L311" s="135" t="s">
        <v>2868</v>
      </c>
      <c r="M311" s="135" t="s">
        <v>660</v>
      </c>
      <c r="N311" s="135"/>
      <c r="O311"/>
      <c r="P311"/>
    </row>
    <row r="312" spans="3:16" x14ac:dyDescent="0.2">
      <c r="C312" t="s">
        <v>5031</v>
      </c>
      <c r="G312" s="14">
        <v>12.45</v>
      </c>
      <c r="H312" s="133"/>
      <c r="I312" s="133">
        <v>0</v>
      </c>
      <c r="J312" s="133">
        <v>0</v>
      </c>
      <c r="K312" s="135">
        <v>40684</v>
      </c>
      <c r="L312" s="135" t="s">
        <v>5032</v>
      </c>
      <c r="M312" s="135" t="s">
        <v>1759</v>
      </c>
      <c r="N312" s="135"/>
      <c r="O312"/>
      <c r="P312"/>
    </row>
    <row r="313" spans="3:16" x14ac:dyDescent="0.2">
      <c r="C313" t="s">
        <v>3237</v>
      </c>
      <c r="G313" s="14">
        <v>3.35</v>
      </c>
      <c r="H313" s="133"/>
      <c r="K313" s="135">
        <v>40684</v>
      </c>
      <c r="L313" s="135"/>
      <c r="M313" s="135" t="s">
        <v>1429</v>
      </c>
      <c r="N313" s="135"/>
      <c r="O313"/>
      <c r="P313"/>
    </row>
    <row r="314" spans="3:16" x14ac:dyDescent="0.2">
      <c r="C314" t="s">
        <v>855</v>
      </c>
      <c r="G314" s="14">
        <v>31.05</v>
      </c>
      <c r="H314" s="133">
        <v>4.79</v>
      </c>
      <c r="I314" s="133">
        <v>36.06</v>
      </c>
      <c r="J314" s="133">
        <v>2.02</v>
      </c>
      <c r="K314" s="135">
        <v>40684</v>
      </c>
      <c r="L314" s="135" t="s">
        <v>4863</v>
      </c>
      <c r="M314" s="135" t="s">
        <v>2427</v>
      </c>
      <c r="N314" s="135"/>
      <c r="O314"/>
      <c r="P314"/>
    </row>
    <row r="315" spans="3:16" x14ac:dyDescent="0.2">
      <c r="C315" t="s">
        <v>3238</v>
      </c>
      <c r="D315">
        <v>-8.8699999999999992</v>
      </c>
      <c r="E315">
        <v>8.1999999999999993</v>
      </c>
      <c r="F315">
        <v>22.5</v>
      </c>
      <c r="G315" s="14">
        <v>50.95</v>
      </c>
      <c r="H315" s="133"/>
      <c r="I315" s="133">
        <v>9.9600000000000009</v>
      </c>
      <c r="J315" s="133">
        <v>0</v>
      </c>
      <c r="K315" s="135">
        <v>40684</v>
      </c>
      <c r="L315" s="135" t="s">
        <v>3455</v>
      </c>
      <c r="M315" s="135" t="s">
        <v>2427</v>
      </c>
      <c r="N315" s="135"/>
      <c r="O315"/>
      <c r="P315"/>
    </row>
    <row r="316" spans="3:16" x14ac:dyDescent="0.2">
      <c r="C316" t="s">
        <v>1516</v>
      </c>
      <c r="G316" s="14">
        <v>2.41</v>
      </c>
      <c r="H316" s="133"/>
      <c r="K316" s="135">
        <v>40684</v>
      </c>
      <c r="L316" s="135" t="s">
        <v>1517</v>
      </c>
      <c r="M316" s="135" t="s">
        <v>2994</v>
      </c>
      <c r="N316" s="135"/>
      <c r="O316"/>
      <c r="P316"/>
    </row>
    <row r="317" spans="3:16" x14ac:dyDescent="0.2">
      <c r="C317" t="s">
        <v>1518</v>
      </c>
      <c r="G317" s="14">
        <v>86.1</v>
      </c>
      <c r="H317" s="133">
        <v>2.3199999999999998</v>
      </c>
      <c r="I317" s="133">
        <v>-1.48</v>
      </c>
      <c r="J317" s="133">
        <v>6</v>
      </c>
      <c r="K317" s="135">
        <v>40684</v>
      </c>
      <c r="L317" s="135" t="s">
        <v>1519</v>
      </c>
      <c r="M317" s="135" t="s">
        <v>3780</v>
      </c>
      <c r="N317" s="135"/>
      <c r="O317"/>
      <c r="P317"/>
    </row>
    <row r="318" spans="3:16" x14ac:dyDescent="0.2">
      <c r="C318" t="s">
        <v>4873</v>
      </c>
      <c r="G318" s="14">
        <v>16.350000000000001</v>
      </c>
      <c r="H318" s="133"/>
      <c r="I318" s="133">
        <v>17.88</v>
      </c>
      <c r="J318" s="133">
        <v>3.42</v>
      </c>
      <c r="K318" s="135">
        <v>40684</v>
      </c>
      <c r="L318" s="135" t="s">
        <v>4494</v>
      </c>
      <c r="M318" s="135" t="s">
        <v>1760</v>
      </c>
      <c r="N318" s="135"/>
      <c r="O318"/>
      <c r="P318"/>
    </row>
    <row r="319" spans="3:16" x14ac:dyDescent="0.2">
      <c r="C319" t="s">
        <v>4874</v>
      </c>
      <c r="H319" s="133"/>
      <c r="K319" s="135">
        <v>40684</v>
      </c>
      <c r="L319" s="135"/>
      <c r="M319" s="135" t="s">
        <v>660</v>
      </c>
      <c r="N319" s="135"/>
      <c r="O319"/>
      <c r="P319"/>
    </row>
    <row r="320" spans="3:16" x14ac:dyDescent="0.2">
      <c r="C320" t="s">
        <v>4875</v>
      </c>
      <c r="G320" s="14">
        <v>25.2</v>
      </c>
      <c r="H320" s="133">
        <v>2.14</v>
      </c>
      <c r="I320" s="133">
        <v>12.37</v>
      </c>
      <c r="J320" s="133">
        <v>18.63</v>
      </c>
      <c r="K320" s="135">
        <v>40684</v>
      </c>
      <c r="L320" s="135"/>
      <c r="M320" s="135" t="s">
        <v>2943</v>
      </c>
      <c r="N320" s="135"/>
      <c r="O320"/>
      <c r="P320"/>
    </row>
    <row r="321" spans="3:16" x14ac:dyDescent="0.2">
      <c r="C321" t="s">
        <v>364</v>
      </c>
      <c r="G321" s="14">
        <v>68.75</v>
      </c>
      <c r="H321" s="133"/>
      <c r="I321" s="133">
        <v>-64.63</v>
      </c>
      <c r="J321" s="133">
        <v>0</v>
      </c>
      <c r="K321" s="135">
        <v>40684</v>
      </c>
      <c r="L321" s="135" t="s">
        <v>365</v>
      </c>
      <c r="M321" s="135" t="s">
        <v>2944</v>
      </c>
      <c r="N321" s="135"/>
      <c r="O321"/>
      <c r="P321"/>
    </row>
    <row r="322" spans="3:16" x14ac:dyDescent="0.2">
      <c r="C322" t="s">
        <v>1374</v>
      </c>
      <c r="D322">
        <v>14.44</v>
      </c>
      <c r="E322">
        <v>10.15</v>
      </c>
      <c r="F322">
        <v>12.9</v>
      </c>
      <c r="G322" s="14">
        <v>90.7</v>
      </c>
      <c r="H322" s="133">
        <v>1.32</v>
      </c>
      <c r="I322" s="133">
        <v>11.15</v>
      </c>
      <c r="J322" s="133">
        <v>10.45</v>
      </c>
      <c r="K322" s="135">
        <v>40684</v>
      </c>
      <c r="L322" s="135" t="s">
        <v>225</v>
      </c>
      <c r="M322" s="135" t="s">
        <v>659</v>
      </c>
      <c r="N322" s="135"/>
      <c r="O322"/>
      <c r="P322"/>
    </row>
    <row r="323" spans="3:16" x14ac:dyDescent="0.2">
      <c r="C323" t="s">
        <v>3240</v>
      </c>
      <c r="G323" s="14">
        <v>23.75</v>
      </c>
      <c r="H323" s="133"/>
      <c r="K323" s="135">
        <v>40684</v>
      </c>
      <c r="L323" s="135"/>
      <c r="M323" s="135" t="s">
        <v>2299</v>
      </c>
      <c r="N323" s="135"/>
      <c r="O323"/>
      <c r="P323"/>
    </row>
    <row r="324" spans="3:16" x14ac:dyDescent="0.2">
      <c r="C324" t="s">
        <v>3641</v>
      </c>
      <c r="D324">
        <v>26.06</v>
      </c>
      <c r="E324">
        <v>27.3</v>
      </c>
      <c r="F324">
        <v>35.9</v>
      </c>
      <c r="G324" s="14">
        <v>727.4</v>
      </c>
      <c r="H324" s="133"/>
      <c r="I324" s="133">
        <v>22.37</v>
      </c>
      <c r="J324" s="133">
        <v>22.14</v>
      </c>
      <c r="K324" s="135">
        <v>40684</v>
      </c>
      <c r="L324" s="135" t="s">
        <v>226</v>
      </c>
      <c r="M324" s="135" t="s">
        <v>659</v>
      </c>
      <c r="N324" s="135"/>
      <c r="O324"/>
      <c r="P324"/>
    </row>
    <row r="325" spans="3:16" x14ac:dyDescent="0.2">
      <c r="C325" t="s">
        <v>3241</v>
      </c>
      <c r="H325" s="133"/>
      <c r="K325" s="135">
        <v>40684</v>
      </c>
      <c r="L325" s="135" t="s">
        <v>4803</v>
      </c>
      <c r="M325" s="135" t="s">
        <v>2996</v>
      </c>
      <c r="N325" s="135"/>
      <c r="O325"/>
      <c r="P325"/>
    </row>
    <row r="326" spans="3:16" x14ac:dyDescent="0.2">
      <c r="C326" t="s">
        <v>366</v>
      </c>
      <c r="G326" s="14">
        <v>228.4</v>
      </c>
      <c r="H326" s="133">
        <v>0.88</v>
      </c>
      <c r="I326" s="133">
        <v>5.85</v>
      </c>
      <c r="J326" s="133">
        <v>50.51</v>
      </c>
      <c r="K326" s="135">
        <v>40684</v>
      </c>
      <c r="L326" s="135" t="s">
        <v>367</v>
      </c>
      <c r="M326" s="135" t="s">
        <v>1755</v>
      </c>
      <c r="N326" s="135"/>
      <c r="O326"/>
      <c r="P326"/>
    </row>
    <row r="327" spans="3:16" x14ac:dyDescent="0.2">
      <c r="C327" t="s">
        <v>5323</v>
      </c>
      <c r="G327" s="14">
        <v>94.65</v>
      </c>
      <c r="H327" s="133">
        <v>2.64</v>
      </c>
      <c r="I327" s="133">
        <v>10.32</v>
      </c>
      <c r="J327" s="133">
        <v>15.88</v>
      </c>
      <c r="K327" s="135">
        <v>40684</v>
      </c>
      <c r="L327" s="135" t="s">
        <v>227</v>
      </c>
      <c r="M327" s="135" t="s">
        <v>1429</v>
      </c>
      <c r="N327" s="135"/>
      <c r="O327"/>
      <c r="P327"/>
    </row>
    <row r="328" spans="3:16" x14ac:dyDescent="0.2">
      <c r="C328" t="s">
        <v>368</v>
      </c>
      <c r="G328" s="14">
        <v>3.55</v>
      </c>
      <c r="H328" s="133"/>
      <c r="I328" s="133">
        <v>8.35</v>
      </c>
      <c r="J328" s="133">
        <v>27.74</v>
      </c>
      <c r="K328" s="135">
        <v>40684</v>
      </c>
      <c r="L328" s="135" t="s">
        <v>3479</v>
      </c>
      <c r="M328" s="135" t="s">
        <v>660</v>
      </c>
      <c r="N328" s="135"/>
      <c r="O328"/>
      <c r="P328"/>
    </row>
    <row r="329" spans="3:16" x14ac:dyDescent="0.2">
      <c r="C329" t="s">
        <v>3242</v>
      </c>
      <c r="G329" s="14">
        <v>2.91</v>
      </c>
      <c r="H329" s="133"/>
      <c r="I329" s="133">
        <v>-0.82</v>
      </c>
      <c r="J329" s="133">
        <v>71.680000000000007</v>
      </c>
      <c r="K329" s="135">
        <v>40684</v>
      </c>
      <c r="L329" s="135" t="s">
        <v>1753</v>
      </c>
      <c r="M329" s="135" t="s">
        <v>2422</v>
      </c>
      <c r="N329" s="135"/>
      <c r="O329"/>
      <c r="P329"/>
    </row>
    <row r="330" spans="3:16" x14ac:dyDescent="0.2">
      <c r="C330" t="s">
        <v>2688</v>
      </c>
      <c r="G330" s="14">
        <v>23.3</v>
      </c>
      <c r="H330" s="133">
        <v>2.12</v>
      </c>
      <c r="I330" s="133">
        <v>-28.98</v>
      </c>
      <c r="J330" s="133">
        <v>0</v>
      </c>
      <c r="K330" s="135">
        <v>40684</v>
      </c>
      <c r="L330" s="135" t="s">
        <v>228</v>
      </c>
      <c r="M330" s="135" t="s">
        <v>2994</v>
      </c>
      <c r="N330" s="135"/>
      <c r="O330"/>
      <c r="P330"/>
    </row>
    <row r="331" spans="3:16" x14ac:dyDescent="0.2">
      <c r="C331" t="s">
        <v>3243</v>
      </c>
      <c r="G331" s="14">
        <v>1.55</v>
      </c>
      <c r="H331" s="133"/>
      <c r="K331" s="135">
        <v>40684</v>
      </c>
      <c r="L331" s="135" t="s">
        <v>1816</v>
      </c>
      <c r="M331" s="135" t="s">
        <v>2417</v>
      </c>
      <c r="N331" s="135"/>
      <c r="O331"/>
      <c r="P331"/>
    </row>
    <row r="332" spans="3:16" x14ac:dyDescent="0.2">
      <c r="C332" t="s">
        <v>108</v>
      </c>
      <c r="D332">
        <v>25.02</v>
      </c>
      <c r="E332">
        <v>42.4</v>
      </c>
      <c r="F332">
        <v>34.25</v>
      </c>
      <c r="G332" s="14">
        <v>326.95</v>
      </c>
      <c r="H332" s="133">
        <v>0.92</v>
      </c>
      <c r="I332" s="133">
        <v>5.24</v>
      </c>
      <c r="J332" s="133">
        <v>13.06</v>
      </c>
      <c r="K332" s="135">
        <v>40684</v>
      </c>
      <c r="L332" s="135" t="s">
        <v>5144</v>
      </c>
      <c r="M332" s="135" t="s">
        <v>3181</v>
      </c>
      <c r="N332" s="135"/>
      <c r="O332"/>
      <c r="P332"/>
    </row>
    <row r="333" spans="3:16" x14ac:dyDescent="0.2">
      <c r="C333" t="s">
        <v>3244</v>
      </c>
      <c r="G333" s="14">
        <v>1.05</v>
      </c>
      <c r="H333" s="133"/>
      <c r="K333" s="135">
        <v>40684</v>
      </c>
      <c r="L333" s="135" t="s">
        <v>1817</v>
      </c>
      <c r="M333" s="135" t="s">
        <v>3180</v>
      </c>
      <c r="N333" s="135"/>
      <c r="O333"/>
      <c r="P333"/>
    </row>
    <row r="334" spans="3:16" x14ac:dyDescent="0.2">
      <c r="C334" t="s">
        <v>1375</v>
      </c>
      <c r="D334">
        <v>54.3</v>
      </c>
      <c r="E334">
        <v>64.67</v>
      </c>
      <c r="F334">
        <v>84.95</v>
      </c>
      <c r="G334" s="14">
        <v>1600.9</v>
      </c>
      <c r="H334" s="133"/>
      <c r="I334" s="133">
        <v>13.07</v>
      </c>
      <c r="J334" s="133">
        <v>30.44</v>
      </c>
      <c r="K334" s="135">
        <v>40684</v>
      </c>
      <c r="L334" s="135" t="s">
        <v>3456</v>
      </c>
      <c r="M334" s="135" t="s">
        <v>659</v>
      </c>
      <c r="N334" s="135"/>
      <c r="O334"/>
      <c r="P334"/>
    </row>
    <row r="335" spans="3:16" x14ac:dyDescent="0.2">
      <c r="C335" t="s">
        <v>5344</v>
      </c>
      <c r="G335" s="14">
        <v>3</v>
      </c>
      <c r="H335" s="133"/>
      <c r="K335" s="135">
        <v>40684</v>
      </c>
      <c r="L335" s="135"/>
      <c r="M335" s="135" t="s">
        <v>659</v>
      </c>
      <c r="N335" s="135"/>
      <c r="O335"/>
      <c r="P335"/>
    </row>
    <row r="336" spans="3:16" x14ac:dyDescent="0.2">
      <c r="C336" t="s">
        <v>5345</v>
      </c>
      <c r="G336" s="14">
        <v>53.5</v>
      </c>
      <c r="H336" s="133"/>
      <c r="I336" s="133">
        <v>5.54</v>
      </c>
      <c r="J336" s="133">
        <v>8.18</v>
      </c>
      <c r="K336" s="135">
        <v>40684</v>
      </c>
      <c r="L336" s="135" t="s">
        <v>1626</v>
      </c>
      <c r="M336" s="135" t="s">
        <v>1755</v>
      </c>
      <c r="N336" s="135"/>
      <c r="O336"/>
      <c r="P336"/>
    </row>
    <row r="337" spans="3:16" x14ac:dyDescent="0.2">
      <c r="C337" t="s">
        <v>1520</v>
      </c>
      <c r="G337" s="14">
        <v>5.75</v>
      </c>
      <c r="H337" s="133"/>
      <c r="I337" s="133">
        <v>0</v>
      </c>
      <c r="J337" s="133">
        <v>0</v>
      </c>
      <c r="K337" s="135">
        <v>40684</v>
      </c>
      <c r="L337" s="135" t="s">
        <v>1850</v>
      </c>
      <c r="M337" s="135" t="s">
        <v>2427</v>
      </c>
      <c r="N337" s="135"/>
      <c r="O337"/>
      <c r="P337"/>
    </row>
    <row r="338" spans="3:16" x14ac:dyDescent="0.2">
      <c r="C338" t="s">
        <v>1851</v>
      </c>
      <c r="G338" s="14">
        <v>14.75</v>
      </c>
      <c r="H338" s="133"/>
      <c r="I338" s="133">
        <v>0</v>
      </c>
      <c r="J338" s="133">
        <v>0</v>
      </c>
      <c r="K338" s="135">
        <v>40684</v>
      </c>
      <c r="L338" s="135" t="s">
        <v>544</v>
      </c>
      <c r="M338" s="135"/>
      <c r="N338" s="135"/>
      <c r="O338"/>
      <c r="P338"/>
    </row>
    <row r="339" spans="3:16" x14ac:dyDescent="0.2">
      <c r="C339" t="s">
        <v>2689</v>
      </c>
      <c r="G339" s="14">
        <v>384</v>
      </c>
      <c r="H339" s="133">
        <v>3.91</v>
      </c>
      <c r="I339" s="133">
        <v>4.79</v>
      </c>
      <c r="J339" s="133">
        <v>11.51</v>
      </c>
      <c r="K339" s="135">
        <v>40684</v>
      </c>
      <c r="L339" s="135" t="s">
        <v>229</v>
      </c>
      <c r="M339" s="135" t="s">
        <v>659</v>
      </c>
      <c r="N339" s="135"/>
      <c r="O339"/>
      <c r="P339"/>
    </row>
    <row r="340" spans="3:16" x14ac:dyDescent="0.2">
      <c r="C340" t="s">
        <v>1979</v>
      </c>
      <c r="D340">
        <v>100.7</v>
      </c>
      <c r="G340" s="14">
        <v>2123</v>
      </c>
      <c r="H340" s="133">
        <v>1.2</v>
      </c>
      <c r="I340" s="133">
        <v>30.29</v>
      </c>
      <c r="J340" s="133">
        <v>21.08</v>
      </c>
      <c r="K340" s="135">
        <v>40684</v>
      </c>
      <c r="L340" s="135" t="s">
        <v>230</v>
      </c>
      <c r="M340" s="135" t="s">
        <v>659</v>
      </c>
      <c r="N340" s="135"/>
      <c r="O340"/>
      <c r="P340"/>
    </row>
    <row r="341" spans="3:16" x14ac:dyDescent="0.2">
      <c r="C341" t="s">
        <v>4876</v>
      </c>
      <c r="H341" s="133"/>
      <c r="K341" s="135">
        <v>40684</v>
      </c>
      <c r="L341" s="135" t="s">
        <v>954</v>
      </c>
      <c r="M341" s="135" t="s">
        <v>660</v>
      </c>
      <c r="N341" s="135"/>
      <c r="O341"/>
      <c r="P341"/>
    </row>
    <row r="342" spans="3:16" x14ac:dyDescent="0.2">
      <c r="C342" t="s">
        <v>2556</v>
      </c>
      <c r="G342" s="14">
        <v>12.71</v>
      </c>
      <c r="H342" s="133"/>
      <c r="K342" s="135">
        <v>40684</v>
      </c>
      <c r="L342" s="135" t="s">
        <v>955</v>
      </c>
      <c r="M342" s="135" t="s">
        <v>2428</v>
      </c>
      <c r="N342" s="135"/>
      <c r="O342"/>
      <c r="P342"/>
    </row>
    <row r="343" spans="3:16" x14ac:dyDescent="0.2">
      <c r="C343" t="s">
        <v>4864</v>
      </c>
      <c r="G343" s="14">
        <v>1300</v>
      </c>
      <c r="H343" s="133">
        <v>0.57999999999999996</v>
      </c>
      <c r="I343" s="133">
        <v>8.66</v>
      </c>
      <c r="J343" s="133">
        <v>64.3</v>
      </c>
      <c r="K343" s="135">
        <v>40684</v>
      </c>
      <c r="L343" s="135" t="s">
        <v>231</v>
      </c>
      <c r="M343" s="135" t="s">
        <v>2418</v>
      </c>
      <c r="N343" s="135"/>
      <c r="O343"/>
      <c r="P343"/>
    </row>
    <row r="344" spans="3:16" x14ac:dyDescent="0.2">
      <c r="C344" t="s">
        <v>1852</v>
      </c>
      <c r="G344" s="14">
        <v>8.1999999999999993</v>
      </c>
      <c r="H344" s="133">
        <v>1.46</v>
      </c>
      <c r="I344" s="133">
        <v>2.95</v>
      </c>
      <c r="J344" s="133">
        <v>11.32</v>
      </c>
      <c r="K344" s="135">
        <v>40684</v>
      </c>
      <c r="L344" s="135"/>
      <c r="M344" s="135"/>
      <c r="N344" s="135"/>
      <c r="O344"/>
      <c r="P344"/>
    </row>
    <row r="345" spans="3:16" x14ac:dyDescent="0.2">
      <c r="C345" t="s">
        <v>3480</v>
      </c>
      <c r="G345" s="14">
        <v>33.85</v>
      </c>
      <c r="H345" s="133"/>
      <c r="I345" s="133">
        <v>3.42</v>
      </c>
      <c r="J345" s="133">
        <v>43.1</v>
      </c>
      <c r="K345" s="135">
        <v>40684</v>
      </c>
      <c r="L345" s="135" t="s">
        <v>3481</v>
      </c>
      <c r="M345" s="135" t="s">
        <v>660</v>
      </c>
      <c r="N345" s="135"/>
      <c r="O345"/>
      <c r="P345"/>
    </row>
    <row r="346" spans="3:16" x14ac:dyDescent="0.2">
      <c r="C346" t="s">
        <v>3682</v>
      </c>
      <c r="D346">
        <v>27.32</v>
      </c>
      <c r="E346">
        <v>34.4</v>
      </c>
      <c r="F346">
        <v>38.049999999999997</v>
      </c>
      <c r="G346" s="14">
        <v>416.4</v>
      </c>
      <c r="H346" s="133">
        <v>0.66</v>
      </c>
      <c r="I346" s="133">
        <v>17.5</v>
      </c>
      <c r="J346" s="133">
        <v>18</v>
      </c>
      <c r="K346" s="135">
        <v>40684</v>
      </c>
      <c r="L346" s="135" t="s">
        <v>3683</v>
      </c>
      <c r="M346" s="135" t="s">
        <v>1429</v>
      </c>
      <c r="N346" s="135"/>
      <c r="O346"/>
      <c r="P346"/>
    </row>
    <row r="347" spans="3:16" x14ac:dyDescent="0.2">
      <c r="C347" t="s">
        <v>3684</v>
      </c>
      <c r="D347">
        <v>28.06</v>
      </c>
      <c r="E347">
        <v>89.08</v>
      </c>
      <c r="F347">
        <v>110.65</v>
      </c>
      <c r="G347" s="14">
        <v>1309.05</v>
      </c>
      <c r="H347" s="133">
        <v>0.84</v>
      </c>
      <c r="I347" s="133">
        <v>12.61</v>
      </c>
      <c r="J347" s="133">
        <v>46.8</v>
      </c>
      <c r="K347" s="135">
        <v>40684</v>
      </c>
      <c r="L347" s="135" t="s">
        <v>3685</v>
      </c>
      <c r="M347" s="135" t="s">
        <v>2418</v>
      </c>
      <c r="N347" s="135"/>
      <c r="O347"/>
      <c r="P347"/>
    </row>
    <row r="348" spans="3:16" x14ac:dyDescent="0.2">
      <c r="C348" t="s">
        <v>2557</v>
      </c>
      <c r="E348">
        <v>8.43</v>
      </c>
      <c r="F348">
        <v>11.43</v>
      </c>
      <c r="G348" s="14">
        <v>221.75</v>
      </c>
      <c r="H348" s="133"/>
      <c r="I348" s="133">
        <v>17.89</v>
      </c>
      <c r="J348" s="133">
        <v>48.42</v>
      </c>
      <c r="K348" s="135">
        <v>40684</v>
      </c>
      <c r="L348" s="135" t="s">
        <v>3686</v>
      </c>
      <c r="M348" s="135" t="s">
        <v>2427</v>
      </c>
      <c r="N348" s="135"/>
      <c r="O348"/>
      <c r="P348"/>
    </row>
    <row r="349" spans="3:16" x14ac:dyDescent="0.2">
      <c r="C349" t="s">
        <v>3642</v>
      </c>
      <c r="G349" s="14">
        <v>137.1</v>
      </c>
      <c r="H349" s="133">
        <v>1.06</v>
      </c>
      <c r="I349" s="133">
        <v>5.93</v>
      </c>
      <c r="J349" s="133">
        <v>52.52</v>
      </c>
      <c r="K349" s="135">
        <v>40684</v>
      </c>
      <c r="L349" s="135" t="s">
        <v>2189</v>
      </c>
      <c r="M349" s="135" t="s">
        <v>2425</v>
      </c>
      <c r="N349" s="135"/>
      <c r="O349"/>
      <c r="P349"/>
    </row>
    <row r="350" spans="3:16" x14ac:dyDescent="0.2">
      <c r="C350" t="s">
        <v>2558</v>
      </c>
      <c r="E350">
        <v>30.05</v>
      </c>
      <c r="F350">
        <v>36.049999999999997</v>
      </c>
      <c r="G350" s="14">
        <v>223.5</v>
      </c>
      <c r="H350" s="133"/>
      <c r="I350" s="133">
        <v>9.34</v>
      </c>
      <c r="J350" s="133">
        <v>9.9</v>
      </c>
      <c r="K350" s="135">
        <v>40684</v>
      </c>
      <c r="L350" s="135" t="s">
        <v>2190</v>
      </c>
      <c r="M350" s="135" t="s">
        <v>3180</v>
      </c>
      <c r="N350" s="135"/>
      <c r="O350"/>
      <c r="P350"/>
    </row>
    <row r="351" spans="3:16" x14ac:dyDescent="0.2">
      <c r="C351" t="s">
        <v>1980</v>
      </c>
      <c r="G351" s="14">
        <v>105.85</v>
      </c>
      <c r="H351" s="133"/>
      <c r="I351" s="133">
        <v>-15.68</v>
      </c>
      <c r="J351" s="133">
        <v>24.35</v>
      </c>
      <c r="K351" s="135">
        <v>40684</v>
      </c>
      <c r="L351" s="135" t="s">
        <v>2538</v>
      </c>
      <c r="M351" s="135" t="s">
        <v>659</v>
      </c>
      <c r="N351" s="135"/>
      <c r="O351"/>
      <c r="P351"/>
    </row>
    <row r="352" spans="3:16" x14ac:dyDescent="0.2">
      <c r="C352" t="s">
        <v>3687</v>
      </c>
      <c r="E352">
        <v>34.4</v>
      </c>
      <c r="F352">
        <v>42.32</v>
      </c>
      <c r="G352" s="14">
        <v>367.25</v>
      </c>
      <c r="H352" s="133"/>
      <c r="I352" s="133">
        <v>12.71</v>
      </c>
      <c r="J352" s="133">
        <v>10.52</v>
      </c>
      <c r="K352" s="135">
        <v>40684</v>
      </c>
      <c r="L352" s="135" t="s">
        <v>3809</v>
      </c>
      <c r="M352" s="135" t="s">
        <v>659</v>
      </c>
      <c r="N352" s="135"/>
      <c r="O352"/>
      <c r="P352"/>
    </row>
    <row r="353" spans="3:16" x14ac:dyDescent="0.2">
      <c r="C353" t="s">
        <v>1981</v>
      </c>
      <c r="G353" s="14">
        <v>30.95</v>
      </c>
      <c r="H353" s="133"/>
      <c r="K353" s="135">
        <v>40684</v>
      </c>
      <c r="L353" s="135" t="s">
        <v>2539</v>
      </c>
      <c r="M353" s="135" t="s">
        <v>2417</v>
      </c>
      <c r="N353" s="135"/>
      <c r="O353"/>
      <c r="P353"/>
    </row>
    <row r="354" spans="3:16" x14ac:dyDescent="0.2">
      <c r="C354" t="s">
        <v>1162</v>
      </c>
      <c r="E354">
        <v>7.7</v>
      </c>
      <c r="F354">
        <v>9.1</v>
      </c>
      <c r="G354" s="14">
        <v>69.400000000000006</v>
      </c>
      <c r="H354" s="133">
        <v>2.16</v>
      </c>
      <c r="I354" s="133">
        <v>17.170000000000002</v>
      </c>
      <c r="J354" s="133">
        <v>9.73</v>
      </c>
      <c r="K354" s="135">
        <v>40684</v>
      </c>
      <c r="L354" s="135" t="s">
        <v>2646</v>
      </c>
      <c r="M354" s="135" t="s">
        <v>3180</v>
      </c>
      <c r="N354" s="135"/>
      <c r="O354"/>
      <c r="P354"/>
    </row>
    <row r="355" spans="3:16" x14ac:dyDescent="0.2">
      <c r="C355" t="s">
        <v>1242</v>
      </c>
      <c r="G355" s="14">
        <v>186.85</v>
      </c>
      <c r="H355" s="133">
        <v>1.32</v>
      </c>
      <c r="I355" s="133">
        <v>9.33</v>
      </c>
      <c r="J355" s="133">
        <v>3.97</v>
      </c>
      <c r="K355" s="135">
        <v>40684</v>
      </c>
      <c r="L355" s="135" t="s">
        <v>1243</v>
      </c>
      <c r="M355" s="135" t="s">
        <v>3180</v>
      </c>
      <c r="N355" s="135"/>
      <c r="O355"/>
      <c r="P355"/>
    </row>
    <row r="356" spans="3:16" x14ac:dyDescent="0.2">
      <c r="C356" t="s">
        <v>1982</v>
      </c>
      <c r="G356" s="14">
        <v>12.52</v>
      </c>
      <c r="H356" s="133"/>
      <c r="I356" s="133">
        <v>-10.93</v>
      </c>
      <c r="J356" s="133">
        <v>0</v>
      </c>
      <c r="K356" s="135">
        <v>40684</v>
      </c>
      <c r="L356" s="135" t="s">
        <v>2662</v>
      </c>
      <c r="M356" s="135" t="s">
        <v>2418</v>
      </c>
      <c r="N356" s="135"/>
      <c r="O356"/>
      <c r="P356"/>
    </row>
    <row r="357" spans="3:16" x14ac:dyDescent="0.2">
      <c r="C357" t="s">
        <v>1983</v>
      </c>
      <c r="G357" s="14">
        <v>81.400000000000006</v>
      </c>
      <c r="H357" s="133"/>
      <c r="I357" s="133">
        <v>24.35</v>
      </c>
      <c r="J357" s="133">
        <v>15.6</v>
      </c>
      <c r="K357" s="135">
        <v>40684</v>
      </c>
      <c r="L357" s="135" t="s">
        <v>3510</v>
      </c>
      <c r="M357" s="135" t="s">
        <v>3180</v>
      </c>
      <c r="N357" s="135"/>
      <c r="O357"/>
      <c r="P357"/>
    </row>
    <row r="358" spans="3:16" x14ac:dyDescent="0.2">
      <c r="C358" t="s">
        <v>1853</v>
      </c>
      <c r="G358" s="14">
        <v>0.26</v>
      </c>
      <c r="H358" s="133"/>
      <c r="I358" s="133">
        <v>-0.2</v>
      </c>
      <c r="J358" s="133">
        <v>0</v>
      </c>
      <c r="K358" s="135">
        <v>40684</v>
      </c>
      <c r="L358" s="135" t="s">
        <v>1854</v>
      </c>
      <c r="M358" s="135" t="s">
        <v>2427</v>
      </c>
      <c r="N358" s="135"/>
      <c r="O358"/>
      <c r="P358"/>
    </row>
    <row r="359" spans="3:16" x14ac:dyDescent="0.2">
      <c r="C359" t="s">
        <v>1163</v>
      </c>
      <c r="D359">
        <v>5.85</v>
      </c>
      <c r="E359">
        <v>-6.7</v>
      </c>
      <c r="F359">
        <v>6.1</v>
      </c>
      <c r="G359" s="14">
        <v>61.5</v>
      </c>
      <c r="H359" s="133">
        <v>2.2799999999999998</v>
      </c>
      <c r="I359" s="133">
        <v>1.6</v>
      </c>
      <c r="J359" s="133">
        <v>2.99</v>
      </c>
      <c r="K359" s="135">
        <v>40684</v>
      </c>
      <c r="L359" s="135" t="s">
        <v>2647</v>
      </c>
      <c r="M359" s="135" t="s">
        <v>1756</v>
      </c>
      <c r="N359" s="135"/>
      <c r="O359"/>
      <c r="P359"/>
    </row>
    <row r="360" spans="3:16" x14ac:dyDescent="0.2">
      <c r="C360" t="s">
        <v>1984</v>
      </c>
      <c r="D360">
        <v>46.66</v>
      </c>
      <c r="E360">
        <v>50.87</v>
      </c>
      <c r="G360" s="14">
        <v>596.45000000000005</v>
      </c>
      <c r="H360" s="133">
        <v>15.93</v>
      </c>
      <c r="I360" s="133">
        <v>17.96</v>
      </c>
      <c r="J360" s="133">
        <v>15.67</v>
      </c>
      <c r="K360" s="135">
        <v>40684</v>
      </c>
      <c r="L360" s="135" t="s">
        <v>3511</v>
      </c>
      <c r="M360" s="135" t="s">
        <v>659</v>
      </c>
      <c r="N360" s="135"/>
      <c r="O360"/>
      <c r="P360"/>
    </row>
    <row r="361" spans="3:16" x14ac:dyDescent="0.2">
      <c r="C361" t="s">
        <v>1985</v>
      </c>
      <c r="G361" s="14">
        <v>25.85</v>
      </c>
      <c r="H361" s="133"/>
      <c r="I361" s="133">
        <v>4.45</v>
      </c>
      <c r="J361" s="133">
        <v>17.5</v>
      </c>
      <c r="K361" s="135">
        <v>40684</v>
      </c>
      <c r="L361" s="135" t="s">
        <v>3512</v>
      </c>
      <c r="M361" s="135" t="s">
        <v>2427</v>
      </c>
      <c r="N361" s="135"/>
      <c r="O361"/>
      <c r="P361"/>
    </row>
    <row r="362" spans="3:16" x14ac:dyDescent="0.2">
      <c r="C362" t="s">
        <v>1855</v>
      </c>
      <c r="G362" s="14">
        <v>3.9</v>
      </c>
      <c r="H362" s="133"/>
      <c r="I362" s="133">
        <v>0</v>
      </c>
      <c r="J362" s="133">
        <v>0</v>
      </c>
      <c r="K362" s="135">
        <v>40684</v>
      </c>
      <c r="L362" s="135" t="s">
        <v>1856</v>
      </c>
      <c r="M362" s="135" t="s">
        <v>2994</v>
      </c>
      <c r="N362" s="135"/>
      <c r="O362"/>
      <c r="P362"/>
    </row>
    <row r="363" spans="3:16" x14ac:dyDescent="0.2">
      <c r="C363" t="s">
        <v>1986</v>
      </c>
      <c r="G363" s="14">
        <v>4.33</v>
      </c>
      <c r="H363" s="133"/>
      <c r="K363" s="135">
        <v>40684</v>
      </c>
      <c r="L363" s="135" t="s">
        <v>3513</v>
      </c>
      <c r="M363" s="135" t="s">
        <v>1429</v>
      </c>
      <c r="N363" s="135"/>
      <c r="O363"/>
      <c r="P363"/>
    </row>
    <row r="364" spans="3:16" x14ac:dyDescent="0.2">
      <c r="C364" t="s">
        <v>1244</v>
      </c>
      <c r="G364" s="14">
        <v>50.1</v>
      </c>
      <c r="H364" s="133"/>
      <c r="I364" s="133">
        <v>28.52</v>
      </c>
      <c r="J364" s="133">
        <v>8.2899999999999991</v>
      </c>
      <c r="K364" s="135">
        <v>40684</v>
      </c>
      <c r="L364" s="135" t="s">
        <v>5221</v>
      </c>
      <c r="M364" s="135" t="s">
        <v>1758</v>
      </c>
      <c r="N364" s="135"/>
      <c r="O364"/>
      <c r="P364"/>
    </row>
    <row r="365" spans="3:16" x14ac:dyDescent="0.2">
      <c r="C365" t="s">
        <v>1164</v>
      </c>
      <c r="D365">
        <v>13.07</v>
      </c>
      <c r="E365">
        <v>14.5</v>
      </c>
      <c r="F365">
        <v>16.95</v>
      </c>
      <c r="G365" s="14">
        <v>276.3</v>
      </c>
      <c r="H365" s="133">
        <v>19.21</v>
      </c>
      <c r="I365" s="133">
        <v>38.9</v>
      </c>
      <c r="J365" s="133">
        <v>21.34</v>
      </c>
      <c r="K365" s="135">
        <v>40684</v>
      </c>
      <c r="L365" s="135" t="s">
        <v>2475</v>
      </c>
      <c r="M365" s="135" t="s">
        <v>1761</v>
      </c>
      <c r="N365" s="135"/>
      <c r="O365"/>
      <c r="P365"/>
    </row>
    <row r="366" spans="3:16" x14ac:dyDescent="0.2">
      <c r="C366" t="s">
        <v>1987</v>
      </c>
      <c r="G366" s="14">
        <v>85.9</v>
      </c>
      <c r="H366" s="133"/>
      <c r="I366" s="133">
        <v>-1.91</v>
      </c>
      <c r="J366" s="133">
        <v>32.68</v>
      </c>
      <c r="K366" s="135">
        <v>40684</v>
      </c>
      <c r="L366" s="135" t="s">
        <v>2808</v>
      </c>
      <c r="M366" s="135" t="s">
        <v>3013</v>
      </c>
      <c r="N366" s="135"/>
      <c r="O366"/>
      <c r="P366"/>
    </row>
    <row r="367" spans="3:16" x14ac:dyDescent="0.2">
      <c r="C367" t="s">
        <v>3810</v>
      </c>
      <c r="D367">
        <v>-3.21</v>
      </c>
      <c r="E367">
        <v>6.15</v>
      </c>
      <c r="F367">
        <v>10.75</v>
      </c>
      <c r="G367" s="14">
        <v>242.65</v>
      </c>
      <c r="H367" s="133"/>
      <c r="I367" s="133">
        <v>5.48</v>
      </c>
      <c r="J367" s="133">
        <v>64.61</v>
      </c>
      <c r="K367" s="135">
        <v>40684</v>
      </c>
      <c r="L367" s="135" t="s">
        <v>102</v>
      </c>
      <c r="M367" s="135" t="s">
        <v>2944</v>
      </c>
      <c r="N367" s="135"/>
      <c r="O367"/>
      <c r="P367"/>
    </row>
    <row r="368" spans="3:16" x14ac:dyDescent="0.2">
      <c r="C368" t="s">
        <v>1988</v>
      </c>
      <c r="G368" s="14">
        <v>1.59</v>
      </c>
      <c r="H368" s="133"/>
      <c r="K368" s="135">
        <v>40684</v>
      </c>
      <c r="L368" s="135" t="s">
        <v>2809</v>
      </c>
      <c r="M368" s="135" t="s">
        <v>1429</v>
      </c>
      <c r="N368" s="135"/>
      <c r="O368"/>
      <c r="P368"/>
    </row>
    <row r="369" spans="3:16" x14ac:dyDescent="0.2">
      <c r="C369" t="s">
        <v>2853</v>
      </c>
      <c r="G369" s="14">
        <v>182.5</v>
      </c>
      <c r="H369" s="133"/>
      <c r="I369" s="133">
        <v>15.5</v>
      </c>
      <c r="J369" s="133">
        <v>13.37</v>
      </c>
      <c r="K369" s="135">
        <v>40684</v>
      </c>
      <c r="L369" s="135" t="s">
        <v>2080</v>
      </c>
      <c r="M369" s="135" t="s">
        <v>5141</v>
      </c>
      <c r="N369" s="135"/>
      <c r="O369"/>
      <c r="P369"/>
    </row>
    <row r="370" spans="3:16" x14ac:dyDescent="0.2">
      <c r="C370" t="s">
        <v>103</v>
      </c>
      <c r="D370">
        <v>38.299999999999997</v>
      </c>
      <c r="E370">
        <v>53.3</v>
      </c>
      <c r="G370" s="14">
        <v>480.55</v>
      </c>
      <c r="H370" s="133">
        <v>4.1500000000000004</v>
      </c>
      <c r="I370" s="133">
        <v>29.79</v>
      </c>
      <c r="J370" s="133">
        <v>12.58</v>
      </c>
      <c r="K370" s="135">
        <v>40684</v>
      </c>
      <c r="L370" s="135" t="s">
        <v>4003</v>
      </c>
      <c r="M370" s="135" t="s">
        <v>3180</v>
      </c>
      <c r="N370" s="135"/>
      <c r="O370"/>
      <c r="P370"/>
    </row>
    <row r="371" spans="3:16" x14ac:dyDescent="0.2">
      <c r="C371" t="s">
        <v>2081</v>
      </c>
      <c r="G371" s="14">
        <v>126.05</v>
      </c>
      <c r="H371" s="133">
        <v>1.19</v>
      </c>
      <c r="I371" s="133">
        <v>7.72</v>
      </c>
      <c r="J371" s="133">
        <v>9.65</v>
      </c>
      <c r="K371" s="135">
        <v>40684</v>
      </c>
      <c r="L371" s="135" t="s">
        <v>2082</v>
      </c>
      <c r="M371" s="135" t="s">
        <v>3180</v>
      </c>
      <c r="N371" s="135"/>
      <c r="O371"/>
      <c r="P371"/>
    </row>
    <row r="372" spans="3:16" x14ac:dyDescent="0.2">
      <c r="C372" t="s">
        <v>1989</v>
      </c>
      <c r="G372" s="14">
        <v>124.8</v>
      </c>
      <c r="H372" s="133"/>
      <c r="I372" s="133">
        <v>0.81</v>
      </c>
      <c r="J372" s="133">
        <v>26.02</v>
      </c>
      <c r="K372" s="135">
        <v>40684</v>
      </c>
      <c r="L372" s="135" t="s">
        <v>2810</v>
      </c>
      <c r="M372" s="135" t="s">
        <v>1765</v>
      </c>
      <c r="N372" s="135"/>
      <c r="O372"/>
      <c r="P372"/>
    </row>
    <row r="373" spans="3:16" x14ac:dyDescent="0.2">
      <c r="C373" t="s">
        <v>1165</v>
      </c>
      <c r="E373">
        <v>3.6</v>
      </c>
      <c r="F373">
        <v>6.9</v>
      </c>
      <c r="G373" s="14">
        <v>43.85</v>
      </c>
      <c r="H373" s="133"/>
      <c r="I373" s="133">
        <v>7.84</v>
      </c>
      <c r="J373" s="133">
        <v>15.28</v>
      </c>
      <c r="K373" s="135">
        <v>40684</v>
      </c>
      <c r="L373" s="135" t="s">
        <v>5165</v>
      </c>
      <c r="M373" s="135" t="s">
        <v>2942</v>
      </c>
      <c r="N373" s="135"/>
      <c r="O373"/>
      <c r="P373"/>
    </row>
    <row r="374" spans="3:16" x14ac:dyDescent="0.2">
      <c r="C374" t="s">
        <v>3643</v>
      </c>
      <c r="G374" s="14">
        <v>94.95</v>
      </c>
      <c r="H374" s="133"/>
      <c r="K374" s="135">
        <v>40684</v>
      </c>
      <c r="L374" s="135" t="s">
        <v>2811</v>
      </c>
      <c r="M374" s="135" t="s">
        <v>2993</v>
      </c>
      <c r="N374" s="135"/>
      <c r="O374"/>
      <c r="P374"/>
    </row>
    <row r="375" spans="3:16" x14ac:dyDescent="0.2">
      <c r="C375" t="s">
        <v>1990</v>
      </c>
      <c r="G375" s="14">
        <v>51.8</v>
      </c>
      <c r="H375" s="133"/>
      <c r="K375" s="135">
        <v>40684</v>
      </c>
      <c r="L375" s="135" t="s">
        <v>2812</v>
      </c>
      <c r="M375" s="135" t="s">
        <v>2997</v>
      </c>
      <c r="N375" s="135"/>
      <c r="O375"/>
      <c r="P375"/>
    </row>
    <row r="376" spans="3:16" x14ac:dyDescent="0.2">
      <c r="C376" t="s">
        <v>1253</v>
      </c>
      <c r="G376" s="14">
        <v>1.45</v>
      </c>
      <c r="H376" s="133"/>
      <c r="I376" s="133">
        <v>18.18</v>
      </c>
      <c r="J376" s="133">
        <v>1.97</v>
      </c>
      <c r="K376" s="135">
        <v>40684</v>
      </c>
      <c r="L376" s="135" t="s">
        <v>2768</v>
      </c>
      <c r="M376" s="135" t="s">
        <v>2942</v>
      </c>
      <c r="N376" s="135"/>
      <c r="O376"/>
      <c r="P376"/>
    </row>
    <row r="377" spans="3:16" x14ac:dyDescent="0.2">
      <c r="C377" t="s">
        <v>1991</v>
      </c>
      <c r="G377" s="14">
        <v>0.28999999999999998</v>
      </c>
      <c r="H377" s="133"/>
      <c r="K377" s="135">
        <v>40684</v>
      </c>
      <c r="L377" s="135" t="s">
        <v>2813</v>
      </c>
      <c r="M377" s="135" t="s">
        <v>1429</v>
      </c>
      <c r="N377" s="135"/>
      <c r="O377"/>
      <c r="P377"/>
    </row>
    <row r="378" spans="3:16" x14ac:dyDescent="0.2">
      <c r="C378" t="s">
        <v>1992</v>
      </c>
      <c r="G378" s="14">
        <v>27.4</v>
      </c>
      <c r="H378" s="133"/>
      <c r="I378" s="133">
        <v>-1.54</v>
      </c>
      <c r="J378" s="133">
        <v>11.45</v>
      </c>
      <c r="K378" s="135">
        <v>40684</v>
      </c>
      <c r="L378" s="135" t="s">
        <v>2814</v>
      </c>
      <c r="M378" s="135" t="s">
        <v>2994</v>
      </c>
      <c r="N378" s="135"/>
      <c r="O378"/>
      <c r="P378"/>
    </row>
    <row r="379" spans="3:16" x14ac:dyDescent="0.2">
      <c r="C379" t="s">
        <v>1166</v>
      </c>
      <c r="D379">
        <v>4.0999999999999996</v>
      </c>
      <c r="E379">
        <v>5.2</v>
      </c>
      <c r="F379">
        <v>8.3000000000000007</v>
      </c>
      <c r="G379" s="14">
        <v>81.900000000000006</v>
      </c>
      <c r="H379" s="133">
        <v>1.47</v>
      </c>
      <c r="I379" s="133">
        <v>-0.75</v>
      </c>
      <c r="J379" s="133">
        <v>21.64</v>
      </c>
      <c r="K379" s="135">
        <v>40684</v>
      </c>
      <c r="L379" s="135" t="s">
        <v>638</v>
      </c>
      <c r="M379" s="135" t="s">
        <v>2942</v>
      </c>
      <c r="N379" s="135"/>
      <c r="O379"/>
      <c r="P379"/>
    </row>
    <row r="380" spans="3:16" x14ac:dyDescent="0.2">
      <c r="C380" t="s">
        <v>4911</v>
      </c>
      <c r="G380" s="14">
        <v>567.25</v>
      </c>
      <c r="H380" s="133">
        <v>0.35</v>
      </c>
      <c r="I380" s="133">
        <v>16.97</v>
      </c>
      <c r="J380" s="133">
        <v>24.88</v>
      </c>
      <c r="K380" s="135">
        <v>40684</v>
      </c>
      <c r="L380" s="135" t="s">
        <v>1888</v>
      </c>
      <c r="M380" s="135"/>
      <c r="N380" s="135"/>
      <c r="O380"/>
      <c r="P380"/>
    </row>
    <row r="381" spans="3:16" x14ac:dyDescent="0.2">
      <c r="C381" t="s">
        <v>2769</v>
      </c>
      <c r="G381" s="14">
        <v>5.38</v>
      </c>
      <c r="H381" s="133"/>
      <c r="I381" s="133">
        <v>0</v>
      </c>
      <c r="J381" s="133">
        <v>9.67</v>
      </c>
      <c r="K381" s="135">
        <v>40684</v>
      </c>
      <c r="L381" s="135" t="s">
        <v>4215</v>
      </c>
      <c r="M381" s="135" t="s">
        <v>2424</v>
      </c>
      <c r="N381" s="135"/>
      <c r="O381"/>
      <c r="P381"/>
    </row>
    <row r="382" spans="3:16" x14ac:dyDescent="0.2">
      <c r="C382" t="s">
        <v>4004</v>
      </c>
      <c r="D382">
        <v>6.69</v>
      </c>
      <c r="E382">
        <v>7.1</v>
      </c>
      <c r="F382">
        <v>8.6199999999999992</v>
      </c>
      <c r="G382" s="14">
        <v>158.80000000000001</v>
      </c>
      <c r="H382" s="133"/>
      <c r="I382" s="133">
        <v>24.7</v>
      </c>
      <c r="J382" s="133">
        <v>20.28</v>
      </c>
      <c r="K382" s="135">
        <v>40684</v>
      </c>
      <c r="L382" s="135" t="s">
        <v>2854</v>
      </c>
      <c r="M382" s="135" t="s">
        <v>2418</v>
      </c>
      <c r="N382" s="135"/>
      <c r="O382"/>
      <c r="P382"/>
    </row>
    <row r="383" spans="3:16" x14ac:dyDescent="0.2">
      <c r="C383" t="s">
        <v>1889</v>
      </c>
      <c r="G383" s="14">
        <v>9.76</v>
      </c>
      <c r="H383" s="133">
        <v>1.02</v>
      </c>
      <c r="I383" s="133">
        <v>12.21</v>
      </c>
      <c r="J383" s="133">
        <v>18.37</v>
      </c>
      <c r="K383" s="135">
        <v>40684</v>
      </c>
      <c r="L383" s="135" t="s">
        <v>3561</v>
      </c>
      <c r="M383" s="135"/>
      <c r="N383" s="135"/>
      <c r="O383"/>
      <c r="P383"/>
    </row>
    <row r="384" spans="3:16" x14ac:dyDescent="0.2">
      <c r="C384" t="s">
        <v>5222</v>
      </c>
      <c r="G384" s="14">
        <v>4.88</v>
      </c>
      <c r="H384" s="133"/>
      <c r="I384" s="133">
        <v>13.17</v>
      </c>
      <c r="J384" s="133">
        <v>2.9</v>
      </c>
      <c r="K384" s="135">
        <v>40684</v>
      </c>
      <c r="L384" s="135" t="s">
        <v>5223</v>
      </c>
      <c r="M384" s="135" t="s">
        <v>2417</v>
      </c>
      <c r="N384" s="135"/>
      <c r="O384"/>
      <c r="P384"/>
    </row>
    <row r="385" spans="3:16" x14ac:dyDescent="0.2">
      <c r="C385" t="s">
        <v>4216</v>
      </c>
      <c r="G385" s="14">
        <v>1.75</v>
      </c>
      <c r="H385" s="133"/>
      <c r="I385" s="133">
        <v>-57.36</v>
      </c>
      <c r="J385" s="133">
        <v>0</v>
      </c>
      <c r="K385" s="135">
        <v>40684</v>
      </c>
      <c r="L385" s="135"/>
      <c r="M385" s="135" t="s">
        <v>2997</v>
      </c>
      <c r="N385" s="135"/>
      <c r="O385"/>
      <c r="P385"/>
    </row>
    <row r="386" spans="3:16" x14ac:dyDescent="0.2">
      <c r="C386" t="s">
        <v>1993</v>
      </c>
      <c r="G386" s="14">
        <v>1110.2</v>
      </c>
      <c r="H386" s="133">
        <v>0.45</v>
      </c>
      <c r="I386" s="133">
        <v>23.55</v>
      </c>
      <c r="J386" s="133">
        <v>15.11</v>
      </c>
      <c r="K386" s="135">
        <v>40684</v>
      </c>
      <c r="L386" s="135" t="s">
        <v>1311</v>
      </c>
      <c r="M386" s="135" t="s">
        <v>3180</v>
      </c>
      <c r="N386" s="135"/>
      <c r="O386"/>
      <c r="P386"/>
    </row>
    <row r="387" spans="3:16" x14ac:dyDescent="0.2">
      <c r="C387" t="s">
        <v>4147</v>
      </c>
      <c r="H387" s="133"/>
      <c r="I387" s="133">
        <v>17.89</v>
      </c>
      <c r="J387" s="133">
        <v>48.42</v>
      </c>
      <c r="K387" s="135">
        <v>40684</v>
      </c>
      <c r="L387" s="135" t="s">
        <v>2509</v>
      </c>
      <c r="M387" s="135" t="s">
        <v>2427</v>
      </c>
      <c r="N387" s="135"/>
      <c r="O387"/>
      <c r="P387"/>
    </row>
    <row r="388" spans="3:16" x14ac:dyDescent="0.2">
      <c r="C388" t="s">
        <v>1994</v>
      </c>
      <c r="G388" s="14">
        <v>106.4</v>
      </c>
      <c r="H388" s="133">
        <v>1.66</v>
      </c>
      <c r="I388" s="133">
        <v>25.03</v>
      </c>
      <c r="J388" s="133">
        <v>13.11</v>
      </c>
      <c r="K388" s="135">
        <v>40684</v>
      </c>
      <c r="L388" s="135" t="s">
        <v>1312</v>
      </c>
      <c r="M388" s="135" t="s">
        <v>659</v>
      </c>
      <c r="N388" s="135"/>
      <c r="O388"/>
      <c r="P388"/>
    </row>
    <row r="389" spans="3:16" x14ac:dyDescent="0.2">
      <c r="C389" t="s">
        <v>2288</v>
      </c>
      <c r="D389">
        <v>27.16</v>
      </c>
      <c r="E389">
        <v>33.51</v>
      </c>
      <c r="F389">
        <v>44.8</v>
      </c>
      <c r="G389" s="14">
        <v>432.65</v>
      </c>
      <c r="H389" s="133"/>
      <c r="K389" s="135">
        <v>40684</v>
      </c>
      <c r="L389" s="135" t="s">
        <v>2510</v>
      </c>
      <c r="M389" s="135" t="s">
        <v>660</v>
      </c>
      <c r="N389" s="135"/>
      <c r="O389"/>
      <c r="P389"/>
    </row>
    <row r="390" spans="3:16" x14ac:dyDescent="0.2">
      <c r="C390" t="s">
        <v>5224</v>
      </c>
      <c r="G390" s="14">
        <v>18</v>
      </c>
      <c r="H390" s="133"/>
      <c r="I390" s="133">
        <v>3.61</v>
      </c>
      <c r="J390" s="133">
        <v>8.85</v>
      </c>
      <c r="K390" s="135">
        <v>40684</v>
      </c>
      <c r="L390" s="135" t="s">
        <v>5225</v>
      </c>
      <c r="M390" s="135" t="s">
        <v>2417</v>
      </c>
      <c r="N390" s="135"/>
      <c r="O390"/>
      <c r="P390"/>
    </row>
    <row r="391" spans="3:16" x14ac:dyDescent="0.2">
      <c r="C391" t="s">
        <v>1995</v>
      </c>
      <c r="G391" s="14">
        <v>39.799999999999997</v>
      </c>
      <c r="H391" s="133"/>
      <c r="I391" s="133">
        <v>19.52</v>
      </c>
      <c r="J391" s="133">
        <v>3.59</v>
      </c>
      <c r="K391" s="135">
        <v>40684</v>
      </c>
      <c r="L391" s="135" t="s">
        <v>1313</v>
      </c>
      <c r="M391" s="135" t="s">
        <v>2994</v>
      </c>
      <c r="N391" s="135"/>
      <c r="O391"/>
      <c r="P391"/>
    </row>
    <row r="392" spans="3:16" x14ac:dyDescent="0.2">
      <c r="C392" t="s">
        <v>2289</v>
      </c>
      <c r="D392">
        <v>8.74</v>
      </c>
      <c r="E392">
        <v>5.7</v>
      </c>
      <c r="F392">
        <v>8.1999999999999993</v>
      </c>
      <c r="G392" s="14">
        <v>48.1</v>
      </c>
      <c r="H392" s="133"/>
      <c r="I392" s="133">
        <v>19.920000000000002</v>
      </c>
      <c r="J392" s="133">
        <v>8.49</v>
      </c>
      <c r="K392" s="135">
        <v>40684</v>
      </c>
      <c r="L392" s="135" t="s">
        <v>1270</v>
      </c>
      <c r="M392" s="135" t="s">
        <v>1763</v>
      </c>
      <c r="N392" s="135"/>
      <c r="O392"/>
      <c r="P392"/>
    </row>
    <row r="393" spans="3:16" x14ac:dyDescent="0.2">
      <c r="C393" t="s">
        <v>2935</v>
      </c>
      <c r="D393">
        <v>10.67</v>
      </c>
      <c r="E393">
        <v>7.15</v>
      </c>
      <c r="F393">
        <v>9.75</v>
      </c>
      <c r="G393" s="14">
        <v>83.6</v>
      </c>
      <c r="H393" s="133"/>
      <c r="I393" s="133">
        <v>33.42</v>
      </c>
      <c r="J393" s="133">
        <v>13.62</v>
      </c>
      <c r="K393" s="135">
        <v>40684</v>
      </c>
      <c r="L393" s="135" t="s">
        <v>1271</v>
      </c>
      <c r="M393" s="135" t="s">
        <v>1765</v>
      </c>
      <c r="N393" s="135"/>
      <c r="O393"/>
      <c r="P393"/>
    </row>
    <row r="394" spans="3:16" x14ac:dyDescent="0.2">
      <c r="C394" t="s">
        <v>1996</v>
      </c>
      <c r="G394" s="14">
        <v>819.4</v>
      </c>
      <c r="H394" s="133"/>
      <c r="K394" s="135">
        <v>40684</v>
      </c>
      <c r="L394" s="135" t="s">
        <v>1314</v>
      </c>
      <c r="M394" s="135" t="s">
        <v>1429</v>
      </c>
      <c r="N394" s="135"/>
      <c r="O394"/>
      <c r="P394"/>
    </row>
    <row r="395" spans="3:16" x14ac:dyDescent="0.2">
      <c r="C395" t="s">
        <v>4148</v>
      </c>
      <c r="G395" s="14">
        <v>17.399999999999999</v>
      </c>
      <c r="H395" s="133"/>
      <c r="I395" s="133">
        <v>6.48</v>
      </c>
      <c r="J395" s="133">
        <v>11.34</v>
      </c>
      <c r="K395" s="135">
        <v>40684</v>
      </c>
      <c r="L395" s="135" t="s">
        <v>3619</v>
      </c>
      <c r="M395" s="135" t="s">
        <v>1429</v>
      </c>
      <c r="N395" s="135"/>
      <c r="O395"/>
      <c r="P395"/>
    </row>
    <row r="396" spans="3:16" x14ac:dyDescent="0.2">
      <c r="C396" t="s">
        <v>3154</v>
      </c>
      <c r="G396" s="14">
        <v>0.95</v>
      </c>
      <c r="H396" s="133"/>
      <c r="I396" s="133">
        <v>-4.45</v>
      </c>
      <c r="J396" s="133">
        <v>0</v>
      </c>
      <c r="K396" s="135">
        <v>40684</v>
      </c>
      <c r="L396" s="135" t="s">
        <v>3620</v>
      </c>
      <c r="M396" s="135" t="s">
        <v>1764</v>
      </c>
      <c r="N396" s="135"/>
      <c r="O396"/>
      <c r="P396"/>
    </row>
    <row r="397" spans="3:16" x14ac:dyDescent="0.2">
      <c r="C397" t="s">
        <v>3155</v>
      </c>
      <c r="G397" s="14">
        <v>17.95</v>
      </c>
      <c r="H397" s="133">
        <v>0.79</v>
      </c>
      <c r="I397" s="133">
        <v>19.489999999999998</v>
      </c>
      <c r="J397" s="133">
        <v>22.89</v>
      </c>
      <c r="K397" s="135">
        <v>40684</v>
      </c>
      <c r="L397" s="135" t="s">
        <v>3621</v>
      </c>
      <c r="M397" s="135" t="s">
        <v>3180</v>
      </c>
      <c r="N397" s="135"/>
      <c r="O397"/>
      <c r="P397"/>
    </row>
    <row r="398" spans="3:16" x14ac:dyDescent="0.2">
      <c r="C398" t="s">
        <v>3562</v>
      </c>
      <c r="G398" s="14">
        <v>182.5</v>
      </c>
      <c r="H398" s="133"/>
      <c r="I398" s="133">
        <v>8.27</v>
      </c>
      <c r="J398" s="133">
        <v>4.82</v>
      </c>
      <c r="K398" s="135">
        <v>40684</v>
      </c>
      <c r="L398" s="135" t="s">
        <v>3563</v>
      </c>
      <c r="M398" s="135"/>
      <c r="N398" s="135"/>
      <c r="O398"/>
      <c r="P398"/>
    </row>
    <row r="399" spans="3:16" x14ac:dyDescent="0.2">
      <c r="C399" t="s">
        <v>4217</v>
      </c>
      <c r="G399" s="14">
        <v>33</v>
      </c>
      <c r="H399" s="133"/>
      <c r="I399" s="133">
        <v>22.39</v>
      </c>
      <c r="J399" s="133">
        <v>8.4499999999999993</v>
      </c>
      <c r="K399" s="135">
        <v>40684</v>
      </c>
      <c r="L399" s="135" t="s">
        <v>4218</v>
      </c>
      <c r="M399" s="135" t="s">
        <v>3180</v>
      </c>
      <c r="N399" s="135"/>
      <c r="O399"/>
      <c r="P399"/>
    </row>
    <row r="400" spans="3:16" x14ac:dyDescent="0.2">
      <c r="C400" t="s">
        <v>1997</v>
      </c>
      <c r="G400" s="14">
        <v>65.099999999999994</v>
      </c>
      <c r="H400" s="133"/>
      <c r="I400" s="133">
        <v>-23.88</v>
      </c>
      <c r="J400" s="133">
        <v>429.42</v>
      </c>
      <c r="K400" s="135">
        <v>40684</v>
      </c>
      <c r="L400" s="135" t="s">
        <v>1315</v>
      </c>
      <c r="M400" s="135" t="s">
        <v>2994</v>
      </c>
      <c r="N400" s="135"/>
      <c r="O400"/>
      <c r="P400"/>
    </row>
    <row r="401" spans="3:16" x14ac:dyDescent="0.2">
      <c r="C401" t="s">
        <v>4219</v>
      </c>
      <c r="G401" s="14">
        <v>158.94999999999999</v>
      </c>
      <c r="H401" s="133"/>
      <c r="I401" s="133">
        <v>1.53</v>
      </c>
      <c r="J401" s="133">
        <v>212.26</v>
      </c>
      <c r="K401" s="135">
        <v>40684</v>
      </c>
      <c r="L401" s="135"/>
      <c r="M401" s="135"/>
      <c r="N401" s="135"/>
      <c r="O401"/>
      <c r="P401"/>
    </row>
    <row r="402" spans="3:16" x14ac:dyDescent="0.2">
      <c r="C402" t="s">
        <v>2936</v>
      </c>
      <c r="D402">
        <v>26.89</v>
      </c>
      <c r="E402">
        <v>29.63</v>
      </c>
      <c r="F402">
        <v>33.82</v>
      </c>
      <c r="G402" s="14">
        <v>179.6</v>
      </c>
      <c r="H402" s="133"/>
      <c r="I402" s="133">
        <v>27.07</v>
      </c>
      <c r="J402" s="133">
        <v>8.66</v>
      </c>
      <c r="K402" s="135">
        <v>40684</v>
      </c>
      <c r="L402" s="135" t="s">
        <v>1858</v>
      </c>
      <c r="M402" s="135" t="s">
        <v>1429</v>
      </c>
      <c r="N402" s="135"/>
      <c r="O402"/>
      <c r="P402"/>
    </row>
    <row r="403" spans="3:16" x14ac:dyDescent="0.2">
      <c r="C403" t="s">
        <v>1998</v>
      </c>
      <c r="G403" s="14">
        <v>105</v>
      </c>
      <c r="H403" s="133">
        <v>0.53</v>
      </c>
      <c r="I403" s="133">
        <v>5.57</v>
      </c>
      <c r="J403" s="133">
        <v>27.41</v>
      </c>
      <c r="K403" s="135">
        <v>40684</v>
      </c>
      <c r="L403" s="135" t="s">
        <v>1316</v>
      </c>
      <c r="M403" s="135" t="s">
        <v>659</v>
      </c>
      <c r="N403" s="135"/>
      <c r="O403"/>
      <c r="P403"/>
    </row>
    <row r="404" spans="3:16" x14ac:dyDescent="0.2">
      <c r="C404" t="s">
        <v>1859</v>
      </c>
      <c r="E404">
        <v>4.3</v>
      </c>
      <c r="F404">
        <v>5.66</v>
      </c>
      <c r="G404" s="14">
        <v>46.1</v>
      </c>
      <c r="H404" s="133">
        <v>1.84</v>
      </c>
      <c r="I404" s="133">
        <v>17.45</v>
      </c>
      <c r="J404" s="133">
        <v>13.79</v>
      </c>
      <c r="K404" s="135">
        <v>40684</v>
      </c>
      <c r="L404" s="135" t="s">
        <v>1860</v>
      </c>
      <c r="M404" s="135" t="s">
        <v>2418</v>
      </c>
      <c r="N404" s="135"/>
      <c r="O404"/>
      <c r="P404"/>
    </row>
    <row r="405" spans="3:16" x14ac:dyDescent="0.2">
      <c r="C405" t="s">
        <v>2321</v>
      </c>
      <c r="D405">
        <v>24.75</v>
      </c>
      <c r="E405">
        <v>28.99</v>
      </c>
      <c r="F405">
        <v>33.4</v>
      </c>
      <c r="G405" s="14">
        <v>426.2</v>
      </c>
      <c r="H405" s="133"/>
      <c r="K405" s="135">
        <v>40684</v>
      </c>
      <c r="L405" s="135" t="s">
        <v>1861</v>
      </c>
      <c r="M405" s="135" t="s">
        <v>1765</v>
      </c>
      <c r="N405" s="135"/>
      <c r="O405"/>
      <c r="P405"/>
    </row>
    <row r="406" spans="3:16" x14ac:dyDescent="0.2">
      <c r="C406" t="s">
        <v>881</v>
      </c>
      <c r="G406" s="14">
        <v>3.53</v>
      </c>
      <c r="H406" s="133"/>
      <c r="K406" s="135">
        <v>40684</v>
      </c>
      <c r="L406" s="135" t="s">
        <v>1317</v>
      </c>
      <c r="M406" s="135" t="s">
        <v>2418</v>
      </c>
      <c r="N406" s="135"/>
      <c r="O406"/>
      <c r="P406"/>
    </row>
    <row r="407" spans="3:16" x14ac:dyDescent="0.2">
      <c r="C407" t="s">
        <v>1862</v>
      </c>
      <c r="D407">
        <v>11.91</v>
      </c>
      <c r="E407">
        <v>10.1</v>
      </c>
      <c r="F407">
        <v>10</v>
      </c>
      <c r="G407" s="14">
        <v>103.75</v>
      </c>
      <c r="H407" s="133"/>
      <c r="I407" s="133">
        <v>7.34</v>
      </c>
      <c r="J407" s="133">
        <v>11.2</v>
      </c>
      <c r="K407" s="135">
        <v>40684</v>
      </c>
      <c r="L407" s="135" t="s">
        <v>1863</v>
      </c>
      <c r="M407" s="135" t="s">
        <v>1755</v>
      </c>
      <c r="N407" s="135" t="s">
        <v>5427</v>
      </c>
      <c r="O407"/>
      <c r="P407"/>
    </row>
    <row r="408" spans="3:16" x14ac:dyDescent="0.2">
      <c r="C408" t="s">
        <v>4220</v>
      </c>
      <c r="G408" s="14">
        <v>66.400000000000006</v>
      </c>
      <c r="H408" s="133"/>
      <c r="I408" s="133">
        <v>4</v>
      </c>
      <c r="J408" s="133">
        <v>51.93</v>
      </c>
      <c r="K408" s="135">
        <v>40684</v>
      </c>
      <c r="L408" s="135" t="s">
        <v>4263</v>
      </c>
      <c r="M408" s="135" t="s">
        <v>2425</v>
      </c>
      <c r="N408" s="135"/>
      <c r="O408"/>
      <c r="P408"/>
    </row>
    <row r="409" spans="3:16" x14ac:dyDescent="0.2">
      <c r="C409" t="s">
        <v>3564</v>
      </c>
      <c r="G409" s="14">
        <v>127.65</v>
      </c>
      <c r="H409" s="133"/>
      <c r="I409" s="133">
        <v>9.33</v>
      </c>
      <c r="J409" s="133">
        <v>7.27</v>
      </c>
      <c r="K409" s="135">
        <v>40684</v>
      </c>
      <c r="L409" s="135" t="s">
        <v>3565</v>
      </c>
      <c r="M409" s="135"/>
      <c r="N409" s="135"/>
      <c r="O409"/>
      <c r="P409"/>
    </row>
    <row r="410" spans="3:16" x14ac:dyDescent="0.2">
      <c r="C410" t="s">
        <v>4264</v>
      </c>
      <c r="G410" s="14">
        <v>60.6</v>
      </c>
      <c r="H410" s="133">
        <v>1.65</v>
      </c>
      <c r="I410" s="133">
        <v>22.64</v>
      </c>
      <c r="J410" s="133">
        <v>9.1999999999999993</v>
      </c>
      <c r="K410" s="135">
        <v>40684</v>
      </c>
      <c r="L410" s="135" t="s">
        <v>4265</v>
      </c>
      <c r="M410" s="135" t="s">
        <v>2994</v>
      </c>
      <c r="N410" s="135"/>
      <c r="O410"/>
      <c r="P410"/>
    </row>
    <row r="411" spans="3:16" x14ac:dyDescent="0.2">
      <c r="C411" t="s">
        <v>882</v>
      </c>
      <c r="G411" s="14">
        <v>114</v>
      </c>
      <c r="H411" s="133"/>
      <c r="I411" s="133">
        <v>23.53</v>
      </c>
      <c r="J411" s="133">
        <v>6.43</v>
      </c>
      <c r="K411" s="135">
        <v>40684</v>
      </c>
      <c r="L411" s="135" t="s">
        <v>1318</v>
      </c>
      <c r="M411" s="135" t="s">
        <v>2997</v>
      </c>
      <c r="N411" s="135"/>
      <c r="O411"/>
      <c r="P411"/>
    </row>
    <row r="412" spans="3:16" x14ac:dyDescent="0.2">
      <c r="C412" t="s">
        <v>883</v>
      </c>
      <c r="G412" s="14">
        <v>6</v>
      </c>
      <c r="H412" s="133"/>
      <c r="I412" s="133">
        <v>0</v>
      </c>
      <c r="J412" s="133">
        <v>0</v>
      </c>
      <c r="K412" s="135">
        <v>40684</v>
      </c>
      <c r="L412" s="135" t="s">
        <v>1319</v>
      </c>
      <c r="M412" s="135" t="s">
        <v>2994</v>
      </c>
      <c r="N412" s="135"/>
      <c r="O412"/>
      <c r="P412"/>
    </row>
    <row r="413" spans="3:16" x14ac:dyDescent="0.2">
      <c r="C413" t="s">
        <v>884</v>
      </c>
      <c r="G413" s="14">
        <v>2.2999999999999998</v>
      </c>
      <c r="H413" s="133"/>
      <c r="I413" s="133">
        <v>-2.11</v>
      </c>
      <c r="J413" s="133">
        <v>0</v>
      </c>
      <c r="K413" s="135">
        <v>40684</v>
      </c>
      <c r="L413" s="135" t="s">
        <v>1320</v>
      </c>
      <c r="M413" s="135" t="s">
        <v>1429</v>
      </c>
      <c r="N413" s="135"/>
      <c r="O413"/>
      <c r="P413"/>
    </row>
    <row r="414" spans="3:16" x14ac:dyDescent="0.2">
      <c r="C414" t="s">
        <v>885</v>
      </c>
      <c r="G414" s="14">
        <v>11.11</v>
      </c>
      <c r="H414" s="133"/>
      <c r="I414" s="133">
        <v>6.09</v>
      </c>
      <c r="J414" s="133">
        <v>32.75</v>
      </c>
      <c r="K414" s="135">
        <v>40684</v>
      </c>
      <c r="L414" s="135" t="s">
        <v>889</v>
      </c>
      <c r="M414" s="135" t="s">
        <v>2944</v>
      </c>
      <c r="N414" s="135"/>
      <c r="O414"/>
      <c r="P414"/>
    </row>
    <row r="415" spans="3:16" x14ac:dyDescent="0.2">
      <c r="C415" t="s">
        <v>886</v>
      </c>
      <c r="G415" s="14">
        <v>116.95</v>
      </c>
      <c r="H415" s="133"/>
      <c r="I415" s="133">
        <v>17.940000000000001</v>
      </c>
      <c r="J415" s="133">
        <v>6.54</v>
      </c>
      <c r="K415" s="135">
        <v>40684</v>
      </c>
      <c r="L415" s="135" t="s">
        <v>101</v>
      </c>
      <c r="M415" s="135" t="s">
        <v>2993</v>
      </c>
      <c r="N415" s="135"/>
      <c r="O415"/>
      <c r="P415"/>
    </row>
    <row r="416" spans="3:16" x14ac:dyDescent="0.2">
      <c r="C416" t="s">
        <v>887</v>
      </c>
      <c r="G416" s="14">
        <v>93.4</v>
      </c>
      <c r="H416" s="133"/>
      <c r="I416" s="133">
        <v>13.05</v>
      </c>
      <c r="J416" s="133">
        <v>4.26</v>
      </c>
      <c r="K416" s="135">
        <v>40684</v>
      </c>
      <c r="L416" s="135" t="s">
        <v>4171</v>
      </c>
      <c r="M416" s="135" t="s">
        <v>2994</v>
      </c>
      <c r="N416" s="135"/>
      <c r="O416"/>
      <c r="P416"/>
    </row>
    <row r="417" spans="3:16" x14ac:dyDescent="0.2">
      <c r="C417" t="s">
        <v>3566</v>
      </c>
      <c r="G417" s="14">
        <v>63.7</v>
      </c>
      <c r="H417" s="133">
        <v>0.63</v>
      </c>
      <c r="I417" s="133">
        <v>5.85</v>
      </c>
      <c r="J417" s="133">
        <v>36.4</v>
      </c>
      <c r="K417" s="135">
        <v>40684</v>
      </c>
      <c r="L417" s="135" t="s">
        <v>74</v>
      </c>
      <c r="M417" s="135"/>
      <c r="N417" s="135"/>
      <c r="O417"/>
      <c r="P417"/>
    </row>
    <row r="418" spans="3:16" x14ac:dyDescent="0.2">
      <c r="C418" t="s">
        <v>2937</v>
      </c>
      <c r="D418">
        <v>7.34</v>
      </c>
      <c r="E418">
        <v>8.0500000000000007</v>
      </c>
      <c r="F418">
        <v>9.6</v>
      </c>
      <c r="G418" s="14">
        <v>114.35</v>
      </c>
      <c r="H418" s="133"/>
      <c r="I418" s="133">
        <v>10.89</v>
      </c>
      <c r="J418" s="133">
        <v>14.46</v>
      </c>
      <c r="K418" s="135">
        <v>40684</v>
      </c>
      <c r="L418" s="135" t="s">
        <v>3622</v>
      </c>
      <c r="M418" s="135" t="s">
        <v>3181</v>
      </c>
      <c r="N418" s="135"/>
      <c r="O418"/>
      <c r="P418"/>
    </row>
    <row r="419" spans="3:16" x14ac:dyDescent="0.2">
      <c r="C419" t="s">
        <v>888</v>
      </c>
      <c r="G419" s="14">
        <v>4.0599999999999996</v>
      </c>
      <c r="H419" s="133"/>
      <c r="I419" s="133">
        <v>8.66</v>
      </c>
      <c r="J419" s="133">
        <v>19.57</v>
      </c>
      <c r="K419" s="135">
        <v>40684</v>
      </c>
      <c r="L419" s="135" t="s">
        <v>2649</v>
      </c>
      <c r="M419" s="135" t="s">
        <v>1429</v>
      </c>
      <c r="N419" s="135"/>
      <c r="O419"/>
      <c r="P419"/>
    </row>
    <row r="420" spans="3:16" x14ac:dyDescent="0.2">
      <c r="C420" t="s">
        <v>1864</v>
      </c>
      <c r="D420">
        <v>8.0299999999999994</v>
      </c>
      <c r="E420">
        <v>7.25</v>
      </c>
      <c r="F420">
        <v>10.38</v>
      </c>
      <c r="G420" s="14">
        <v>253.2</v>
      </c>
      <c r="H420" s="133">
        <v>0.71</v>
      </c>
      <c r="I420" s="133">
        <v>18.63</v>
      </c>
      <c r="J420" s="133">
        <v>32.43</v>
      </c>
      <c r="K420" s="135">
        <v>40684</v>
      </c>
      <c r="L420" s="135" t="s">
        <v>3172</v>
      </c>
      <c r="M420" s="135" t="s">
        <v>1756</v>
      </c>
      <c r="N420" s="135"/>
      <c r="O420"/>
      <c r="P420"/>
    </row>
    <row r="421" spans="3:16" x14ac:dyDescent="0.2">
      <c r="C421" t="s">
        <v>5226</v>
      </c>
      <c r="G421" s="14">
        <v>192.1</v>
      </c>
      <c r="H421" s="133"/>
      <c r="I421" s="133">
        <v>16.329999999999998</v>
      </c>
      <c r="J421" s="133">
        <v>12.56</v>
      </c>
      <c r="K421" s="135">
        <v>40684</v>
      </c>
      <c r="L421" s="135" t="s">
        <v>4115</v>
      </c>
      <c r="M421" s="135" t="s">
        <v>3180</v>
      </c>
      <c r="N421" s="135"/>
      <c r="O421"/>
      <c r="P421"/>
    </row>
    <row r="422" spans="3:16" x14ac:dyDescent="0.2">
      <c r="C422" t="s">
        <v>2938</v>
      </c>
      <c r="E422">
        <v>3.55</v>
      </c>
      <c r="F422">
        <v>4.25</v>
      </c>
      <c r="G422" s="14">
        <v>14.5</v>
      </c>
      <c r="H422" s="133"/>
      <c r="I422" s="133">
        <v>16.66</v>
      </c>
      <c r="J422" s="133">
        <v>3.6</v>
      </c>
      <c r="K422" s="135">
        <v>40684</v>
      </c>
      <c r="L422" s="135" t="s">
        <v>2889</v>
      </c>
      <c r="M422" s="135" t="s">
        <v>2428</v>
      </c>
      <c r="N422" s="135"/>
      <c r="O422"/>
      <c r="P422"/>
    </row>
    <row r="423" spans="3:16" x14ac:dyDescent="0.2">
      <c r="C423" t="s">
        <v>75</v>
      </c>
      <c r="G423" s="14">
        <v>23.25</v>
      </c>
      <c r="H423" s="133"/>
      <c r="I423" s="133">
        <v>18.3</v>
      </c>
      <c r="J423" s="133">
        <v>10.94</v>
      </c>
      <c r="K423" s="135">
        <v>40684</v>
      </c>
      <c r="L423" s="135" t="s">
        <v>76</v>
      </c>
      <c r="M423" s="135" t="s">
        <v>660</v>
      </c>
      <c r="N423" s="135"/>
      <c r="O423"/>
      <c r="P423"/>
    </row>
    <row r="424" spans="3:16" x14ac:dyDescent="0.2">
      <c r="C424" t="s">
        <v>1865</v>
      </c>
      <c r="D424">
        <v>7.55</v>
      </c>
      <c r="E424">
        <v>8.9499999999999993</v>
      </c>
      <c r="F424">
        <v>9.1999999999999993</v>
      </c>
      <c r="G424" s="14">
        <v>58.45</v>
      </c>
      <c r="H424" s="133"/>
      <c r="I424" s="133">
        <v>11.94</v>
      </c>
      <c r="J424" s="133">
        <v>16.440000000000001</v>
      </c>
      <c r="K424" s="135">
        <v>40684</v>
      </c>
      <c r="L424" s="135" t="s">
        <v>4090</v>
      </c>
      <c r="M424" s="135" t="s">
        <v>1429</v>
      </c>
      <c r="N424" s="135"/>
      <c r="O424"/>
      <c r="P424"/>
    </row>
    <row r="425" spans="3:16" x14ac:dyDescent="0.2">
      <c r="C425" t="s">
        <v>2939</v>
      </c>
      <c r="D425">
        <v>20</v>
      </c>
      <c r="E425">
        <v>25.1</v>
      </c>
      <c r="F425">
        <v>31.5</v>
      </c>
      <c r="G425" s="14">
        <v>363</v>
      </c>
      <c r="H425" s="133"/>
      <c r="I425" s="133">
        <v>7.58</v>
      </c>
      <c r="J425" s="133">
        <v>14.23</v>
      </c>
      <c r="K425" s="135">
        <v>40684</v>
      </c>
      <c r="L425" s="135" t="s">
        <v>816</v>
      </c>
      <c r="M425" s="135" t="s">
        <v>1755</v>
      </c>
      <c r="N425" s="135"/>
      <c r="O425"/>
      <c r="P425"/>
    </row>
    <row r="426" spans="3:16" x14ac:dyDescent="0.2">
      <c r="C426" t="s">
        <v>1376</v>
      </c>
      <c r="D426">
        <v>33.6</v>
      </c>
      <c r="E426">
        <v>36.700000000000003</v>
      </c>
      <c r="F426">
        <v>44.1</v>
      </c>
      <c r="G426" s="14">
        <v>281.39999999999998</v>
      </c>
      <c r="H426" s="133"/>
      <c r="I426" s="133">
        <v>7.13</v>
      </c>
      <c r="J426" s="133">
        <v>16.11</v>
      </c>
      <c r="K426" s="135">
        <v>40684</v>
      </c>
      <c r="L426" s="135" t="s">
        <v>4091</v>
      </c>
      <c r="M426" s="135" t="s">
        <v>2993</v>
      </c>
      <c r="N426" s="135"/>
      <c r="O426"/>
      <c r="P426"/>
    </row>
    <row r="427" spans="3:16" x14ac:dyDescent="0.2">
      <c r="C427" t="s">
        <v>4084</v>
      </c>
      <c r="G427" s="14">
        <v>11.35</v>
      </c>
      <c r="H427" s="133"/>
      <c r="I427" s="133">
        <v>4.32</v>
      </c>
      <c r="J427" s="133">
        <v>16.55</v>
      </c>
      <c r="K427" s="135">
        <v>40684</v>
      </c>
      <c r="L427" s="135" t="s">
        <v>2650</v>
      </c>
      <c r="M427" s="135" t="s">
        <v>2994</v>
      </c>
      <c r="N427" s="135"/>
      <c r="O427"/>
      <c r="P427"/>
    </row>
    <row r="428" spans="3:16" x14ac:dyDescent="0.2">
      <c r="C428" t="s">
        <v>77</v>
      </c>
      <c r="G428" s="14">
        <v>266.64999999999998</v>
      </c>
      <c r="H428" s="133">
        <v>0.75</v>
      </c>
      <c r="I428" s="133">
        <v>6.98</v>
      </c>
      <c r="J428" s="133">
        <v>15.94</v>
      </c>
      <c r="K428" s="135">
        <v>40684</v>
      </c>
      <c r="L428" s="135" t="s">
        <v>78</v>
      </c>
      <c r="M428" s="135"/>
      <c r="N428" s="135"/>
      <c r="O428"/>
      <c r="P428"/>
    </row>
    <row r="429" spans="3:16" x14ac:dyDescent="0.2">
      <c r="C429" t="s">
        <v>4266</v>
      </c>
      <c r="G429" s="14">
        <v>15.3</v>
      </c>
      <c r="H429" s="133"/>
      <c r="I429" s="133">
        <v>9.77</v>
      </c>
      <c r="J429" s="133">
        <v>3.7</v>
      </c>
      <c r="K429" s="135">
        <v>40684</v>
      </c>
      <c r="L429" s="135" t="s">
        <v>4172</v>
      </c>
      <c r="M429" s="135" t="s">
        <v>660</v>
      </c>
      <c r="N429" s="135"/>
      <c r="O429"/>
      <c r="P429"/>
    </row>
    <row r="430" spans="3:16" x14ac:dyDescent="0.2">
      <c r="C430" t="s">
        <v>4092</v>
      </c>
      <c r="D430">
        <v>66.599999999999994</v>
      </c>
      <c r="E430">
        <v>79</v>
      </c>
      <c r="F430">
        <v>88.88</v>
      </c>
      <c r="G430" s="14">
        <v>2333.6</v>
      </c>
      <c r="H430" s="133">
        <v>1.71</v>
      </c>
      <c r="I430" s="133">
        <v>30.64</v>
      </c>
      <c r="J430" s="133">
        <v>35.07</v>
      </c>
      <c r="K430" s="135">
        <v>40684</v>
      </c>
      <c r="L430" s="135" t="s">
        <v>4086</v>
      </c>
      <c r="M430" s="135" t="s">
        <v>659</v>
      </c>
      <c r="N430" s="135"/>
      <c r="O430"/>
      <c r="P430"/>
    </row>
    <row r="431" spans="3:16" x14ac:dyDescent="0.2">
      <c r="C431" t="s">
        <v>4087</v>
      </c>
      <c r="D431">
        <v>12.42</v>
      </c>
      <c r="E431">
        <v>17.7</v>
      </c>
      <c r="F431">
        <v>19.5</v>
      </c>
      <c r="G431" s="14">
        <v>291.39999999999998</v>
      </c>
      <c r="H431" s="133"/>
      <c r="I431" s="133">
        <v>13.74</v>
      </c>
      <c r="J431" s="133">
        <v>36.979999999999997</v>
      </c>
      <c r="K431" s="135">
        <v>40684</v>
      </c>
      <c r="L431" s="135" t="s">
        <v>2913</v>
      </c>
      <c r="M431" s="135" t="s">
        <v>659</v>
      </c>
      <c r="N431" s="135"/>
      <c r="O431"/>
      <c r="P431"/>
    </row>
    <row r="432" spans="3:16" x14ac:dyDescent="0.2">
      <c r="C432" t="s">
        <v>702</v>
      </c>
      <c r="G432" s="14">
        <v>34.75</v>
      </c>
      <c r="H432" s="133"/>
      <c r="I432" s="133">
        <v>-0.04</v>
      </c>
      <c r="J432" s="133">
        <v>1009.84</v>
      </c>
      <c r="K432" s="135">
        <v>40684</v>
      </c>
      <c r="L432" s="135" t="s">
        <v>703</v>
      </c>
      <c r="M432" s="135" t="s">
        <v>1755</v>
      </c>
      <c r="N432" s="135"/>
      <c r="O432"/>
      <c r="P432"/>
    </row>
    <row r="433" spans="3:16" x14ac:dyDescent="0.2">
      <c r="C433" t="s">
        <v>560</v>
      </c>
      <c r="G433" s="14">
        <v>121</v>
      </c>
      <c r="H433" s="133"/>
      <c r="I433" s="133">
        <v>-118.25</v>
      </c>
      <c r="J433" s="133">
        <v>0</v>
      </c>
      <c r="K433" s="135">
        <v>40684</v>
      </c>
      <c r="L433" s="135" t="s">
        <v>2281</v>
      </c>
      <c r="M433" s="135" t="s">
        <v>1758</v>
      </c>
      <c r="N433" s="135"/>
      <c r="O433"/>
      <c r="P433"/>
    </row>
    <row r="434" spans="3:16" x14ac:dyDescent="0.2">
      <c r="C434" t="s">
        <v>79</v>
      </c>
      <c r="G434" s="14">
        <v>97.9</v>
      </c>
      <c r="H434" s="133">
        <v>3.31</v>
      </c>
      <c r="I434" s="133">
        <v>7.93</v>
      </c>
      <c r="J434" s="133">
        <v>12.31</v>
      </c>
      <c r="K434" s="135">
        <v>40684</v>
      </c>
      <c r="L434" s="135" t="s">
        <v>3278</v>
      </c>
      <c r="M434" s="135" t="s">
        <v>1759</v>
      </c>
      <c r="N434" s="135"/>
      <c r="O434"/>
      <c r="P434"/>
    </row>
    <row r="435" spans="3:16" x14ac:dyDescent="0.2">
      <c r="C435" t="s">
        <v>2914</v>
      </c>
      <c r="D435">
        <v>11.33</v>
      </c>
      <c r="E435">
        <v>14.6</v>
      </c>
      <c r="F435">
        <v>17.600000000000001</v>
      </c>
      <c r="G435" s="14">
        <v>385.75</v>
      </c>
      <c r="H435" s="133"/>
      <c r="I435" s="133">
        <v>29.66</v>
      </c>
      <c r="J435" s="133">
        <v>28.66</v>
      </c>
      <c r="K435" s="135">
        <v>40684</v>
      </c>
      <c r="L435" s="135" t="s">
        <v>2915</v>
      </c>
      <c r="M435" s="135" t="s">
        <v>2416</v>
      </c>
      <c r="N435" s="135"/>
      <c r="O435"/>
      <c r="P435"/>
    </row>
    <row r="436" spans="3:16" x14ac:dyDescent="0.2">
      <c r="C436" t="s">
        <v>4173</v>
      </c>
      <c r="G436" s="14">
        <v>2.59</v>
      </c>
      <c r="H436" s="133"/>
      <c r="I436" s="133">
        <v>0</v>
      </c>
      <c r="J436" s="133">
        <v>0</v>
      </c>
      <c r="K436" s="135">
        <v>40684</v>
      </c>
      <c r="L436" s="135" t="s">
        <v>2825</v>
      </c>
      <c r="M436" s="135" t="s">
        <v>2416</v>
      </c>
      <c r="N436" s="135"/>
      <c r="O436"/>
      <c r="P436"/>
    </row>
    <row r="437" spans="3:16" x14ac:dyDescent="0.2">
      <c r="C437" t="s">
        <v>4085</v>
      </c>
      <c r="G437" s="14">
        <v>1915.25</v>
      </c>
      <c r="H437" s="133">
        <v>1.3</v>
      </c>
      <c r="I437" s="133">
        <v>14.23</v>
      </c>
      <c r="J437" s="133">
        <v>16.89</v>
      </c>
      <c r="K437" s="135">
        <v>40684</v>
      </c>
      <c r="L437" s="135" t="s">
        <v>2651</v>
      </c>
      <c r="M437" s="135" t="s">
        <v>2416</v>
      </c>
      <c r="N437" s="135"/>
      <c r="O437"/>
      <c r="P437"/>
    </row>
    <row r="438" spans="3:16" x14ac:dyDescent="0.2">
      <c r="C438" t="s">
        <v>3279</v>
      </c>
      <c r="H438" s="133"/>
      <c r="K438" s="135">
        <v>40684</v>
      </c>
      <c r="L438" s="135" t="s">
        <v>3280</v>
      </c>
      <c r="M438" s="135"/>
      <c r="N438" s="135"/>
      <c r="O438"/>
      <c r="P438"/>
    </row>
    <row r="439" spans="3:16" x14ac:dyDescent="0.2">
      <c r="C439" t="s">
        <v>2916</v>
      </c>
      <c r="G439" s="14">
        <v>265.8</v>
      </c>
      <c r="H439" s="133"/>
      <c r="I439" s="133">
        <v>12.12</v>
      </c>
      <c r="J439" s="133">
        <v>42.94</v>
      </c>
      <c r="K439" s="135">
        <v>40684</v>
      </c>
      <c r="L439" s="135" t="s">
        <v>2917</v>
      </c>
      <c r="M439" s="135" t="s">
        <v>2418</v>
      </c>
      <c r="N439" s="135"/>
      <c r="O439"/>
      <c r="P439"/>
    </row>
    <row r="440" spans="3:16" x14ac:dyDescent="0.2">
      <c r="C440" t="s">
        <v>3281</v>
      </c>
      <c r="G440" s="14">
        <v>8.5</v>
      </c>
      <c r="H440" s="133"/>
      <c r="I440" s="133">
        <v>5.4</v>
      </c>
      <c r="J440" s="133">
        <v>16</v>
      </c>
      <c r="K440" s="135">
        <v>40684</v>
      </c>
      <c r="L440" s="135" t="s">
        <v>3282</v>
      </c>
      <c r="M440" s="135" t="s">
        <v>1429</v>
      </c>
      <c r="N440" s="135"/>
      <c r="O440"/>
      <c r="P440"/>
    </row>
    <row r="441" spans="3:16" x14ac:dyDescent="0.2">
      <c r="C441" t="s">
        <v>683</v>
      </c>
      <c r="G441" s="14">
        <v>13.25</v>
      </c>
      <c r="H441" s="133"/>
      <c r="I441" s="133">
        <v>4.24</v>
      </c>
      <c r="J441" s="133">
        <v>5.0999999999999996</v>
      </c>
      <c r="K441" s="135">
        <v>40684</v>
      </c>
      <c r="L441" s="135" t="s">
        <v>5085</v>
      </c>
      <c r="M441" s="135" t="s">
        <v>2994</v>
      </c>
      <c r="N441" s="135"/>
      <c r="O441"/>
      <c r="P441"/>
    </row>
    <row r="442" spans="3:16" x14ac:dyDescent="0.2">
      <c r="C442" t="s">
        <v>2940</v>
      </c>
      <c r="D442">
        <v>30.71</v>
      </c>
      <c r="E442">
        <v>34.200000000000003</v>
      </c>
      <c r="F442">
        <v>42.2</v>
      </c>
      <c r="G442" s="14">
        <v>859</v>
      </c>
      <c r="H442" s="133">
        <v>1.17</v>
      </c>
      <c r="I442" s="133">
        <v>19.350000000000001</v>
      </c>
      <c r="J442" s="133">
        <v>22.35</v>
      </c>
      <c r="K442" s="135">
        <v>40684</v>
      </c>
      <c r="L442" s="135" t="s">
        <v>761</v>
      </c>
      <c r="M442" s="135" t="s">
        <v>2419</v>
      </c>
      <c r="N442" s="135"/>
      <c r="O442"/>
      <c r="P442"/>
    </row>
    <row r="443" spans="3:16" x14ac:dyDescent="0.2">
      <c r="C443" t="s">
        <v>2826</v>
      </c>
      <c r="G443" s="14">
        <v>2.75</v>
      </c>
      <c r="H443" s="133"/>
      <c r="I443" s="133">
        <v>-367.41</v>
      </c>
      <c r="J443" s="133">
        <v>0</v>
      </c>
      <c r="K443" s="135">
        <v>40684</v>
      </c>
      <c r="L443" s="135" t="s">
        <v>2827</v>
      </c>
      <c r="M443" s="135" t="s">
        <v>2942</v>
      </c>
      <c r="N443" s="135"/>
      <c r="O443"/>
      <c r="P443"/>
    </row>
    <row r="444" spans="3:16" x14ac:dyDescent="0.2">
      <c r="C444" t="s">
        <v>2941</v>
      </c>
      <c r="G444" s="14">
        <v>63.35</v>
      </c>
      <c r="H444" s="133"/>
      <c r="I444" s="133">
        <v>0.4</v>
      </c>
      <c r="J444" s="133">
        <v>177.55</v>
      </c>
      <c r="K444" s="135">
        <v>40684</v>
      </c>
      <c r="L444" s="135" t="s">
        <v>762</v>
      </c>
      <c r="M444" s="135" t="s">
        <v>2944</v>
      </c>
      <c r="N444" s="135"/>
      <c r="O444"/>
      <c r="P444"/>
    </row>
    <row r="445" spans="3:16" x14ac:dyDescent="0.2">
      <c r="C445" t="s">
        <v>684</v>
      </c>
      <c r="G445" s="14">
        <v>89.55</v>
      </c>
      <c r="H445" s="133"/>
      <c r="I445" s="133">
        <v>6.12</v>
      </c>
      <c r="J445" s="133">
        <v>8.27</v>
      </c>
      <c r="K445" s="135">
        <v>40684</v>
      </c>
      <c r="L445" s="135" t="s">
        <v>5086</v>
      </c>
      <c r="M445" s="135" t="s">
        <v>659</v>
      </c>
      <c r="N445" s="135"/>
      <c r="O445"/>
      <c r="P445"/>
    </row>
    <row r="446" spans="3:16" x14ac:dyDescent="0.2">
      <c r="C446" t="s">
        <v>685</v>
      </c>
      <c r="G446" s="14">
        <v>4.03</v>
      </c>
      <c r="H446" s="133"/>
      <c r="I446" s="133">
        <v>2.06</v>
      </c>
      <c r="J446" s="133">
        <v>36.06</v>
      </c>
      <c r="K446" s="135">
        <v>40684</v>
      </c>
      <c r="L446" s="135" t="s">
        <v>5087</v>
      </c>
      <c r="M446" s="135" t="s">
        <v>2994</v>
      </c>
      <c r="N446" s="135"/>
      <c r="O446"/>
      <c r="P446"/>
    </row>
    <row r="447" spans="3:16" x14ac:dyDescent="0.2">
      <c r="C447" t="s">
        <v>1472</v>
      </c>
      <c r="D447">
        <v>300.83</v>
      </c>
      <c r="E447">
        <v>227.5</v>
      </c>
      <c r="F447">
        <v>237.19</v>
      </c>
      <c r="G447" s="14">
        <v>2258.25</v>
      </c>
      <c r="H447" s="133"/>
      <c r="I447" s="133">
        <v>23.98</v>
      </c>
      <c r="J447" s="133">
        <v>17.52</v>
      </c>
      <c r="K447" s="135">
        <v>40684</v>
      </c>
      <c r="L447" s="135" t="s">
        <v>1473</v>
      </c>
      <c r="M447" s="135" t="s">
        <v>1758</v>
      </c>
      <c r="N447" s="135" t="s">
        <v>1125</v>
      </c>
      <c r="O447"/>
      <c r="P447"/>
    </row>
    <row r="448" spans="3:16" x14ac:dyDescent="0.2">
      <c r="C448" t="s">
        <v>1329</v>
      </c>
      <c r="D448">
        <v>4.83</v>
      </c>
      <c r="E448">
        <v>6.15</v>
      </c>
      <c r="F448">
        <v>7.01</v>
      </c>
      <c r="G448" s="14">
        <v>85.9</v>
      </c>
      <c r="H448" s="133">
        <v>3.5</v>
      </c>
      <c r="I448" s="133">
        <v>26.65</v>
      </c>
      <c r="J448" s="133">
        <v>17.73</v>
      </c>
      <c r="K448" s="135">
        <v>40684</v>
      </c>
      <c r="L448" s="135" t="s">
        <v>763</v>
      </c>
      <c r="M448" s="135" t="s">
        <v>3180</v>
      </c>
      <c r="N448" s="135"/>
      <c r="O448"/>
      <c r="P448"/>
    </row>
    <row r="449" spans="3:16" x14ac:dyDescent="0.2">
      <c r="C449" t="s">
        <v>3283</v>
      </c>
      <c r="G449" s="14">
        <v>218.6</v>
      </c>
      <c r="H449" s="133"/>
      <c r="I449" s="133">
        <v>20.9</v>
      </c>
      <c r="J449" s="133">
        <v>7.8</v>
      </c>
      <c r="K449" s="135">
        <v>40684</v>
      </c>
      <c r="L449" s="135" t="s">
        <v>3284</v>
      </c>
      <c r="M449" s="135"/>
      <c r="N449" s="135"/>
      <c r="O449"/>
      <c r="P449"/>
    </row>
    <row r="450" spans="3:16" x14ac:dyDescent="0.2">
      <c r="C450" t="s">
        <v>109</v>
      </c>
      <c r="E450">
        <v>14.4</v>
      </c>
      <c r="F450">
        <v>16.5</v>
      </c>
      <c r="G450" s="14">
        <v>226.05</v>
      </c>
      <c r="H450" s="133"/>
      <c r="I450" s="133">
        <v>22.83</v>
      </c>
      <c r="J450" s="133">
        <v>14.55</v>
      </c>
      <c r="K450" s="135">
        <v>40684</v>
      </c>
      <c r="L450" s="135" t="s">
        <v>764</v>
      </c>
      <c r="M450" s="135" t="s">
        <v>2996</v>
      </c>
      <c r="N450" s="135"/>
      <c r="O450"/>
      <c r="P450"/>
    </row>
    <row r="451" spans="3:16" x14ac:dyDescent="0.2">
      <c r="C451" t="s">
        <v>1866</v>
      </c>
      <c r="D451">
        <v>31.93</v>
      </c>
      <c r="E451">
        <v>79.3</v>
      </c>
      <c r="F451">
        <v>59.7</v>
      </c>
      <c r="G451" s="14">
        <v>353.9</v>
      </c>
      <c r="H451" s="133">
        <v>1.27</v>
      </c>
      <c r="I451" s="133">
        <v>12.02</v>
      </c>
      <c r="J451" s="133">
        <v>11.09</v>
      </c>
      <c r="K451" s="135">
        <v>40684</v>
      </c>
      <c r="L451" s="135" t="s">
        <v>765</v>
      </c>
      <c r="M451" s="135" t="s">
        <v>1759</v>
      </c>
      <c r="N451" s="135"/>
      <c r="O451"/>
      <c r="P451"/>
    </row>
    <row r="452" spans="3:16" x14ac:dyDescent="0.2">
      <c r="C452" t="s">
        <v>1867</v>
      </c>
      <c r="D452">
        <v>7.35</v>
      </c>
      <c r="E452">
        <v>7.35</v>
      </c>
      <c r="F452">
        <v>8.6</v>
      </c>
      <c r="G452" s="14">
        <v>99.55</v>
      </c>
      <c r="H452" s="133">
        <v>1.01</v>
      </c>
      <c r="I452" s="133">
        <v>26.23</v>
      </c>
      <c r="J452" s="133">
        <v>13.51</v>
      </c>
      <c r="K452" s="135">
        <v>40684</v>
      </c>
      <c r="L452" s="135" t="s">
        <v>766</v>
      </c>
      <c r="M452" s="135" t="s">
        <v>1765</v>
      </c>
      <c r="N452" s="135"/>
      <c r="O452"/>
      <c r="P452"/>
    </row>
    <row r="453" spans="3:16" x14ac:dyDescent="0.2">
      <c r="C453" t="s">
        <v>3285</v>
      </c>
      <c r="G453" s="14">
        <v>74.400000000000006</v>
      </c>
      <c r="H453" s="133"/>
      <c r="I453" s="133">
        <v>-20.68</v>
      </c>
      <c r="J453" s="133">
        <v>0</v>
      </c>
      <c r="K453" s="135">
        <v>40684</v>
      </c>
      <c r="L453" s="135" t="s">
        <v>3977</v>
      </c>
      <c r="M453" s="135"/>
      <c r="N453" s="135"/>
      <c r="O453"/>
      <c r="P453"/>
    </row>
    <row r="454" spans="3:16" x14ac:dyDescent="0.2">
      <c r="C454" t="s">
        <v>3962</v>
      </c>
      <c r="G454" s="14">
        <v>34.25</v>
      </c>
      <c r="H454" s="133"/>
      <c r="I454" s="133">
        <v>-7.35</v>
      </c>
      <c r="J454" s="133">
        <v>0</v>
      </c>
      <c r="K454" s="135">
        <v>40684</v>
      </c>
      <c r="L454" s="135" t="s">
        <v>3963</v>
      </c>
      <c r="M454" s="135" t="s">
        <v>5141</v>
      </c>
      <c r="N454" s="135"/>
      <c r="O454"/>
      <c r="P454"/>
    </row>
    <row r="455" spans="3:16" x14ac:dyDescent="0.2">
      <c r="C455" t="s">
        <v>686</v>
      </c>
      <c r="G455" s="14">
        <v>16.100000000000001</v>
      </c>
      <c r="H455" s="133"/>
      <c r="I455" s="133">
        <v>-10.07</v>
      </c>
      <c r="J455" s="133">
        <v>0</v>
      </c>
      <c r="K455" s="135">
        <v>40684</v>
      </c>
      <c r="L455" s="135" t="s">
        <v>5088</v>
      </c>
      <c r="M455" s="135" t="s">
        <v>2994</v>
      </c>
      <c r="N455" s="135"/>
      <c r="O455"/>
      <c r="P455"/>
    </row>
    <row r="456" spans="3:16" x14ac:dyDescent="0.2">
      <c r="C456" t="s">
        <v>3964</v>
      </c>
      <c r="G456" s="14">
        <v>30.45</v>
      </c>
      <c r="H456" s="133">
        <v>1.31</v>
      </c>
      <c r="I456" s="133">
        <v>11.17</v>
      </c>
      <c r="J456" s="133">
        <v>7.02</v>
      </c>
      <c r="K456" s="135">
        <v>40684</v>
      </c>
      <c r="L456" s="135" t="s">
        <v>3645</v>
      </c>
      <c r="M456" s="135"/>
      <c r="N456" s="135"/>
      <c r="O456"/>
      <c r="P456"/>
    </row>
    <row r="457" spans="3:16" x14ac:dyDescent="0.2">
      <c r="C457" t="s">
        <v>430</v>
      </c>
      <c r="D457">
        <v>23.4</v>
      </c>
      <c r="E457">
        <v>16.68</v>
      </c>
      <c r="F457">
        <v>19.18</v>
      </c>
      <c r="G457" s="14">
        <v>140.15</v>
      </c>
      <c r="H457" s="133">
        <v>2.14</v>
      </c>
      <c r="I457" s="133">
        <v>7.52</v>
      </c>
      <c r="J457" s="133">
        <v>6</v>
      </c>
      <c r="K457" s="135">
        <v>40684</v>
      </c>
      <c r="L457" s="135" t="s">
        <v>4139</v>
      </c>
      <c r="M457" s="135" t="s">
        <v>2419</v>
      </c>
      <c r="N457" s="135"/>
      <c r="O457"/>
      <c r="P457"/>
    </row>
    <row r="458" spans="3:16" x14ac:dyDescent="0.2">
      <c r="C458" t="s">
        <v>1474</v>
      </c>
      <c r="D458">
        <v>8.08</v>
      </c>
      <c r="E458">
        <v>8.07</v>
      </c>
      <c r="F458">
        <v>9.1199999999999992</v>
      </c>
      <c r="G458" s="14">
        <v>130.94999999999999</v>
      </c>
      <c r="H458" s="133">
        <v>1.98</v>
      </c>
      <c r="I458" s="133">
        <v>15.19</v>
      </c>
      <c r="J458" s="133">
        <v>15.88</v>
      </c>
      <c r="K458" s="135">
        <v>40684</v>
      </c>
      <c r="L458" s="135" t="s">
        <v>1475</v>
      </c>
      <c r="M458" s="135" t="s">
        <v>2995</v>
      </c>
      <c r="N458" s="135"/>
      <c r="O458"/>
      <c r="P458"/>
    </row>
    <row r="459" spans="3:16" x14ac:dyDescent="0.2">
      <c r="C459" t="s">
        <v>2828</v>
      </c>
      <c r="G459" s="14">
        <v>3.75</v>
      </c>
      <c r="H459" s="133"/>
      <c r="I459" s="133">
        <v>-136.55000000000001</v>
      </c>
      <c r="J459" s="133">
        <v>0</v>
      </c>
      <c r="K459" s="135">
        <v>40684</v>
      </c>
      <c r="L459" s="135" t="s">
        <v>891</v>
      </c>
      <c r="M459" s="135" t="s">
        <v>2419</v>
      </c>
      <c r="N459" s="135"/>
      <c r="O459"/>
      <c r="P459"/>
    </row>
    <row r="460" spans="3:16" x14ac:dyDescent="0.2">
      <c r="C460" t="s">
        <v>687</v>
      </c>
      <c r="G460" s="14">
        <v>129.9</v>
      </c>
      <c r="H460" s="133"/>
      <c r="I460" s="133">
        <v>20.399999999999999</v>
      </c>
      <c r="J460" s="133">
        <v>5.17</v>
      </c>
      <c r="K460" s="135">
        <v>40684</v>
      </c>
      <c r="L460" s="135" t="s">
        <v>5089</v>
      </c>
      <c r="M460" s="135" t="s">
        <v>2418</v>
      </c>
      <c r="N460" s="135"/>
      <c r="O460"/>
      <c r="P460"/>
    </row>
    <row r="461" spans="3:16" x14ac:dyDescent="0.2">
      <c r="C461" t="s">
        <v>4140</v>
      </c>
      <c r="G461" s="14">
        <v>377.25</v>
      </c>
      <c r="H461" s="133">
        <v>0.93</v>
      </c>
      <c r="I461" s="133">
        <v>20.84</v>
      </c>
      <c r="J461" s="133">
        <v>12.37</v>
      </c>
      <c r="K461" s="135">
        <v>40684</v>
      </c>
      <c r="L461" s="135" t="s">
        <v>4516</v>
      </c>
      <c r="M461" s="135" t="s">
        <v>2419</v>
      </c>
      <c r="N461" s="135"/>
      <c r="O461"/>
      <c r="P461"/>
    </row>
    <row r="462" spans="3:16" x14ac:dyDescent="0.2">
      <c r="C462" t="s">
        <v>1330</v>
      </c>
      <c r="D462">
        <v>13.48</v>
      </c>
      <c r="E462">
        <v>18.2</v>
      </c>
      <c r="F462">
        <v>20.2</v>
      </c>
      <c r="G462" s="14">
        <v>350.2</v>
      </c>
      <c r="H462" s="133">
        <v>3.44</v>
      </c>
      <c r="I462" s="133">
        <v>31.76</v>
      </c>
      <c r="J462" s="133">
        <v>17.3</v>
      </c>
      <c r="K462" s="135">
        <v>40684</v>
      </c>
      <c r="L462" s="135" t="s">
        <v>767</v>
      </c>
      <c r="M462" s="135" t="s">
        <v>1765</v>
      </c>
      <c r="N462" s="135"/>
      <c r="O462"/>
      <c r="P462"/>
    </row>
    <row r="463" spans="3:16" x14ac:dyDescent="0.2">
      <c r="C463" t="s">
        <v>1868</v>
      </c>
      <c r="D463">
        <v>7.06</v>
      </c>
      <c r="E463">
        <v>8.6999999999999993</v>
      </c>
      <c r="F463">
        <v>10.5</v>
      </c>
      <c r="G463" s="14">
        <v>80.25</v>
      </c>
      <c r="H463" s="133">
        <v>3.11</v>
      </c>
      <c r="I463" s="133">
        <v>8.7799999999999994</v>
      </c>
      <c r="J463" s="133">
        <v>11.37</v>
      </c>
      <c r="K463" s="135">
        <v>40684</v>
      </c>
      <c r="L463" s="135" t="s">
        <v>1489</v>
      </c>
      <c r="M463" s="135" t="s">
        <v>1756</v>
      </c>
      <c r="N463" s="135"/>
      <c r="O463"/>
      <c r="P463"/>
    </row>
    <row r="464" spans="3:16" x14ac:dyDescent="0.2">
      <c r="C464" t="s">
        <v>1869</v>
      </c>
      <c r="D464">
        <v>8.8000000000000007</v>
      </c>
      <c r="E464">
        <v>11.1</v>
      </c>
      <c r="F464">
        <v>14.3</v>
      </c>
      <c r="G464" s="14">
        <v>140.44999999999999</v>
      </c>
      <c r="H464" s="133">
        <v>1.78</v>
      </c>
      <c r="I464" s="133">
        <v>20.010000000000002</v>
      </c>
      <c r="J464" s="133">
        <v>15.92</v>
      </c>
      <c r="K464" s="135">
        <v>40684</v>
      </c>
      <c r="L464" s="135" t="s">
        <v>4501</v>
      </c>
      <c r="M464" s="135" t="s">
        <v>2417</v>
      </c>
      <c r="N464" s="135"/>
      <c r="O464"/>
      <c r="P464"/>
    </row>
    <row r="465" spans="3:16" x14ac:dyDescent="0.2">
      <c r="C465" t="s">
        <v>1331</v>
      </c>
      <c r="D465">
        <v>0.4</v>
      </c>
      <c r="E465">
        <v>6.86</v>
      </c>
      <c r="F465">
        <v>11.72</v>
      </c>
      <c r="G465" s="14">
        <v>49.8</v>
      </c>
      <c r="H465" s="133"/>
      <c r="I465" s="133">
        <v>-0.99</v>
      </c>
      <c r="J465" s="133">
        <v>28.32</v>
      </c>
      <c r="K465" s="135">
        <v>40684</v>
      </c>
      <c r="L465" s="135" t="s">
        <v>4761</v>
      </c>
      <c r="M465" s="135" t="s">
        <v>2419</v>
      </c>
      <c r="N465" s="135"/>
      <c r="O465"/>
      <c r="P465"/>
    </row>
    <row r="466" spans="3:16" x14ac:dyDescent="0.2">
      <c r="C466" t="s">
        <v>892</v>
      </c>
      <c r="G466" s="14">
        <v>6.08</v>
      </c>
      <c r="H466" s="133"/>
      <c r="I466" s="133">
        <v>0</v>
      </c>
      <c r="J466" s="133">
        <v>0.18</v>
      </c>
      <c r="K466" s="135">
        <v>40684</v>
      </c>
      <c r="L466" s="135" t="s">
        <v>4195</v>
      </c>
      <c r="M466" s="135" t="s">
        <v>2428</v>
      </c>
      <c r="N466" s="135"/>
      <c r="O466"/>
      <c r="P466"/>
    </row>
    <row r="467" spans="3:16" x14ac:dyDescent="0.2">
      <c r="C467" t="s">
        <v>3156</v>
      </c>
      <c r="G467" s="14">
        <v>10.55</v>
      </c>
      <c r="H467" s="133"/>
      <c r="I467" s="133">
        <v>53.37</v>
      </c>
      <c r="J467" s="133">
        <v>0</v>
      </c>
      <c r="K467" s="135">
        <v>40684</v>
      </c>
      <c r="L467" s="135" t="s">
        <v>5090</v>
      </c>
      <c r="M467" s="135" t="s">
        <v>2995</v>
      </c>
      <c r="N467" s="135"/>
      <c r="O467"/>
      <c r="P467"/>
    </row>
    <row r="468" spans="3:16" x14ac:dyDescent="0.2">
      <c r="C468" t="s">
        <v>688</v>
      </c>
      <c r="G468" s="14">
        <v>7.3</v>
      </c>
      <c r="H468" s="133"/>
      <c r="I468" s="133">
        <v>0</v>
      </c>
      <c r="J468" s="133">
        <v>0</v>
      </c>
      <c r="K468" s="135">
        <v>40684</v>
      </c>
      <c r="L468" s="135" t="s">
        <v>2845</v>
      </c>
      <c r="M468" s="135" t="s">
        <v>659</v>
      </c>
      <c r="N468" s="135"/>
      <c r="O468"/>
      <c r="P468"/>
    </row>
    <row r="469" spans="3:16" x14ac:dyDescent="0.2">
      <c r="C469" t="s">
        <v>4196</v>
      </c>
      <c r="G469" s="14">
        <v>11.5</v>
      </c>
      <c r="H469" s="133"/>
      <c r="I469" s="133">
        <v>-252.37</v>
      </c>
      <c r="J469" s="133">
        <v>0</v>
      </c>
      <c r="K469" s="135">
        <v>40684</v>
      </c>
      <c r="L469" s="135" t="s">
        <v>4197</v>
      </c>
      <c r="M469" s="135" t="s">
        <v>2994</v>
      </c>
      <c r="N469" s="135"/>
      <c r="O469"/>
      <c r="P469"/>
    </row>
    <row r="470" spans="3:16" x14ac:dyDescent="0.2">
      <c r="C470" t="s">
        <v>1332</v>
      </c>
      <c r="D470">
        <v>1.02</v>
      </c>
      <c r="E470">
        <v>1.05</v>
      </c>
      <c r="F470">
        <v>1.6</v>
      </c>
      <c r="G470" s="14">
        <v>22.45</v>
      </c>
      <c r="H470" s="133"/>
      <c r="I470" s="133">
        <v>0.92</v>
      </c>
      <c r="J470" s="133">
        <v>51.92</v>
      </c>
      <c r="K470" s="135">
        <v>40684</v>
      </c>
      <c r="L470" s="135" t="s">
        <v>663</v>
      </c>
      <c r="M470" s="135" t="s">
        <v>1756</v>
      </c>
      <c r="N470" s="135"/>
      <c r="O470"/>
      <c r="P470"/>
    </row>
    <row r="471" spans="3:16" x14ac:dyDescent="0.2">
      <c r="C471" t="s">
        <v>689</v>
      </c>
      <c r="G471" s="14">
        <v>22</v>
      </c>
      <c r="H471" s="133"/>
      <c r="I471" s="133">
        <v>-18.760000000000002</v>
      </c>
      <c r="J471" s="133">
        <v>0</v>
      </c>
      <c r="K471" s="135">
        <v>40684</v>
      </c>
      <c r="L471" s="135" t="s">
        <v>2846</v>
      </c>
      <c r="M471" s="135" t="s">
        <v>2994</v>
      </c>
      <c r="N471" s="135"/>
      <c r="O471"/>
      <c r="P471"/>
    </row>
    <row r="472" spans="3:16" x14ac:dyDescent="0.2">
      <c r="C472" t="s">
        <v>690</v>
      </c>
      <c r="G472" s="14">
        <v>3.84</v>
      </c>
      <c r="H472" s="133"/>
      <c r="I472" s="133">
        <v>0</v>
      </c>
      <c r="J472" s="133">
        <v>0</v>
      </c>
      <c r="K472" s="135">
        <v>40684</v>
      </c>
      <c r="L472" s="135" t="s">
        <v>506</v>
      </c>
      <c r="M472" s="135" t="s">
        <v>2994</v>
      </c>
      <c r="N472" s="135"/>
      <c r="O472"/>
      <c r="P472"/>
    </row>
    <row r="473" spans="3:16" x14ac:dyDescent="0.2">
      <c r="C473" t="s">
        <v>691</v>
      </c>
      <c r="G473" s="14">
        <v>1.8</v>
      </c>
      <c r="H473" s="133"/>
      <c r="K473" s="135">
        <v>40684</v>
      </c>
      <c r="L473" s="135" t="s">
        <v>507</v>
      </c>
      <c r="M473" s="135" t="s">
        <v>2418</v>
      </c>
      <c r="N473" s="135"/>
      <c r="O473"/>
      <c r="P473"/>
    </row>
    <row r="474" spans="3:16" x14ac:dyDescent="0.2">
      <c r="C474" t="s">
        <v>4101</v>
      </c>
      <c r="G474" s="14">
        <v>3.19</v>
      </c>
      <c r="H474" s="133"/>
      <c r="I474" s="133">
        <v>-0.71</v>
      </c>
      <c r="J474" s="133">
        <v>0</v>
      </c>
      <c r="K474" s="135">
        <v>40684</v>
      </c>
      <c r="L474" s="135" t="s">
        <v>1767</v>
      </c>
      <c r="M474" s="135" t="s">
        <v>2994</v>
      </c>
      <c r="N474" s="135"/>
      <c r="O474"/>
      <c r="P474"/>
    </row>
    <row r="475" spans="3:16" x14ac:dyDescent="0.2">
      <c r="C475" t="s">
        <v>4096</v>
      </c>
      <c r="G475" s="14">
        <v>24.6</v>
      </c>
      <c r="H475" s="133"/>
      <c r="K475" s="135">
        <v>40684</v>
      </c>
      <c r="L475" s="135"/>
      <c r="M475" s="135" t="s">
        <v>660</v>
      </c>
      <c r="N475" s="135"/>
      <c r="O475"/>
      <c r="P475"/>
    </row>
    <row r="476" spans="3:16" x14ac:dyDescent="0.2">
      <c r="C476" t="s">
        <v>803</v>
      </c>
      <c r="G476" s="14">
        <v>195.9</v>
      </c>
      <c r="H476" s="133">
        <v>0.15</v>
      </c>
      <c r="I476" s="133">
        <v>3.6</v>
      </c>
      <c r="J476" s="133">
        <v>261.49</v>
      </c>
      <c r="K476" s="135">
        <v>40684</v>
      </c>
      <c r="L476" s="135" t="s">
        <v>20</v>
      </c>
      <c r="M476" s="135" t="s">
        <v>2416</v>
      </c>
      <c r="N476" s="135"/>
      <c r="O476"/>
      <c r="P476"/>
    </row>
    <row r="477" spans="3:16" x14ac:dyDescent="0.2">
      <c r="C477" t="s">
        <v>1333</v>
      </c>
      <c r="E477">
        <v>21.05</v>
      </c>
      <c r="F477">
        <v>29.77</v>
      </c>
      <c r="G477" s="14">
        <v>382.2</v>
      </c>
      <c r="H477" s="133">
        <v>0.98</v>
      </c>
      <c r="I477" s="133">
        <v>19.920000000000002</v>
      </c>
      <c r="J477" s="133">
        <v>20.87</v>
      </c>
      <c r="K477" s="135">
        <v>40684</v>
      </c>
      <c r="L477" s="135" t="s">
        <v>664</v>
      </c>
      <c r="M477" s="135" t="s">
        <v>1756</v>
      </c>
      <c r="N477" s="135"/>
      <c r="O477"/>
      <c r="P477"/>
    </row>
    <row r="478" spans="3:16" x14ac:dyDescent="0.2">
      <c r="C478" t="s">
        <v>4144</v>
      </c>
      <c r="D478">
        <v>11.9</v>
      </c>
      <c r="E478">
        <v>10.9</v>
      </c>
      <c r="F478">
        <v>12.75</v>
      </c>
      <c r="G478" s="14">
        <v>105.3</v>
      </c>
      <c r="H478" s="133">
        <v>7.15</v>
      </c>
      <c r="I478" s="133">
        <v>11.95</v>
      </c>
      <c r="J478" s="133">
        <v>8.75</v>
      </c>
      <c r="K478" s="135">
        <v>40684</v>
      </c>
      <c r="L478" s="135" t="s">
        <v>3030</v>
      </c>
      <c r="M478" s="135" t="s">
        <v>1429</v>
      </c>
      <c r="N478" s="135"/>
      <c r="O478"/>
      <c r="P478"/>
    </row>
    <row r="479" spans="3:16" x14ac:dyDescent="0.2">
      <c r="C479" t="s">
        <v>1377</v>
      </c>
      <c r="D479">
        <v>18.27</v>
      </c>
      <c r="E479">
        <v>23.8</v>
      </c>
      <c r="F479">
        <v>31.3</v>
      </c>
      <c r="G479" s="14">
        <v>505.95</v>
      </c>
      <c r="H479" s="133">
        <v>0.79</v>
      </c>
      <c r="I479" s="133">
        <v>22.16</v>
      </c>
      <c r="J479" s="133">
        <v>32.97</v>
      </c>
      <c r="K479" s="135">
        <v>40684</v>
      </c>
      <c r="L479" s="135" t="s">
        <v>3031</v>
      </c>
      <c r="M479" s="135" t="s">
        <v>1429</v>
      </c>
      <c r="N479" s="135"/>
      <c r="O479"/>
      <c r="P479"/>
    </row>
    <row r="480" spans="3:16" x14ac:dyDescent="0.2">
      <c r="C480" t="s">
        <v>639</v>
      </c>
      <c r="D480">
        <v>66.900000000000006</v>
      </c>
      <c r="E480">
        <v>85.05</v>
      </c>
      <c r="F480">
        <v>109.65</v>
      </c>
      <c r="G480" s="14">
        <v>2315.6999999999998</v>
      </c>
      <c r="H480" s="133"/>
      <c r="I480" s="133">
        <v>13.68</v>
      </c>
      <c r="J480" s="133">
        <v>27.44</v>
      </c>
      <c r="K480" s="135">
        <v>40684</v>
      </c>
      <c r="L480" s="135" t="s">
        <v>665</v>
      </c>
      <c r="M480" s="135" t="s">
        <v>660</v>
      </c>
      <c r="N480" s="135"/>
      <c r="O480"/>
      <c r="P480"/>
    </row>
    <row r="481" spans="3:16" x14ac:dyDescent="0.2">
      <c r="C481" t="s">
        <v>4337</v>
      </c>
      <c r="D481">
        <v>19.18</v>
      </c>
      <c r="E481">
        <v>23.4</v>
      </c>
      <c r="F481">
        <v>27.9</v>
      </c>
      <c r="G481" s="14">
        <v>658.85</v>
      </c>
      <c r="H481" s="133"/>
      <c r="I481" s="133">
        <v>18.64</v>
      </c>
      <c r="J481" s="133">
        <v>27.31</v>
      </c>
      <c r="K481" s="135">
        <v>40684</v>
      </c>
      <c r="L481" s="135" t="s">
        <v>666</v>
      </c>
      <c r="M481" s="135" t="s">
        <v>660</v>
      </c>
      <c r="N481" s="135"/>
      <c r="O481"/>
      <c r="P481"/>
    </row>
    <row r="482" spans="3:16" x14ac:dyDescent="0.2">
      <c r="C482" t="s">
        <v>857</v>
      </c>
      <c r="G482" s="14">
        <v>151.05000000000001</v>
      </c>
      <c r="H482" s="133"/>
      <c r="I482" s="133">
        <v>8.5500000000000007</v>
      </c>
      <c r="J482" s="133">
        <v>10.41</v>
      </c>
      <c r="K482" s="135">
        <v>40684</v>
      </c>
      <c r="L482" s="135" t="s">
        <v>667</v>
      </c>
      <c r="M482" s="135" t="s">
        <v>1755</v>
      </c>
      <c r="N482" s="135"/>
      <c r="O482"/>
      <c r="P482"/>
    </row>
    <row r="483" spans="3:16" x14ac:dyDescent="0.2">
      <c r="C483" t="s">
        <v>4517</v>
      </c>
      <c r="G483" s="14">
        <v>228.15</v>
      </c>
      <c r="H483" s="133"/>
      <c r="I483" s="133">
        <v>22.63</v>
      </c>
      <c r="J483" s="133">
        <v>7.57</v>
      </c>
      <c r="K483" s="135">
        <v>40684</v>
      </c>
      <c r="L483" s="135" t="s">
        <v>4518</v>
      </c>
      <c r="M483" s="135"/>
      <c r="N483" s="135"/>
      <c r="O483"/>
      <c r="P483"/>
    </row>
    <row r="484" spans="3:16" x14ac:dyDescent="0.2">
      <c r="C484" t="s">
        <v>3209</v>
      </c>
      <c r="G484" s="14">
        <v>31.3</v>
      </c>
      <c r="H484" s="133">
        <v>4.82</v>
      </c>
      <c r="I484" s="133">
        <v>8.17</v>
      </c>
      <c r="J484" s="133">
        <v>4</v>
      </c>
      <c r="K484" s="135">
        <v>40684</v>
      </c>
      <c r="L484" s="135"/>
      <c r="M484" s="135"/>
      <c r="N484" s="135"/>
      <c r="O484"/>
      <c r="P484"/>
    </row>
    <row r="485" spans="3:16" x14ac:dyDescent="0.2">
      <c r="C485" t="s">
        <v>3210</v>
      </c>
      <c r="G485" s="14">
        <v>38.950000000000003</v>
      </c>
      <c r="H485" s="133"/>
      <c r="I485" s="133">
        <v>-14.58</v>
      </c>
      <c r="J485" s="133">
        <v>401.41</v>
      </c>
      <c r="K485" s="135">
        <v>40684</v>
      </c>
      <c r="L485" s="135"/>
      <c r="M485" s="135"/>
      <c r="N485" s="135"/>
      <c r="O485"/>
      <c r="P485"/>
    </row>
    <row r="486" spans="3:16" x14ac:dyDescent="0.2">
      <c r="C486" t="s">
        <v>3204</v>
      </c>
      <c r="G486" s="14">
        <v>209.15</v>
      </c>
      <c r="H486" s="133"/>
      <c r="K486" s="135">
        <v>40684</v>
      </c>
      <c r="L486" s="135" t="s">
        <v>890</v>
      </c>
      <c r="M486" s="135" t="s">
        <v>659</v>
      </c>
      <c r="N486" s="135"/>
      <c r="O486"/>
      <c r="P486"/>
    </row>
    <row r="487" spans="3:16" x14ac:dyDescent="0.2">
      <c r="C487" t="s">
        <v>4102</v>
      </c>
      <c r="G487" s="14">
        <v>212.35</v>
      </c>
      <c r="H487" s="133"/>
      <c r="I487" s="133">
        <v>7.35</v>
      </c>
      <c r="J487" s="133">
        <v>218.89</v>
      </c>
      <c r="K487" s="135">
        <v>40684</v>
      </c>
      <c r="L487" s="135" t="s">
        <v>1477</v>
      </c>
      <c r="M487" s="135" t="s">
        <v>2416</v>
      </c>
      <c r="N487" s="135"/>
      <c r="O487"/>
      <c r="P487"/>
    </row>
    <row r="488" spans="3:16" x14ac:dyDescent="0.2">
      <c r="C488" t="s">
        <v>3032</v>
      </c>
      <c r="D488">
        <v>111.77</v>
      </c>
      <c r="E488">
        <v>101.2</v>
      </c>
      <c r="F488">
        <v>119.17</v>
      </c>
      <c r="G488" s="14">
        <v>1808.75</v>
      </c>
      <c r="H488" s="133"/>
      <c r="I488" s="133">
        <v>58.87</v>
      </c>
      <c r="J488" s="133">
        <v>18.73</v>
      </c>
      <c r="K488" s="135">
        <v>40684</v>
      </c>
      <c r="L488" s="135" t="s">
        <v>3033</v>
      </c>
      <c r="M488" s="135" t="s">
        <v>2418</v>
      </c>
      <c r="N488" s="135"/>
      <c r="O488"/>
      <c r="P488"/>
    </row>
    <row r="489" spans="3:16" x14ac:dyDescent="0.2">
      <c r="C489" t="s">
        <v>4103</v>
      </c>
      <c r="G489" s="14">
        <v>120</v>
      </c>
      <c r="H489" s="133">
        <v>2.5</v>
      </c>
      <c r="I489" s="133">
        <v>15.38</v>
      </c>
      <c r="J489" s="133">
        <v>10.33</v>
      </c>
      <c r="K489" s="135">
        <v>40684</v>
      </c>
      <c r="L489" s="135" t="s">
        <v>3695</v>
      </c>
      <c r="M489" s="135" t="s">
        <v>659</v>
      </c>
      <c r="N489" s="135"/>
      <c r="O489"/>
      <c r="P489"/>
    </row>
    <row r="490" spans="3:16" x14ac:dyDescent="0.2">
      <c r="C490" t="s">
        <v>4519</v>
      </c>
      <c r="G490" s="14">
        <v>440.45</v>
      </c>
      <c r="H490" s="133"/>
      <c r="I490" s="133">
        <v>10.73</v>
      </c>
      <c r="J490" s="133">
        <v>29.25</v>
      </c>
      <c r="K490" s="135">
        <v>40684</v>
      </c>
      <c r="L490" s="135" t="s">
        <v>4145</v>
      </c>
      <c r="M490" s="135"/>
      <c r="N490" s="135"/>
      <c r="O490"/>
      <c r="P490"/>
    </row>
    <row r="491" spans="3:16" x14ac:dyDescent="0.2">
      <c r="C491" t="s">
        <v>4146</v>
      </c>
      <c r="G491" s="14">
        <v>38.5</v>
      </c>
      <c r="H491" s="133">
        <v>0.26</v>
      </c>
      <c r="I491" s="133">
        <v>12.82</v>
      </c>
      <c r="J491" s="133">
        <v>13.94</v>
      </c>
      <c r="K491" s="135">
        <v>40684</v>
      </c>
      <c r="L491" s="135" t="s">
        <v>4966</v>
      </c>
      <c r="M491" s="135" t="s">
        <v>2419</v>
      </c>
      <c r="N491" s="135"/>
      <c r="O491"/>
      <c r="P491"/>
    </row>
    <row r="492" spans="3:16" x14ac:dyDescent="0.2">
      <c r="C492" t="s">
        <v>21</v>
      </c>
      <c r="G492" s="14">
        <v>16.55</v>
      </c>
      <c r="H492" s="133"/>
      <c r="I492" s="133">
        <v>-152.56</v>
      </c>
      <c r="J492" s="133">
        <v>0</v>
      </c>
      <c r="K492" s="135">
        <v>40684</v>
      </c>
      <c r="L492" s="135" t="s">
        <v>22</v>
      </c>
      <c r="M492" s="135" t="s">
        <v>1754</v>
      </c>
      <c r="N492" s="135"/>
      <c r="O492"/>
      <c r="P492"/>
    </row>
    <row r="493" spans="3:16" x14ac:dyDescent="0.2">
      <c r="C493" t="s">
        <v>3034</v>
      </c>
      <c r="E493">
        <v>0.4</v>
      </c>
      <c r="F493">
        <v>1.8</v>
      </c>
      <c r="G493" s="14">
        <v>33.549999999999997</v>
      </c>
      <c r="H493" s="133"/>
      <c r="I493" s="133">
        <v>-0.46</v>
      </c>
      <c r="J493" s="133">
        <v>0</v>
      </c>
      <c r="K493" s="135">
        <v>40684</v>
      </c>
      <c r="L493" s="135" t="s">
        <v>3035</v>
      </c>
      <c r="M493" s="135" t="s">
        <v>2994</v>
      </c>
      <c r="N493" s="135"/>
      <c r="O493"/>
      <c r="P493"/>
    </row>
    <row r="494" spans="3:16" x14ac:dyDescent="0.2">
      <c r="C494" t="s">
        <v>4104</v>
      </c>
      <c r="G494" s="14">
        <v>483.5</v>
      </c>
      <c r="H494" s="133">
        <v>2.0299999999999998</v>
      </c>
      <c r="I494" s="133">
        <v>-18.04</v>
      </c>
      <c r="J494" s="133">
        <v>0.56999999999999995</v>
      </c>
      <c r="K494" s="135">
        <v>40684</v>
      </c>
      <c r="L494" s="135" t="s">
        <v>3696</v>
      </c>
      <c r="M494" s="135" t="s">
        <v>2418</v>
      </c>
      <c r="N494" s="135"/>
      <c r="O494"/>
      <c r="P494"/>
    </row>
    <row r="495" spans="3:16" x14ac:dyDescent="0.2">
      <c r="C495" t="s">
        <v>3205</v>
      </c>
      <c r="G495" s="14">
        <v>30.45</v>
      </c>
      <c r="H495" s="133">
        <v>2.63</v>
      </c>
      <c r="I495" s="133">
        <v>3.87</v>
      </c>
      <c r="J495" s="133">
        <v>25.97</v>
      </c>
      <c r="K495" s="135">
        <v>40684</v>
      </c>
      <c r="L495" s="135" t="s">
        <v>3697</v>
      </c>
      <c r="M495" s="135" t="s">
        <v>3180</v>
      </c>
      <c r="N495" s="135"/>
      <c r="O495"/>
      <c r="P495"/>
    </row>
    <row r="496" spans="3:16" x14ac:dyDescent="0.2">
      <c r="C496" t="s">
        <v>23</v>
      </c>
      <c r="G496" s="14">
        <v>282.7</v>
      </c>
      <c r="H496" s="133"/>
      <c r="I496" s="133">
        <v>13.89</v>
      </c>
      <c r="J496" s="133">
        <v>169.18</v>
      </c>
      <c r="K496" s="135">
        <v>40684</v>
      </c>
      <c r="L496" s="135" t="s">
        <v>24</v>
      </c>
      <c r="M496" s="135" t="s">
        <v>2417</v>
      </c>
      <c r="N496" s="135"/>
      <c r="O496"/>
      <c r="P496"/>
    </row>
    <row r="497" spans="3:16" x14ac:dyDescent="0.2">
      <c r="C497" t="s">
        <v>3036</v>
      </c>
      <c r="D497">
        <v>22.16</v>
      </c>
      <c r="E497">
        <v>16.7</v>
      </c>
      <c r="F497">
        <v>20.2</v>
      </c>
      <c r="G497" s="14">
        <v>192.1</v>
      </c>
      <c r="H497" s="133"/>
      <c r="I497" s="133">
        <v>5.3</v>
      </c>
      <c r="J497" s="133">
        <v>17.22</v>
      </c>
      <c r="K497" s="135">
        <v>40684</v>
      </c>
      <c r="L497" s="135" t="s">
        <v>3037</v>
      </c>
      <c r="M497" s="135" t="s">
        <v>2417</v>
      </c>
      <c r="N497" s="135"/>
      <c r="O497"/>
      <c r="P497"/>
    </row>
    <row r="498" spans="3:16" x14ac:dyDescent="0.2">
      <c r="C498" t="s">
        <v>858</v>
      </c>
      <c r="G498" s="14">
        <v>278.05</v>
      </c>
      <c r="H498" s="133"/>
      <c r="I498" s="133">
        <v>6.39</v>
      </c>
      <c r="J498" s="133">
        <v>9.9700000000000006</v>
      </c>
      <c r="K498" s="135">
        <v>40684</v>
      </c>
      <c r="L498" s="135" t="s">
        <v>3698</v>
      </c>
      <c r="M498" s="135" t="s">
        <v>1429</v>
      </c>
      <c r="N498" s="135"/>
      <c r="O498"/>
      <c r="P498"/>
    </row>
    <row r="499" spans="3:16" x14ac:dyDescent="0.2">
      <c r="C499" t="s">
        <v>4105</v>
      </c>
      <c r="G499" s="14">
        <v>0.42</v>
      </c>
      <c r="H499" s="133"/>
      <c r="K499" s="135">
        <v>40684</v>
      </c>
      <c r="L499" s="135" t="s">
        <v>3699</v>
      </c>
      <c r="M499" s="135" t="s">
        <v>2994</v>
      </c>
      <c r="N499" s="135"/>
      <c r="O499"/>
      <c r="P499"/>
    </row>
    <row r="500" spans="3:16" x14ac:dyDescent="0.2">
      <c r="C500" t="s">
        <v>1334</v>
      </c>
      <c r="G500" s="14">
        <v>637.20000000000005</v>
      </c>
      <c r="H500" s="133"/>
      <c r="K500" s="135">
        <v>40684</v>
      </c>
      <c r="L500" s="135" t="s">
        <v>5117</v>
      </c>
      <c r="M500" s="135" t="s">
        <v>2420</v>
      </c>
      <c r="N500" s="135"/>
      <c r="O500"/>
      <c r="P500"/>
    </row>
    <row r="501" spans="3:16" x14ac:dyDescent="0.2">
      <c r="C501" t="s">
        <v>1378</v>
      </c>
      <c r="D501">
        <v>9.6</v>
      </c>
      <c r="E501">
        <v>9.82</v>
      </c>
      <c r="F501">
        <v>11.5</v>
      </c>
      <c r="G501" s="14">
        <v>310.2</v>
      </c>
      <c r="H501" s="133"/>
      <c r="I501" s="133">
        <v>81.400000000000006</v>
      </c>
      <c r="J501" s="133">
        <v>29.04</v>
      </c>
      <c r="K501" s="135">
        <v>40684</v>
      </c>
      <c r="L501" s="135" t="s">
        <v>4967</v>
      </c>
      <c r="M501" s="135" t="s">
        <v>2416</v>
      </c>
      <c r="N501" s="135"/>
      <c r="O501"/>
      <c r="P501"/>
    </row>
    <row r="502" spans="3:16" x14ac:dyDescent="0.2">
      <c r="C502" t="s">
        <v>4106</v>
      </c>
      <c r="G502" s="14">
        <v>17.5</v>
      </c>
      <c r="H502" s="133"/>
      <c r="I502" s="133">
        <v>-348.13</v>
      </c>
      <c r="J502" s="133">
        <v>376.07</v>
      </c>
      <c r="K502" s="135">
        <v>40684</v>
      </c>
      <c r="L502" s="135" t="s">
        <v>3700</v>
      </c>
      <c r="M502" s="135" t="s">
        <v>2418</v>
      </c>
      <c r="N502" s="135"/>
      <c r="O502"/>
      <c r="P502"/>
    </row>
    <row r="503" spans="3:16" x14ac:dyDescent="0.2">
      <c r="C503" t="s">
        <v>4448</v>
      </c>
      <c r="G503" s="14">
        <v>207.3</v>
      </c>
      <c r="H503" s="133">
        <v>0.72</v>
      </c>
      <c r="I503" s="133">
        <v>15.06</v>
      </c>
      <c r="J503" s="133">
        <v>11.7</v>
      </c>
      <c r="K503" s="135">
        <v>40684</v>
      </c>
      <c r="L503" s="135" t="s">
        <v>4467</v>
      </c>
      <c r="M503" s="135"/>
      <c r="N503" s="135"/>
      <c r="O503"/>
      <c r="P503"/>
    </row>
    <row r="504" spans="3:16" x14ac:dyDescent="0.2">
      <c r="C504" t="s">
        <v>4468</v>
      </c>
      <c r="G504" s="14">
        <v>182.5</v>
      </c>
      <c r="H504" s="133"/>
      <c r="I504" s="133">
        <v>1.95</v>
      </c>
      <c r="J504" s="133">
        <v>29.74</v>
      </c>
      <c r="K504" s="135">
        <v>40684</v>
      </c>
      <c r="L504" s="135" t="s">
        <v>2968</v>
      </c>
      <c r="M504" s="135" t="s">
        <v>1765</v>
      </c>
      <c r="N504" s="135"/>
      <c r="O504"/>
      <c r="P504"/>
    </row>
    <row r="505" spans="3:16" x14ac:dyDescent="0.2">
      <c r="C505" t="s">
        <v>859</v>
      </c>
      <c r="G505" s="14">
        <v>361.3</v>
      </c>
      <c r="H505" s="133">
        <v>3.33</v>
      </c>
      <c r="I505" s="133">
        <v>13.69</v>
      </c>
      <c r="J505" s="133">
        <v>9.39</v>
      </c>
      <c r="K505" s="135">
        <v>40684</v>
      </c>
      <c r="L505" s="135" t="s">
        <v>3701</v>
      </c>
      <c r="M505" s="135" t="s">
        <v>1765</v>
      </c>
      <c r="N505" s="135"/>
      <c r="O505"/>
      <c r="P505"/>
    </row>
    <row r="506" spans="3:16" x14ac:dyDescent="0.2">
      <c r="C506" t="s">
        <v>4107</v>
      </c>
      <c r="G506" s="14">
        <v>30.15</v>
      </c>
      <c r="H506" s="133"/>
      <c r="I506" s="133">
        <v>1.8</v>
      </c>
      <c r="J506" s="133">
        <v>16.2</v>
      </c>
      <c r="K506" s="135">
        <v>40684</v>
      </c>
      <c r="L506" s="135" t="s">
        <v>817</v>
      </c>
      <c r="M506" s="135" t="s">
        <v>2994</v>
      </c>
      <c r="N506" s="135"/>
      <c r="O506"/>
      <c r="P506"/>
    </row>
    <row r="507" spans="3:16" x14ac:dyDescent="0.2">
      <c r="C507" t="s">
        <v>4108</v>
      </c>
      <c r="G507" s="14">
        <v>3.3</v>
      </c>
      <c r="H507" s="133"/>
      <c r="K507" s="135">
        <v>40684</v>
      </c>
      <c r="L507" s="135" t="s">
        <v>5035</v>
      </c>
      <c r="M507" s="135" t="s">
        <v>2994</v>
      </c>
      <c r="N507" s="135"/>
      <c r="O507"/>
      <c r="P507"/>
    </row>
    <row r="508" spans="3:16" x14ac:dyDescent="0.2">
      <c r="C508" t="s">
        <v>904</v>
      </c>
      <c r="D508">
        <v>95.65</v>
      </c>
      <c r="E508">
        <v>105.5</v>
      </c>
      <c r="F508">
        <v>131.19999999999999</v>
      </c>
      <c r="G508" s="14">
        <v>134.55000000000001</v>
      </c>
      <c r="H508" s="133"/>
      <c r="I508" s="133">
        <v>22.01</v>
      </c>
      <c r="J508" s="133">
        <v>11.53</v>
      </c>
      <c r="K508" s="135">
        <v>40684</v>
      </c>
      <c r="L508" s="135" t="s">
        <v>905</v>
      </c>
      <c r="M508" s="135" t="s">
        <v>2417</v>
      </c>
      <c r="N508" s="135"/>
      <c r="O508"/>
      <c r="P508"/>
    </row>
    <row r="509" spans="3:16" x14ac:dyDescent="0.2">
      <c r="C509" t="s">
        <v>4109</v>
      </c>
      <c r="G509" s="14">
        <v>110</v>
      </c>
      <c r="H509" s="133">
        <v>4.0999999999999996</v>
      </c>
      <c r="I509" s="133">
        <v>30.33</v>
      </c>
      <c r="J509" s="133">
        <v>11.54</v>
      </c>
      <c r="K509" s="135">
        <v>40684</v>
      </c>
      <c r="L509" s="135" t="s">
        <v>1050</v>
      </c>
      <c r="M509" s="135" t="s">
        <v>2418</v>
      </c>
      <c r="N509" s="135"/>
      <c r="O509"/>
      <c r="P509"/>
    </row>
    <row r="510" spans="3:16" x14ac:dyDescent="0.2">
      <c r="C510" t="s">
        <v>1523</v>
      </c>
      <c r="G510" s="14">
        <v>58.85</v>
      </c>
      <c r="H510" s="133"/>
      <c r="I510" s="133">
        <v>-21.42</v>
      </c>
      <c r="J510" s="133">
        <v>0</v>
      </c>
      <c r="K510" s="135">
        <v>40684</v>
      </c>
      <c r="L510" s="135" t="s">
        <v>1051</v>
      </c>
      <c r="M510" s="135" t="s">
        <v>3180</v>
      </c>
      <c r="N510" s="135"/>
      <c r="O510"/>
      <c r="P510"/>
    </row>
    <row r="511" spans="3:16" x14ac:dyDescent="0.2">
      <c r="C511" t="s">
        <v>906</v>
      </c>
      <c r="D511">
        <v>67.39</v>
      </c>
      <c r="E511">
        <v>89.7</v>
      </c>
      <c r="F511">
        <v>105.5</v>
      </c>
      <c r="G511" s="14">
        <v>1958.65</v>
      </c>
      <c r="H511" s="133">
        <v>2.81</v>
      </c>
      <c r="I511" s="133">
        <v>16.77</v>
      </c>
      <c r="J511" s="133">
        <v>19.52</v>
      </c>
      <c r="K511" s="135">
        <v>40684</v>
      </c>
      <c r="L511" s="135" t="s">
        <v>907</v>
      </c>
      <c r="M511" s="135" t="s">
        <v>659</v>
      </c>
      <c r="N511" s="135"/>
      <c r="O511"/>
      <c r="P511"/>
    </row>
    <row r="512" spans="3:16" x14ac:dyDescent="0.2">
      <c r="C512" t="s">
        <v>908</v>
      </c>
      <c r="D512">
        <v>0.92</v>
      </c>
      <c r="E512">
        <v>1.6</v>
      </c>
      <c r="F512">
        <v>2.5499999999999998</v>
      </c>
      <c r="G512" s="14">
        <v>40.6</v>
      </c>
      <c r="H512" s="133">
        <v>0.49</v>
      </c>
      <c r="I512" s="133">
        <v>5.39</v>
      </c>
      <c r="J512" s="133">
        <v>38.29</v>
      </c>
      <c r="K512" s="135">
        <v>40684</v>
      </c>
      <c r="L512" s="135" t="s">
        <v>909</v>
      </c>
      <c r="M512" s="135" t="s">
        <v>2425</v>
      </c>
      <c r="N512" s="135"/>
      <c r="O512"/>
      <c r="P512"/>
    </row>
    <row r="513" spans="3:16" x14ac:dyDescent="0.2">
      <c r="C513" t="s">
        <v>4110</v>
      </c>
      <c r="G513" s="14">
        <v>20.8</v>
      </c>
      <c r="H513" s="133"/>
      <c r="K513" s="135">
        <v>40684</v>
      </c>
      <c r="L513" s="135" t="s">
        <v>1052</v>
      </c>
      <c r="M513" s="135" t="s">
        <v>2994</v>
      </c>
      <c r="N513" s="135"/>
      <c r="O513"/>
      <c r="P513"/>
    </row>
    <row r="514" spans="3:16" x14ac:dyDescent="0.2">
      <c r="C514" t="s">
        <v>1870</v>
      </c>
      <c r="D514">
        <v>6.84</v>
      </c>
      <c r="E514">
        <v>7.7</v>
      </c>
      <c r="F514">
        <v>9.5</v>
      </c>
      <c r="G514" s="14">
        <v>161.94999999999999</v>
      </c>
      <c r="H514" s="133"/>
      <c r="I514" s="133">
        <v>14.83</v>
      </c>
      <c r="J514" s="133">
        <v>21.47</v>
      </c>
      <c r="K514" s="135">
        <v>40684</v>
      </c>
      <c r="L514" s="135" t="s">
        <v>1258</v>
      </c>
      <c r="M514" s="135" t="s">
        <v>2944</v>
      </c>
      <c r="N514" s="135"/>
      <c r="O514"/>
      <c r="P514"/>
    </row>
    <row r="515" spans="3:16" x14ac:dyDescent="0.2">
      <c r="C515" t="s">
        <v>2182</v>
      </c>
      <c r="G515" s="14">
        <v>399.15</v>
      </c>
      <c r="H515" s="133"/>
      <c r="I515" s="133">
        <v>15.81</v>
      </c>
      <c r="J515" s="133">
        <v>10.84</v>
      </c>
      <c r="K515" s="135">
        <v>40684</v>
      </c>
      <c r="L515" s="135" t="s">
        <v>915</v>
      </c>
      <c r="M515" s="135"/>
      <c r="N515" s="135"/>
      <c r="O515"/>
      <c r="P515"/>
    </row>
    <row r="516" spans="3:16" x14ac:dyDescent="0.2">
      <c r="C516" t="s">
        <v>1335</v>
      </c>
      <c r="G516" s="14">
        <v>723</v>
      </c>
      <c r="H516" s="133"/>
      <c r="K516" s="135">
        <v>40684</v>
      </c>
      <c r="L516" s="135" t="s">
        <v>5257</v>
      </c>
      <c r="M516" s="135" t="s">
        <v>1429</v>
      </c>
      <c r="N516" s="135"/>
      <c r="O516"/>
      <c r="P516"/>
    </row>
    <row r="517" spans="3:16" x14ac:dyDescent="0.2">
      <c r="C517" t="s">
        <v>1259</v>
      </c>
      <c r="D517">
        <v>-1.57</v>
      </c>
      <c r="E517">
        <v>-3.2</v>
      </c>
      <c r="F517">
        <v>-2.5</v>
      </c>
      <c r="G517" s="14">
        <v>15.8</v>
      </c>
      <c r="H517" s="133"/>
      <c r="I517" s="133">
        <v>0</v>
      </c>
      <c r="J517" s="133">
        <v>59.88</v>
      </c>
      <c r="K517" s="135">
        <v>40684</v>
      </c>
      <c r="L517" s="135" t="s">
        <v>2244</v>
      </c>
      <c r="M517" s="135" t="s">
        <v>1754</v>
      </c>
      <c r="N517" s="135"/>
      <c r="O517"/>
      <c r="P517"/>
    </row>
    <row r="518" spans="3:16" x14ac:dyDescent="0.2">
      <c r="C518" t="s">
        <v>3211</v>
      </c>
      <c r="G518" s="14">
        <v>8.39</v>
      </c>
      <c r="H518" s="133"/>
      <c r="K518" s="135">
        <v>40684</v>
      </c>
      <c r="L518" s="135" t="s">
        <v>3212</v>
      </c>
      <c r="M518" s="135" t="s">
        <v>2994</v>
      </c>
      <c r="N518" s="135"/>
      <c r="O518"/>
      <c r="P518"/>
    </row>
    <row r="519" spans="3:16" x14ac:dyDescent="0.2">
      <c r="C519" t="s">
        <v>4204</v>
      </c>
      <c r="G519" s="14">
        <v>20.5</v>
      </c>
      <c r="H519" s="133"/>
      <c r="I519" s="133">
        <v>0.95</v>
      </c>
      <c r="J519" s="133">
        <v>431.21</v>
      </c>
      <c r="K519" s="135">
        <v>40684</v>
      </c>
      <c r="L519" s="135" t="s">
        <v>4205</v>
      </c>
      <c r="M519" s="135" t="s">
        <v>1756</v>
      </c>
      <c r="N519" s="135" t="s">
        <v>5422</v>
      </c>
      <c r="O519"/>
      <c r="P519"/>
    </row>
    <row r="520" spans="3:16" x14ac:dyDescent="0.2">
      <c r="C520" t="s">
        <v>4363</v>
      </c>
      <c r="D520">
        <v>35.99</v>
      </c>
      <c r="E520">
        <v>45.3</v>
      </c>
      <c r="F520">
        <v>57.4</v>
      </c>
      <c r="G520" s="14">
        <v>1043.2</v>
      </c>
      <c r="H520" s="133"/>
      <c r="I520" s="133">
        <v>7.53</v>
      </c>
      <c r="J520" s="133">
        <v>23.35</v>
      </c>
      <c r="K520" s="135">
        <v>40684</v>
      </c>
      <c r="L520" s="135" t="s">
        <v>5258</v>
      </c>
      <c r="M520" s="135" t="s">
        <v>660</v>
      </c>
      <c r="N520" s="135"/>
      <c r="O520"/>
      <c r="P520"/>
    </row>
    <row r="521" spans="3:16" x14ac:dyDescent="0.2">
      <c r="C521" t="s">
        <v>1336</v>
      </c>
      <c r="D521">
        <v>42.59</v>
      </c>
      <c r="E521">
        <v>42.3</v>
      </c>
      <c r="F521">
        <v>46.35</v>
      </c>
      <c r="G521" s="14">
        <v>854.95</v>
      </c>
      <c r="H521" s="133"/>
      <c r="I521" s="133">
        <v>8.7200000000000006</v>
      </c>
      <c r="J521" s="133">
        <v>17.850000000000001</v>
      </c>
      <c r="K521" s="135">
        <v>40684</v>
      </c>
      <c r="L521" s="135" t="s">
        <v>5259</v>
      </c>
      <c r="M521" s="135" t="s">
        <v>2426</v>
      </c>
      <c r="N521" s="135"/>
      <c r="O521"/>
      <c r="P521"/>
    </row>
    <row r="522" spans="3:16" x14ac:dyDescent="0.2">
      <c r="C522" t="s">
        <v>3787</v>
      </c>
      <c r="D522">
        <v>14.08</v>
      </c>
      <c r="E522">
        <v>15.93</v>
      </c>
      <c r="F522">
        <v>18.45</v>
      </c>
      <c r="G522" s="14">
        <v>133.25</v>
      </c>
      <c r="H522" s="133"/>
      <c r="I522" s="133">
        <v>12.55</v>
      </c>
      <c r="J522" s="133">
        <v>7.96</v>
      </c>
      <c r="K522" s="135">
        <v>40684</v>
      </c>
      <c r="L522" s="135" t="s">
        <v>2648</v>
      </c>
      <c r="M522" s="135" t="s">
        <v>660</v>
      </c>
      <c r="N522" s="135"/>
      <c r="O522"/>
      <c r="P522"/>
    </row>
    <row r="523" spans="3:16" x14ac:dyDescent="0.2">
      <c r="C523" t="s">
        <v>916</v>
      </c>
      <c r="G523" s="14">
        <v>67.45</v>
      </c>
      <c r="H523" s="133"/>
      <c r="I523" s="133">
        <v>7.29</v>
      </c>
      <c r="J523" s="133">
        <v>21.05</v>
      </c>
      <c r="K523" s="135">
        <v>40684</v>
      </c>
      <c r="L523" s="135" t="s">
        <v>917</v>
      </c>
      <c r="M523" s="135" t="s">
        <v>1754</v>
      </c>
      <c r="N523" s="135"/>
      <c r="O523"/>
      <c r="P523"/>
    </row>
    <row r="524" spans="3:16" x14ac:dyDescent="0.2">
      <c r="C524" t="s">
        <v>4360</v>
      </c>
      <c r="D524">
        <v>7.74</v>
      </c>
      <c r="E524">
        <v>9.1999999999999993</v>
      </c>
      <c r="F524">
        <v>11.1</v>
      </c>
      <c r="G524" s="14">
        <v>137.30000000000001</v>
      </c>
      <c r="H524" s="133"/>
      <c r="I524" s="133">
        <v>15.08</v>
      </c>
      <c r="J524" s="133">
        <v>24.74</v>
      </c>
      <c r="K524" s="135">
        <v>40684</v>
      </c>
      <c r="L524" s="135" t="s">
        <v>3458</v>
      </c>
      <c r="M524" s="135" t="s">
        <v>660</v>
      </c>
      <c r="N524" s="135"/>
      <c r="O524"/>
      <c r="P524"/>
    </row>
    <row r="525" spans="3:16" x14ac:dyDescent="0.2">
      <c r="C525" t="s">
        <v>1471</v>
      </c>
      <c r="G525" s="14">
        <v>79.349999999999994</v>
      </c>
      <c r="H525" s="133">
        <v>2.2799999999999998</v>
      </c>
      <c r="I525" s="133">
        <v>1.92</v>
      </c>
      <c r="J525" s="133">
        <v>17.39</v>
      </c>
      <c r="K525" s="135">
        <v>40684</v>
      </c>
      <c r="L525" s="135" t="s">
        <v>1084</v>
      </c>
      <c r="M525" s="135" t="s">
        <v>1765</v>
      </c>
      <c r="N525" s="135"/>
      <c r="O525"/>
      <c r="P525"/>
    </row>
    <row r="526" spans="3:16" x14ac:dyDescent="0.2">
      <c r="C526" t="s">
        <v>4111</v>
      </c>
      <c r="G526" s="14">
        <v>19</v>
      </c>
      <c r="H526" s="133"/>
      <c r="K526" s="135">
        <v>40684</v>
      </c>
      <c r="L526" s="135" t="s">
        <v>4069</v>
      </c>
      <c r="M526" s="135" t="s">
        <v>1429</v>
      </c>
      <c r="N526" s="135"/>
      <c r="O526"/>
      <c r="P526"/>
    </row>
    <row r="527" spans="3:16" x14ac:dyDescent="0.2">
      <c r="C527" t="s">
        <v>3213</v>
      </c>
      <c r="G527" s="14">
        <v>130.69999999999999</v>
      </c>
      <c r="H527" s="133"/>
      <c r="I527" s="133">
        <v>31.66</v>
      </c>
      <c r="J527" s="133">
        <v>8.82</v>
      </c>
      <c r="K527" s="135">
        <v>40684</v>
      </c>
      <c r="L527" s="135"/>
      <c r="M527" s="135"/>
      <c r="N527" s="135"/>
      <c r="O527"/>
      <c r="P527"/>
    </row>
    <row r="528" spans="3:16" x14ac:dyDescent="0.2">
      <c r="C528" t="s">
        <v>860</v>
      </c>
      <c r="G528" s="14">
        <v>47.95</v>
      </c>
      <c r="H528" s="133"/>
      <c r="I528" s="133">
        <v>-2.35</v>
      </c>
      <c r="J528" s="133">
        <v>5.01</v>
      </c>
      <c r="K528" s="135">
        <v>40684</v>
      </c>
      <c r="L528" s="135" t="s">
        <v>3459</v>
      </c>
      <c r="M528" s="135" t="s">
        <v>660</v>
      </c>
      <c r="N528" s="135"/>
      <c r="O528"/>
      <c r="P528"/>
    </row>
    <row r="529" spans="3:16" x14ac:dyDescent="0.2">
      <c r="C529" t="s">
        <v>1379</v>
      </c>
      <c r="D529">
        <v>92.16</v>
      </c>
      <c r="E529">
        <v>122.15</v>
      </c>
      <c r="F529">
        <v>128.25</v>
      </c>
      <c r="G529" s="14">
        <v>2170.35</v>
      </c>
      <c r="H529" s="133"/>
      <c r="I529" s="133">
        <v>19.100000000000001</v>
      </c>
      <c r="J529" s="133">
        <v>18.79</v>
      </c>
      <c r="K529" s="135">
        <v>40684</v>
      </c>
      <c r="L529" s="135" t="s">
        <v>2245</v>
      </c>
      <c r="M529" s="135" t="s">
        <v>1429</v>
      </c>
      <c r="N529" s="135"/>
      <c r="O529"/>
      <c r="P529"/>
    </row>
    <row r="530" spans="3:16" x14ac:dyDescent="0.2">
      <c r="C530" t="s">
        <v>861</v>
      </c>
      <c r="G530" s="14">
        <v>394</v>
      </c>
      <c r="H530" s="133"/>
      <c r="K530" s="135">
        <v>40684</v>
      </c>
      <c r="L530" s="135" t="s">
        <v>2832</v>
      </c>
      <c r="M530" s="135" t="s">
        <v>660</v>
      </c>
      <c r="N530" s="135"/>
      <c r="O530"/>
      <c r="P530"/>
    </row>
    <row r="531" spans="3:16" x14ac:dyDescent="0.2">
      <c r="C531" t="s">
        <v>1337</v>
      </c>
      <c r="E531">
        <v>2.9</v>
      </c>
      <c r="F531">
        <v>3.6</v>
      </c>
      <c r="G531" s="14">
        <v>33.6</v>
      </c>
      <c r="H531" s="133"/>
      <c r="I531" s="133">
        <v>48.39</v>
      </c>
      <c r="J531" s="133">
        <v>18.420000000000002</v>
      </c>
      <c r="K531" s="135">
        <v>40684</v>
      </c>
      <c r="L531" s="135" t="s">
        <v>2833</v>
      </c>
      <c r="M531" s="135" t="s">
        <v>660</v>
      </c>
      <c r="N531" s="135"/>
      <c r="P531"/>
    </row>
    <row r="532" spans="3:16" x14ac:dyDescent="0.2">
      <c r="C532" t="s">
        <v>25</v>
      </c>
      <c r="G532" s="14">
        <v>84.9</v>
      </c>
      <c r="H532" s="133"/>
      <c r="I532" s="133">
        <v>5.22</v>
      </c>
      <c r="J532" s="133">
        <v>15.07</v>
      </c>
      <c r="K532" s="135">
        <v>40684</v>
      </c>
      <c r="L532" s="135" t="s">
        <v>26</v>
      </c>
      <c r="M532" s="135" t="s">
        <v>1756</v>
      </c>
      <c r="N532" s="135"/>
      <c r="P532"/>
    </row>
    <row r="533" spans="3:16" x14ac:dyDescent="0.2">
      <c r="C533" t="s">
        <v>4112</v>
      </c>
      <c r="G533" s="14">
        <v>3</v>
      </c>
      <c r="H533" s="133"/>
      <c r="I533" s="133">
        <v>82.59</v>
      </c>
      <c r="J533" s="133">
        <v>1.69</v>
      </c>
      <c r="K533" s="135">
        <v>40684</v>
      </c>
      <c r="L533" s="135" t="s">
        <v>4070</v>
      </c>
      <c r="M533" s="135" t="s">
        <v>2994</v>
      </c>
      <c r="N533" s="135"/>
      <c r="P533"/>
    </row>
    <row r="534" spans="3:16" x14ac:dyDescent="0.2">
      <c r="C534" t="s">
        <v>3214</v>
      </c>
      <c r="G534" s="14">
        <v>75.650000000000006</v>
      </c>
      <c r="H534" s="133"/>
      <c r="I534" s="133">
        <v>-5.65</v>
      </c>
      <c r="J534" s="133">
        <v>0.49</v>
      </c>
      <c r="K534" s="135">
        <v>40684</v>
      </c>
      <c r="L534" s="135"/>
      <c r="M534" s="135"/>
      <c r="N534" s="135"/>
      <c r="P534"/>
    </row>
    <row r="535" spans="3:16" x14ac:dyDescent="0.2">
      <c r="C535" t="s">
        <v>1338</v>
      </c>
      <c r="D535">
        <v>8.8000000000000007</v>
      </c>
      <c r="E535">
        <v>11.94</v>
      </c>
      <c r="F535">
        <v>15.6</v>
      </c>
      <c r="G535" s="14">
        <v>17.05</v>
      </c>
      <c r="H535" s="133"/>
      <c r="I535" s="133">
        <v>0</v>
      </c>
      <c r="J535" s="133">
        <v>0</v>
      </c>
      <c r="K535" s="135">
        <v>40684</v>
      </c>
      <c r="L535" s="135" t="s">
        <v>2835</v>
      </c>
      <c r="M535" s="135" t="s">
        <v>660</v>
      </c>
      <c r="N535" s="135"/>
      <c r="P535"/>
    </row>
    <row r="536" spans="3:16" x14ac:dyDescent="0.2">
      <c r="C536" t="s">
        <v>1339</v>
      </c>
      <c r="D536">
        <v>9.84</v>
      </c>
      <c r="E536">
        <v>20.32</v>
      </c>
      <c r="F536">
        <v>26.9</v>
      </c>
      <c r="G536" s="14">
        <v>151.65</v>
      </c>
      <c r="H536" s="133"/>
      <c r="I536" s="133">
        <v>6.13</v>
      </c>
      <c r="J536" s="133">
        <v>7.75</v>
      </c>
      <c r="K536" s="135">
        <v>40684</v>
      </c>
      <c r="L536" s="135" t="s">
        <v>2836</v>
      </c>
      <c r="M536" s="135" t="s">
        <v>660</v>
      </c>
      <c r="N536" s="135"/>
      <c r="P536"/>
    </row>
    <row r="537" spans="3:16" x14ac:dyDescent="0.2">
      <c r="C537" t="s">
        <v>2246</v>
      </c>
      <c r="D537">
        <v>9.68</v>
      </c>
      <c r="E537">
        <v>3.45</v>
      </c>
      <c r="F537">
        <v>6.05</v>
      </c>
      <c r="G537" s="14">
        <v>84.75</v>
      </c>
      <c r="H537" s="133">
        <v>2.36</v>
      </c>
      <c r="I537" s="133">
        <v>8.44</v>
      </c>
      <c r="J537" s="133">
        <v>7.34</v>
      </c>
      <c r="K537" s="135">
        <v>40684</v>
      </c>
      <c r="L537" s="135" t="s">
        <v>2247</v>
      </c>
      <c r="M537" s="135" t="s">
        <v>2995</v>
      </c>
      <c r="N537" s="135"/>
      <c r="P537"/>
    </row>
    <row r="538" spans="3:16" x14ac:dyDescent="0.2">
      <c r="C538" t="s">
        <v>1790</v>
      </c>
      <c r="G538" s="14">
        <v>13.2</v>
      </c>
      <c r="H538" s="133"/>
      <c r="I538" s="133">
        <v>-73.010000000000005</v>
      </c>
      <c r="J538" s="133">
        <v>5.29</v>
      </c>
      <c r="K538" s="135">
        <v>40684</v>
      </c>
      <c r="L538" s="135" t="s">
        <v>3688</v>
      </c>
      <c r="M538" s="135" t="s">
        <v>2994</v>
      </c>
      <c r="N538" s="135"/>
      <c r="P538"/>
    </row>
    <row r="539" spans="3:16" x14ac:dyDescent="0.2">
      <c r="C539" t="s">
        <v>3215</v>
      </c>
      <c r="G539" s="14">
        <v>24.45</v>
      </c>
      <c r="H539" s="133"/>
      <c r="I539" s="133">
        <v>12.58</v>
      </c>
      <c r="J539" s="133">
        <v>4.72</v>
      </c>
      <c r="K539" s="135">
        <v>40684</v>
      </c>
      <c r="L539" s="135"/>
      <c r="M539" s="135"/>
      <c r="N539" s="135"/>
      <c r="P539"/>
    </row>
    <row r="540" spans="3:16" x14ac:dyDescent="0.2">
      <c r="C540" t="s">
        <v>1791</v>
      </c>
      <c r="G540" s="14">
        <v>5.0999999999999996</v>
      </c>
      <c r="H540" s="133"/>
      <c r="K540" s="135">
        <v>40684</v>
      </c>
      <c r="L540" s="135" t="s">
        <v>4223</v>
      </c>
      <c r="M540" s="135" t="s">
        <v>2417</v>
      </c>
      <c r="N540" s="135"/>
      <c r="P540"/>
    </row>
    <row r="541" spans="3:16" x14ac:dyDescent="0.2">
      <c r="C541" t="s">
        <v>1340</v>
      </c>
      <c r="D541">
        <v>15.39</v>
      </c>
      <c r="E541">
        <v>18.5</v>
      </c>
      <c r="F541">
        <v>21</v>
      </c>
      <c r="G541" s="14">
        <v>332.3</v>
      </c>
      <c r="H541" s="133">
        <v>1.35</v>
      </c>
      <c r="I541" s="133">
        <v>25.83</v>
      </c>
      <c r="J541" s="133">
        <v>21.58</v>
      </c>
      <c r="K541" s="135">
        <v>40684</v>
      </c>
      <c r="L541" s="135" t="s">
        <v>2837</v>
      </c>
      <c r="M541" s="135" t="s">
        <v>1765</v>
      </c>
      <c r="N541" s="135"/>
      <c r="P541"/>
    </row>
    <row r="542" spans="3:16" x14ac:dyDescent="0.2">
      <c r="C542" t="s">
        <v>3003</v>
      </c>
      <c r="G542" s="14">
        <v>115.7</v>
      </c>
      <c r="H542" s="133">
        <v>1.3</v>
      </c>
      <c r="I542" s="133">
        <v>-9.19</v>
      </c>
      <c r="J542" s="133">
        <v>16.079999999999998</v>
      </c>
      <c r="K542" s="135">
        <v>40684</v>
      </c>
      <c r="L542" s="135" t="s">
        <v>3004</v>
      </c>
      <c r="M542" s="135"/>
      <c r="N542" s="135"/>
      <c r="P542"/>
    </row>
    <row r="543" spans="3:16" x14ac:dyDescent="0.2">
      <c r="C543" t="s">
        <v>2248</v>
      </c>
      <c r="D543">
        <v>-2.9</v>
      </c>
      <c r="E543">
        <v>1.4</v>
      </c>
      <c r="F543">
        <v>3.7</v>
      </c>
      <c r="G543" s="14">
        <v>79.75</v>
      </c>
      <c r="H543" s="133">
        <v>1.26</v>
      </c>
      <c r="I543" s="133">
        <v>3.87</v>
      </c>
      <c r="J543" s="133">
        <v>39.51</v>
      </c>
      <c r="K543" s="135">
        <v>40684</v>
      </c>
      <c r="L543" s="135" t="s">
        <v>3200</v>
      </c>
      <c r="M543" s="135" t="s">
        <v>2425</v>
      </c>
      <c r="N543" s="135"/>
      <c r="P543"/>
    </row>
    <row r="544" spans="3:16" x14ac:dyDescent="0.2">
      <c r="C544" t="s">
        <v>27</v>
      </c>
      <c r="G544" s="14">
        <v>221</v>
      </c>
      <c r="H544" s="133"/>
      <c r="I544" s="133">
        <v>22.79</v>
      </c>
      <c r="J544" s="133">
        <v>5.54</v>
      </c>
      <c r="K544" s="135">
        <v>40684</v>
      </c>
      <c r="L544" s="135" t="s">
        <v>28</v>
      </c>
      <c r="M544" s="135" t="s">
        <v>660</v>
      </c>
      <c r="N544" s="135"/>
      <c r="P544"/>
    </row>
    <row r="545" spans="3:16" x14ac:dyDescent="0.2">
      <c r="C545" t="s">
        <v>3005</v>
      </c>
      <c r="G545" s="14">
        <v>74.45</v>
      </c>
      <c r="H545" s="133"/>
      <c r="I545" s="133">
        <v>13.36</v>
      </c>
      <c r="J545" s="133">
        <v>17.43</v>
      </c>
      <c r="K545" s="135">
        <v>40684</v>
      </c>
      <c r="L545" s="135" t="s">
        <v>3226</v>
      </c>
      <c r="M545" s="135"/>
      <c r="N545" s="135"/>
      <c r="P545"/>
    </row>
    <row r="546" spans="3:16" x14ac:dyDescent="0.2">
      <c r="C546" t="s">
        <v>2548</v>
      </c>
      <c r="G546" s="14">
        <v>93.45</v>
      </c>
      <c r="H546" s="133">
        <v>1.07</v>
      </c>
      <c r="I546" s="133">
        <v>15.06</v>
      </c>
      <c r="J546" s="133">
        <v>4.7699999999999996</v>
      </c>
      <c r="K546" s="135">
        <v>40684</v>
      </c>
      <c r="L546" s="135" t="s">
        <v>4224</v>
      </c>
      <c r="M546" s="135" t="s">
        <v>659</v>
      </c>
      <c r="N546" s="135"/>
      <c r="P546"/>
    </row>
    <row r="547" spans="3:16" x14ac:dyDescent="0.2">
      <c r="C547" t="s">
        <v>862</v>
      </c>
      <c r="G547" s="14">
        <v>10.85</v>
      </c>
      <c r="H547" s="133"/>
      <c r="I547" s="133">
        <v>-8.81</v>
      </c>
      <c r="J547" s="133">
        <v>0</v>
      </c>
      <c r="K547" s="135">
        <v>40684</v>
      </c>
      <c r="L547" s="135" t="s">
        <v>2838</v>
      </c>
      <c r="M547" s="135" t="s">
        <v>660</v>
      </c>
      <c r="N547" s="135"/>
      <c r="P547"/>
    </row>
    <row r="548" spans="3:16" x14ac:dyDescent="0.2">
      <c r="C548" t="s">
        <v>2549</v>
      </c>
      <c r="G548" s="14">
        <v>266</v>
      </c>
      <c r="H548" s="133">
        <v>2.79</v>
      </c>
      <c r="I548" s="133">
        <v>12.99</v>
      </c>
      <c r="J548" s="133">
        <v>10.9</v>
      </c>
      <c r="K548" s="135">
        <v>40684</v>
      </c>
      <c r="L548" s="135" t="s">
        <v>4226</v>
      </c>
      <c r="M548" s="135" t="s">
        <v>2418</v>
      </c>
      <c r="N548" s="135"/>
      <c r="P548"/>
    </row>
    <row r="549" spans="3:16" x14ac:dyDescent="0.2">
      <c r="C549" t="s">
        <v>1833</v>
      </c>
      <c r="G549" s="14">
        <v>4.0999999999999996</v>
      </c>
      <c r="H549" s="133"/>
      <c r="I549" s="133">
        <v>-17.39</v>
      </c>
      <c r="J549" s="133">
        <v>0</v>
      </c>
      <c r="K549" s="135">
        <v>40684</v>
      </c>
      <c r="L549" s="135" t="s">
        <v>2921</v>
      </c>
      <c r="M549" s="135" t="s">
        <v>2994</v>
      </c>
      <c r="N549" s="135"/>
      <c r="P549"/>
    </row>
    <row r="550" spans="3:16" x14ac:dyDescent="0.2">
      <c r="C550" t="s">
        <v>1341</v>
      </c>
      <c r="D550">
        <v>14.49</v>
      </c>
      <c r="E550">
        <v>16.5</v>
      </c>
      <c r="F550">
        <v>22.75</v>
      </c>
      <c r="G550" s="14">
        <v>147.30000000000001</v>
      </c>
      <c r="H550" s="133"/>
      <c r="I550" s="133">
        <v>11.1</v>
      </c>
      <c r="J550" s="133">
        <v>8.51</v>
      </c>
      <c r="K550" s="135">
        <v>40684</v>
      </c>
      <c r="L550" s="135" t="s">
        <v>2429</v>
      </c>
      <c r="M550" s="135" t="s">
        <v>660</v>
      </c>
      <c r="N550" s="135"/>
      <c r="P550"/>
    </row>
    <row r="551" spans="3:16" x14ac:dyDescent="0.2">
      <c r="C551" t="s">
        <v>3201</v>
      </c>
      <c r="D551">
        <v>14.8</v>
      </c>
      <c r="E551">
        <v>31.7</v>
      </c>
      <c r="F551">
        <v>68.12</v>
      </c>
      <c r="G551" s="14">
        <v>858.9</v>
      </c>
      <c r="H551" s="133">
        <v>0.57999999999999996</v>
      </c>
      <c r="I551" s="133">
        <v>6</v>
      </c>
      <c r="J551" s="133">
        <v>34.39</v>
      </c>
      <c r="K551" s="135">
        <v>40684</v>
      </c>
      <c r="L551" s="135" t="s">
        <v>4837</v>
      </c>
      <c r="M551" s="135" t="s">
        <v>2994</v>
      </c>
      <c r="N551" s="135"/>
      <c r="P551"/>
    </row>
    <row r="552" spans="3:16" x14ac:dyDescent="0.2">
      <c r="C552" t="s">
        <v>29</v>
      </c>
      <c r="G552" s="14">
        <v>112.45</v>
      </c>
      <c r="H552" s="133"/>
      <c r="I552" s="133">
        <v>0.22</v>
      </c>
      <c r="J552" s="133">
        <v>98.63</v>
      </c>
      <c r="K552" s="135">
        <v>40684</v>
      </c>
      <c r="L552" s="135" t="s">
        <v>30</v>
      </c>
      <c r="M552" s="135" t="s">
        <v>1755</v>
      </c>
      <c r="N552" s="135"/>
      <c r="P552"/>
    </row>
    <row r="553" spans="3:16" x14ac:dyDescent="0.2">
      <c r="C553" t="s">
        <v>1342</v>
      </c>
      <c r="D553">
        <v>34.26</v>
      </c>
      <c r="E553">
        <v>40.75</v>
      </c>
      <c r="F553">
        <v>51.4</v>
      </c>
      <c r="G553" s="14">
        <v>426.3</v>
      </c>
      <c r="H553" s="133"/>
      <c r="I553" s="133">
        <v>13.42</v>
      </c>
      <c r="J553" s="133">
        <v>10.18</v>
      </c>
      <c r="K553" s="135">
        <v>40684</v>
      </c>
      <c r="L553" s="135" t="s">
        <v>2430</v>
      </c>
      <c r="M553" s="135" t="s">
        <v>659</v>
      </c>
      <c r="N553" s="135"/>
      <c r="P553"/>
    </row>
    <row r="554" spans="3:16" x14ac:dyDescent="0.2">
      <c r="C554" t="s">
        <v>1834</v>
      </c>
      <c r="G554" s="14">
        <v>1845</v>
      </c>
      <c r="H554" s="133">
        <v>0.82</v>
      </c>
      <c r="I554" s="133">
        <v>25.18</v>
      </c>
      <c r="J554" s="133">
        <v>43.59</v>
      </c>
      <c r="K554" s="135">
        <v>40684</v>
      </c>
      <c r="L554" s="135" t="s">
        <v>4312</v>
      </c>
      <c r="M554" s="135" t="s">
        <v>2416</v>
      </c>
      <c r="N554" s="135"/>
      <c r="P554"/>
    </row>
    <row r="555" spans="3:16" x14ac:dyDescent="0.2">
      <c r="C555" t="s">
        <v>1835</v>
      </c>
      <c r="G555" s="14">
        <v>30.3</v>
      </c>
      <c r="H555" s="133"/>
      <c r="I555" s="133">
        <v>15.43</v>
      </c>
      <c r="J555" s="133">
        <v>3.02</v>
      </c>
      <c r="K555" s="135">
        <v>40684</v>
      </c>
      <c r="L555" s="135" t="s">
        <v>4191</v>
      </c>
      <c r="M555" s="135" t="s">
        <v>659</v>
      </c>
      <c r="N555" s="135"/>
      <c r="P555"/>
    </row>
    <row r="556" spans="3:16" x14ac:dyDescent="0.2">
      <c r="C556" t="s">
        <v>2931</v>
      </c>
      <c r="E556">
        <v>-6.2</v>
      </c>
      <c r="F556">
        <v>14</v>
      </c>
      <c r="G556" s="14">
        <v>141.35</v>
      </c>
      <c r="H556" s="133"/>
      <c r="I556" s="133">
        <v>-5.7</v>
      </c>
      <c r="J556" s="133">
        <v>0</v>
      </c>
      <c r="K556" s="135">
        <v>40684</v>
      </c>
      <c r="L556" s="135" t="s">
        <v>2431</v>
      </c>
      <c r="M556" s="135" t="s">
        <v>1756</v>
      </c>
      <c r="N556" s="135"/>
      <c r="P556"/>
    </row>
    <row r="557" spans="3:16" x14ac:dyDescent="0.2">
      <c r="C557" t="s">
        <v>3477</v>
      </c>
      <c r="G557" s="14">
        <v>19</v>
      </c>
      <c r="H557" s="133"/>
      <c r="I557" s="133">
        <v>12.58</v>
      </c>
      <c r="J557" s="133">
        <v>4.72</v>
      </c>
      <c r="K557" s="135">
        <v>40684</v>
      </c>
      <c r="L557" s="135"/>
      <c r="M557" s="135"/>
      <c r="N557" s="135"/>
      <c r="P557"/>
    </row>
    <row r="558" spans="3:16" x14ac:dyDescent="0.2">
      <c r="C558" t="s">
        <v>3227</v>
      </c>
      <c r="G558" s="14">
        <v>718.7</v>
      </c>
      <c r="H558" s="133"/>
      <c r="I558" s="133">
        <v>15.64</v>
      </c>
      <c r="J558" s="133">
        <v>46.8</v>
      </c>
      <c r="K558" s="135">
        <v>40684</v>
      </c>
      <c r="L558" s="135" t="s">
        <v>910</v>
      </c>
      <c r="M558" s="135"/>
      <c r="N558" s="135"/>
      <c r="P558"/>
    </row>
    <row r="559" spans="3:16" x14ac:dyDescent="0.2">
      <c r="C559" t="s">
        <v>2932</v>
      </c>
      <c r="D559">
        <v>15.38</v>
      </c>
      <c r="E559">
        <v>13</v>
      </c>
      <c r="F559">
        <v>15.8</v>
      </c>
      <c r="G559" s="14">
        <v>152.15</v>
      </c>
      <c r="H559" s="133"/>
      <c r="I559" s="133">
        <v>12.85</v>
      </c>
      <c r="J559" s="133">
        <v>14.38</v>
      </c>
      <c r="K559" s="135">
        <v>40684</v>
      </c>
      <c r="L559" s="135" t="s">
        <v>4838</v>
      </c>
      <c r="M559" s="135" t="s">
        <v>1429</v>
      </c>
      <c r="N559" s="135"/>
      <c r="P559"/>
    </row>
    <row r="560" spans="3:16" x14ac:dyDescent="0.2">
      <c r="C560" t="s">
        <v>1380</v>
      </c>
      <c r="D560">
        <v>108.87</v>
      </c>
      <c r="E560">
        <v>120.7</v>
      </c>
      <c r="F560">
        <v>149.13</v>
      </c>
      <c r="G560" s="14">
        <v>2849.85</v>
      </c>
      <c r="H560" s="133"/>
      <c r="I560" s="133">
        <v>25.89</v>
      </c>
      <c r="J560" s="133">
        <v>25.4</v>
      </c>
      <c r="K560" s="135">
        <v>40684</v>
      </c>
      <c r="L560" s="135" t="s">
        <v>3820</v>
      </c>
      <c r="M560" s="135" t="s">
        <v>1429</v>
      </c>
      <c r="N560" s="135" t="s">
        <v>5428</v>
      </c>
      <c r="P560"/>
    </row>
    <row r="561" spans="3:16" x14ac:dyDescent="0.2">
      <c r="C561" t="s">
        <v>1836</v>
      </c>
      <c r="G561" s="14">
        <v>464.65</v>
      </c>
      <c r="H561" s="133"/>
      <c r="I561" s="133">
        <v>6.51</v>
      </c>
      <c r="J561" s="133">
        <v>21.27</v>
      </c>
      <c r="K561" s="135">
        <v>40684</v>
      </c>
      <c r="L561" s="135" t="s">
        <v>1130</v>
      </c>
      <c r="M561" s="135" t="s">
        <v>3180</v>
      </c>
      <c r="N561" s="135"/>
      <c r="P561"/>
    </row>
    <row r="562" spans="3:16" x14ac:dyDescent="0.2">
      <c r="C562" t="s">
        <v>1837</v>
      </c>
      <c r="G562" s="14">
        <v>111.45</v>
      </c>
      <c r="H562" s="133"/>
      <c r="K562" s="135">
        <v>40684</v>
      </c>
      <c r="L562" s="135" t="s">
        <v>1131</v>
      </c>
      <c r="M562" s="135" t="s">
        <v>1429</v>
      </c>
      <c r="N562" s="135"/>
      <c r="P562"/>
    </row>
    <row r="563" spans="3:16" x14ac:dyDescent="0.2">
      <c r="C563" t="s">
        <v>1871</v>
      </c>
      <c r="D563">
        <v>4.24</v>
      </c>
      <c r="E563">
        <v>2</v>
      </c>
      <c r="F563">
        <v>3.2</v>
      </c>
      <c r="G563" s="14">
        <v>43.95</v>
      </c>
      <c r="H563" s="133"/>
      <c r="I563" s="133">
        <v>4.51</v>
      </c>
      <c r="J563" s="133">
        <v>10.44</v>
      </c>
      <c r="K563" s="135">
        <v>40684</v>
      </c>
      <c r="L563" s="135" t="s">
        <v>3821</v>
      </c>
      <c r="M563" s="135" t="s">
        <v>2944</v>
      </c>
      <c r="N563" s="135" t="s">
        <v>5417</v>
      </c>
      <c r="P563"/>
    </row>
    <row r="564" spans="3:16" x14ac:dyDescent="0.2">
      <c r="C564" t="s">
        <v>2998</v>
      </c>
      <c r="G564" s="14">
        <v>258.3</v>
      </c>
      <c r="H564" s="133">
        <v>1.94</v>
      </c>
      <c r="I564" s="133">
        <v>15.64</v>
      </c>
      <c r="J564" s="133">
        <v>5.16</v>
      </c>
      <c r="K564" s="135">
        <v>40684</v>
      </c>
      <c r="L564" s="135" t="s">
        <v>2432</v>
      </c>
      <c r="M564" s="135" t="s">
        <v>3180</v>
      </c>
      <c r="N564" s="135"/>
      <c r="P564"/>
    </row>
    <row r="565" spans="3:16" x14ac:dyDescent="0.2">
      <c r="C565" t="s">
        <v>3478</v>
      </c>
      <c r="G565" s="14">
        <v>3.05</v>
      </c>
      <c r="H565" s="133"/>
      <c r="K565" s="135">
        <v>40684</v>
      </c>
      <c r="L565" s="135" t="s">
        <v>4313</v>
      </c>
      <c r="M565" s="135" t="s">
        <v>660</v>
      </c>
      <c r="N565" s="135"/>
      <c r="P565"/>
    </row>
    <row r="566" spans="3:16" x14ac:dyDescent="0.2">
      <c r="C566" t="s">
        <v>1838</v>
      </c>
      <c r="G566" s="14">
        <v>21</v>
      </c>
      <c r="H566" s="133"/>
      <c r="K566" s="135">
        <v>40684</v>
      </c>
      <c r="L566" s="135" t="s">
        <v>4211</v>
      </c>
      <c r="M566" s="135" t="s">
        <v>659</v>
      </c>
      <c r="N566" s="135"/>
      <c r="P566"/>
    </row>
    <row r="567" spans="3:16" x14ac:dyDescent="0.2">
      <c r="C567" t="s">
        <v>31</v>
      </c>
      <c r="G567" s="14">
        <v>4.18</v>
      </c>
      <c r="H567" s="133"/>
      <c r="I567" s="133">
        <v>0</v>
      </c>
      <c r="J567" s="133">
        <v>0</v>
      </c>
      <c r="K567" s="135">
        <v>40684</v>
      </c>
      <c r="L567" s="135" t="s">
        <v>3270</v>
      </c>
      <c r="M567" s="135" t="s">
        <v>1754</v>
      </c>
      <c r="N567" s="135"/>
      <c r="P567"/>
    </row>
    <row r="568" spans="3:16" x14ac:dyDescent="0.2">
      <c r="C568" t="s">
        <v>3822</v>
      </c>
      <c r="D568">
        <v>16.72</v>
      </c>
      <c r="E568">
        <v>19.8</v>
      </c>
      <c r="F568">
        <v>24.2</v>
      </c>
      <c r="G568" s="14">
        <v>296.8</v>
      </c>
      <c r="H568" s="133">
        <v>0.94</v>
      </c>
      <c r="I568" s="133">
        <v>23.41</v>
      </c>
      <c r="J568" s="133">
        <v>17.940000000000001</v>
      </c>
      <c r="K568" s="135">
        <v>40684</v>
      </c>
      <c r="L568" s="135" t="s">
        <v>3823</v>
      </c>
      <c r="M568" s="135" t="s">
        <v>659</v>
      </c>
      <c r="N568" s="135" t="s">
        <v>5429</v>
      </c>
      <c r="P568"/>
    </row>
    <row r="569" spans="3:16" x14ac:dyDescent="0.2">
      <c r="C569" t="s">
        <v>1841</v>
      </c>
      <c r="G569" s="14">
        <v>75.3</v>
      </c>
      <c r="H569" s="133"/>
      <c r="K569" s="135">
        <v>40684</v>
      </c>
      <c r="L569" s="135" t="s">
        <v>4212</v>
      </c>
      <c r="M569" s="135" t="s">
        <v>2418</v>
      </c>
      <c r="N569" s="135"/>
      <c r="P569"/>
    </row>
    <row r="570" spans="3:16" x14ac:dyDescent="0.2">
      <c r="C570" t="s">
        <v>1842</v>
      </c>
      <c r="G570" s="14">
        <v>2.15</v>
      </c>
      <c r="H570" s="133"/>
      <c r="I570" s="133">
        <v>-498.37</v>
      </c>
      <c r="J570" s="133">
        <v>0</v>
      </c>
      <c r="K570" s="135">
        <v>40684</v>
      </c>
      <c r="L570" s="135" t="s">
        <v>4213</v>
      </c>
      <c r="M570" s="135" t="s">
        <v>2997</v>
      </c>
      <c r="N570" s="135"/>
      <c r="P570"/>
    </row>
    <row r="571" spans="3:16" x14ac:dyDescent="0.2">
      <c r="C571" t="s">
        <v>1843</v>
      </c>
      <c r="G571" s="14">
        <v>21.55</v>
      </c>
      <c r="H571" s="133"/>
      <c r="I571" s="133">
        <v>-57.84</v>
      </c>
      <c r="J571" s="133">
        <v>0</v>
      </c>
      <c r="K571" s="135">
        <v>40684</v>
      </c>
      <c r="L571" s="135" t="s">
        <v>4214</v>
      </c>
      <c r="M571" s="135" t="s">
        <v>2997</v>
      </c>
      <c r="N571" s="135"/>
      <c r="P571"/>
    </row>
    <row r="572" spans="3:16" x14ac:dyDescent="0.2">
      <c r="C572" t="s">
        <v>2497</v>
      </c>
      <c r="D572">
        <v>5.31</v>
      </c>
      <c r="E572">
        <v>6.4</v>
      </c>
      <c r="F572">
        <v>7.57</v>
      </c>
      <c r="G572" s="14">
        <v>186.55</v>
      </c>
      <c r="H572" s="133"/>
      <c r="I572" s="133">
        <v>28.29</v>
      </c>
      <c r="J572" s="133">
        <v>28.83</v>
      </c>
      <c r="K572" s="135">
        <v>40684</v>
      </c>
      <c r="L572" s="135" t="s">
        <v>1575</v>
      </c>
      <c r="M572" s="135" t="s">
        <v>2416</v>
      </c>
      <c r="N572" s="135"/>
      <c r="P572"/>
    </row>
    <row r="573" spans="3:16" x14ac:dyDescent="0.2">
      <c r="C573" t="s">
        <v>1844</v>
      </c>
      <c r="E573">
        <v>11.1</v>
      </c>
      <c r="F573">
        <v>12.7</v>
      </c>
      <c r="G573" s="14">
        <v>349.35</v>
      </c>
      <c r="H573" s="133"/>
      <c r="I573" s="133">
        <v>15.78</v>
      </c>
      <c r="J573" s="133">
        <v>26.69</v>
      </c>
      <c r="K573" s="135">
        <v>40684</v>
      </c>
      <c r="L573" s="135" t="s">
        <v>1403</v>
      </c>
      <c r="M573" s="135" t="s">
        <v>2416</v>
      </c>
      <c r="N573" s="135"/>
      <c r="P573"/>
    </row>
    <row r="574" spans="3:16" x14ac:dyDescent="0.2">
      <c r="C574" t="s">
        <v>2006</v>
      </c>
      <c r="G574" s="14">
        <v>32.25</v>
      </c>
      <c r="H574" s="133"/>
      <c r="I574" s="133">
        <v>-25.13</v>
      </c>
      <c r="J574" s="133">
        <v>0</v>
      </c>
      <c r="K574" s="135">
        <v>40684</v>
      </c>
      <c r="L574" s="135" t="s">
        <v>2433</v>
      </c>
      <c r="M574" s="135" t="s">
        <v>1754</v>
      </c>
      <c r="N574" s="135"/>
      <c r="P574"/>
    </row>
    <row r="575" spans="3:16" x14ac:dyDescent="0.2">
      <c r="C575" t="s">
        <v>1845</v>
      </c>
      <c r="G575" s="14">
        <v>15.5</v>
      </c>
      <c r="H575" s="133"/>
      <c r="K575" s="135">
        <v>40684</v>
      </c>
      <c r="L575" s="135" t="s">
        <v>2153</v>
      </c>
      <c r="M575" s="135" t="s">
        <v>1429</v>
      </c>
      <c r="N575" s="135"/>
      <c r="P575"/>
    </row>
    <row r="576" spans="3:16" x14ac:dyDescent="0.2">
      <c r="C576" t="s">
        <v>2999</v>
      </c>
      <c r="D576">
        <v>7.49</v>
      </c>
      <c r="E576">
        <v>7.52</v>
      </c>
      <c r="F576">
        <v>8.5299999999999994</v>
      </c>
      <c r="G576" s="14">
        <v>69.400000000000006</v>
      </c>
      <c r="H576" s="133">
        <v>1.1499999999999999</v>
      </c>
      <c r="I576" s="133">
        <v>11.03</v>
      </c>
      <c r="J576" s="133">
        <v>8.76</v>
      </c>
      <c r="K576" s="135">
        <v>40684</v>
      </c>
      <c r="L576" s="135" t="s">
        <v>4970</v>
      </c>
      <c r="M576" s="135" t="s">
        <v>1755</v>
      </c>
      <c r="N576" s="135"/>
      <c r="P576"/>
    </row>
    <row r="577" spans="3:16" x14ac:dyDescent="0.2">
      <c r="C577" t="s">
        <v>911</v>
      </c>
      <c r="G577" s="14">
        <v>52</v>
      </c>
      <c r="H577" s="133"/>
      <c r="I577" s="133">
        <v>-0.3</v>
      </c>
      <c r="J577" s="133">
        <v>0</v>
      </c>
      <c r="K577" s="135">
        <v>40684</v>
      </c>
      <c r="L577" s="135" t="s">
        <v>912</v>
      </c>
      <c r="M577" s="135" t="s">
        <v>1755</v>
      </c>
      <c r="N577" s="135"/>
      <c r="P577"/>
    </row>
    <row r="578" spans="3:16" x14ac:dyDescent="0.2">
      <c r="C578" t="s">
        <v>3000</v>
      </c>
      <c r="G578" s="14">
        <v>9.31</v>
      </c>
      <c r="H578" s="133"/>
      <c r="I578" s="133">
        <v>-216.45</v>
      </c>
      <c r="J578" s="133">
        <v>0</v>
      </c>
      <c r="K578" s="135">
        <v>40684</v>
      </c>
      <c r="L578" s="135" t="s">
        <v>2264</v>
      </c>
      <c r="M578" s="135" t="s">
        <v>662</v>
      </c>
      <c r="N578" s="135"/>
      <c r="P578"/>
    </row>
    <row r="579" spans="3:16" x14ac:dyDescent="0.2">
      <c r="C579" t="s">
        <v>3001</v>
      </c>
      <c r="G579" s="14">
        <v>1.66</v>
      </c>
      <c r="H579" s="133"/>
      <c r="K579" s="135">
        <v>40684</v>
      </c>
      <c r="L579" s="135" t="s">
        <v>1818</v>
      </c>
      <c r="M579" s="135" t="s">
        <v>660</v>
      </c>
      <c r="N579" s="135"/>
      <c r="P579"/>
    </row>
    <row r="580" spans="3:16" x14ac:dyDescent="0.2">
      <c r="C580" t="s">
        <v>3002</v>
      </c>
      <c r="G580" s="14">
        <v>0.55000000000000004</v>
      </c>
      <c r="H580" s="133"/>
      <c r="K580" s="135">
        <v>40684</v>
      </c>
      <c r="L580" s="135" t="s">
        <v>3824</v>
      </c>
      <c r="M580" s="135" t="s">
        <v>2416</v>
      </c>
      <c r="N580" s="135"/>
      <c r="P580"/>
    </row>
    <row r="581" spans="3:16" x14ac:dyDescent="0.2">
      <c r="C581" t="s">
        <v>1846</v>
      </c>
      <c r="G581" s="14">
        <v>36</v>
      </c>
      <c r="H581" s="133"/>
      <c r="I581" s="133">
        <v>1.58</v>
      </c>
      <c r="J581" s="133">
        <v>12.01</v>
      </c>
      <c r="K581" s="135">
        <v>40684</v>
      </c>
      <c r="L581" s="135" t="s">
        <v>2154</v>
      </c>
      <c r="M581" s="135" t="s">
        <v>2416</v>
      </c>
      <c r="N581" s="135"/>
      <c r="P581"/>
    </row>
    <row r="582" spans="3:16" x14ac:dyDescent="0.2">
      <c r="C582" t="s">
        <v>1847</v>
      </c>
      <c r="G582" s="14">
        <v>14</v>
      </c>
      <c r="H582" s="133"/>
      <c r="I582" s="133">
        <v>12.55</v>
      </c>
      <c r="J582" s="133">
        <v>5.1100000000000003</v>
      </c>
      <c r="K582" s="135">
        <v>40684</v>
      </c>
      <c r="L582" s="135" t="s">
        <v>2155</v>
      </c>
      <c r="M582" s="135" t="s">
        <v>659</v>
      </c>
      <c r="N582" s="135"/>
      <c r="P582"/>
    </row>
    <row r="583" spans="3:16" x14ac:dyDescent="0.2">
      <c r="C583" t="s">
        <v>1848</v>
      </c>
      <c r="G583" s="14">
        <v>119.9</v>
      </c>
      <c r="H583" s="133">
        <v>2.93</v>
      </c>
      <c r="I583" s="133">
        <v>25.97</v>
      </c>
      <c r="J583" s="133">
        <v>21.47</v>
      </c>
      <c r="K583" s="135">
        <v>40684</v>
      </c>
      <c r="L583" s="135" t="s">
        <v>4447</v>
      </c>
      <c r="M583" s="135" t="s">
        <v>2944</v>
      </c>
      <c r="N583" s="135"/>
      <c r="P583"/>
    </row>
    <row r="584" spans="3:16" x14ac:dyDescent="0.2">
      <c r="C584" t="s">
        <v>530</v>
      </c>
      <c r="D584">
        <v>8.08</v>
      </c>
      <c r="E584">
        <v>4.3</v>
      </c>
      <c r="F584">
        <v>5.7</v>
      </c>
      <c r="G584" s="14">
        <v>81.8</v>
      </c>
      <c r="H584" s="133"/>
      <c r="I584" s="133">
        <v>4.93</v>
      </c>
      <c r="J584" s="133">
        <v>14.93</v>
      </c>
      <c r="K584" s="135">
        <v>40684</v>
      </c>
      <c r="L584" s="135" t="s">
        <v>2265</v>
      </c>
      <c r="M584" s="135" t="s">
        <v>1755</v>
      </c>
      <c r="N584" s="135"/>
    </row>
    <row r="585" spans="3:16" x14ac:dyDescent="0.2">
      <c r="C585" t="s">
        <v>913</v>
      </c>
      <c r="G585" s="14">
        <v>186.65</v>
      </c>
      <c r="H585" s="133">
        <v>0.21</v>
      </c>
      <c r="I585" s="133">
        <v>3.06</v>
      </c>
      <c r="J585" s="133">
        <v>37.36</v>
      </c>
      <c r="K585" s="135">
        <v>40684</v>
      </c>
      <c r="L585" s="135" t="s">
        <v>914</v>
      </c>
      <c r="M585" s="135" t="s">
        <v>2997</v>
      </c>
      <c r="N585" s="135"/>
    </row>
    <row r="586" spans="3:16" x14ac:dyDescent="0.2">
      <c r="C586" t="s">
        <v>864</v>
      </c>
      <c r="G586" s="14">
        <v>147.19999999999999</v>
      </c>
      <c r="H586" s="133">
        <v>0.34</v>
      </c>
      <c r="I586" s="133">
        <v>1.94</v>
      </c>
      <c r="J586" s="133">
        <v>42.96</v>
      </c>
      <c r="K586" s="135">
        <v>40684</v>
      </c>
      <c r="L586" s="135" t="s">
        <v>2266</v>
      </c>
      <c r="M586" s="135" t="s">
        <v>2997</v>
      </c>
      <c r="N586" s="135"/>
    </row>
    <row r="587" spans="3:16" x14ac:dyDescent="0.2">
      <c r="C587" t="s">
        <v>531</v>
      </c>
      <c r="D587">
        <v>1.19</v>
      </c>
      <c r="E587">
        <v>0.8</v>
      </c>
      <c r="F587">
        <v>2.25</v>
      </c>
      <c r="G587" s="14">
        <v>48.1</v>
      </c>
      <c r="H587" s="133"/>
      <c r="I587" s="133">
        <v>7.45</v>
      </c>
      <c r="J587" s="133">
        <v>60.91</v>
      </c>
      <c r="K587" s="135">
        <v>40684</v>
      </c>
      <c r="L587" s="135" t="s">
        <v>1100</v>
      </c>
      <c r="M587" s="135" t="s">
        <v>1756</v>
      </c>
      <c r="N587" s="135"/>
    </row>
    <row r="588" spans="3:16" x14ac:dyDescent="0.2">
      <c r="C588" t="s">
        <v>2007</v>
      </c>
      <c r="G588" s="14">
        <v>1.95</v>
      </c>
      <c r="H588" s="133"/>
      <c r="K588" s="135">
        <v>40684</v>
      </c>
      <c r="L588" s="135" t="s">
        <v>3825</v>
      </c>
      <c r="M588" s="135" t="s">
        <v>5287</v>
      </c>
      <c r="N588" s="135"/>
    </row>
    <row r="589" spans="3:16" x14ac:dyDescent="0.2">
      <c r="C589" t="s">
        <v>532</v>
      </c>
      <c r="H589" s="133"/>
      <c r="K589" s="135">
        <v>40684</v>
      </c>
      <c r="L589" s="135"/>
      <c r="M589" s="135" t="s">
        <v>1755</v>
      </c>
      <c r="N589" s="135"/>
    </row>
    <row r="590" spans="3:16" x14ac:dyDescent="0.2">
      <c r="C590" t="s">
        <v>533</v>
      </c>
      <c r="E590">
        <v>7.7</v>
      </c>
      <c r="F590">
        <v>11.35</v>
      </c>
      <c r="G590" s="14">
        <v>163.35</v>
      </c>
      <c r="H590" s="133"/>
      <c r="I590" s="133">
        <v>14.81</v>
      </c>
      <c r="J590" s="133">
        <v>21.36</v>
      </c>
      <c r="K590" s="135">
        <v>40684</v>
      </c>
      <c r="L590" s="135" t="s">
        <v>123</v>
      </c>
      <c r="M590" s="135" t="s">
        <v>3180</v>
      </c>
      <c r="N590" s="135"/>
    </row>
    <row r="591" spans="3:16" x14ac:dyDescent="0.2">
      <c r="C591" t="s">
        <v>1849</v>
      </c>
      <c r="G591" s="14">
        <v>2</v>
      </c>
      <c r="H591" s="133"/>
      <c r="K591" s="135">
        <v>40684</v>
      </c>
      <c r="L591" s="135" t="s">
        <v>1892</v>
      </c>
      <c r="M591" s="135" t="s">
        <v>2418</v>
      </c>
      <c r="N591" s="135"/>
    </row>
    <row r="592" spans="3:16" x14ac:dyDescent="0.2">
      <c r="C592" t="s">
        <v>534</v>
      </c>
      <c r="G592" s="14">
        <v>120.75</v>
      </c>
      <c r="H592" s="133">
        <v>0.83</v>
      </c>
      <c r="I592" s="133">
        <v>34.229999999999997</v>
      </c>
      <c r="J592" s="133">
        <v>3.55</v>
      </c>
      <c r="K592" s="135">
        <v>40684</v>
      </c>
      <c r="L592" s="135"/>
      <c r="M592" s="135" t="s">
        <v>1755</v>
      </c>
      <c r="N592" s="135"/>
    </row>
    <row r="593" spans="3:14" x14ac:dyDescent="0.2">
      <c r="C593" t="s">
        <v>535</v>
      </c>
      <c r="G593" s="14">
        <v>2.68</v>
      </c>
      <c r="H593" s="133"/>
      <c r="I593" s="133">
        <v>-0.86</v>
      </c>
      <c r="J593" s="133">
        <v>0</v>
      </c>
      <c r="K593" s="135">
        <v>40684</v>
      </c>
      <c r="L593" s="135"/>
      <c r="M593" s="135" t="s">
        <v>1755</v>
      </c>
      <c r="N593" s="135"/>
    </row>
    <row r="594" spans="3:14" x14ac:dyDescent="0.2">
      <c r="C594" t="s">
        <v>536</v>
      </c>
      <c r="G594" s="14">
        <v>12.5</v>
      </c>
      <c r="H594" s="133"/>
      <c r="K594" s="135">
        <v>40684</v>
      </c>
      <c r="L594" s="135"/>
      <c r="M594" s="135" t="s">
        <v>660</v>
      </c>
      <c r="N594" s="135"/>
    </row>
    <row r="595" spans="3:14" x14ac:dyDescent="0.2">
      <c r="C595" t="s">
        <v>4314</v>
      </c>
      <c r="G595" s="14">
        <v>6.95</v>
      </c>
      <c r="H595" s="133"/>
      <c r="K595" s="135">
        <v>40684</v>
      </c>
      <c r="L595" s="135" t="s">
        <v>4315</v>
      </c>
      <c r="M595" s="135" t="s">
        <v>2942</v>
      </c>
      <c r="N595" s="135"/>
    </row>
    <row r="596" spans="3:14" x14ac:dyDescent="0.2">
      <c r="C596" t="s">
        <v>537</v>
      </c>
      <c r="H596" s="133"/>
      <c r="K596" s="135">
        <v>40684</v>
      </c>
      <c r="L596" s="135"/>
      <c r="M596" s="135" t="s">
        <v>2946</v>
      </c>
      <c r="N596" s="135"/>
    </row>
    <row r="597" spans="3:14" x14ac:dyDescent="0.2">
      <c r="C597" t="s">
        <v>2957</v>
      </c>
      <c r="G597" s="14">
        <v>126.4</v>
      </c>
      <c r="H597" s="133"/>
      <c r="I597" s="133">
        <v>35.520000000000003</v>
      </c>
      <c r="J597" s="133">
        <v>11.04</v>
      </c>
      <c r="K597" s="135">
        <v>40684</v>
      </c>
      <c r="L597" s="135" t="s">
        <v>557</v>
      </c>
      <c r="M597" s="135" t="s">
        <v>2418</v>
      </c>
      <c r="N597" s="135"/>
    </row>
    <row r="598" spans="3:14" x14ac:dyDescent="0.2">
      <c r="C598" t="s">
        <v>538</v>
      </c>
      <c r="D598">
        <v>105.69</v>
      </c>
      <c r="E598">
        <v>127.9</v>
      </c>
      <c r="F598">
        <v>153</v>
      </c>
      <c r="G598" s="14">
        <v>795.65</v>
      </c>
      <c r="H598" s="133"/>
      <c r="I598" s="133">
        <v>17.010000000000002</v>
      </c>
      <c r="J598" s="133">
        <v>6.28</v>
      </c>
      <c r="K598" s="135">
        <v>40684</v>
      </c>
      <c r="L598" s="135" t="s">
        <v>2831</v>
      </c>
      <c r="M598" s="135" t="s">
        <v>660</v>
      </c>
      <c r="N598" s="135"/>
    </row>
    <row r="599" spans="3:14" x14ac:dyDescent="0.2">
      <c r="C599" t="s">
        <v>4</v>
      </c>
      <c r="G599" s="14">
        <v>27</v>
      </c>
      <c r="H599" s="133"/>
      <c r="I599" s="133">
        <v>0</v>
      </c>
      <c r="J599" s="133">
        <v>2.2400000000000002</v>
      </c>
      <c r="K599" s="135">
        <v>40684</v>
      </c>
      <c r="L599" s="135" t="s">
        <v>2269</v>
      </c>
      <c r="M599" s="135" t="s">
        <v>2994</v>
      </c>
      <c r="N599" s="135"/>
    </row>
    <row r="600" spans="3:14" x14ac:dyDescent="0.2">
      <c r="C600" t="s">
        <v>539</v>
      </c>
      <c r="H600" s="133"/>
      <c r="K600" s="135">
        <v>40684</v>
      </c>
      <c r="L600" s="135"/>
      <c r="M600" s="135" t="s">
        <v>2946</v>
      </c>
      <c r="N600" s="135"/>
    </row>
    <row r="601" spans="3:14" x14ac:dyDescent="0.2">
      <c r="C601" t="s">
        <v>540</v>
      </c>
      <c r="G601" s="14">
        <v>13.75</v>
      </c>
      <c r="H601" s="133"/>
      <c r="I601" s="133">
        <v>8.9</v>
      </c>
      <c r="J601" s="133">
        <v>5.16</v>
      </c>
      <c r="K601" s="135">
        <v>40684</v>
      </c>
      <c r="L601" s="135"/>
      <c r="M601" s="135" t="s">
        <v>2996</v>
      </c>
      <c r="N601" s="135"/>
    </row>
    <row r="602" spans="3:14" x14ac:dyDescent="0.2">
      <c r="C602" t="s">
        <v>4818</v>
      </c>
      <c r="G602" s="14">
        <v>39.049999999999997</v>
      </c>
      <c r="H602" s="133"/>
      <c r="K602" s="135">
        <v>40684</v>
      </c>
      <c r="L602" s="135"/>
      <c r="M602" s="135" t="s">
        <v>660</v>
      </c>
      <c r="N602" s="135"/>
    </row>
    <row r="603" spans="3:14" x14ac:dyDescent="0.2">
      <c r="C603" t="s">
        <v>4819</v>
      </c>
      <c r="G603" s="14">
        <v>1</v>
      </c>
      <c r="H603" s="133"/>
      <c r="K603" s="135">
        <v>40684</v>
      </c>
      <c r="L603" s="135"/>
      <c r="M603" s="135" t="s">
        <v>2994</v>
      </c>
      <c r="N603" s="135"/>
    </row>
    <row r="604" spans="3:14" x14ac:dyDescent="0.2">
      <c r="C604" t="s">
        <v>2008</v>
      </c>
      <c r="G604" s="14">
        <v>2.0499999999999998</v>
      </c>
      <c r="H604" s="133"/>
      <c r="K604" s="135">
        <v>40684</v>
      </c>
      <c r="L604" s="135"/>
      <c r="M604" s="135" t="s">
        <v>2419</v>
      </c>
      <c r="N604" s="135"/>
    </row>
    <row r="605" spans="3:14" x14ac:dyDescent="0.2">
      <c r="C605" t="s">
        <v>3271</v>
      </c>
      <c r="G605" s="14">
        <v>89.55</v>
      </c>
      <c r="H605" s="133"/>
      <c r="I605" s="133">
        <v>10.34</v>
      </c>
      <c r="J605" s="133">
        <v>7.67</v>
      </c>
      <c r="K605" s="135">
        <v>40684</v>
      </c>
      <c r="L605" s="135" t="s">
        <v>3272</v>
      </c>
      <c r="M605" s="135" t="s">
        <v>2419</v>
      </c>
      <c r="N605" s="135"/>
    </row>
    <row r="606" spans="3:14" x14ac:dyDescent="0.2">
      <c r="C606" t="s">
        <v>4820</v>
      </c>
      <c r="H606" s="133"/>
      <c r="K606" s="135">
        <v>40684</v>
      </c>
      <c r="L606" s="135" t="s">
        <v>5220</v>
      </c>
      <c r="M606" s="135" t="s">
        <v>2416</v>
      </c>
      <c r="N606" s="135"/>
    </row>
    <row r="607" spans="3:14" x14ac:dyDescent="0.2">
      <c r="C607" t="s">
        <v>488</v>
      </c>
      <c r="G607" s="14">
        <v>3.8</v>
      </c>
      <c r="H607" s="133"/>
      <c r="I607" s="133">
        <v>0</v>
      </c>
      <c r="J607" s="133">
        <v>0</v>
      </c>
      <c r="K607" s="135">
        <v>40684</v>
      </c>
      <c r="L607" s="135"/>
      <c r="M607" s="135" t="s">
        <v>2943</v>
      </c>
      <c r="N607" s="135"/>
    </row>
    <row r="608" spans="3:14" x14ac:dyDescent="0.2">
      <c r="C608" t="s">
        <v>4316</v>
      </c>
      <c r="G608" s="14">
        <v>15.25</v>
      </c>
      <c r="H608" s="133"/>
      <c r="I608" s="133">
        <v>12.32</v>
      </c>
      <c r="J608" s="133">
        <v>2.2400000000000002</v>
      </c>
      <c r="K608" s="135">
        <v>40684</v>
      </c>
      <c r="L608" s="135" t="s">
        <v>3909</v>
      </c>
      <c r="M608" s="135" t="s">
        <v>2943</v>
      </c>
      <c r="N608" s="135"/>
    </row>
    <row r="609" spans="3:14" x14ac:dyDescent="0.2">
      <c r="C609" t="s">
        <v>4821</v>
      </c>
      <c r="H609" s="133"/>
      <c r="K609" s="135">
        <v>40684</v>
      </c>
      <c r="L609" s="135" t="s">
        <v>3826</v>
      </c>
      <c r="M609" s="135" t="s">
        <v>2417</v>
      </c>
      <c r="N609" s="135"/>
    </row>
    <row r="610" spans="3:14" x14ac:dyDescent="0.2">
      <c r="C610" t="s">
        <v>558</v>
      </c>
      <c r="G610" s="14">
        <v>229.15</v>
      </c>
      <c r="H610" s="133"/>
      <c r="K610" s="135">
        <v>40684</v>
      </c>
      <c r="L610" s="135" t="s">
        <v>4684</v>
      </c>
      <c r="M610" s="135" t="s">
        <v>2425</v>
      </c>
      <c r="N610" s="135"/>
    </row>
    <row r="611" spans="3:14" x14ac:dyDescent="0.2">
      <c r="C611" t="s">
        <v>640</v>
      </c>
      <c r="G611" s="14">
        <v>81.5</v>
      </c>
      <c r="H611" s="133"/>
      <c r="I611" s="133">
        <v>22.92</v>
      </c>
      <c r="J611" s="133">
        <v>4.62</v>
      </c>
      <c r="K611" s="135">
        <v>40684</v>
      </c>
      <c r="L611" s="135" t="s">
        <v>1122</v>
      </c>
      <c r="M611" s="135" t="s">
        <v>2418</v>
      </c>
      <c r="N611" s="135"/>
    </row>
    <row r="612" spans="3:14" x14ac:dyDescent="0.2">
      <c r="C612" t="s">
        <v>3273</v>
      </c>
      <c r="H612" s="133"/>
      <c r="I612" s="133">
        <v>9.2100000000000009</v>
      </c>
      <c r="J612" s="133">
        <v>8.4600000000000009</v>
      </c>
      <c r="K612" s="135">
        <v>40684</v>
      </c>
      <c r="L612" s="135" t="s">
        <v>3654</v>
      </c>
      <c r="M612" s="135" t="s">
        <v>2946</v>
      </c>
      <c r="N612" s="135"/>
    </row>
    <row r="613" spans="3:14" x14ac:dyDescent="0.2">
      <c r="C613" t="s">
        <v>4822</v>
      </c>
      <c r="H613" s="133"/>
      <c r="K613" s="135">
        <v>40684</v>
      </c>
      <c r="L613" s="135" t="s">
        <v>3827</v>
      </c>
      <c r="M613" s="135" t="s">
        <v>2420</v>
      </c>
      <c r="N613" s="135"/>
    </row>
    <row r="614" spans="3:14" x14ac:dyDescent="0.2">
      <c r="C614" t="s">
        <v>4823</v>
      </c>
      <c r="G614" s="14">
        <v>228.4</v>
      </c>
      <c r="H614" s="133"/>
      <c r="K614" s="135">
        <v>40684</v>
      </c>
      <c r="L614" s="135"/>
      <c r="M614" s="135" t="s">
        <v>2994</v>
      </c>
      <c r="N614" s="135"/>
    </row>
    <row r="615" spans="3:14" x14ac:dyDescent="0.2">
      <c r="C615" t="s">
        <v>2796</v>
      </c>
      <c r="D615">
        <v>27.64</v>
      </c>
      <c r="E615">
        <v>28.7</v>
      </c>
      <c r="F615">
        <v>30.7</v>
      </c>
      <c r="G615" s="14">
        <v>164.65</v>
      </c>
      <c r="H615" s="133"/>
      <c r="I615" s="133">
        <v>25.63</v>
      </c>
      <c r="J615" s="133">
        <v>6.89</v>
      </c>
      <c r="K615" s="135">
        <v>40684</v>
      </c>
      <c r="L615" s="135" t="s">
        <v>2856</v>
      </c>
      <c r="M615" s="135" t="s">
        <v>2416</v>
      </c>
      <c r="N615" s="135"/>
    </row>
    <row r="616" spans="3:14" x14ac:dyDescent="0.2">
      <c r="C616" t="s">
        <v>1576</v>
      </c>
      <c r="E616">
        <v>15.7</v>
      </c>
      <c r="F616">
        <v>18.7</v>
      </c>
      <c r="G616" s="14">
        <v>157.1</v>
      </c>
      <c r="H616" s="133">
        <v>1.27</v>
      </c>
      <c r="I616" s="133">
        <v>14.86</v>
      </c>
      <c r="J616" s="133">
        <v>13.16</v>
      </c>
      <c r="K616" s="135">
        <v>40684</v>
      </c>
      <c r="L616" s="135" t="s">
        <v>1577</v>
      </c>
      <c r="M616" s="135" t="s">
        <v>659</v>
      </c>
      <c r="N616" s="135"/>
    </row>
    <row r="617" spans="3:14" x14ac:dyDescent="0.2">
      <c r="C617" t="s">
        <v>2797</v>
      </c>
      <c r="G617" s="14">
        <v>162.19999999999999</v>
      </c>
      <c r="H617" s="133">
        <v>3.71</v>
      </c>
      <c r="I617" s="133">
        <v>15.56</v>
      </c>
      <c r="J617" s="133">
        <v>8.98</v>
      </c>
      <c r="K617" s="135">
        <v>40684</v>
      </c>
      <c r="L617" s="135" t="s">
        <v>4001</v>
      </c>
      <c r="M617" s="135" t="s">
        <v>2994</v>
      </c>
      <c r="N617" s="135"/>
    </row>
    <row r="618" spans="3:14" x14ac:dyDescent="0.2">
      <c r="C618" t="s">
        <v>4824</v>
      </c>
      <c r="G618" s="14">
        <v>78.400000000000006</v>
      </c>
      <c r="H618" s="133">
        <v>2.59</v>
      </c>
      <c r="I618" s="133">
        <v>18.04</v>
      </c>
      <c r="J618" s="133">
        <v>7.75</v>
      </c>
      <c r="K618" s="135">
        <v>40684</v>
      </c>
      <c r="L618" s="135"/>
      <c r="M618" s="135" t="s">
        <v>2418</v>
      </c>
      <c r="N618" s="135"/>
    </row>
    <row r="619" spans="3:14" x14ac:dyDescent="0.2">
      <c r="C619" t="s">
        <v>1578</v>
      </c>
      <c r="G619" s="14">
        <v>2.65</v>
      </c>
      <c r="H619" s="133"/>
      <c r="I619" s="133">
        <v>-254.77</v>
      </c>
      <c r="J619" s="133">
        <v>0</v>
      </c>
      <c r="K619" s="135">
        <v>40684</v>
      </c>
      <c r="L619" s="135" t="s">
        <v>1579</v>
      </c>
      <c r="M619" s="135" t="s">
        <v>2994</v>
      </c>
      <c r="N619" s="135"/>
    </row>
    <row r="620" spans="3:14" x14ac:dyDescent="0.2">
      <c r="C620" t="s">
        <v>4825</v>
      </c>
      <c r="G620" s="14">
        <v>111.75</v>
      </c>
      <c r="H620" s="133"/>
      <c r="K620" s="135">
        <v>40684</v>
      </c>
      <c r="L620" s="135"/>
      <c r="M620" s="135" t="s">
        <v>1756</v>
      </c>
      <c r="N620" s="135"/>
    </row>
    <row r="621" spans="3:14" x14ac:dyDescent="0.2">
      <c r="C621" t="s">
        <v>4826</v>
      </c>
      <c r="H621" s="133"/>
      <c r="K621" s="135">
        <v>40684</v>
      </c>
      <c r="L621" s="135"/>
      <c r="M621" s="135" t="s">
        <v>660</v>
      </c>
      <c r="N621" s="135"/>
    </row>
    <row r="622" spans="3:14" x14ac:dyDescent="0.2">
      <c r="C622" t="s">
        <v>4827</v>
      </c>
      <c r="G622" s="14">
        <v>4.05</v>
      </c>
      <c r="H622" s="133"/>
      <c r="I622" s="133">
        <v>0</v>
      </c>
      <c r="J622" s="133">
        <v>0</v>
      </c>
      <c r="K622" s="135">
        <v>40684</v>
      </c>
      <c r="L622" s="135"/>
      <c r="M622" s="135" t="s">
        <v>2426</v>
      </c>
      <c r="N622" s="135"/>
    </row>
    <row r="623" spans="3:14" x14ac:dyDescent="0.2">
      <c r="C623" t="s">
        <v>2798</v>
      </c>
      <c r="G623" s="14">
        <v>94.8</v>
      </c>
      <c r="H623" s="133"/>
      <c r="I623" s="133">
        <v>37.08</v>
      </c>
      <c r="J623" s="133">
        <v>6.94</v>
      </c>
      <c r="K623" s="135">
        <v>40684</v>
      </c>
      <c r="L623" s="135" t="s">
        <v>4002</v>
      </c>
      <c r="M623" s="135" t="s">
        <v>659</v>
      </c>
      <c r="N623" s="135"/>
    </row>
    <row r="624" spans="3:14" x14ac:dyDescent="0.2">
      <c r="C624" t="s">
        <v>2919</v>
      </c>
      <c r="D624">
        <v>-69.81</v>
      </c>
      <c r="E624">
        <v>20.05</v>
      </c>
      <c r="F624">
        <v>61.6</v>
      </c>
      <c r="G624" s="14">
        <v>453.2</v>
      </c>
      <c r="H624" s="133"/>
      <c r="I624" s="133">
        <v>-73.290000000000006</v>
      </c>
      <c r="J624" s="133">
        <v>403.69</v>
      </c>
      <c r="K624" s="135">
        <v>40684</v>
      </c>
      <c r="L624" s="135" t="s">
        <v>3786</v>
      </c>
      <c r="M624" s="135" t="s">
        <v>662</v>
      </c>
      <c r="N624" s="135"/>
    </row>
    <row r="625" spans="3:14" x14ac:dyDescent="0.2">
      <c r="C625" t="s">
        <v>4828</v>
      </c>
      <c r="G625" s="14">
        <v>1.75</v>
      </c>
      <c r="H625" s="133"/>
      <c r="K625" s="135">
        <v>40684</v>
      </c>
      <c r="L625" s="135"/>
      <c r="M625" s="135" t="s">
        <v>2419</v>
      </c>
      <c r="N625" s="135"/>
    </row>
    <row r="626" spans="3:14" x14ac:dyDescent="0.2">
      <c r="C626" t="s">
        <v>489</v>
      </c>
      <c r="H626" s="133"/>
      <c r="K626" s="135">
        <v>40684</v>
      </c>
      <c r="L626" s="135"/>
      <c r="M626" s="135" t="s">
        <v>660</v>
      </c>
      <c r="N626" s="135"/>
    </row>
    <row r="627" spans="3:14" x14ac:dyDescent="0.2">
      <c r="C627" t="s">
        <v>4829</v>
      </c>
      <c r="G627" s="14">
        <v>6</v>
      </c>
      <c r="H627" s="133"/>
      <c r="I627" s="133">
        <v>2.69</v>
      </c>
      <c r="J627" s="133">
        <v>18.600000000000001</v>
      </c>
      <c r="K627" s="135">
        <v>40684</v>
      </c>
      <c r="L627" s="135"/>
      <c r="M627" s="135" t="s">
        <v>660</v>
      </c>
      <c r="N627" s="135"/>
    </row>
    <row r="628" spans="3:14" x14ac:dyDescent="0.2">
      <c r="C628" t="s">
        <v>4830</v>
      </c>
      <c r="G628" s="14">
        <v>4.53</v>
      </c>
      <c r="H628" s="133"/>
      <c r="I628" s="133">
        <v>40.380000000000003</v>
      </c>
      <c r="J628" s="133">
        <v>5.88</v>
      </c>
      <c r="K628" s="135">
        <v>40684</v>
      </c>
      <c r="L628" s="135" t="s">
        <v>3637</v>
      </c>
      <c r="M628" s="135" t="s">
        <v>1755</v>
      </c>
      <c r="N628" s="135"/>
    </row>
    <row r="629" spans="3:14" x14ac:dyDescent="0.2">
      <c r="C629" t="s">
        <v>4831</v>
      </c>
      <c r="G629" s="14">
        <v>19.399999999999999</v>
      </c>
      <c r="H629" s="133"/>
      <c r="I629" s="133">
        <v>-0.03</v>
      </c>
      <c r="J629" s="133">
        <v>0</v>
      </c>
      <c r="K629" s="135">
        <v>40684</v>
      </c>
      <c r="L629" s="135"/>
      <c r="M629" s="135" t="s">
        <v>660</v>
      </c>
      <c r="N629" s="135"/>
    </row>
    <row r="630" spans="3:14" x14ac:dyDescent="0.2">
      <c r="C630" t="s">
        <v>4832</v>
      </c>
      <c r="H630" s="133"/>
      <c r="I630" s="133">
        <v>25.96</v>
      </c>
      <c r="J630" s="133">
        <v>10.36</v>
      </c>
      <c r="K630" s="135">
        <v>40684</v>
      </c>
      <c r="L630" s="135" t="s">
        <v>5288</v>
      </c>
      <c r="M630" s="135" t="s">
        <v>1765</v>
      </c>
      <c r="N630" s="135"/>
    </row>
    <row r="631" spans="3:14" x14ac:dyDescent="0.2">
      <c r="C631" t="s">
        <v>4833</v>
      </c>
      <c r="G631" s="14">
        <v>427.35</v>
      </c>
      <c r="H631" s="133"/>
      <c r="K631" s="135">
        <v>40684</v>
      </c>
      <c r="L631" s="135" t="s">
        <v>1407</v>
      </c>
      <c r="M631" s="135" t="s">
        <v>2997</v>
      </c>
      <c r="N631" s="135"/>
    </row>
    <row r="632" spans="3:14" x14ac:dyDescent="0.2">
      <c r="C632" t="s">
        <v>2799</v>
      </c>
      <c r="G632" s="14">
        <v>374.4</v>
      </c>
      <c r="H632" s="133"/>
      <c r="I632" s="133">
        <v>14.82</v>
      </c>
      <c r="J632" s="133">
        <v>2.91</v>
      </c>
      <c r="K632" s="135">
        <v>40684</v>
      </c>
      <c r="L632" s="135" t="s">
        <v>340</v>
      </c>
      <c r="M632" s="135" t="s">
        <v>2994</v>
      </c>
      <c r="N632" s="135"/>
    </row>
    <row r="633" spans="3:14" x14ac:dyDescent="0.2">
      <c r="C633" t="s">
        <v>5352</v>
      </c>
      <c r="D633">
        <v>38.630000000000003</v>
      </c>
      <c r="E633">
        <v>42</v>
      </c>
      <c r="F633">
        <v>54.91</v>
      </c>
      <c r="G633" s="14">
        <v>640.65</v>
      </c>
      <c r="H633" s="133"/>
      <c r="I633" s="133">
        <v>22.08</v>
      </c>
      <c r="J633" s="133">
        <v>29.01</v>
      </c>
      <c r="K633" s="135">
        <v>40684</v>
      </c>
      <c r="L633" s="135" t="s">
        <v>2909</v>
      </c>
      <c r="M633" s="135" t="s">
        <v>2997</v>
      </c>
      <c r="N633" s="135"/>
    </row>
    <row r="634" spans="3:14" x14ac:dyDescent="0.2">
      <c r="C634" t="s">
        <v>110</v>
      </c>
      <c r="D634">
        <v>83.29</v>
      </c>
      <c r="E634">
        <v>64.66</v>
      </c>
      <c r="F634">
        <v>107.8</v>
      </c>
      <c r="G634" s="14">
        <v>918.95</v>
      </c>
      <c r="H634" s="133"/>
      <c r="I634" s="133">
        <v>15.74</v>
      </c>
      <c r="J634" s="133">
        <v>10.19</v>
      </c>
      <c r="K634" s="135">
        <v>40684</v>
      </c>
      <c r="L634" s="135" t="s">
        <v>2440</v>
      </c>
      <c r="M634" s="135" t="s">
        <v>2997</v>
      </c>
      <c r="N634" s="135" t="s">
        <v>5426</v>
      </c>
    </row>
    <row r="635" spans="3:14" x14ac:dyDescent="0.2">
      <c r="C635" t="s">
        <v>1514</v>
      </c>
      <c r="G635" s="14">
        <v>16.3</v>
      </c>
      <c r="H635" s="133"/>
      <c r="I635" s="133">
        <v>-5.98</v>
      </c>
      <c r="J635" s="133">
        <v>0</v>
      </c>
      <c r="K635" s="135">
        <v>40684</v>
      </c>
      <c r="L635" s="135" t="s">
        <v>2660</v>
      </c>
      <c r="M635" s="135" t="s">
        <v>2994</v>
      </c>
      <c r="N635" s="135"/>
    </row>
    <row r="636" spans="3:14" x14ac:dyDescent="0.2">
      <c r="C636" t="s">
        <v>4834</v>
      </c>
      <c r="G636" s="14">
        <v>9.5</v>
      </c>
      <c r="H636" s="133"/>
      <c r="K636" s="135">
        <v>40684</v>
      </c>
      <c r="L636" s="135"/>
      <c r="M636" s="135" t="s">
        <v>660</v>
      </c>
      <c r="N636" s="135"/>
    </row>
    <row r="637" spans="3:14" x14ac:dyDescent="0.2">
      <c r="C637" t="s">
        <v>4835</v>
      </c>
      <c r="D637">
        <v>32.32</v>
      </c>
      <c r="E637">
        <v>23.5</v>
      </c>
      <c r="F637">
        <v>14.7</v>
      </c>
      <c r="G637" s="14">
        <v>109.7</v>
      </c>
      <c r="H637" s="133">
        <v>5.46</v>
      </c>
      <c r="I637" s="133">
        <v>20.5</v>
      </c>
      <c r="J637" s="133">
        <v>3.4</v>
      </c>
      <c r="K637" s="135">
        <v>40684</v>
      </c>
      <c r="L637" s="135" t="s">
        <v>2441</v>
      </c>
      <c r="M637" s="135" t="s">
        <v>2995</v>
      </c>
      <c r="N637" s="135" t="s">
        <v>5430</v>
      </c>
    </row>
    <row r="638" spans="3:14" x14ac:dyDescent="0.2">
      <c r="C638" t="s">
        <v>1813</v>
      </c>
      <c r="D638">
        <v>19.71</v>
      </c>
      <c r="E638">
        <v>12.4</v>
      </c>
      <c r="F638">
        <v>12.4</v>
      </c>
      <c r="G638" s="14">
        <v>43.8</v>
      </c>
      <c r="H638" s="133">
        <v>5.7</v>
      </c>
      <c r="I638" s="133">
        <v>25.35</v>
      </c>
      <c r="J638" s="133">
        <v>2.23</v>
      </c>
      <c r="K638" s="135">
        <v>40684</v>
      </c>
      <c r="L638" s="135" t="s">
        <v>2442</v>
      </c>
      <c r="M638" s="135" t="s">
        <v>2995</v>
      </c>
      <c r="N638" s="135"/>
    </row>
    <row r="639" spans="3:14" x14ac:dyDescent="0.2">
      <c r="C639" t="s">
        <v>3910</v>
      </c>
      <c r="G639" s="14">
        <v>12.21</v>
      </c>
      <c r="H639" s="133"/>
      <c r="I639" s="133">
        <v>0</v>
      </c>
      <c r="J639" s="133">
        <v>0</v>
      </c>
      <c r="K639" s="135">
        <v>40684</v>
      </c>
      <c r="L639" s="135" t="s">
        <v>5133</v>
      </c>
      <c r="M639" s="135" t="s">
        <v>2416</v>
      </c>
      <c r="N639" s="135"/>
    </row>
    <row r="640" spans="3:14" x14ac:dyDescent="0.2">
      <c r="C640" t="s">
        <v>2922</v>
      </c>
      <c r="D640">
        <v>39.74</v>
      </c>
      <c r="E640">
        <v>14.7</v>
      </c>
      <c r="F640">
        <v>25</v>
      </c>
      <c r="G640" s="14">
        <v>87.2</v>
      </c>
      <c r="H640" s="133">
        <v>4</v>
      </c>
      <c r="I640" s="133">
        <v>20.11</v>
      </c>
      <c r="J640" s="133">
        <v>2.2000000000000002</v>
      </c>
      <c r="K640" s="135">
        <v>40684</v>
      </c>
      <c r="L640" s="135" t="s">
        <v>2443</v>
      </c>
      <c r="M640" s="135" t="s">
        <v>2423</v>
      </c>
      <c r="N640" s="135"/>
    </row>
    <row r="641" spans="3:14" x14ac:dyDescent="0.2">
      <c r="C641" t="s">
        <v>5301</v>
      </c>
      <c r="G641" s="14">
        <v>5.4</v>
      </c>
      <c r="H641" s="133"/>
      <c r="I641" s="133">
        <v>0</v>
      </c>
      <c r="J641" s="133">
        <v>2.41</v>
      </c>
      <c r="K641" s="135">
        <v>40684</v>
      </c>
      <c r="L641" s="135"/>
      <c r="M641" s="135" t="s">
        <v>2994</v>
      </c>
      <c r="N641" s="135"/>
    </row>
    <row r="642" spans="3:14" x14ac:dyDescent="0.2">
      <c r="C642" t="s">
        <v>5302</v>
      </c>
      <c r="G642" s="14">
        <v>141.85</v>
      </c>
      <c r="H642" s="133"/>
      <c r="I642" s="133">
        <v>0</v>
      </c>
      <c r="J642" s="133">
        <v>0</v>
      </c>
      <c r="K642" s="135">
        <v>40684</v>
      </c>
      <c r="L642" s="135"/>
      <c r="M642" s="135" t="s">
        <v>2418</v>
      </c>
      <c r="N642" s="135"/>
    </row>
    <row r="643" spans="3:14" x14ac:dyDescent="0.2">
      <c r="C643" t="s">
        <v>5303</v>
      </c>
      <c r="G643" s="14">
        <v>143.5</v>
      </c>
      <c r="H643" s="133"/>
      <c r="I643" s="133">
        <v>14.46</v>
      </c>
      <c r="J643" s="133">
        <v>8.94</v>
      </c>
      <c r="K643" s="135">
        <v>40684</v>
      </c>
      <c r="L643" s="135"/>
      <c r="M643" s="135" t="s">
        <v>1755</v>
      </c>
      <c r="N643" s="135"/>
    </row>
    <row r="644" spans="3:14" x14ac:dyDescent="0.2">
      <c r="C644" t="s">
        <v>3405</v>
      </c>
      <c r="G644" s="14">
        <v>68</v>
      </c>
      <c r="H644" s="133">
        <v>0.34</v>
      </c>
      <c r="I644" s="133">
        <v>3.43</v>
      </c>
      <c r="J644" s="133">
        <v>29.75</v>
      </c>
      <c r="K644" s="135">
        <v>40684</v>
      </c>
      <c r="L644" s="135" t="s">
        <v>2661</v>
      </c>
      <c r="M644" s="135" t="s">
        <v>2418</v>
      </c>
      <c r="N644" s="135"/>
    </row>
    <row r="645" spans="3:14" x14ac:dyDescent="0.2">
      <c r="C645" t="s">
        <v>5304</v>
      </c>
      <c r="G645" s="14">
        <v>14.7</v>
      </c>
      <c r="H645" s="133">
        <v>5.44</v>
      </c>
      <c r="I645" s="133">
        <v>10.66</v>
      </c>
      <c r="J645" s="133">
        <v>5.09</v>
      </c>
      <c r="K645" s="135">
        <v>40684</v>
      </c>
      <c r="L645" s="135"/>
      <c r="M645" s="135" t="s">
        <v>660</v>
      </c>
      <c r="N645" s="135"/>
    </row>
    <row r="646" spans="3:14" x14ac:dyDescent="0.2">
      <c r="C646" t="s">
        <v>5134</v>
      </c>
      <c r="G646" s="14">
        <v>357</v>
      </c>
      <c r="H646" s="133"/>
      <c r="I646" s="133">
        <v>47.93</v>
      </c>
      <c r="J646" s="133">
        <v>5.77</v>
      </c>
      <c r="K646" s="135">
        <v>40684</v>
      </c>
      <c r="L646" s="135" t="s">
        <v>545</v>
      </c>
      <c r="M646" s="135" t="s">
        <v>1894</v>
      </c>
      <c r="N646" s="135"/>
    </row>
    <row r="647" spans="3:14" x14ac:dyDescent="0.2">
      <c r="C647" t="s">
        <v>5305</v>
      </c>
      <c r="G647" s="14">
        <v>19</v>
      </c>
      <c r="H647" s="133"/>
      <c r="K647" s="135">
        <v>40684</v>
      </c>
      <c r="L647" s="135"/>
      <c r="M647" s="135" t="s">
        <v>2996</v>
      </c>
      <c r="N647" s="135"/>
    </row>
    <row r="648" spans="3:14" x14ac:dyDescent="0.2">
      <c r="C648" t="s">
        <v>5306</v>
      </c>
      <c r="G648" s="14">
        <v>1.05</v>
      </c>
      <c r="H648" s="133"/>
      <c r="K648" s="135">
        <v>40684</v>
      </c>
      <c r="L648" s="135" t="s">
        <v>3828</v>
      </c>
      <c r="M648" s="135" t="s">
        <v>2944</v>
      </c>
      <c r="N648" s="135"/>
    </row>
    <row r="649" spans="3:14" x14ac:dyDescent="0.2">
      <c r="C649" t="s">
        <v>5307</v>
      </c>
      <c r="G649" s="14">
        <v>473.8</v>
      </c>
      <c r="H649" s="133">
        <v>4.22</v>
      </c>
      <c r="I649" s="133">
        <v>36.869999999999997</v>
      </c>
      <c r="J649" s="133">
        <v>8.24</v>
      </c>
      <c r="K649" s="135">
        <v>40684</v>
      </c>
      <c r="L649" s="135"/>
      <c r="M649" s="135" t="s">
        <v>3180</v>
      </c>
      <c r="N649" s="135"/>
    </row>
    <row r="650" spans="3:14" x14ac:dyDescent="0.2">
      <c r="C650" t="s">
        <v>5308</v>
      </c>
      <c r="G650" s="14">
        <v>18.850000000000001</v>
      </c>
      <c r="H650" s="133"/>
      <c r="I650" s="133">
        <v>3.54</v>
      </c>
      <c r="J650" s="133">
        <v>25.42</v>
      </c>
      <c r="K650" s="135">
        <v>40684</v>
      </c>
      <c r="L650" s="135"/>
      <c r="M650" s="135" t="s">
        <v>2942</v>
      </c>
      <c r="N650" s="135"/>
    </row>
    <row r="651" spans="3:14" x14ac:dyDescent="0.2">
      <c r="C651" t="s">
        <v>5309</v>
      </c>
      <c r="G651" s="14">
        <v>3.37</v>
      </c>
      <c r="H651" s="133"/>
      <c r="K651" s="135">
        <v>40684</v>
      </c>
      <c r="L651" s="135" t="s">
        <v>1569</v>
      </c>
      <c r="M651" s="135" t="s">
        <v>660</v>
      </c>
      <c r="N651" s="135"/>
    </row>
    <row r="652" spans="3:14" x14ac:dyDescent="0.2">
      <c r="C652" t="s">
        <v>3406</v>
      </c>
      <c r="G652" s="14">
        <v>20.399999999999999</v>
      </c>
      <c r="H652" s="133">
        <v>9.7799999999999994</v>
      </c>
      <c r="I652" s="133">
        <v>10.72</v>
      </c>
      <c r="J652" s="133">
        <v>3.85</v>
      </c>
      <c r="K652" s="135">
        <v>40684</v>
      </c>
      <c r="L652" s="135" t="s">
        <v>1971</v>
      </c>
      <c r="M652" s="135" t="s">
        <v>659</v>
      </c>
      <c r="N652" s="135"/>
    </row>
    <row r="653" spans="3:14" x14ac:dyDescent="0.2">
      <c r="C653" t="s">
        <v>4685</v>
      </c>
      <c r="G653" s="14">
        <v>207.85</v>
      </c>
      <c r="H653" s="133">
        <v>1.93</v>
      </c>
      <c r="I653" s="133">
        <v>19.88</v>
      </c>
      <c r="J653" s="133">
        <v>20.9</v>
      </c>
      <c r="K653" s="135">
        <v>40684</v>
      </c>
      <c r="L653" s="135" t="s">
        <v>4686</v>
      </c>
      <c r="M653" s="135" t="s">
        <v>2416</v>
      </c>
      <c r="N653" s="135"/>
    </row>
    <row r="654" spans="3:14" x14ac:dyDescent="0.2">
      <c r="C654" t="s">
        <v>3407</v>
      </c>
      <c r="G654" s="14">
        <v>2.04</v>
      </c>
      <c r="H654" s="133"/>
      <c r="K654" s="135">
        <v>40684</v>
      </c>
      <c r="L654" s="135" t="s">
        <v>1972</v>
      </c>
      <c r="M654" s="135" t="s">
        <v>2994</v>
      </c>
      <c r="N654" s="135"/>
    </row>
    <row r="655" spans="3:14" x14ac:dyDescent="0.2">
      <c r="C655" t="s">
        <v>5310</v>
      </c>
      <c r="G655" s="14">
        <v>6.61</v>
      </c>
      <c r="H655" s="133"/>
      <c r="I655" s="133">
        <v>6.21</v>
      </c>
      <c r="J655" s="133">
        <v>47.21</v>
      </c>
      <c r="K655" s="135">
        <v>40684</v>
      </c>
      <c r="L655" s="135"/>
      <c r="M655" s="135" t="s">
        <v>2419</v>
      </c>
      <c r="N655" s="135"/>
    </row>
    <row r="656" spans="3:14" x14ac:dyDescent="0.2">
      <c r="C656" t="s">
        <v>1580</v>
      </c>
      <c r="D656">
        <v>11.18</v>
      </c>
      <c r="E656">
        <v>13.1</v>
      </c>
      <c r="F656">
        <v>15.2</v>
      </c>
      <c r="G656" s="14">
        <v>75.75</v>
      </c>
      <c r="H656" s="133">
        <v>1.31</v>
      </c>
      <c r="I656" s="133">
        <v>15.7</v>
      </c>
      <c r="J656" s="133">
        <v>6.87</v>
      </c>
      <c r="K656" s="135">
        <v>40684</v>
      </c>
      <c r="L656" s="135" t="s">
        <v>1581</v>
      </c>
      <c r="M656" s="135" t="s">
        <v>1756</v>
      </c>
      <c r="N656" s="135"/>
    </row>
    <row r="657" spans="3:14" x14ac:dyDescent="0.2">
      <c r="C657" t="s">
        <v>5135</v>
      </c>
      <c r="G657" s="14">
        <v>0.3</v>
      </c>
      <c r="H657" s="133"/>
      <c r="I657" s="133">
        <v>1</v>
      </c>
      <c r="J657" s="133">
        <v>0</v>
      </c>
      <c r="K657" s="135">
        <v>40684</v>
      </c>
      <c r="L657" s="135"/>
      <c r="M657" s="135"/>
      <c r="N657" s="135"/>
    </row>
    <row r="658" spans="3:14" x14ac:dyDescent="0.2">
      <c r="C658" t="s">
        <v>1582</v>
      </c>
      <c r="E658">
        <v>23.53</v>
      </c>
      <c r="F658">
        <v>33.44</v>
      </c>
      <c r="G658" s="14">
        <v>144.75</v>
      </c>
      <c r="H658" s="133"/>
      <c r="I658" s="133">
        <v>12.98</v>
      </c>
      <c r="J658" s="133">
        <v>6.21</v>
      </c>
      <c r="K658" s="135">
        <v>40684</v>
      </c>
      <c r="L658" s="135" t="s">
        <v>1583</v>
      </c>
      <c r="M658" s="135" t="s">
        <v>1429</v>
      </c>
      <c r="N658" s="135"/>
    </row>
    <row r="659" spans="3:14" x14ac:dyDescent="0.2">
      <c r="C659" t="s">
        <v>5311</v>
      </c>
      <c r="E659">
        <v>7.03</v>
      </c>
      <c r="F659">
        <v>9.0399999999999991</v>
      </c>
      <c r="G659" s="14">
        <v>85.05</v>
      </c>
      <c r="H659" s="133">
        <v>2.35</v>
      </c>
      <c r="I659" s="133">
        <v>27.11</v>
      </c>
      <c r="J659" s="133">
        <v>10.32</v>
      </c>
      <c r="K659" s="135">
        <v>40684</v>
      </c>
      <c r="L659" s="135" t="s">
        <v>2839</v>
      </c>
      <c r="M659" s="135" t="s">
        <v>1757</v>
      </c>
      <c r="N659" s="135"/>
    </row>
    <row r="660" spans="3:14" x14ac:dyDescent="0.2">
      <c r="C660" t="s">
        <v>3408</v>
      </c>
      <c r="G660" s="14">
        <v>283.05</v>
      </c>
      <c r="H660" s="133"/>
      <c r="I660" s="133">
        <v>41.66</v>
      </c>
      <c r="J660" s="133">
        <v>22.14</v>
      </c>
      <c r="K660" s="135">
        <v>40684</v>
      </c>
      <c r="L660" s="135" t="s">
        <v>2183</v>
      </c>
      <c r="M660" s="135" t="s">
        <v>2417</v>
      </c>
      <c r="N660" s="135"/>
    </row>
    <row r="661" spans="3:14" x14ac:dyDescent="0.2">
      <c r="C661" t="s">
        <v>3409</v>
      </c>
      <c r="G661" s="14">
        <v>71.05</v>
      </c>
      <c r="H661" s="133"/>
      <c r="I661" s="133">
        <v>8.52</v>
      </c>
      <c r="J661" s="133">
        <v>14.07</v>
      </c>
      <c r="K661" s="135">
        <v>40684</v>
      </c>
      <c r="L661" s="135" t="s">
        <v>4186</v>
      </c>
      <c r="M661" s="135" t="s">
        <v>2995</v>
      </c>
      <c r="N661" s="135"/>
    </row>
    <row r="662" spans="3:14" x14ac:dyDescent="0.2">
      <c r="C662" t="s">
        <v>692</v>
      </c>
      <c r="G662" s="14">
        <v>595.1</v>
      </c>
      <c r="H662" s="133"/>
      <c r="K662" s="135">
        <v>40684</v>
      </c>
      <c r="L662" s="135" t="s">
        <v>4187</v>
      </c>
      <c r="M662" s="135" t="s">
        <v>2418</v>
      </c>
      <c r="N662" s="135"/>
    </row>
    <row r="663" spans="3:14" x14ac:dyDescent="0.2">
      <c r="C663" t="s">
        <v>2905</v>
      </c>
      <c r="G663" s="14">
        <v>82.55</v>
      </c>
      <c r="H663" s="133"/>
      <c r="I663" s="133">
        <v>17.27</v>
      </c>
      <c r="J663" s="133">
        <v>11.81</v>
      </c>
      <c r="K663" s="135">
        <v>40684</v>
      </c>
      <c r="L663" s="135" t="s">
        <v>4188</v>
      </c>
      <c r="M663" s="135" t="s">
        <v>1429</v>
      </c>
      <c r="N663" s="135"/>
    </row>
    <row r="664" spans="3:14" x14ac:dyDescent="0.2">
      <c r="C664" t="s">
        <v>4733</v>
      </c>
      <c r="G664" s="14">
        <v>151</v>
      </c>
      <c r="H664" s="133">
        <v>1.28</v>
      </c>
      <c r="I664" s="133">
        <v>4.32</v>
      </c>
      <c r="J664" s="133">
        <v>15.48</v>
      </c>
      <c r="K664" s="135">
        <v>40684</v>
      </c>
      <c r="L664" s="135" t="s">
        <v>4189</v>
      </c>
      <c r="M664" s="135" t="s">
        <v>3013</v>
      </c>
      <c r="N664" s="135"/>
    </row>
    <row r="665" spans="3:14" x14ac:dyDescent="0.2">
      <c r="C665" t="s">
        <v>5312</v>
      </c>
      <c r="D665">
        <v>12.86</v>
      </c>
      <c r="E665">
        <v>13.6</v>
      </c>
      <c r="F665">
        <v>15.95</v>
      </c>
      <c r="G665" s="14">
        <v>117.65</v>
      </c>
      <c r="H665" s="133"/>
      <c r="I665" s="133">
        <v>14.56</v>
      </c>
      <c r="J665" s="133">
        <v>9.48</v>
      </c>
      <c r="K665" s="135">
        <v>40684</v>
      </c>
      <c r="L665" s="135" t="s">
        <v>2840</v>
      </c>
      <c r="M665" s="135" t="s">
        <v>1756</v>
      </c>
      <c r="N665" s="135"/>
    </row>
    <row r="666" spans="3:14" x14ac:dyDescent="0.2">
      <c r="C666" t="s">
        <v>4687</v>
      </c>
      <c r="H666" s="133">
        <v>1.66</v>
      </c>
      <c r="I666" s="133">
        <v>15.25</v>
      </c>
      <c r="J666" s="133">
        <v>7.61</v>
      </c>
      <c r="K666" s="135">
        <v>40684</v>
      </c>
      <c r="L666" s="135" t="s">
        <v>4688</v>
      </c>
      <c r="M666" s="135" t="s">
        <v>2997</v>
      </c>
      <c r="N666" s="135"/>
    </row>
    <row r="667" spans="3:14" x14ac:dyDescent="0.2">
      <c r="C667" t="s">
        <v>1419</v>
      </c>
      <c r="G667" s="14">
        <v>53.55</v>
      </c>
      <c r="H667" s="133">
        <v>2.61</v>
      </c>
      <c r="I667" s="133">
        <v>25.96</v>
      </c>
      <c r="J667" s="133">
        <v>6.05</v>
      </c>
      <c r="K667" s="135">
        <v>40684</v>
      </c>
      <c r="L667" s="135" t="s">
        <v>4190</v>
      </c>
      <c r="M667" s="135" t="s">
        <v>2994</v>
      </c>
      <c r="N667" s="135"/>
    </row>
    <row r="668" spans="3:14" x14ac:dyDescent="0.2">
      <c r="C668" t="s">
        <v>1420</v>
      </c>
      <c r="G668" s="14">
        <v>75</v>
      </c>
      <c r="H668" s="133">
        <v>1.66</v>
      </c>
      <c r="I668" s="133">
        <v>15.25</v>
      </c>
      <c r="J668" s="133">
        <v>7.61</v>
      </c>
      <c r="K668" s="135">
        <v>40684</v>
      </c>
      <c r="L668" s="135" t="s">
        <v>5108</v>
      </c>
      <c r="M668" s="135" t="s">
        <v>2997</v>
      </c>
      <c r="N668" s="135"/>
    </row>
    <row r="669" spans="3:14" x14ac:dyDescent="0.2">
      <c r="C669" t="s">
        <v>1421</v>
      </c>
      <c r="G669" s="14">
        <v>91.95</v>
      </c>
      <c r="H669" s="133"/>
      <c r="I669" s="133">
        <v>10.8</v>
      </c>
      <c r="J669" s="133">
        <v>10.61</v>
      </c>
      <c r="K669" s="135">
        <v>40684</v>
      </c>
      <c r="L669" s="135" t="s">
        <v>5109</v>
      </c>
      <c r="M669" s="135" t="s">
        <v>2994</v>
      </c>
      <c r="N669" s="135"/>
    </row>
    <row r="670" spans="3:14" x14ac:dyDescent="0.2">
      <c r="C670" t="s">
        <v>5313</v>
      </c>
      <c r="E670">
        <v>15.4</v>
      </c>
      <c r="F670">
        <v>20.2</v>
      </c>
      <c r="G670" s="14">
        <v>106.3</v>
      </c>
      <c r="H670" s="133">
        <v>3.77</v>
      </c>
      <c r="I670" s="133">
        <v>9.1</v>
      </c>
      <c r="J670" s="133">
        <v>11.94</v>
      </c>
      <c r="K670" s="135">
        <v>40684</v>
      </c>
      <c r="L670" s="135" t="s">
        <v>2098</v>
      </c>
      <c r="M670" s="135" t="s">
        <v>660</v>
      </c>
      <c r="N670" s="135"/>
    </row>
    <row r="671" spans="3:14" x14ac:dyDescent="0.2">
      <c r="C671" t="s">
        <v>5314</v>
      </c>
      <c r="D671">
        <v>35.92</v>
      </c>
      <c r="E671">
        <v>37.29</v>
      </c>
      <c r="F671">
        <v>46.11</v>
      </c>
      <c r="G671" s="14">
        <v>421.9</v>
      </c>
      <c r="H671" s="133"/>
      <c r="I671" s="133">
        <v>20.71</v>
      </c>
      <c r="J671" s="133">
        <v>10.79</v>
      </c>
      <c r="K671" s="135">
        <v>40684</v>
      </c>
      <c r="L671" s="135" t="s">
        <v>2099</v>
      </c>
      <c r="M671" s="135" t="s">
        <v>660</v>
      </c>
      <c r="N671" s="135"/>
    </row>
    <row r="672" spans="3:14" x14ac:dyDescent="0.2">
      <c r="C672" t="s">
        <v>1422</v>
      </c>
      <c r="G672" s="14">
        <v>1.58</v>
      </c>
      <c r="H672" s="133"/>
      <c r="K672" s="135">
        <v>40684</v>
      </c>
      <c r="L672" s="135" t="s">
        <v>5110</v>
      </c>
      <c r="M672" s="135" t="s">
        <v>2994</v>
      </c>
      <c r="N672" s="135"/>
    </row>
    <row r="673" spans="3:14" x14ac:dyDescent="0.2">
      <c r="C673" t="s">
        <v>1423</v>
      </c>
      <c r="G673" s="14">
        <v>17.5</v>
      </c>
      <c r="H673" s="133"/>
      <c r="I673" s="133">
        <v>12.71</v>
      </c>
      <c r="J673" s="133">
        <v>12.86</v>
      </c>
      <c r="K673" s="135">
        <v>40684</v>
      </c>
      <c r="L673" s="135" t="s">
        <v>5111</v>
      </c>
      <c r="M673" s="135" t="s">
        <v>2995</v>
      </c>
      <c r="N673" s="135"/>
    </row>
    <row r="674" spans="3:14" x14ac:dyDescent="0.2">
      <c r="C674" t="s">
        <v>3655</v>
      </c>
      <c r="G674" s="14">
        <v>80.400000000000006</v>
      </c>
      <c r="H674" s="133"/>
      <c r="I674" s="133">
        <v>21.2</v>
      </c>
      <c r="J674" s="133">
        <v>13.99</v>
      </c>
      <c r="K674" s="135">
        <v>40684</v>
      </c>
      <c r="L674" s="135" t="s">
        <v>3656</v>
      </c>
      <c r="M674" s="135" t="s">
        <v>1756</v>
      </c>
      <c r="N674" s="135"/>
    </row>
    <row r="675" spans="3:14" x14ac:dyDescent="0.2">
      <c r="C675" t="s">
        <v>1584</v>
      </c>
      <c r="D675">
        <v>6.91</v>
      </c>
      <c r="E675">
        <v>8.39</v>
      </c>
      <c r="F675">
        <v>10.29</v>
      </c>
      <c r="G675" s="14">
        <v>16.600000000000001</v>
      </c>
      <c r="H675" s="133"/>
      <c r="K675" s="135">
        <v>40684</v>
      </c>
      <c r="L675" s="135" t="s">
        <v>1769</v>
      </c>
      <c r="M675" s="135" t="s">
        <v>1755</v>
      </c>
      <c r="N675" s="135"/>
    </row>
    <row r="676" spans="3:14" x14ac:dyDescent="0.2">
      <c r="C676" t="s">
        <v>865</v>
      </c>
      <c r="H676" s="133"/>
      <c r="K676" s="135">
        <v>40684</v>
      </c>
      <c r="L676" s="135" t="s">
        <v>2100</v>
      </c>
      <c r="M676" s="135" t="s">
        <v>2996</v>
      </c>
      <c r="N676" s="135"/>
    </row>
    <row r="677" spans="3:14" x14ac:dyDescent="0.2">
      <c r="C677" t="s">
        <v>554</v>
      </c>
      <c r="G677" s="14">
        <v>61.3</v>
      </c>
      <c r="H677" s="133"/>
      <c r="I677" s="133">
        <v>-13.62</v>
      </c>
      <c r="J677" s="133">
        <v>0</v>
      </c>
      <c r="K677" s="135">
        <v>40684</v>
      </c>
      <c r="L677" s="135" t="s">
        <v>4436</v>
      </c>
      <c r="M677" s="135" t="s">
        <v>659</v>
      </c>
      <c r="N677" s="135"/>
    </row>
    <row r="678" spans="3:14" x14ac:dyDescent="0.2">
      <c r="C678" t="s">
        <v>2092</v>
      </c>
      <c r="G678" s="14">
        <v>46</v>
      </c>
      <c r="H678" s="133">
        <v>2.13</v>
      </c>
      <c r="I678" s="133">
        <v>0.96</v>
      </c>
      <c r="J678" s="133">
        <v>13.34</v>
      </c>
      <c r="K678" s="135">
        <v>40684</v>
      </c>
      <c r="L678" s="135" t="s">
        <v>4437</v>
      </c>
      <c r="M678" s="135" t="s">
        <v>2427</v>
      </c>
      <c r="N678" s="135"/>
    </row>
    <row r="679" spans="3:14" x14ac:dyDescent="0.2">
      <c r="C679" t="s">
        <v>5315</v>
      </c>
      <c r="D679">
        <v>51.88</v>
      </c>
      <c r="E679">
        <v>22.1</v>
      </c>
      <c r="F679">
        <v>28.05</v>
      </c>
      <c r="G679" s="14">
        <v>197.55</v>
      </c>
      <c r="H679" s="133"/>
      <c r="I679" s="133">
        <v>13.2</v>
      </c>
      <c r="J679" s="133">
        <v>0</v>
      </c>
      <c r="K679" s="135">
        <v>40684</v>
      </c>
      <c r="L679" s="135" t="s">
        <v>4802</v>
      </c>
      <c r="M679" s="135" t="s">
        <v>1758</v>
      </c>
      <c r="N679" s="135"/>
    </row>
    <row r="680" spans="3:14" x14ac:dyDescent="0.2">
      <c r="C680" t="s">
        <v>2093</v>
      </c>
      <c r="G680" s="14">
        <v>555</v>
      </c>
      <c r="H680" s="133">
        <v>1.0900000000000001</v>
      </c>
      <c r="I680" s="133">
        <v>18.170000000000002</v>
      </c>
      <c r="J680" s="133">
        <v>20.89</v>
      </c>
      <c r="K680" s="135">
        <v>40684</v>
      </c>
      <c r="L680" s="135" t="s">
        <v>4438</v>
      </c>
      <c r="M680" s="135" t="s">
        <v>2994</v>
      </c>
      <c r="N680" s="135"/>
    </row>
    <row r="681" spans="3:14" x14ac:dyDescent="0.2">
      <c r="C681" t="s">
        <v>2094</v>
      </c>
      <c r="G681" s="14">
        <v>3.05</v>
      </c>
      <c r="H681" s="133"/>
      <c r="I681" s="133">
        <v>5.68</v>
      </c>
      <c r="J681" s="133">
        <v>196.11</v>
      </c>
      <c r="K681" s="135">
        <v>40684</v>
      </c>
      <c r="L681" s="135" t="s">
        <v>4439</v>
      </c>
      <c r="M681" s="135" t="s">
        <v>2994</v>
      </c>
      <c r="N681" s="135"/>
    </row>
    <row r="682" spans="3:14" x14ac:dyDescent="0.2">
      <c r="C682" t="s">
        <v>866</v>
      </c>
      <c r="G682" s="14">
        <v>7</v>
      </c>
      <c r="H682" s="133"/>
      <c r="I682" s="133">
        <v>27.12</v>
      </c>
      <c r="J682" s="133">
        <v>12.04</v>
      </c>
      <c r="K682" s="135">
        <v>40684</v>
      </c>
      <c r="L682" s="135" t="s">
        <v>2471</v>
      </c>
      <c r="M682" s="135" t="s">
        <v>3180</v>
      </c>
      <c r="N682" s="135"/>
    </row>
    <row r="683" spans="3:14" x14ac:dyDescent="0.2">
      <c r="C683" t="s">
        <v>1305</v>
      </c>
      <c r="G683" s="14">
        <v>18.25</v>
      </c>
      <c r="H683" s="133"/>
      <c r="K683" s="135">
        <v>40684</v>
      </c>
      <c r="L683" s="135"/>
      <c r="M683" s="135"/>
      <c r="N683" s="135"/>
    </row>
    <row r="684" spans="3:14" x14ac:dyDescent="0.2">
      <c r="C684" t="s">
        <v>4689</v>
      </c>
      <c r="G684" s="14">
        <v>39.549999999999997</v>
      </c>
      <c r="H684" s="133"/>
      <c r="I684" s="133">
        <v>-8.9700000000000006</v>
      </c>
      <c r="J684" s="133">
        <v>0</v>
      </c>
      <c r="K684" s="135">
        <v>40684</v>
      </c>
      <c r="L684" s="135" t="s">
        <v>2641</v>
      </c>
      <c r="M684" s="135"/>
      <c r="N684" s="135"/>
    </row>
    <row r="685" spans="3:14" x14ac:dyDescent="0.2">
      <c r="C685" t="s">
        <v>2770</v>
      </c>
      <c r="G685" s="14">
        <v>50</v>
      </c>
      <c r="H685" s="133">
        <v>2</v>
      </c>
      <c r="I685" s="133">
        <v>7.19</v>
      </c>
      <c r="J685" s="133">
        <v>10.87</v>
      </c>
      <c r="K685" s="135">
        <v>40684</v>
      </c>
      <c r="L685" s="135" t="s">
        <v>2771</v>
      </c>
      <c r="M685" s="135" t="s">
        <v>2419</v>
      </c>
      <c r="N685" s="135"/>
    </row>
    <row r="686" spans="3:14" x14ac:dyDescent="0.2">
      <c r="C686" t="s">
        <v>2820</v>
      </c>
      <c r="G686" s="14">
        <v>58.8</v>
      </c>
      <c r="H686" s="133"/>
      <c r="I686" s="133">
        <v>14.39</v>
      </c>
      <c r="J686" s="133">
        <v>6.8</v>
      </c>
      <c r="K686" s="135">
        <v>40684</v>
      </c>
      <c r="L686" s="135" t="s">
        <v>4440</v>
      </c>
      <c r="M686" s="135" t="s">
        <v>659</v>
      </c>
      <c r="N686" s="135"/>
    </row>
    <row r="687" spans="3:14" x14ac:dyDescent="0.2">
      <c r="C687" t="s">
        <v>2772</v>
      </c>
      <c r="G687" s="14">
        <v>11.5</v>
      </c>
      <c r="H687" s="133"/>
      <c r="I687" s="133">
        <v>6.9</v>
      </c>
      <c r="J687" s="133">
        <v>6.43</v>
      </c>
      <c r="K687" s="135">
        <v>40684</v>
      </c>
      <c r="L687" s="135" t="s">
        <v>2773</v>
      </c>
      <c r="M687" s="135" t="s">
        <v>2774</v>
      </c>
      <c r="N687" s="135"/>
    </row>
    <row r="688" spans="3:14" x14ac:dyDescent="0.2">
      <c r="C688" t="s">
        <v>2821</v>
      </c>
      <c r="G688" s="14">
        <v>70.8</v>
      </c>
      <c r="H688" s="133"/>
      <c r="I688" s="133">
        <v>-41.89</v>
      </c>
      <c r="J688" s="133">
        <v>53.49</v>
      </c>
      <c r="K688" s="135">
        <v>40684</v>
      </c>
      <c r="L688" s="135" t="s">
        <v>4441</v>
      </c>
      <c r="M688" s="135" t="s">
        <v>2418</v>
      </c>
      <c r="N688" s="135"/>
    </row>
    <row r="689" spans="3:14" x14ac:dyDescent="0.2">
      <c r="C689" t="s">
        <v>1504</v>
      </c>
      <c r="G689" s="14">
        <v>19.45</v>
      </c>
      <c r="H689" s="133"/>
      <c r="I689" s="133">
        <v>0</v>
      </c>
      <c r="J689" s="133">
        <v>0</v>
      </c>
      <c r="K689" s="135">
        <v>40684</v>
      </c>
      <c r="L689" s="135" t="s">
        <v>4442</v>
      </c>
      <c r="M689" s="135" t="s">
        <v>2418</v>
      </c>
      <c r="N689" s="135"/>
    </row>
    <row r="690" spans="3:14" x14ac:dyDescent="0.2">
      <c r="C690" t="s">
        <v>3659</v>
      </c>
      <c r="G690" s="14">
        <v>1.75</v>
      </c>
      <c r="H690" s="133"/>
      <c r="I690" s="133">
        <v>12.73</v>
      </c>
      <c r="J690" s="133">
        <v>7</v>
      </c>
      <c r="K690" s="135">
        <v>40684</v>
      </c>
      <c r="L690" s="135" t="s">
        <v>2912</v>
      </c>
      <c r="M690" s="135" t="s">
        <v>2997</v>
      </c>
      <c r="N690" s="135"/>
    </row>
    <row r="691" spans="3:14" x14ac:dyDescent="0.2">
      <c r="C691" t="s">
        <v>4408</v>
      </c>
      <c r="E691">
        <v>12</v>
      </c>
      <c r="F691">
        <v>14</v>
      </c>
      <c r="G691" s="14">
        <v>314.39999999999998</v>
      </c>
      <c r="H691" s="133"/>
      <c r="I691" s="133">
        <v>6.15</v>
      </c>
      <c r="J691" s="133">
        <v>5.62</v>
      </c>
      <c r="K691" s="135">
        <v>40684</v>
      </c>
      <c r="L691" s="135" t="s">
        <v>1085</v>
      </c>
      <c r="M691" s="135" t="s">
        <v>3180</v>
      </c>
      <c r="N691" s="135"/>
    </row>
    <row r="692" spans="3:14" x14ac:dyDescent="0.2">
      <c r="C692" t="s">
        <v>2775</v>
      </c>
      <c r="G692" s="14">
        <v>24.4</v>
      </c>
      <c r="H692" s="133"/>
      <c r="K692" s="135">
        <v>40684</v>
      </c>
      <c r="L692" s="135" t="s">
        <v>2776</v>
      </c>
      <c r="M692" s="135" t="s">
        <v>660</v>
      </c>
      <c r="N692" s="135"/>
    </row>
    <row r="693" spans="3:14" x14ac:dyDescent="0.2">
      <c r="C693" t="s">
        <v>2777</v>
      </c>
      <c r="G693" s="14">
        <v>19.899999999999999</v>
      </c>
      <c r="H693" s="133"/>
      <c r="K693" s="135">
        <v>40684</v>
      </c>
      <c r="L693" s="135" t="s">
        <v>2776</v>
      </c>
      <c r="M693" s="135" t="s">
        <v>660</v>
      </c>
      <c r="N693" s="135"/>
    </row>
    <row r="694" spans="3:14" x14ac:dyDescent="0.2">
      <c r="C694" t="s">
        <v>1505</v>
      </c>
      <c r="G694" s="14">
        <v>53.25</v>
      </c>
      <c r="H694" s="133"/>
      <c r="K694" s="135">
        <v>40684</v>
      </c>
      <c r="L694" s="135" t="s">
        <v>4443</v>
      </c>
      <c r="M694" s="135" t="s">
        <v>1429</v>
      </c>
      <c r="N694" s="135"/>
    </row>
    <row r="695" spans="3:14" x14ac:dyDescent="0.2">
      <c r="C695" t="s">
        <v>1506</v>
      </c>
      <c r="G695" s="14">
        <v>1451.5</v>
      </c>
      <c r="H695" s="133">
        <v>1.17</v>
      </c>
      <c r="I695" s="133">
        <v>20.36</v>
      </c>
      <c r="J695" s="133">
        <v>32.619999999999997</v>
      </c>
      <c r="K695" s="135">
        <v>40684</v>
      </c>
      <c r="L695" s="135" t="s">
        <v>4444</v>
      </c>
      <c r="M695" s="135" t="s">
        <v>659</v>
      </c>
      <c r="N695" s="135"/>
    </row>
    <row r="696" spans="3:14" x14ac:dyDescent="0.2">
      <c r="C696" t="s">
        <v>1507</v>
      </c>
      <c r="G696" s="14">
        <v>18.8</v>
      </c>
      <c r="H696" s="133">
        <v>2.66</v>
      </c>
      <c r="I696" s="133">
        <v>4.3099999999999996</v>
      </c>
      <c r="J696" s="133">
        <v>9.86</v>
      </c>
      <c r="K696" s="135">
        <v>40684</v>
      </c>
      <c r="L696" s="135" t="s">
        <v>4503</v>
      </c>
      <c r="M696" s="135" t="s">
        <v>2994</v>
      </c>
      <c r="N696" s="135"/>
    </row>
    <row r="697" spans="3:14" x14ac:dyDescent="0.2">
      <c r="C697" t="s">
        <v>1508</v>
      </c>
      <c r="G697" s="14">
        <v>19.850000000000001</v>
      </c>
      <c r="H697" s="133"/>
      <c r="I697" s="133">
        <v>3.86</v>
      </c>
      <c r="J697" s="133">
        <v>14.43</v>
      </c>
      <c r="K697" s="135">
        <v>40684</v>
      </c>
      <c r="L697" s="135" t="s">
        <v>4504</v>
      </c>
      <c r="M697" s="135" t="s">
        <v>659</v>
      </c>
      <c r="N697" s="135"/>
    </row>
    <row r="698" spans="3:14" x14ac:dyDescent="0.2">
      <c r="C698" t="s">
        <v>5316</v>
      </c>
      <c r="D698">
        <v>18.64</v>
      </c>
      <c r="E698">
        <v>20.3</v>
      </c>
      <c r="F698">
        <v>24.04</v>
      </c>
      <c r="G698" s="14">
        <v>416.95</v>
      </c>
      <c r="H698" s="133"/>
      <c r="K698" s="135">
        <v>40684</v>
      </c>
      <c r="L698" s="135" t="s">
        <v>2472</v>
      </c>
      <c r="M698" s="135" t="s">
        <v>660</v>
      </c>
      <c r="N698" s="135"/>
    </row>
    <row r="699" spans="3:14" x14ac:dyDescent="0.2">
      <c r="C699" t="s">
        <v>2642</v>
      </c>
      <c r="G699" s="14">
        <v>31</v>
      </c>
      <c r="H699" s="133">
        <v>0.64</v>
      </c>
      <c r="I699" s="133">
        <v>16.29</v>
      </c>
      <c r="J699" s="133">
        <v>1.1599999999999999</v>
      </c>
      <c r="K699" s="135">
        <v>40684</v>
      </c>
      <c r="L699" s="135" t="s">
        <v>2643</v>
      </c>
      <c r="M699" s="135" t="s">
        <v>2994</v>
      </c>
      <c r="N699" s="135"/>
    </row>
    <row r="700" spans="3:14" x14ac:dyDescent="0.2">
      <c r="C700" t="s">
        <v>1509</v>
      </c>
      <c r="G700" s="14">
        <v>30.65</v>
      </c>
      <c r="H700" s="133"/>
      <c r="I700" s="133">
        <v>6.34</v>
      </c>
      <c r="J700" s="133">
        <v>29.81</v>
      </c>
      <c r="K700" s="135">
        <v>40684</v>
      </c>
      <c r="L700" s="135" t="s">
        <v>4505</v>
      </c>
      <c r="M700" s="135" t="s">
        <v>2994</v>
      </c>
      <c r="N700" s="135"/>
    </row>
    <row r="701" spans="3:14" x14ac:dyDescent="0.2">
      <c r="C701" t="s">
        <v>1086</v>
      </c>
      <c r="D701">
        <v>10.8</v>
      </c>
      <c r="E701">
        <v>11.8</v>
      </c>
      <c r="F701">
        <v>14.7</v>
      </c>
      <c r="G701" s="14">
        <v>162.19999999999999</v>
      </c>
      <c r="H701" s="133"/>
      <c r="I701" s="133">
        <v>24.75</v>
      </c>
      <c r="J701" s="133">
        <v>20.39</v>
      </c>
      <c r="K701" s="135">
        <v>40684</v>
      </c>
      <c r="L701" s="135" t="s">
        <v>1087</v>
      </c>
      <c r="M701" s="135" t="s">
        <v>1429</v>
      </c>
      <c r="N701" s="135"/>
    </row>
    <row r="702" spans="3:14" x14ac:dyDescent="0.2">
      <c r="C702" t="s">
        <v>1510</v>
      </c>
      <c r="G702" s="14">
        <v>105.9</v>
      </c>
      <c r="H702" s="133"/>
      <c r="I702" s="133">
        <v>-8.74</v>
      </c>
      <c r="J702" s="133">
        <v>0</v>
      </c>
      <c r="K702" s="135">
        <v>40684</v>
      </c>
      <c r="L702" s="135" t="s">
        <v>4506</v>
      </c>
      <c r="M702" s="135" t="s">
        <v>659</v>
      </c>
      <c r="N702" s="135"/>
    </row>
    <row r="703" spans="3:14" x14ac:dyDescent="0.2">
      <c r="C703" t="s">
        <v>2644</v>
      </c>
      <c r="G703" s="14">
        <v>18.850000000000001</v>
      </c>
      <c r="H703" s="133"/>
      <c r="I703" s="133">
        <v>0.79</v>
      </c>
      <c r="J703" s="133">
        <v>0</v>
      </c>
      <c r="K703" s="135">
        <v>40684</v>
      </c>
      <c r="L703" s="135" t="s">
        <v>3607</v>
      </c>
      <c r="M703" s="135" t="s">
        <v>2994</v>
      </c>
      <c r="N703" s="135"/>
    </row>
    <row r="704" spans="3:14" x14ac:dyDescent="0.2">
      <c r="C704" t="s">
        <v>1770</v>
      </c>
      <c r="G704" s="14">
        <v>223.5</v>
      </c>
      <c r="H704" s="133">
        <v>4.5</v>
      </c>
      <c r="I704" s="133">
        <v>13.02</v>
      </c>
      <c r="J704" s="133">
        <v>15.02</v>
      </c>
      <c r="K704" s="135">
        <v>40684</v>
      </c>
      <c r="L704" s="135" t="s">
        <v>4507</v>
      </c>
      <c r="M704" s="135" t="s">
        <v>3180</v>
      </c>
      <c r="N704" s="135"/>
    </row>
    <row r="705" spans="3:14" x14ac:dyDescent="0.2">
      <c r="C705" t="s">
        <v>3608</v>
      </c>
      <c r="G705" s="14">
        <v>28.1</v>
      </c>
      <c r="H705" s="133">
        <v>0.64</v>
      </c>
      <c r="I705" s="133">
        <v>14.43</v>
      </c>
      <c r="J705" s="133">
        <v>5.33</v>
      </c>
      <c r="K705" s="135">
        <v>40684</v>
      </c>
      <c r="L705" s="135" t="s">
        <v>3609</v>
      </c>
      <c r="M705" s="135" t="s">
        <v>2416</v>
      </c>
      <c r="N705" s="135"/>
    </row>
    <row r="706" spans="3:14" x14ac:dyDescent="0.2">
      <c r="C706" t="s">
        <v>5317</v>
      </c>
      <c r="D706">
        <v>84.63</v>
      </c>
      <c r="E706">
        <v>132.75</v>
      </c>
      <c r="F706">
        <v>172.05</v>
      </c>
      <c r="G706" s="14">
        <v>2194.85</v>
      </c>
      <c r="H706" s="133"/>
      <c r="I706" s="133">
        <v>11.73</v>
      </c>
      <c r="J706" s="133">
        <v>14.85</v>
      </c>
      <c r="K706" s="135">
        <v>40684</v>
      </c>
      <c r="L706" s="135"/>
      <c r="M706" s="135" t="s">
        <v>2994</v>
      </c>
      <c r="N706" s="135"/>
    </row>
    <row r="707" spans="3:14" x14ac:dyDescent="0.2">
      <c r="C707" t="s">
        <v>1771</v>
      </c>
      <c r="G707" s="14">
        <v>1934</v>
      </c>
      <c r="H707" s="133"/>
      <c r="I707" s="133">
        <v>-7.32</v>
      </c>
      <c r="J707" s="133">
        <v>25.21</v>
      </c>
      <c r="K707" s="135">
        <v>40684</v>
      </c>
      <c r="L707" s="135" t="s">
        <v>4508</v>
      </c>
      <c r="M707" s="135" t="s">
        <v>2994</v>
      </c>
      <c r="N707" s="135"/>
    </row>
    <row r="708" spans="3:14" x14ac:dyDescent="0.2">
      <c r="C708" t="s">
        <v>1155</v>
      </c>
      <c r="G708" s="14">
        <v>42.7</v>
      </c>
      <c r="H708" s="133">
        <v>0.47</v>
      </c>
      <c r="I708" s="133">
        <v>16.79</v>
      </c>
      <c r="J708" s="133">
        <v>3.24</v>
      </c>
      <c r="K708" s="135">
        <v>40684</v>
      </c>
      <c r="L708" s="135" t="s">
        <v>1156</v>
      </c>
      <c r="M708" s="135" t="s">
        <v>2416</v>
      </c>
      <c r="N708" s="135"/>
    </row>
    <row r="709" spans="3:14" x14ac:dyDescent="0.2">
      <c r="C709" t="s">
        <v>867</v>
      </c>
      <c r="G709" s="14">
        <v>32.4</v>
      </c>
      <c r="H709" s="133"/>
      <c r="I709" s="133">
        <v>15.76</v>
      </c>
      <c r="J709" s="133">
        <v>16.04</v>
      </c>
      <c r="K709" s="135">
        <v>40684</v>
      </c>
      <c r="L709" s="135" t="s">
        <v>2473</v>
      </c>
      <c r="M709" s="135" t="s">
        <v>5141</v>
      </c>
      <c r="N709" s="135"/>
    </row>
    <row r="710" spans="3:14" x14ac:dyDescent="0.2">
      <c r="C710" t="s">
        <v>1381</v>
      </c>
      <c r="D710">
        <v>70.150000000000006</v>
      </c>
      <c r="E710">
        <v>62.1</v>
      </c>
      <c r="F710">
        <v>73.3</v>
      </c>
      <c r="G710" s="14">
        <v>1652.25</v>
      </c>
      <c r="H710" s="133"/>
      <c r="I710" s="133">
        <v>16.809999999999999</v>
      </c>
      <c r="J710" s="133">
        <v>25.37</v>
      </c>
      <c r="K710" s="135">
        <v>40684</v>
      </c>
      <c r="L710" s="135" t="s">
        <v>1088</v>
      </c>
      <c r="M710" s="135" t="s">
        <v>1758</v>
      </c>
      <c r="N710" s="135"/>
    </row>
    <row r="711" spans="3:14" x14ac:dyDescent="0.2">
      <c r="C711" t="s">
        <v>3496</v>
      </c>
      <c r="G711" s="14">
        <v>18.350000000000001</v>
      </c>
      <c r="H711" s="133"/>
      <c r="I711" s="133">
        <v>10.220000000000001</v>
      </c>
      <c r="J711" s="133">
        <v>8.8800000000000008</v>
      </c>
      <c r="K711" s="135">
        <v>40684</v>
      </c>
      <c r="L711" s="135" t="s">
        <v>4509</v>
      </c>
      <c r="M711" s="135" t="s">
        <v>1429</v>
      </c>
      <c r="N711" s="135"/>
    </row>
    <row r="712" spans="3:14" x14ac:dyDescent="0.2">
      <c r="C712" t="s">
        <v>1431</v>
      </c>
      <c r="G712" s="14">
        <v>59.45</v>
      </c>
      <c r="H712" s="133"/>
      <c r="I712" s="133">
        <v>-0.96</v>
      </c>
      <c r="J712" s="133">
        <v>2.59</v>
      </c>
      <c r="K712" s="135">
        <v>40684</v>
      </c>
      <c r="L712" s="135" t="s">
        <v>2906</v>
      </c>
      <c r="M712" s="135" t="s">
        <v>1759</v>
      </c>
      <c r="N712" s="135"/>
    </row>
    <row r="713" spans="3:14" x14ac:dyDescent="0.2">
      <c r="C713" t="s">
        <v>5318</v>
      </c>
      <c r="G713" s="14">
        <v>88.25</v>
      </c>
      <c r="H713" s="133"/>
      <c r="I713" s="133">
        <v>7.87</v>
      </c>
      <c r="J713" s="133">
        <v>14.13</v>
      </c>
      <c r="K713" s="135">
        <v>40684</v>
      </c>
      <c r="L713" s="135" t="s">
        <v>3829</v>
      </c>
      <c r="M713" s="135" t="s">
        <v>2416</v>
      </c>
      <c r="N713" s="135"/>
    </row>
    <row r="714" spans="3:14" x14ac:dyDescent="0.2">
      <c r="C714" t="s">
        <v>2923</v>
      </c>
      <c r="D714">
        <v>14.69</v>
      </c>
      <c r="E714">
        <v>19</v>
      </c>
      <c r="F714">
        <v>22.3</v>
      </c>
      <c r="G714" s="14">
        <v>214.05</v>
      </c>
      <c r="H714" s="133"/>
      <c r="I714" s="133">
        <v>19.52</v>
      </c>
      <c r="J714" s="133">
        <v>10.42</v>
      </c>
      <c r="K714" s="135">
        <v>40684</v>
      </c>
      <c r="L714" s="135" t="s">
        <v>3274</v>
      </c>
      <c r="M714" s="135" t="s">
        <v>660</v>
      </c>
      <c r="N714" s="135"/>
    </row>
    <row r="715" spans="3:14" x14ac:dyDescent="0.2">
      <c r="C715" t="s">
        <v>681</v>
      </c>
      <c r="G715" s="14">
        <v>32.6</v>
      </c>
      <c r="H715" s="133">
        <v>3.68</v>
      </c>
      <c r="I715" s="133">
        <v>11.5</v>
      </c>
      <c r="J715" s="133">
        <v>8.8000000000000007</v>
      </c>
      <c r="K715" s="135">
        <v>40684</v>
      </c>
      <c r="L715" s="135" t="s">
        <v>4510</v>
      </c>
      <c r="M715" s="135" t="s">
        <v>659</v>
      </c>
      <c r="N715" s="135"/>
    </row>
    <row r="716" spans="3:14" x14ac:dyDescent="0.2">
      <c r="C716" t="s">
        <v>682</v>
      </c>
      <c r="G716" s="14">
        <v>53.45</v>
      </c>
      <c r="H716" s="133"/>
      <c r="I716" s="133">
        <v>34.65</v>
      </c>
      <c r="J716" s="133">
        <v>2.2999999999999998</v>
      </c>
      <c r="K716" s="135">
        <v>40684</v>
      </c>
      <c r="L716" s="135" t="s">
        <v>4511</v>
      </c>
      <c r="M716" s="135" t="s">
        <v>659</v>
      </c>
      <c r="N716" s="135"/>
    </row>
    <row r="717" spans="3:14" x14ac:dyDescent="0.2">
      <c r="C717" t="s">
        <v>133</v>
      </c>
      <c r="G717" s="14">
        <v>136.5</v>
      </c>
      <c r="H717" s="133">
        <v>0.73</v>
      </c>
      <c r="I717" s="133">
        <v>17.04</v>
      </c>
      <c r="J717" s="133">
        <v>6.83</v>
      </c>
      <c r="K717" s="135">
        <v>40684</v>
      </c>
      <c r="L717" s="135" t="s">
        <v>134</v>
      </c>
      <c r="M717" s="135" t="s">
        <v>660</v>
      </c>
      <c r="N717" s="135"/>
    </row>
    <row r="718" spans="3:14" x14ac:dyDescent="0.2">
      <c r="C718" t="s">
        <v>4844</v>
      </c>
      <c r="G718" s="14">
        <v>9.4</v>
      </c>
      <c r="H718" s="133"/>
      <c r="I718" s="133">
        <v>9.02</v>
      </c>
      <c r="J718" s="133">
        <v>25.47</v>
      </c>
      <c r="K718" s="135">
        <v>40684</v>
      </c>
      <c r="L718" s="135" t="s">
        <v>4512</v>
      </c>
      <c r="M718" s="135" t="s">
        <v>2417</v>
      </c>
      <c r="N718" s="135"/>
    </row>
    <row r="719" spans="3:14" x14ac:dyDescent="0.2">
      <c r="C719" t="s">
        <v>4845</v>
      </c>
      <c r="G719" s="14">
        <v>17</v>
      </c>
      <c r="H719" s="133"/>
      <c r="I719" s="133">
        <v>0</v>
      </c>
      <c r="J719" s="133">
        <v>0</v>
      </c>
      <c r="K719" s="135">
        <v>40684</v>
      </c>
      <c r="L719" s="135" t="s">
        <v>3762</v>
      </c>
      <c r="M719" s="135" t="s">
        <v>2997</v>
      </c>
      <c r="N719" s="135"/>
    </row>
    <row r="720" spans="3:14" x14ac:dyDescent="0.2">
      <c r="C720" t="s">
        <v>4846</v>
      </c>
      <c r="G720" s="14">
        <v>9.3000000000000007</v>
      </c>
      <c r="H720" s="133"/>
      <c r="I720" s="133">
        <v>0</v>
      </c>
      <c r="J720" s="133">
        <v>0</v>
      </c>
      <c r="K720" s="135">
        <v>40684</v>
      </c>
      <c r="L720" s="135" t="s">
        <v>3763</v>
      </c>
      <c r="M720" s="135" t="s">
        <v>2418</v>
      </c>
      <c r="N720" s="135"/>
    </row>
    <row r="721" spans="3:14" x14ac:dyDescent="0.2">
      <c r="C721" t="s">
        <v>868</v>
      </c>
      <c r="G721" s="14">
        <v>5.9</v>
      </c>
      <c r="H721" s="133"/>
      <c r="I721" s="133">
        <v>2.1800000000000002</v>
      </c>
      <c r="J721" s="133">
        <v>102.72</v>
      </c>
      <c r="K721" s="135">
        <v>40684</v>
      </c>
      <c r="L721" s="135" t="s">
        <v>2474</v>
      </c>
      <c r="M721" s="135" t="s">
        <v>1755</v>
      </c>
      <c r="N721" s="135"/>
    </row>
    <row r="722" spans="3:14" x14ac:dyDescent="0.2">
      <c r="C722" t="s">
        <v>2778</v>
      </c>
      <c r="G722" s="14">
        <v>30.5</v>
      </c>
      <c r="H722" s="133"/>
      <c r="I722" s="133">
        <v>0</v>
      </c>
      <c r="J722" s="133">
        <v>0</v>
      </c>
      <c r="K722" s="135">
        <v>40684</v>
      </c>
      <c r="L722" s="135" t="s">
        <v>2779</v>
      </c>
      <c r="M722" s="135" t="s">
        <v>2416</v>
      </c>
      <c r="N722" s="135"/>
    </row>
    <row r="723" spans="3:14" x14ac:dyDescent="0.2">
      <c r="C723" t="s">
        <v>4847</v>
      </c>
      <c r="G723" s="14">
        <v>274</v>
      </c>
      <c r="H723" s="133">
        <v>1.0900000000000001</v>
      </c>
      <c r="I723" s="133">
        <v>1.85</v>
      </c>
      <c r="J723" s="133">
        <v>65.52</v>
      </c>
      <c r="K723" s="135">
        <v>40684</v>
      </c>
      <c r="L723" s="135" t="s">
        <v>3764</v>
      </c>
      <c r="M723" s="135" t="s">
        <v>2994</v>
      </c>
      <c r="N723" s="135"/>
    </row>
    <row r="724" spans="3:14" x14ac:dyDescent="0.2">
      <c r="C724" t="s">
        <v>4848</v>
      </c>
      <c r="G724" s="14">
        <v>337.85</v>
      </c>
      <c r="H724" s="133">
        <v>0.88</v>
      </c>
      <c r="I724" s="133">
        <v>4.76</v>
      </c>
      <c r="J724" s="133">
        <v>53.63</v>
      </c>
      <c r="K724" s="135">
        <v>40684</v>
      </c>
      <c r="L724" s="135" t="s">
        <v>3676</v>
      </c>
      <c r="M724" s="135" t="s">
        <v>2418</v>
      </c>
      <c r="N724" s="135"/>
    </row>
    <row r="725" spans="3:14" x14ac:dyDescent="0.2">
      <c r="C725" t="s">
        <v>1157</v>
      </c>
      <c r="H725" s="133"/>
      <c r="I725" s="133">
        <v>26.74</v>
      </c>
      <c r="J725" s="133">
        <v>24.17</v>
      </c>
      <c r="K725" s="135">
        <v>40684</v>
      </c>
      <c r="L725" s="135" t="s">
        <v>1158</v>
      </c>
      <c r="M725" s="135" t="s">
        <v>659</v>
      </c>
      <c r="N725" s="135"/>
    </row>
    <row r="726" spans="3:14" x14ac:dyDescent="0.2">
      <c r="C726" t="s">
        <v>2924</v>
      </c>
      <c r="D726">
        <v>15.52</v>
      </c>
      <c r="E726">
        <v>19.04</v>
      </c>
      <c r="F726">
        <v>22.96</v>
      </c>
      <c r="G726" s="14">
        <v>438.75</v>
      </c>
      <c r="H726" s="133"/>
      <c r="I726" s="133">
        <v>26.74</v>
      </c>
      <c r="J726" s="133">
        <v>24.17</v>
      </c>
      <c r="K726" s="135">
        <v>40684</v>
      </c>
      <c r="L726" s="135" t="s">
        <v>1089</v>
      </c>
      <c r="M726" s="135" t="s">
        <v>659</v>
      </c>
      <c r="N726" s="135"/>
    </row>
    <row r="727" spans="3:14" x14ac:dyDescent="0.2">
      <c r="C727" t="s">
        <v>4849</v>
      </c>
      <c r="G727" s="14">
        <v>20.6</v>
      </c>
      <c r="H727" s="133"/>
      <c r="I727" s="133">
        <v>3.94</v>
      </c>
      <c r="J727" s="133">
        <v>13.96</v>
      </c>
      <c r="K727" s="135">
        <v>40684</v>
      </c>
      <c r="L727" s="135" t="s">
        <v>3677</v>
      </c>
      <c r="M727" s="135" t="s">
        <v>659</v>
      </c>
      <c r="N727" s="135"/>
    </row>
    <row r="728" spans="3:14" x14ac:dyDescent="0.2">
      <c r="C728" t="s">
        <v>3497</v>
      </c>
      <c r="G728" s="14">
        <v>1.45</v>
      </c>
      <c r="H728" s="133"/>
      <c r="K728" s="135">
        <v>40684</v>
      </c>
      <c r="L728" s="135" t="s">
        <v>4787</v>
      </c>
      <c r="M728" s="135" t="s">
        <v>1429</v>
      </c>
      <c r="N728" s="135"/>
    </row>
    <row r="729" spans="3:14" x14ac:dyDescent="0.2">
      <c r="C729" t="s">
        <v>870</v>
      </c>
      <c r="G729" s="14">
        <v>115.55</v>
      </c>
      <c r="H729" s="133"/>
      <c r="K729" s="135">
        <v>40684</v>
      </c>
      <c r="L729" s="135" t="s">
        <v>2261</v>
      </c>
      <c r="M729" s="135" t="s">
        <v>2417</v>
      </c>
      <c r="N729" s="135"/>
    </row>
    <row r="730" spans="3:14" x14ac:dyDescent="0.2">
      <c r="C730" t="s">
        <v>2258</v>
      </c>
      <c r="D730">
        <v>15</v>
      </c>
      <c r="E730">
        <v>7.85</v>
      </c>
      <c r="F730">
        <v>8.6999999999999993</v>
      </c>
      <c r="G730" s="14">
        <v>91.95</v>
      </c>
      <c r="H730" s="133">
        <v>2.17</v>
      </c>
      <c r="I730" s="133">
        <v>23.01</v>
      </c>
      <c r="J730" s="133">
        <v>6.2</v>
      </c>
      <c r="K730" s="135">
        <v>40684</v>
      </c>
      <c r="L730" s="135" t="s">
        <v>2259</v>
      </c>
      <c r="M730" s="135" t="s">
        <v>2995</v>
      </c>
      <c r="N730" s="135"/>
    </row>
    <row r="731" spans="3:14" x14ac:dyDescent="0.2">
      <c r="C731" t="s">
        <v>4865</v>
      </c>
      <c r="D731">
        <v>9.3000000000000007</v>
      </c>
      <c r="E731">
        <v>6.95</v>
      </c>
      <c r="F731">
        <v>8.1</v>
      </c>
      <c r="G731" s="14">
        <v>107</v>
      </c>
      <c r="H731" s="133"/>
      <c r="I731" s="133">
        <v>7.91</v>
      </c>
      <c r="J731" s="133">
        <v>15.49</v>
      </c>
      <c r="K731" s="135">
        <v>40684</v>
      </c>
      <c r="L731" s="135" t="s">
        <v>2262</v>
      </c>
      <c r="M731" s="135" t="s">
        <v>1755</v>
      </c>
      <c r="N731" s="135"/>
    </row>
    <row r="732" spans="3:14" x14ac:dyDescent="0.2">
      <c r="C732" t="s">
        <v>2260</v>
      </c>
      <c r="D732">
        <v>40.51</v>
      </c>
      <c r="E732">
        <v>23.3</v>
      </c>
      <c r="F732">
        <v>41.9</v>
      </c>
      <c r="G732" s="14">
        <v>222.45</v>
      </c>
      <c r="H732" s="133">
        <v>5.41</v>
      </c>
      <c r="I732" s="133">
        <v>8.25</v>
      </c>
      <c r="J732" s="133">
        <v>5.48</v>
      </c>
      <c r="K732" s="135">
        <v>40684</v>
      </c>
      <c r="L732" s="135" t="s">
        <v>4198</v>
      </c>
      <c r="M732" s="135" t="s">
        <v>1765</v>
      </c>
      <c r="N732" s="135"/>
    </row>
    <row r="733" spans="3:14" x14ac:dyDescent="0.2">
      <c r="C733" t="s">
        <v>4850</v>
      </c>
      <c r="G733" s="14">
        <v>10.15</v>
      </c>
      <c r="H733" s="133"/>
      <c r="I733" s="133">
        <v>0</v>
      </c>
      <c r="J733" s="133">
        <v>3.43</v>
      </c>
      <c r="K733" s="135">
        <v>40684</v>
      </c>
      <c r="L733" s="135" t="s">
        <v>4788</v>
      </c>
      <c r="M733" s="135" t="s">
        <v>2994</v>
      </c>
      <c r="N733" s="135"/>
    </row>
    <row r="734" spans="3:14" x14ac:dyDescent="0.2">
      <c r="C734" t="s">
        <v>1159</v>
      </c>
      <c r="H734" s="133"/>
      <c r="K734" s="135">
        <v>40684</v>
      </c>
      <c r="L734" s="135"/>
      <c r="M734" s="135"/>
      <c r="N734" s="135"/>
    </row>
    <row r="735" spans="3:14" x14ac:dyDescent="0.2">
      <c r="C735" t="s">
        <v>871</v>
      </c>
      <c r="G735" s="14">
        <v>653.95000000000005</v>
      </c>
      <c r="H735" s="133"/>
      <c r="I735" s="133">
        <v>19.91</v>
      </c>
      <c r="J735" s="133">
        <v>14.65</v>
      </c>
      <c r="K735" s="135">
        <v>40684</v>
      </c>
      <c r="L735" s="135" t="s">
        <v>1169</v>
      </c>
      <c r="M735" s="135" t="s">
        <v>2418</v>
      </c>
      <c r="N735" s="135"/>
    </row>
    <row r="736" spans="3:14" x14ac:dyDescent="0.2">
      <c r="C736" t="s">
        <v>1382</v>
      </c>
      <c r="D736">
        <v>35.61</v>
      </c>
      <c r="E736">
        <v>42.8</v>
      </c>
      <c r="F736">
        <v>48</v>
      </c>
      <c r="G736" s="14">
        <v>690.85</v>
      </c>
      <c r="H736" s="133">
        <v>1.38</v>
      </c>
      <c r="I736" s="133">
        <v>26.23</v>
      </c>
      <c r="J736" s="133">
        <v>20.309999999999999</v>
      </c>
      <c r="K736" s="135">
        <v>40684</v>
      </c>
      <c r="L736" s="135" t="s">
        <v>4199</v>
      </c>
      <c r="M736" s="135" t="s">
        <v>2418</v>
      </c>
      <c r="N736" s="135"/>
    </row>
    <row r="737" spans="3:14" x14ac:dyDescent="0.2">
      <c r="C737" t="s">
        <v>4851</v>
      </c>
      <c r="G737" s="14">
        <v>350</v>
      </c>
      <c r="H737" s="133"/>
      <c r="I737" s="133">
        <v>3.07</v>
      </c>
      <c r="J737" s="133">
        <v>18.46</v>
      </c>
      <c r="K737" s="135">
        <v>40684</v>
      </c>
      <c r="L737" s="135" t="s">
        <v>4789</v>
      </c>
      <c r="M737" s="135" t="s">
        <v>2418</v>
      </c>
      <c r="N737" s="135"/>
    </row>
    <row r="738" spans="3:14" x14ac:dyDescent="0.2">
      <c r="C738" t="s">
        <v>823</v>
      </c>
      <c r="G738" s="14">
        <v>11.86</v>
      </c>
      <c r="H738" s="133"/>
      <c r="I738" s="133">
        <v>11.83</v>
      </c>
      <c r="J738" s="133">
        <v>57.47</v>
      </c>
      <c r="K738" s="135">
        <v>40684</v>
      </c>
      <c r="L738" s="135" t="s">
        <v>2487</v>
      </c>
      <c r="M738" s="135" t="s">
        <v>2997</v>
      </c>
      <c r="N738" s="135"/>
    </row>
    <row r="739" spans="3:14" x14ac:dyDescent="0.2">
      <c r="C739" t="s">
        <v>4200</v>
      </c>
      <c r="D739">
        <v>40.21</v>
      </c>
      <c r="E739">
        <v>45.4</v>
      </c>
      <c r="F739">
        <v>49.7</v>
      </c>
      <c r="G739" s="14">
        <v>360.05</v>
      </c>
      <c r="H739" s="133"/>
      <c r="I739" s="133">
        <v>16.850000000000001</v>
      </c>
      <c r="J739" s="133">
        <v>7.32</v>
      </c>
      <c r="K739" s="135">
        <v>40684</v>
      </c>
      <c r="L739" s="135" t="s">
        <v>1521</v>
      </c>
      <c r="M739" s="135" t="s">
        <v>2997</v>
      </c>
      <c r="N739" s="135"/>
    </row>
    <row r="740" spans="3:14" x14ac:dyDescent="0.2">
      <c r="C740" t="s">
        <v>824</v>
      </c>
      <c r="G740" s="14">
        <v>464.35</v>
      </c>
      <c r="H740" s="133">
        <v>0.54</v>
      </c>
      <c r="I740" s="133">
        <v>7.05</v>
      </c>
      <c r="J740" s="133">
        <v>27.56</v>
      </c>
      <c r="K740" s="135">
        <v>40684</v>
      </c>
      <c r="L740" s="135" t="s">
        <v>2488</v>
      </c>
      <c r="M740" s="135" t="s">
        <v>2994</v>
      </c>
      <c r="N740" s="135"/>
    </row>
    <row r="741" spans="3:14" x14ac:dyDescent="0.2">
      <c r="C741" t="s">
        <v>1522</v>
      </c>
      <c r="E741">
        <v>51.25</v>
      </c>
      <c r="F741">
        <v>56.47</v>
      </c>
      <c r="G741" s="14">
        <v>239.8</v>
      </c>
      <c r="H741" s="133"/>
      <c r="I741" s="133">
        <v>12.95</v>
      </c>
      <c r="J741" s="133">
        <v>3.24</v>
      </c>
      <c r="K741" s="135">
        <v>40684</v>
      </c>
      <c r="L741" s="135" t="s">
        <v>4344</v>
      </c>
      <c r="M741" s="135" t="s">
        <v>2994</v>
      </c>
      <c r="N741" s="135"/>
    </row>
    <row r="742" spans="3:14" x14ac:dyDescent="0.2">
      <c r="C742" t="s">
        <v>3623</v>
      </c>
      <c r="D742">
        <v>1.43</v>
      </c>
      <c r="E742">
        <v>6.18</v>
      </c>
      <c r="F742">
        <v>8.4499999999999993</v>
      </c>
      <c r="G742" s="14">
        <v>50.5</v>
      </c>
      <c r="H742" s="133"/>
      <c r="I742" s="133">
        <v>3.12</v>
      </c>
      <c r="J742" s="133">
        <v>0</v>
      </c>
      <c r="K742" s="135">
        <v>40684</v>
      </c>
      <c r="L742" s="135" t="s">
        <v>3624</v>
      </c>
      <c r="M742" s="135" t="s">
        <v>2997</v>
      </c>
      <c r="N742" s="135"/>
    </row>
    <row r="743" spans="3:14" x14ac:dyDescent="0.2">
      <c r="C743" t="s">
        <v>4317</v>
      </c>
      <c r="G743" s="14">
        <v>2.5</v>
      </c>
      <c r="H743" s="133"/>
      <c r="K743" s="135">
        <v>40684</v>
      </c>
      <c r="L743" s="135" t="s">
        <v>2489</v>
      </c>
      <c r="M743" s="135" t="s">
        <v>2994</v>
      </c>
      <c r="N743" s="135"/>
    </row>
    <row r="744" spans="3:14" x14ac:dyDescent="0.2">
      <c r="C744" t="s">
        <v>4318</v>
      </c>
      <c r="G744" s="14">
        <v>12.5</v>
      </c>
      <c r="H744" s="133"/>
      <c r="I744" s="133">
        <v>38.75</v>
      </c>
      <c r="J744" s="133">
        <v>3.76</v>
      </c>
      <c r="K744" s="135">
        <v>40684</v>
      </c>
      <c r="L744" s="135" t="s">
        <v>2490</v>
      </c>
      <c r="M744" s="135" t="s">
        <v>2418</v>
      </c>
      <c r="N744" s="135"/>
    </row>
    <row r="745" spans="3:14" x14ac:dyDescent="0.2">
      <c r="C745" t="s">
        <v>694</v>
      </c>
      <c r="G745" s="14">
        <v>33.4</v>
      </c>
      <c r="H745" s="133"/>
      <c r="I745" s="133">
        <v>20</v>
      </c>
      <c r="J745" s="133">
        <v>4.2</v>
      </c>
      <c r="K745" s="135">
        <v>40684</v>
      </c>
      <c r="L745" s="135" t="s">
        <v>2663</v>
      </c>
      <c r="M745" s="135" t="s">
        <v>659</v>
      </c>
      <c r="N745" s="135"/>
    </row>
    <row r="746" spans="3:14" x14ac:dyDescent="0.2">
      <c r="C746" t="s">
        <v>695</v>
      </c>
      <c r="G746" s="14">
        <v>37.450000000000003</v>
      </c>
      <c r="H746" s="133"/>
      <c r="I746" s="133">
        <v>-970.24</v>
      </c>
      <c r="J746" s="133">
        <v>0</v>
      </c>
      <c r="K746" s="135">
        <v>40684</v>
      </c>
      <c r="L746" s="135" t="s">
        <v>2664</v>
      </c>
      <c r="M746" s="135" t="s">
        <v>2994</v>
      </c>
      <c r="N746" s="135"/>
    </row>
    <row r="747" spans="3:14" x14ac:dyDescent="0.2">
      <c r="C747" t="s">
        <v>3625</v>
      </c>
      <c r="E747">
        <v>35.200000000000003</v>
      </c>
      <c r="F747">
        <v>28.3</v>
      </c>
      <c r="G747" s="14">
        <v>118.8</v>
      </c>
      <c r="H747" s="133"/>
      <c r="I747" s="133">
        <v>30.22</v>
      </c>
      <c r="J747" s="133">
        <v>8.35</v>
      </c>
      <c r="K747" s="135">
        <v>40684</v>
      </c>
      <c r="L747" s="135" t="s">
        <v>3626</v>
      </c>
      <c r="M747" s="135" t="s">
        <v>2995</v>
      </c>
      <c r="N747" s="135" t="s">
        <v>5423</v>
      </c>
    </row>
    <row r="748" spans="3:14" x14ac:dyDescent="0.2">
      <c r="C748" t="s">
        <v>2780</v>
      </c>
      <c r="G748" s="14">
        <v>112.9</v>
      </c>
      <c r="H748" s="133"/>
      <c r="I748" s="133">
        <v>19.600000000000001</v>
      </c>
      <c r="J748" s="133">
        <v>16.600000000000001</v>
      </c>
      <c r="K748" s="135">
        <v>40684</v>
      </c>
      <c r="L748" s="135" t="s">
        <v>3493</v>
      </c>
      <c r="M748" s="135" t="s">
        <v>660</v>
      </c>
      <c r="N748" s="135"/>
    </row>
    <row r="749" spans="3:14" x14ac:dyDescent="0.2">
      <c r="C749" t="s">
        <v>3627</v>
      </c>
      <c r="D749">
        <v>12.41</v>
      </c>
      <c r="E749">
        <v>20.2</v>
      </c>
      <c r="F749">
        <v>20.100000000000001</v>
      </c>
      <c r="G749" s="14">
        <v>131.35</v>
      </c>
      <c r="H749" s="133">
        <v>1.33</v>
      </c>
      <c r="I749" s="133">
        <v>14.56</v>
      </c>
      <c r="J749" s="133">
        <v>10.8</v>
      </c>
      <c r="K749" s="135">
        <v>40684</v>
      </c>
      <c r="L749" s="135" t="s">
        <v>130</v>
      </c>
      <c r="M749" s="135" t="s">
        <v>2997</v>
      </c>
      <c r="N749" s="135"/>
    </row>
    <row r="750" spans="3:14" x14ac:dyDescent="0.2">
      <c r="C750" t="s">
        <v>1383</v>
      </c>
      <c r="D750">
        <v>3.98</v>
      </c>
      <c r="E750">
        <v>4.7</v>
      </c>
      <c r="F750">
        <v>5.7</v>
      </c>
      <c r="G750" s="14">
        <v>139.25</v>
      </c>
      <c r="H750" s="133"/>
      <c r="K750" s="135">
        <v>40684</v>
      </c>
      <c r="L750" s="135" t="s">
        <v>131</v>
      </c>
      <c r="M750" s="135" t="s">
        <v>2416</v>
      </c>
      <c r="N750" s="135"/>
    </row>
    <row r="751" spans="3:14" x14ac:dyDescent="0.2">
      <c r="C751" t="s">
        <v>696</v>
      </c>
      <c r="G751" s="14">
        <v>13.45</v>
      </c>
      <c r="H751" s="133"/>
      <c r="I751" s="133">
        <v>0</v>
      </c>
      <c r="J751" s="133">
        <v>4.3099999999999996</v>
      </c>
      <c r="K751" s="135">
        <v>40684</v>
      </c>
      <c r="L751" s="135" t="s">
        <v>335</v>
      </c>
      <c r="M751" s="135" t="s">
        <v>2994</v>
      </c>
      <c r="N751" s="135"/>
    </row>
    <row r="752" spans="3:14" x14ac:dyDescent="0.2">
      <c r="C752" t="s">
        <v>1384</v>
      </c>
      <c r="D752">
        <v>86.45</v>
      </c>
      <c r="E752">
        <v>80</v>
      </c>
      <c r="F752">
        <v>95.21</v>
      </c>
      <c r="G752" s="14">
        <v>1223.2</v>
      </c>
      <c r="H752" s="133"/>
      <c r="I752" s="133">
        <v>20.29</v>
      </c>
      <c r="J752" s="133">
        <v>15.43</v>
      </c>
      <c r="K752" s="135">
        <v>40684</v>
      </c>
      <c r="L752" s="135" t="s">
        <v>132</v>
      </c>
      <c r="M752" s="135" t="s">
        <v>2418</v>
      </c>
      <c r="N752" s="135"/>
    </row>
    <row r="753" spans="3:14" x14ac:dyDescent="0.2">
      <c r="C753" t="s">
        <v>1385</v>
      </c>
      <c r="G753" s="14">
        <v>404.05</v>
      </c>
      <c r="H753" s="133"/>
      <c r="K753" s="135">
        <v>40684</v>
      </c>
      <c r="L753" s="135" t="s">
        <v>3059</v>
      </c>
      <c r="M753" s="135" t="s">
        <v>1429</v>
      </c>
      <c r="N753" s="135"/>
    </row>
    <row r="754" spans="3:14" x14ac:dyDescent="0.2">
      <c r="C754" t="s">
        <v>1386</v>
      </c>
      <c r="D754">
        <v>24.99</v>
      </c>
      <c r="E754">
        <v>-7.89</v>
      </c>
      <c r="F754">
        <v>10</v>
      </c>
      <c r="G754" s="14">
        <v>100.05</v>
      </c>
      <c r="H754" s="133">
        <v>3.24</v>
      </c>
      <c r="I754" s="133">
        <v>8.19</v>
      </c>
      <c r="J754" s="133">
        <v>7.31</v>
      </c>
      <c r="K754" s="135">
        <v>40684</v>
      </c>
      <c r="L754" s="135" t="s">
        <v>3060</v>
      </c>
      <c r="M754" s="135" t="s">
        <v>1429</v>
      </c>
      <c r="N754" s="135"/>
    </row>
    <row r="755" spans="3:14" x14ac:dyDescent="0.2">
      <c r="C755" t="s">
        <v>4866</v>
      </c>
      <c r="G755" s="14">
        <v>6</v>
      </c>
      <c r="H755" s="133"/>
      <c r="K755" s="135">
        <v>40684</v>
      </c>
      <c r="L755" s="135" t="s">
        <v>1170</v>
      </c>
      <c r="M755" s="135" t="s">
        <v>3180</v>
      </c>
      <c r="N755" s="135"/>
    </row>
    <row r="756" spans="3:14" x14ac:dyDescent="0.2">
      <c r="C756" t="s">
        <v>697</v>
      </c>
      <c r="H756" s="133"/>
      <c r="K756" s="135">
        <v>40684</v>
      </c>
      <c r="L756" s="135" t="s">
        <v>1478</v>
      </c>
      <c r="M756" s="135" t="s">
        <v>2427</v>
      </c>
      <c r="N756" s="135"/>
    </row>
    <row r="757" spans="3:14" x14ac:dyDescent="0.2">
      <c r="C757" t="s">
        <v>4867</v>
      </c>
      <c r="D757">
        <v>-0.03</v>
      </c>
      <c r="E757">
        <v>-1.7</v>
      </c>
      <c r="F757">
        <v>0.78</v>
      </c>
      <c r="G757" s="14">
        <v>165.15</v>
      </c>
      <c r="H757" s="133"/>
      <c r="I757" s="133">
        <v>-0.1</v>
      </c>
      <c r="J757" s="133">
        <v>0</v>
      </c>
      <c r="K757" s="135">
        <v>40684</v>
      </c>
      <c r="L757" s="135" t="s">
        <v>1171</v>
      </c>
      <c r="M757" s="135" t="s">
        <v>2942</v>
      </c>
      <c r="N757" s="135"/>
    </row>
    <row r="758" spans="3:14" x14ac:dyDescent="0.2">
      <c r="C758" t="s">
        <v>2781</v>
      </c>
      <c r="G758" s="14">
        <v>17.95</v>
      </c>
      <c r="H758" s="133">
        <v>2.25</v>
      </c>
      <c r="I758" s="133">
        <v>8.19</v>
      </c>
      <c r="J758" s="133">
        <v>17.190000000000001</v>
      </c>
      <c r="K758" s="135">
        <v>40684</v>
      </c>
      <c r="L758" s="135" t="s">
        <v>487</v>
      </c>
      <c r="M758" s="135" t="s">
        <v>2994</v>
      </c>
      <c r="N758" s="135"/>
    </row>
    <row r="759" spans="3:14" x14ac:dyDescent="0.2">
      <c r="C759" t="s">
        <v>2755</v>
      </c>
      <c r="G759" s="14">
        <v>169.65</v>
      </c>
      <c r="H759" s="133"/>
      <c r="I759" s="133">
        <v>0</v>
      </c>
      <c r="J759" s="133">
        <v>0</v>
      </c>
      <c r="K759" s="135">
        <v>40684</v>
      </c>
      <c r="L759" s="135" t="s">
        <v>2756</v>
      </c>
      <c r="M759" s="135" t="s">
        <v>1755</v>
      </c>
      <c r="N759" s="135"/>
    </row>
    <row r="760" spans="3:14" x14ac:dyDescent="0.2">
      <c r="C760" t="s">
        <v>4868</v>
      </c>
      <c r="E760">
        <v>34.03</v>
      </c>
      <c r="F760">
        <v>46.9</v>
      </c>
      <c r="G760" s="14">
        <v>1046.55</v>
      </c>
      <c r="H760" s="133"/>
      <c r="I760" s="133">
        <v>6.25</v>
      </c>
      <c r="J760" s="133">
        <v>33.93</v>
      </c>
      <c r="K760" s="135">
        <v>40684</v>
      </c>
      <c r="L760" s="135" t="s">
        <v>1172</v>
      </c>
      <c r="M760" s="135" t="s">
        <v>2415</v>
      </c>
      <c r="N760" s="135"/>
    </row>
    <row r="761" spans="3:14" x14ac:dyDescent="0.2">
      <c r="C761" t="s">
        <v>4869</v>
      </c>
      <c r="D761">
        <v>21.1</v>
      </c>
      <c r="E761">
        <v>25.6</v>
      </c>
      <c r="F761">
        <v>28.9</v>
      </c>
      <c r="G761" s="14">
        <v>261</v>
      </c>
      <c r="H761" s="133">
        <v>1.53</v>
      </c>
      <c r="I761" s="133">
        <v>28.1</v>
      </c>
      <c r="J761" s="133">
        <v>11.91</v>
      </c>
      <c r="K761" s="135">
        <v>40684</v>
      </c>
      <c r="L761" s="135" t="s">
        <v>1173</v>
      </c>
      <c r="M761" s="135" t="s">
        <v>1760</v>
      </c>
      <c r="N761" s="135"/>
    </row>
    <row r="762" spans="3:14" x14ac:dyDescent="0.2">
      <c r="C762" t="s">
        <v>704</v>
      </c>
      <c r="G762" s="14">
        <v>25.05</v>
      </c>
      <c r="H762" s="133"/>
      <c r="I762" s="133">
        <v>20.41</v>
      </c>
      <c r="J762" s="133">
        <v>6.52</v>
      </c>
      <c r="K762" s="135">
        <v>40684</v>
      </c>
      <c r="L762" s="135" t="s">
        <v>1479</v>
      </c>
      <c r="M762" s="135" t="s">
        <v>659</v>
      </c>
      <c r="N762" s="135"/>
    </row>
    <row r="763" spans="3:14" x14ac:dyDescent="0.2">
      <c r="C763" t="s">
        <v>705</v>
      </c>
      <c r="G763" s="14">
        <v>58.7</v>
      </c>
      <c r="H763" s="133"/>
      <c r="I763" s="133">
        <v>7.2</v>
      </c>
      <c r="J763" s="133">
        <v>7.09</v>
      </c>
      <c r="K763" s="135">
        <v>40684</v>
      </c>
      <c r="L763" s="135" t="s">
        <v>5033</v>
      </c>
      <c r="M763" s="135" t="s">
        <v>659</v>
      </c>
      <c r="N763" s="135"/>
    </row>
    <row r="764" spans="3:14" x14ac:dyDescent="0.2">
      <c r="C764" t="s">
        <v>706</v>
      </c>
      <c r="G764" s="14">
        <v>23.95</v>
      </c>
      <c r="H764" s="133"/>
      <c r="I764" s="133">
        <v>6.12</v>
      </c>
      <c r="J764" s="133">
        <v>20.38</v>
      </c>
      <c r="K764" s="135">
        <v>40684</v>
      </c>
      <c r="L764" s="135" t="s">
        <v>5034</v>
      </c>
      <c r="M764" s="135" t="s">
        <v>1429</v>
      </c>
      <c r="N764" s="135"/>
    </row>
    <row r="765" spans="3:14" x14ac:dyDescent="0.2">
      <c r="C765" t="s">
        <v>707</v>
      </c>
      <c r="G765" s="14">
        <v>8.5500000000000007</v>
      </c>
      <c r="H765" s="133"/>
      <c r="I765" s="133">
        <v>-27.03</v>
      </c>
      <c r="J765" s="133">
        <v>8.4</v>
      </c>
      <c r="K765" s="135">
        <v>40684</v>
      </c>
      <c r="L765" s="135" t="s">
        <v>492</v>
      </c>
      <c r="M765" s="135" t="s">
        <v>1429</v>
      </c>
      <c r="N765" s="135"/>
    </row>
    <row r="766" spans="3:14" x14ac:dyDescent="0.2">
      <c r="C766" t="s">
        <v>708</v>
      </c>
      <c r="G766" s="14">
        <v>45.4</v>
      </c>
      <c r="H766" s="133">
        <v>2.75</v>
      </c>
      <c r="I766" s="133">
        <v>20.399999999999999</v>
      </c>
      <c r="J766" s="133">
        <v>9.1999999999999993</v>
      </c>
      <c r="K766" s="135">
        <v>40684</v>
      </c>
      <c r="L766" s="135" t="s">
        <v>493</v>
      </c>
      <c r="M766" s="135" t="s">
        <v>2421</v>
      </c>
      <c r="N766" s="135"/>
    </row>
    <row r="767" spans="3:14" x14ac:dyDescent="0.2">
      <c r="C767" t="s">
        <v>872</v>
      </c>
      <c r="G767" s="14">
        <v>38</v>
      </c>
      <c r="H767" s="133">
        <v>0.53</v>
      </c>
      <c r="I767" s="133">
        <v>-9.17</v>
      </c>
      <c r="J767" s="133">
        <v>145.5</v>
      </c>
      <c r="K767" s="135">
        <v>40684</v>
      </c>
      <c r="L767" s="135" t="s">
        <v>494</v>
      </c>
      <c r="M767" s="135" t="s">
        <v>2993</v>
      </c>
      <c r="N767" s="135"/>
    </row>
    <row r="768" spans="3:14" x14ac:dyDescent="0.2">
      <c r="C768" t="s">
        <v>2757</v>
      </c>
      <c r="G768" s="14">
        <v>22.45</v>
      </c>
      <c r="H768" s="133"/>
      <c r="I768" s="133">
        <v>14.59</v>
      </c>
      <c r="J768" s="133">
        <v>4.4400000000000004</v>
      </c>
      <c r="K768" s="135">
        <v>40684</v>
      </c>
      <c r="L768" s="135" t="s">
        <v>2758</v>
      </c>
      <c r="M768" s="135" t="s">
        <v>2428</v>
      </c>
      <c r="N768" s="135"/>
    </row>
    <row r="769" spans="3:14" x14ac:dyDescent="0.2">
      <c r="C769" t="s">
        <v>3061</v>
      </c>
      <c r="D769">
        <v>187</v>
      </c>
      <c r="E769">
        <v>270.64999999999998</v>
      </c>
      <c r="F769">
        <v>313.89999999999998</v>
      </c>
      <c r="G769" s="14">
        <v>6876.7</v>
      </c>
      <c r="H769" s="133">
        <v>0.57999999999999996</v>
      </c>
      <c r="I769" s="133">
        <v>16.75</v>
      </c>
      <c r="J769" s="133">
        <v>25.09</v>
      </c>
      <c r="K769" s="135">
        <v>40684</v>
      </c>
      <c r="L769" s="135" t="s">
        <v>3770</v>
      </c>
      <c r="M769" s="135" t="s">
        <v>2418</v>
      </c>
      <c r="N769" s="135"/>
    </row>
    <row r="770" spans="3:14" x14ac:dyDescent="0.2">
      <c r="C770" t="s">
        <v>2759</v>
      </c>
      <c r="G770" s="14">
        <v>354.15</v>
      </c>
      <c r="H770" s="133"/>
      <c r="I770" s="133">
        <v>20.85</v>
      </c>
      <c r="J770" s="133">
        <v>11.45</v>
      </c>
      <c r="K770" s="135">
        <v>40684</v>
      </c>
      <c r="L770" s="135" t="s">
        <v>2760</v>
      </c>
      <c r="M770" s="135" t="s">
        <v>1429</v>
      </c>
      <c r="N770" s="135"/>
    </row>
    <row r="771" spans="3:14" x14ac:dyDescent="0.2">
      <c r="C771" t="s">
        <v>2761</v>
      </c>
      <c r="G771" s="14">
        <v>921.85</v>
      </c>
      <c r="H771" s="133"/>
      <c r="I771" s="133">
        <v>16.84</v>
      </c>
      <c r="J771" s="133">
        <v>819.5</v>
      </c>
      <c r="K771" s="135">
        <v>40684</v>
      </c>
      <c r="L771" s="135" t="s">
        <v>2762</v>
      </c>
      <c r="M771" s="135" t="s">
        <v>2417</v>
      </c>
      <c r="N771" s="135"/>
    </row>
    <row r="772" spans="3:14" x14ac:dyDescent="0.2">
      <c r="C772" t="s">
        <v>709</v>
      </c>
      <c r="G772" s="14">
        <v>26.7</v>
      </c>
      <c r="H772" s="133"/>
      <c r="I772" s="133">
        <v>1.77</v>
      </c>
      <c r="J772" s="133">
        <v>11.56</v>
      </c>
      <c r="K772" s="135">
        <v>40684</v>
      </c>
      <c r="L772" s="135" t="s">
        <v>495</v>
      </c>
      <c r="M772" s="135" t="s">
        <v>1429</v>
      </c>
      <c r="N772" s="135"/>
    </row>
    <row r="773" spans="3:14" x14ac:dyDescent="0.2">
      <c r="C773" t="s">
        <v>710</v>
      </c>
      <c r="G773" s="14">
        <v>1.1299999999999999</v>
      </c>
      <c r="H773" s="133"/>
      <c r="I773" s="133">
        <v>8.86</v>
      </c>
      <c r="J773" s="133">
        <v>6.53</v>
      </c>
      <c r="K773" s="135">
        <v>40684</v>
      </c>
      <c r="L773" s="135" t="s">
        <v>496</v>
      </c>
      <c r="M773" s="135" t="s">
        <v>2994</v>
      </c>
      <c r="N773" s="135"/>
    </row>
    <row r="774" spans="3:14" x14ac:dyDescent="0.2">
      <c r="C774" t="s">
        <v>3040</v>
      </c>
      <c r="G774" s="14">
        <v>23.2</v>
      </c>
      <c r="H774" s="133"/>
      <c r="I774" s="133">
        <v>0</v>
      </c>
      <c r="J774" s="133">
        <v>0</v>
      </c>
      <c r="K774" s="135">
        <v>40684</v>
      </c>
      <c r="L774" s="135" t="s">
        <v>497</v>
      </c>
      <c r="M774" s="135" t="s">
        <v>2994</v>
      </c>
      <c r="N774" s="135"/>
    </row>
    <row r="775" spans="3:14" x14ac:dyDescent="0.2">
      <c r="C775" t="s">
        <v>1794</v>
      </c>
      <c r="D775">
        <v>1.56</v>
      </c>
      <c r="E775">
        <v>5.25</v>
      </c>
      <c r="F775">
        <v>7.2</v>
      </c>
      <c r="G775" s="14">
        <v>41</v>
      </c>
      <c r="H775" s="133"/>
      <c r="I775" s="133">
        <v>0</v>
      </c>
      <c r="J775" s="133">
        <v>24.8</v>
      </c>
      <c r="K775" s="135">
        <v>40684</v>
      </c>
      <c r="L775" s="135" t="s">
        <v>3554</v>
      </c>
      <c r="M775" s="135" t="s">
        <v>662</v>
      </c>
      <c r="N775" s="135"/>
    </row>
    <row r="776" spans="3:14" x14ac:dyDescent="0.2">
      <c r="C776" t="s">
        <v>2763</v>
      </c>
      <c r="G776" s="14">
        <v>67.349999999999994</v>
      </c>
      <c r="H776" s="133"/>
      <c r="I776" s="133">
        <v>30.1</v>
      </c>
      <c r="J776" s="133">
        <v>64.900000000000006</v>
      </c>
      <c r="K776" s="135">
        <v>40684</v>
      </c>
      <c r="L776" s="135" t="s">
        <v>416</v>
      </c>
      <c r="M776" s="135"/>
      <c r="N776" s="135"/>
    </row>
    <row r="777" spans="3:14" x14ac:dyDescent="0.2">
      <c r="C777" t="s">
        <v>3041</v>
      </c>
      <c r="G777" s="14">
        <v>30.1</v>
      </c>
      <c r="H777" s="133"/>
      <c r="I777" s="133">
        <v>13.13</v>
      </c>
      <c r="J777" s="133">
        <v>4.6100000000000003</v>
      </c>
      <c r="K777" s="135">
        <v>40684</v>
      </c>
      <c r="L777" s="135" t="s">
        <v>498</v>
      </c>
      <c r="M777" s="135" t="s">
        <v>2997</v>
      </c>
      <c r="N777" s="135"/>
    </row>
    <row r="778" spans="3:14" x14ac:dyDescent="0.2">
      <c r="C778" t="s">
        <v>3042</v>
      </c>
      <c r="G778" s="14">
        <v>23.45</v>
      </c>
      <c r="H778" s="133"/>
      <c r="I778" s="133">
        <v>4</v>
      </c>
      <c r="J778" s="133">
        <v>7.7</v>
      </c>
      <c r="K778" s="135">
        <v>40684</v>
      </c>
      <c r="L778" s="135" t="s">
        <v>499</v>
      </c>
      <c r="M778" s="135" t="s">
        <v>2994</v>
      </c>
      <c r="N778" s="135"/>
    </row>
    <row r="779" spans="3:14" x14ac:dyDescent="0.2">
      <c r="C779" t="s">
        <v>873</v>
      </c>
      <c r="G779" s="14">
        <v>1769.3</v>
      </c>
      <c r="H779" s="133">
        <v>0.99</v>
      </c>
      <c r="I779" s="133">
        <v>14.87</v>
      </c>
      <c r="J779" s="133">
        <v>28.25</v>
      </c>
      <c r="K779" s="135">
        <v>40684</v>
      </c>
      <c r="L779" s="135" t="s">
        <v>3555</v>
      </c>
      <c r="M779" s="135" t="s">
        <v>1759</v>
      </c>
      <c r="N779" s="135"/>
    </row>
    <row r="780" spans="3:14" x14ac:dyDescent="0.2">
      <c r="C780" t="s">
        <v>111</v>
      </c>
      <c r="D780">
        <v>54.21</v>
      </c>
      <c r="E780">
        <v>46.7</v>
      </c>
      <c r="F780">
        <v>57.1</v>
      </c>
      <c r="G780" s="14">
        <v>495.35</v>
      </c>
      <c r="H780" s="133"/>
      <c r="I780" s="133">
        <v>16.559999999999999</v>
      </c>
      <c r="J780" s="133">
        <v>11.18</v>
      </c>
      <c r="K780" s="135">
        <v>40684</v>
      </c>
      <c r="L780" s="135"/>
      <c r="M780" s="135" t="s">
        <v>2997</v>
      </c>
      <c r="N780" s="135"/>
    </row>
    <row r="781" spans="3:14" x14ac:dyDescent="0.2">
      <c r="C781" t="s">
        <v>874</v>
      </c>
      <c r="G781" s="14">
        <v>56.3</v>
      </c>
      <c r="H781" s="133"/>
      <c r="I781" s="133">
        <v>22.28</v>
      </c>
      <c r="J781" s="133">
        <v>6.35</v>
      </c>
      <c r="K781" s="135">
        <v>40684</v>
      </c>
      <c r="L781" s="135" t="s">
        <v>3556</v>
      </c>
      <c r="M781" s="135" t="s">
        <v>1755</v>
      </c>
      <c r="N781" s="135"/>
    </row>
    <row r="782" spans="3:14" x14ac:dyDescent="0.2">
      <c r="C782" t="s">
        <v>2782</v>
      </c>
      <c r="G782" s="14">
        <v>6.42</v>
      </c>
      <c r="H782" s="133"/>
      <c r="K782" s="135">
        <v>40684</v>
      </c>
      <c r="L782" s="135" t="s">
        <v>2297</v>
      </c>
      <c r="M782" s="135" t="s">
        <v>2996</v>
      </c>
      <c r="N782" s="135"/>
    </row>
    <row r="783" spans="3:14" x14ac:dyDescent="0.2">
      <c r="C783" t="s">
        <v>3043</v>
      </c>
      <c r="G783" s="14">
        <v>4.8499999999999996</v>
      </c>
      <c r="H783" s="133"/>
      <c r="K783" s="135">
        <v>40684</v>
      </c>
      <c r="L783" s="135" t="s">
        <v>500</v>
      </c>
      <c r="M783" s="135" t="s">
        <v>659</v>
      </c>
      <c r="N783" s="135"/>
    </row>
    <row r="784" spans="3:14" x14ac:dyDescent="0.2">
      <c r="C784" t="s">
        <v>1795</v>
      </c>
      <c r="E784">
        <v>-15.52</v>
      </c>
      <c r="F784">
        <v>-1.43</v>
      </c>
      <c r="G784" s="14">
        <v>40.700000000000003</v>
      </c>
      <c r="H784" s="133"/>
      <c r="I784" s="133">
        <v>-12.46</v>
      </c>
      <c r="J784" s="133">
        <v>0</v>
      </c>
      <c r="K784" s="135">
        <v>40684</v>
      </c>
      <c r="L784" s="135" t="s">
        <v>3557</v>
      </c>
      <c r="M784" s="135" t="s">
        <v>1429</v>
      </c>
      <c r="N784" s="135"/>
    </row>
    <row r="785" spans="3:14" x14ac:dyDescent="0.2">
      <c r="C785" t="s">
        <v>3044</v>
      </c>
      <c r="G785" s="14">
        <v>4.38</v>
      </c>
      <c r="H785" s="133"/>
      <c r="I785" s="133">
        <v>-17.03</v>
      </c>
      <c r="J785" s="133">
        <v>0</v>
      </c>
      <c r="K785" s="135">
        <v>40684</v>
      </c>
      <c r="L785" s="135" t="s">
        <v>501</v>
      </c>
      <c r="M785" s="135" t="s">
        <v>1429</v>
      </c>
      <c r="N785" s="135"/>
    </row>
    <row r="786" spans="3:14" x14ac:dyDescent="0.2">
      <c r="C786" t="s">
        <v>417</v>
      </c>
      <c r="G786" s="14">
        <v>106.6</v>
      </c>
      <c r="H786" s="133"/>
      <c r="I786" s="133">
        <v>8.69</v>
      </c>
      <c r="J786" s="133">
        <v>36.28</v>
      </c>
      <c r="K786" s="135">
        <v>40684</v>
      </c>
      <c r="L786" s="135" t="s">
        <v>5244</v>
      </c>
      <c r="M786" s="135" t="s">
        <v>660</v>
      </c>
      <c r="N786" s="135"/>
    </row>
    <row r="787" spans="3:14" x14ac:dyDescent="0.2">
      <c r="C787" t="s">
        <v>3771</v>
      </c>
      <c r="G787" s="14">
        <v>215.35</v>
      </c>
      <c r="H787" s="133">
        <v>0.81</v>
      </c>
      <c r="I787" s="133">
        <v>18.63</v>
      </c>
      <c r="J787" s="133">
        <v>47.05</v>
      </c>
      <c r="K787" s="135">
        <v>40684</v>
      </c>
      <c r="L787" s="135" t="s">
        <v>3772</v>
      </c>
      <c r="M787" s="135" t="s">
        <v>2418</v>
      </c>
      <c r="N787" s="135"/>
    </row>
    <row r="788" spans="3:14" x14ac:dyDescent="0.2">
      <c r="C788" t="s">
        <v>5245</v>
      </c>
      <c r="G788" s="14">
        <v>6951.3</v>
      </c>
      <c r="H788" s="133">
        <v>0.72</v>
      </c>
      <c r="I788" s="133">
        <v>18.38</v>
      </c>
      <c r="J788" s="133">
        <v>8.32</v>
      </c>
      <c r="K788" s="135">
        <v>40684</v>
      </c>
      <c r="L788" s="135" t="s">
        <v>5246</v>
      </c>
      <c r="M788" s="135"/>
      <c r="N788" s="135"/>
    </row>
    <row r="789" spans="3:14" x14ac:dyDescent="0.2">
      <c r="C789" t="s">
        <v>3045</v>
      </c>
      <c r="G789" s="14">
        <v>38.65</v>
      </c>
      <c r="H789" s="133"/>
      <c r="I789" s="133">
        <v>20.76</v>
      </c>
      <c r="J789" s="133">
        <v>0</v>
      </c>
      <c r="K789" s="135">
        <v>40684</v>
      </c>
      <c r="L789" s="135" t="s">
        <v>502</v>
      </c>
      <c r="M789" s="135" t="s">
        <v>659</v>
      </c>
      <c r="N789" s="135"/>
    </row>
    <row r="790" spans="3:14" x14ac:dyDescent="0.2">
      <c r="C790" t="s">
        <v>1796</v>
      </c>
      <c r="G790" s="14">
        <v>17.149999999999999</v>
      </c>
      <c r="H790" s="133"/>
      <c r="I790" s="133">
        <v>-4.5999999999999996</v>
      </c>
      <c r="J790" s="133">
        <v>0</v>
      </c>
      <c r="K790" s="135">
        <v>40684</v>
      </c>
      <c r="L790" s="135" t="s">
        <v>3558</v>
      </c>
      <c r="M790" s="135" t="s">
        <v>1429</v>
      </c>
      <c r="N790" s="135"/>
    </row>
    <row r="791" spans="3:14" x14ac:dyDescent="0.2">
      <c r="C791" t="s">
        <v>3773</v>
      </c>
      <c r="E791">
        <v>5.38</v>
      </c>
      <c r="F791">
        <v>6.2</v>
      </c>
      <c r="G791" s="14">
        <v>73.95</v>
      </c>
      <c r="H791" s="133"/>
      <c r="K791" s="135">
        <v>40684</v>
      </c>
      <c r="L791" s="135" t="s">
        <v>3774</v>
      </c>
      <c r="M791" s="135" t="s">
        <v>1765</v>
      </c>
      <c r="N791" s="135"/>
    </row>
    <row r="792" spans="3:14" x14ac:dyDescent="0.2">
      <c r="C792" t="s">
        <v>5247</v>
      </c>
      <c r="G792" s="14">
        <v>49.5</v>
      </c>
      <c r="H792" s="133"/>
      <c r="I792" s="133">
        <v>15.29</v>
      </c>
      <c r="J792" s="133">
        <v>9.0500000000000007</v>
      </c>
      <c r="K792" s="135">
        <v>40684</v>
      </c>
      <c r="L792" s="135" t="s">
        <v>5248</v>
      </c>
      <c r="M792" s="135" t="s">
        <v>2997</v>
      </c>
      <c r="N792" s="135"/>
    </row>
    <row r="793" spans="3:14" x14ac:dyDescent="0.2">
      <c r="C793" t="s">
        <v>3775</v>
      </c>
      <c r="D793">
        <v>3.86</v>
      </c>
      <c r="E793">
        <v>-21.01</v>
      </c>
      <c r="F793">
        <v>-25.63</v>
      </c>
      <c r="G793" s="14">
        <v>45.25</v>
      </c>
      <c r="H793" s="133"/>
      <c r="I793" s="133">
        <v>-31.99</v>
      </c>
      <c r="J793" s="133">
        <v>0</v>
      </c>
      <c r="K793" s="135">
        <v>40684</v>
      </c>
      <c r="L793" s="135" t="s">
        <v>3776</v>
      </c>
      <c r="M793" s="135" t="s">
        <v>1754</v>
      </c>
      <c r="N793" s="135"/>
    </row>
    <row r="794" spans="3:14" x14ac:dyDescent="0.2">
      <c r="C794" t="s">
        <v>3777</v>
      </c>
      <c r="G794" s="14">
        <v>43.7</v>
      </c>
      <c r="H794" s="133">
        <v>2.2799999999999998</v>
      </c>
      <c r="I794" s="133">
        <v>10.29</v>
      </c>
      <c r="J794" s="133">
        <v>5.17</v>
      </c>
      <c r="K794" s="135">
        <v>40684</v>
      </c>
      <c r="L794" s="135" t="s">
        <v>3778</v>
      </c>
      <c r="M794" s="135" t="s">
        <v>2997</v>
      </c>
      <c r="N794" s="135"/>
    </row>
    <row r="795" spans="3:14" x14ac:dyDescent="0.2">
      <c r="C795" t="s">
        <v>3046</v>
      </c>
      <c r="G795" s="14">
        <v>42.25</v>
      </c>
      <c r="H795" s="133"/>
      <c r="I795" s="133">
        <v>-23.46</v>
      </c>
      <c r="J795" s="133">
        <v>0</v>
      </c>
      <c r="K795" s="135">
        <v>40684</v>
      </c>
      <c r="L795" s="135" t="s">
        <v>503</v>
      </c>
      <c r="M795" s="135" t="s">
        <v>2944</v>
      </c>
      <c r="N795" s="135"/>
    </row>
    <row r="796" spans="3:14" x14ac:dyDescent="0.2">
      <c r="C796" t="s">
        <v>3047</v>
      </c>
      <c r="G796" s="14">
        <v>9.25</v>
      </c>
      <c r="H796" s="133"/>
      <c r="K796" s="135">
        <v>40684</v>
      </c>
      <c r="L796" s="135" t="s">
        <v>504</v>
      </c>
      <c r="M796" s="135" t="s">
        <v>2997</v>
      </c>
      <c r="N796" s="135"/>
    </row>
    <row r="797" spans="3:14" x14ac:dyDescent="0.2">
      <c r="C797" t="s">
        <v>2822</v>
      </c>
      <c r="G797" s="14">
        <v>6.34</v>
      </c>
      <c r="H797" s="133"/>
      <c r="K797" s="135">
        <v>40684</v>
      </c>
      <c r="L797" s="135" t="s">
        <v>2823</v>
      </c>
      <c r="M797" s="135" t="s">
        <v>2997</v>
      </c>
      <c r="N797" s="135"/>
    </row>
    <row r="798" spans="3:14" x14ac:dyDescent="0.2">
      <c r="C798" t="s">
        <v>2824</v>
      </c>
      <c r="G798" s="14">
        <v>12</v>
      </c>
      <c r="H798" s="133"/>
      <c r="K798" s="135">
        <v>40684</v>
      </c>
      <c r="L798" s="135" t="s">
        <v>1897</v>
      </c>
      <c r="M798" s="135" t="s">
        <v>2997</v>
      </c>
      <c r="N798" s="135"/>
    </row>
    <row r="799" spans="3:14" x14ac:dyDescent="0.2">
      <c r="C799" t="s">
        <v>5249</v>
      </c>
      <c r="H799" s="133"/>
      <c r="I799" s="133">
        <v>19.18</v>
      </c>
      <c r="J799" s="133">
        <v>29.97</v>
      </c>
      <c r="K799" s="135">
        <v>40684</v>
      </c>
      <c r="L799" s="135" t="s">
        <v>5250</v>
      </c>
      <c r="M799" s="135"/>
      <c r="N799" s="135"/>
    </row>
    <row r="800" spans="3:14" x14ac:dyDescent="0.2">
      <c r="C800" t="s">
        <v>3048</v>
      </c>
      <c r="G800" s="14">
        <v>51.3</v>
      </c>
      <c r="H800" s="133"/>
      <c r="I800" s="133">
        <v>12.43</v>
      </c>
      <c r="J800" s="133">
        <v>6.06</v>
      </c>
      <c r="K800" s="135">
        <v>40684</v>
      </c>
      <c r="L800" s="135" t="s">
        <v>505</v>
      </c>
      <c r="M800" s="135" t="s">
        <v>2418</v>
      </c>
      <c r="N800" s="135"/>
    </row>
    <row r="801" spans="3:14" x14ac:dyDescent="0.2">
      <c r="C801" t="s">
        <v>4466</v>
      </c>
      <c r="G801" s="14">
        <v>1.31</v>
      </c>
      <c r="H801" s="133"/>
      <c r="I801" s="133">
        <v>8.84</v>
      </c>
      <c r="J801" s="133">
        <v>54.41</v>
      </c>
      <c r="K801" s="135">
        <v>40684</v>
      </c>
      <c r="L801" s="135" t="s">
        <v>3604</v>
      </c>
      <c r="M801" s="135" t="s">
        <v>2994</v>
      </c>
      <c r="N801" s="135"/>
    </row>
    <row r="802" spans="3:14" x14ac:dyDescent="0.2">
      <c r="C802" t="s">
        <v>1434</v>
      </c>
      <c r="G802" s="14">
        <v>43.5</v>
      </c>
      <c r="H802" s="133"/>
      <c r="I802" s="133">
        <v>7.51</v>
      </c>
      <c r="J802" s="133">
        <v>15.72</v>
      </c>
      <c r="K802" s="135">
        <v>40684</v>
      </c>
      <c r="L802" s="135" t="s">
        <v>3605</v>
      </c>
      <c r="M802" s="135" t="s">
        <v>2995</v>
      </c>
      <c r="N802" s="135"/>
    </row>
    <row r="803" spans="3:14" x14ac:dyDescent="0.2">
      <c r="C803" t="s">
        <v>1797</v>
      </c>
      <c r="D803">
        <v>7.5</v>
      </c>
      <c r="E803">
        <v>7.8</v>
      </c>
      <c r="F803">
        <v>9.06</v>
      </c>
      <c r="G803" s="14">
        <v>88.7</v>
      </c>
      <c r="H803" s="133">
        <v>1.47</v>
      </c>
      <c r="I803" s="133">
        <v>8.34</v>
      </c>
      <c r="J803" s="133">
        <v>9.7799999999999994</v>
      </c>
      <c r="K803" s="135">
        <v>40684</v>
      </c>
      <c r="L803" s="135" t="s">
        <v>1904</v>
      </c>
      <c r="M803" s="135" t="s">
        <v>1755</v>
      </c>
      <c r="N803" s="135"/>
    </row>
    <row r="804" spans="3:14" x14ac:dyDescent="0.2">
      <c r="C804" t="s">
        <v>1435</v>
      </c>
      <c r="G804" s="14">
        <v>23.6</v>
      </c>
      <c r="H804" s="133"/>
      <c r="I804" s="133">
        <v>9.2100000000000009</v>
      </c>
      <c r="J804" s="133">
        <v>8.4600000000000009</v>
      </c>
      <c r="K804" s="135">
        <v>40684</v>
      </c>
      <c r="L804" s="135" t="s">
        <v>3606</v>
      </c>
      <c r="M804" s="135" t="s">
        <v>2417</v>
      </c>
      <c r="N804" s="135"/>
    </row>
    <row r="805" spans="3:14" x14ac:dyDescent="0.2">
      <c r="C805" t="s">
        <v>1436</v>
      </c>
      <c r="G805" s="14">
        <v>28.2</v>
      </c>
      <c r="H805" s="133"/>
      <c r="I805" s="133">
        <v>8.84</v>
      </c>
      <c r="J805" s="133">
        <v>17.559999999999999</v>
      </c>
      <c r="K805" s="135">
        <v>40684</v>
      </c>
      <c r="L805" s="135" t="s">
        <v>5384</v>
      </c>
      <c r="M805" s="135" t="s">
        <v>2994</v>
      </c>
      <c r="N805" s="135"/>
    </row>
    <row r="806" spans="3:14" x14ac:dyDescent="0.2">
      <c r="C806" t="s">
        <v>135</v>
      </c>
      <c r="G806" s="14">
        <v>30.05</v>
      </c>
      <c r="H806" s="133"/>
      <c r="I806" s="133">
        <v>6.89</v>
      </c>
      <c r="J806" s="133">
        <v>10.96</v>
      </c>
      <c r="K806" s="135">
        <v>40684</v>
      </c>
      <c r="L806" s="135" t="s">
        <v>136</v>
      </c>
      <c r="M806" s="135" t="s">
        <v>1759</v>
      </c>
      <c r="N806" s="135"/>
    </row>
    <row r="807" spans="3:14" x14ac:dyDescent="0.2">
      <c r="C807" t="s">
        <v>2521</v>
      </c>
      <c r="G807" s="14">
        <v>30.95</v>
      </c>
      <c r="H807" s="133">
        <v>1.17</v>
      </c>
      <c r="I807" s="133">
        <v>0.79</v>
      </c>
      <c r="J807" s="133">
        <v>21.38</v>
      </c>
      <c r="K807" s="135">
        <v>40684</v>
      </c>
      <c r="L807" s="135" t="s">
        <v>5385</v>
      </c>
      <c r="M807" s="135" t="s">
        <v>2994</v>
      </c>
      <c r="N807" s="135"/>
    </row>
    <row r="808" spans="3:14" x14ac:dyDescent="0.2">
      <c r="C808" t="s">
        <v>1798</v>
      </c>
      <c r="E808">
        <v>7.62</v>
      </c>
      <c r="F808">
        <v>10.65</v>
      </c>
      <c r="G808" s="14">
        <v>55.35</v>
      </c>
      <c r="H808" s="133">
        <v>1.76</v>
      </c>
      <c r="I808" s="133">
        <v>3.29</v>
      </c>
      <c r="J808" s="133">
        <v>11.63</v>
      </c>
      <c r="K808" s="135">
        <v>40684</v>
      </c>
      <c r="L808" s="135" t="s">
        <v>1905</v>
      </c>
      <c r="M808" s="135" t="s">
        <v>2994</v>
      </c>
      <c r="N808" s="135"/>
    </row>
    <row r="809" spans="3:14" x14ac:dyDescent="0.2">
      <c r="C809" t="s">
        <v>2522</v>
      </c>
      <c r="G809" s="14">
        <v>88.1</v>
      </c>
      <c r="H809" s="133">
        <v>1.7</v>
      </c>
      <c r="I809" s="133">
        <v>9.49</v>
      </c>
      <c r="J809" s="133">
        <v>5.94</v>
      </c>
      <c r="K809" s="135">
        <v>40684</v>
      </c>
      <c r="L809" s="135" t="s">
        <v>5386</v>
      </c>
      <c r="M809" s="135" t="s">
        <v>2994</v>
      </c>
      <c r="N809" s="135"/>
    </row>
    <row r="810" spans="3:14" x14ac:dyDescent="0.2">
      <c r="C810" t="s">
        <v>2523</v>
      </c>
      <c r="G810" s="14">
        <v>11.81</v>
      </c>
      <c r="H810" s="133"/>
      <c r="I810" s="133">
        <v>21.6</v>
      </c>
      <c r="J810" s="133">
        <v>4.5</v>
      </c>
      <c r="K810" s="135">
        <v>40684</v>
      </c>
      <c r="L810" s="135" t="s">
        <v>5387</v>
      </c>
      <c r="M810" s="135" t="s">
        <v>2994</v>
      </c>
      <c r="N810" s="135"/>
    </row>
    <row r="811" spans="3:14" x14ac:dyDescent="0.2">
      <c r="C811" t="s">
        <v>3779</v>
      </c>
      <c r="D811">
        <v>12.92</v>
      </c>
      <c r="E811">
        <v>17.809999999999999</v>
      </c>
      <c r="F811">
        <v>23.2</v>
      </c>
      <c r="G811" s="14">
        <v>88</v>
      </c>
      <c r="H811" s="133">
        <v>1.42</v>
      </c>
      <c r="I811" s="133">
        <v>7.26</v>
      </c>
      <c r="J811" s="133">
        <v>27.82</v>
      </c>
      <c r="K811" s="135">
        <v>40684</v>
      </c>
      <c r="L811" s="135" t="s">
        <v>3781</v>
      </c>
      <c r="M811" s="135" t="s">
        <v>2417</v>
      </c>
      <c r="N811" s="135"/>
    </row>
    <row r="812" spans="3:14" x14ac:dyDescent="0.2">
      <c r="C812" t="s">
        <v>5251</v>
      </c>
      <c r="G812" s="14">
        <v>102.5</v>
      </c>
      <c r="H812" s="133">
        <v>1.03</v>
      </c>
      <c r="I812" s="133">
        <v>10.82</v>
      </c>
      <c r="J812" s="133">
        <v>29.28</v>
      </c>
      <c r="K812" s="135">
        <v>40684</v>
      </c>
      <c r="L812" s="135" t="s">
        <v>5252</v>
      </c>
      <c r="M812" s="135" t="s">
        <v>1759</v>
      </c>
      <c r="N812" s="135"/>
    </row>
    <row r="813" spans="3:14" x14ac:dyDescent="0.2">
      <c r="C813" t="s">
        <v>5253</v>
      </c>
      <c r="G813" s="14">
        <v>260.5</v>
      </c>
      <c r="H813" s="133">
        <v>0.67</v>
      </c>
      <c r="I813" s="133">
        <v>24.16</v>
      </c>
      <c r="J813" s="133">
        <v>29.93</v>
      </c>
      <c r="K813" s="135">
        <v>40684</v>
      </c>
      <c r="L813" s="135" t="s">
        <v>3610</v>
      </c>
      <c r="M813" s="135" t="s">
        <v>2417</v>
      </c>
      <c r="N813" s="135"/>
    </row>
    <row r="814" spans="3:14" x14ac:dyDescent="0.2">
      <c r="C814" t="s">
        <v>2524</v>
      </c>
      <c r="G814" s="14">
        <v>278.14999999999998</v>
      </c>
      <c r="H814" s="133">
        <v>0.72</v>
      </c>
      <c r="I814" s="133">
        <v>18.170000000000002</v>
      </c>
      <c r="J814" s="133">
        <v>16.45</v>
      </c>
      <c r="K814" s="135">
        <v>40684</v>
      </c>
      <c r="L814" s="135" t="s">
        <v>5388</v>
      </c>
      <c r="M814" s="135" t="s">
        <v>659</v>
      </c>
      <c r="N814" s="135"/>
    </row>
    <row r="815" spans="3:14" x14ac:dyDescent="0.2">
      <c r="C815" t="s">
        <v>2525</v>
      </c>
      <c r="G815" s="14">
        <v>73.95</v>
      </c>
      <c r="H815" s="133">
        <v>2.7</v>
      </c>
      <c r="I815" s="133">
        <v>-101.61</v>
      </c>
      <c r="J815" s="133">
        <v>7.89</v>
      </c>
      <c r="K815" s="135">
        <v>40684</v>
      </c>
      <c r="L815" s="135" t="s">
        <v>5389</v>
      </c>
      <c r="M815" s="135" t="s">
        <v>3180</v>
      </c>
      <c r="N815" s="135"/>
    </row>
    <row r="816" spans="3:14" x14ac:dyDescent="0.2">
      <c r="C816" t="s">
        <v>2526</v>
      </c>
      <c r="G816" s="14">
        <v>20.5</v>
      </c>
      <c r="H816" s="133"/>
      <c r="I816" s="133">
        <v>18.86</v>
      </c>
      <c r="J816" s="133">
        <v>3.66</v>
      </c>
      <c r="K816" s="135">
        <v>40684</v>
      </c>
      <c r="L816" s="135" t="s">
        <v>2754</v>
      </c>
      <c r="M816" s="135" t="s">
        <v>2997</v>
      </c>
      <c r="N816" s="135"/>
    </row>
    <row r="817" spans="3:14" x14ac:dyDescent="0.2">
      <c r="C817" t="s">
        <v>3611</v>
      </c>
      <c r="G817" s="14">
        <v>6.55</v>
      </c>
      <c r="H817" s="133"/>
      <c r="I817" s="133">
        <v>-31.22</v>
      </c>
      <c r="J817" s="133">
        <v>0</v>
      </c>
      <c r="K817" s="135">
        <v>40684</v>
      </c>
      <c r="L817" s="135" t="s">
        <v>5346</v>
      </c>
      <c r="M817" s="135"/>
      <c r="N817" s="135"/>
    </row>
    <row r="818" spans="3:14" x14ac:dyDescent="0.2">
      <c r="C818" t="s">
        <v>875</v>
      </c>
      <c r="G818" s="14">
        <v>229.55</v>
      </c>
      <c r="H818" s="133">
        <v>3.91</v>
      </c>
      <c r="I818" s="133">
        <v>27.11</v>
      </c>
      <c r="J818" s="133">
        <v>4.17</v>
      </c>
      <c r="K818" s="135">
        <v>40684</v>
      </c>
      <c r="L818" s="135" t="s">
        <v>1908</v>
      </c>
      <c r="M818" s="135" t="s">
        <v>1758</v>
      </c>
      <c r="N818" s="135"/>
    </row>
    <row r="819" spans="3:14" x14ac:dyDescent="0.2">
      <c r="C819" t="s">
        <v>1799</v>
      </c>
      <c r="E819">
        <v>3</v>
      </c>
      <c r="F819">
        <v>4</v>
      </c>
      <c r="G819" s="14">
        <v>61.65</v>
      </c>
      <c r="H819" s="133"/>
      <c r="K819" s="135">
        <v>40684</v>
      </c>
      <c r="L819" s="135" t="s">
        <v>1909</v>
      </c>
      <c r="M819" s="135" t="s">
        <v>2420</v>
      </c>
      <c r="N819" s="135"/>
    </row>
    <row r="820" spans="3:14" x14ac:dyDescent="0.2">
      <c r="C820" t="s">
        <v>2527</v>
      </c>
      <c r="G820" s="14">
        <v>37.5</v>
      </c>
      <c r="H820" s="133">
        <v>2.67</v>
      </c>
      <c r="I820" s="133">
        <v>8.48</v>
      </c>
      <c r="J820" s="133">
        <v>11.18</v>
      </c>
      <c r="K820" s="135">
        <v>40684</v>
      </c>
      <c r="L820" s="135" t="s">
        <v>4093</v>
      </c>
      <c r="M820" s="135" t="s">
        <v>2995</v>
      </c>
      <c r="N820" s="135"/>
    </row>
    <row r="821" spans="3:14" x14ac:dyDescent="0.2">
      <c r="C821" t="s">
        <v>3782</v>
      </c>
      <c r="D821">
        <v>-3.26</v>
      </c>
      <c r="E821">
        <v>-14.42</v>
      </c>
      <c r="F821">
        <v>-10.7</v>
      </c>
      <c r="G821" s="14">
        <v>60.5</v>
      </c>
      <c r="H821" s="133"/>
      <c r="I821" s="133">
        <v>-16.25</v>
      </c>
      <c r="J821" s="133">
        <v>0</v>
      </c>
      <c r="K821" s="135">
        <v>40684</v>
      </c>
      <c r="L821" s="135" t="s">
        <v>3783</v>
      </c>
      <c r="M821" s="135" t="s">
        <v>2944</v>
      </c>
      <c r="N821" s="135"/>
    </row>
    <row r="822" spans="3:14" x14ac:dyDescent="0.2">
      <c r="C822" t="s">
        <v>2528</v>
      </c>
      <c r="G822" s="14">
        <v>5.2</v>
      </c>
      <c r="H822" s="133"/>
      <c r="I822" s="133">
        <v>-4.29</v>
      </c>
      <c r="J822" s="133">
        <v>0</v>
      </c>
      <c r="K822" s="135">
        <v>40684</v>
      </c>
      <c r="L822" s="135" t="s">
        <v>4094</v>
      </c>
      <c r="M822" s="135" t="s">
        <v>1756</v>
      </c>
      <c r="N822" s="135"/>
    </row>
    <row r="823" spans="3:14" x14ac:dyDescent="0.2">
      <c r="C823" t="s">
        <v>3784</v>
      </c>
      <c r="D823">
        <v>67.94</v>
      </c>
      <c r="E823">
        <v>83.67</v>
      </c>
      <c r="F823">
        <v>101.34</v>
      </c>
      <c r="G823" s="14">
        <v>4056.65</v>
      </c>
      <c r="H823" s="133">
        <v>1.19</v>
      </c>
      <c r="I823" s="133">
        <v>96.63</v>
      </c>
      <c r="J823" s="133">
        <v>47.94</v>
      </c>
      <c r="K823" s="135">
        <v>40684</v>
      </c>
      <c r="L823" s="135" t="s">
        <v>2829</v>
      </c>
      <c r="M823" s="135" t="s">
        <v>2416</v>
      </c>
      <c r="N823" s="135"/>
    </row>
    <row r="824" spans="3:14" x14ac:dyDescent="0.2">
      <c r="C824" t="s">
        <v>2529</v>
      </c>
      <c r="G824" s="14">
        <v>4.7</v>
      </c>
      <c r="H824" s="133"/>
      <c r="K824" s="135">
        <v>40684</v>
      </c>
      <c r="L824" s="135" t="s">
        <v>1890</v>
      </c>
      <c r="M824" s="135" t="s">
        <v>1429</v>
      </c>
      <c r="N824" s="135"/>
    </row>
    <row r="825" spans="3:14" x14ac:dyDescent="0.2">
      <c r="C825" t="s">
        <v>5347</v>
      </c>
      <c r="G825" s="14">
        <v>160</v>
      </c>
      <c r="H825" s="133"/>
      <c r="I825" s="133">
        <v>-6.31</v>
      </c>
      <c r="J825" s="133">
        <v>0</v>
      </c>
      <c r="K825" s="135">
        <v>40684</v>
      </c>
      <c r="L825" s="135" t="s">
        <v>5348</v>
      </c>
      <c r="M825" s="135"/>
      <c r="N825" s="135"/>
    </row>
    <row r="826" spans="3:14" x14ac:dyDescent="0.2">
      <c r="C826" t="s">
        <v>5</v>
      </c>
      <c r="G826" s="14">
        <v>126.2</v>
      </c>
      <c r="H826" s="133"/>
      <c r="I826" s="133">
        <v>-8.98</v>
      </c>
      <c r="J826" s="133">
        <v>13.49</v>
      </c>
      <c r="K826" s="135">
        <v>40684</v>
      </c>
      <c r="L826" s="135" t="s">
        <v>1891</v>
      </c>
      <c r="M826" s="135" t="s">
        <v>659</v>
      </c>
      <c r="N826" s="135"/>
    </row>
    <row r="827" spans="3:14" x14ac:dyDescent="0.2">
      <c r="C827" t="s">
        <v>5349</v>
      </c>
      <c r="G827" s="14">
        <v>530.29999999999995</v>
      </c>
      <c r="H827" s="133">
        <v>0.28000000000000003</v>
      </c>
      <c r="I827" s="133">
        <v>27.47</v>
      </c>
      <c r="J827" s="133">
        <v>13.65</v>
      </c>
      <c r="K827" s="135">
        <v>40684</v>
      </c>
      <c r="L827" s="135" t="s">
        <v>5350</v>
      </c>
      <c r="M827" s="135"/>
      <c r="N827" s="135"/>
    </row>
    <row r="828" spans="3:14" x14ac:dyDescent="0.2">
      <c r="C828" t="s">
        <v>2830</v>
      </c>
      <c r="D828">
        <v>7.44</v>
      </c>
      <c r="E828">
        <v>7.8</v>
      </c>
      <c r="F828">
        <v>8.6999999999999993</v>
      </c>
      <c r="G828" s="14">
        <v>103.5</v>
      </c>
      <c r="H828" s="133">
        <v>1.94</v>
      </c>
      <c r="I828" s="133">
        <v>12.71</v>
      </c>
      <c r="J828" s="133">
        <v>13.88</v>
      </c>
      <c r="K828" s="135">
        <v>40684</v>
      </c>
      <c r="L828" s="135" t="s">
        <v>2076</v>
      </c>
      <c r="M828" s="135" t="s">
        <v>1756</v>
      </c>
      <c r="N828" s="135"/>
    </row>
    <row r="829" spans="3:14" x14ac:dyDescent="0.2">
      <c r="C829" t="s">
        <v>6</v>
      </c>
      <c r="G829" s="14">
        <v>13.64</v>
      </c>
      <c r="H829" s="133"/>
      <c r="I829" s="133">
        <v>19.809999999999999</v>
      </c>
      <c r="J829" s="133">
        <v>3.12</v>
      </c>
      <c r="K829" s="135">
        <v>40684</v>
      </c>
      <c r="L829" s="135" t="s">
        <v>4351</v>
      </c>
      <c r="M829" s="135" t="s">
        <v>659</v>
      </c>
      <c r="N829" s="135"/>
    </row>
    <row r="830" spans="3:14" x14ac:dyDescent="0.2">
      <c r="C830" t="s">
        <v>876</v>
      </c>
      <c r="G830" s="14">
        <v>2.4</v>
      </c>
      <c r="H830" s="133"/>
      <c r="I830" s="133">
        <v>0</v>
      </c>
      <c r="J830" s="133">
        <v>0</v>
      </c>
      <c r="K830" s="135">
        <v>40684</v>
      </c>
      <c r="L830" s="135" t="s">
        <v>3818</v>
      </c>
      <c r="M830" s="135" t="s">
        <v>1763</v>
      </c>
      <c r="N830" s="135"/>
    </row>
    <row r="831" spans="3:14" x14ac:dyDescent="0.2">
      <c r="C831" t="s">
        <v>2077</v>
      </c>
      <c r="D831">
        <v>23.43</v>
      </c>
      <c r="E831">
        <v>25.24</v>
      </c>
      <c r="F831">
        <v>25.7</v>
      </c>
      <c r="G831" s="14">
        <v>387.4</v>
      </c>
      <c r="H831" s="133"/>
      <c r="I831" s="133">
        <v>30.33</v>
      </c>
      <c r="J831" s="133">
        <v>0.51</v>
      </c>
      <c r="K831" s="135">
        <v>40684</v>
      </c>
      <c r="L831" s="135" t="s">
        <v>2078</v>
      </c>
      <c r="M831" s="135" t="s">
        <v>659</v>
      </c>
      <c r="N831" s="135"/>
    </row>
    <row r="832" spans="3:14" x14ac:dyDescent="0.2">
      <c r="C832" t="s">
        <v>2079</v>
      </c>
      <c r="D832">
        <v>4.25</v>
      </c>
      <c r="E832">
        <v>5</v>
      </c>
      <c r="F832">
        <v>6.4</v>
      </c>
      <c r="G832" s="14">
        <v>55.9</v>
      </c>
      <c r="H832" s="133"/>
      <c r="I832" s="133">
        <v>8.68</v>
      </c>
      <c r="J832" s="133">
        <v>18.59</v>
      </c>
      <c r="K832" s="135">
        <v>40684</v>
      </c>
      <c r="L832" s="135" t="s">
        <v>2113</v>
      </c>
      <c r="M832" s="135" t="s">
        <v>1429</v>
      </c>
      <c r="N832" s="135"/>
    </row>
    <row r="833" spans="3:14" x14ac:dyDescent="0.2">
      <c r="C833" t="s">
        <v>4660</v>
      </c>
      <c r="G833" s="14">
        <v>190.6</v>
      </c>
      <c r="H833" s="133"/>
      <c r="I833" s="133">
        <v>23.6</v>
      </c>
      <c r="J833" s="133">
        <v>9.15</v>
      </c>
      <c r="K833" s="135">
        <v>40684</v>
      </c>
      <c r="L833" s="135" t="s">
        <v>5166</v>
      </c>
      <c r="M833" s="135" t="s">
        <v>1429</v>
      </c>
      <c r="N833" s="135"/>
    </row>
    <row r="834" spans="3:14" x14ac:dyDescent="0.2">
      <c r="C834" t="s">
        <v>7</v>
      </c>
      <c r="G834" s="14">
        <v>1.4</v>
      </c>
      <c r="H834" s="133"/>
      <c r="I834" s="133">
        <v>-40.81</v>
      </c>
      <c r="J834" s="133">
        <v>0</v>
      </c>
      <c r="K834" s="135">
        <v>40684</v>
      </c>
      <c r="L834" s="135" t="s">
        <v>4352</v>
      </c>
      <c r="M834" s="135" t="s">
        <v>2994</v>
      </c>
      <c r="N834" s="135"/>
    </row>
    <row r="835" spans="3:14" x14ac:dyDescent="0.2">
      <c r="C835" t="s">
        <v>8</v>
      </c>
      <c r="G835" s="14">
        <v>255.55</v>
      </c>
      <c r="H835" s="133"/>
      <c r="K835" s="135">
        <v>40684</v>
      </c>
      <c r="L835" s="135" t="s">
        <v>4353</v>
      </c>
      <c r="M835" s="135" t="s">
        <v>2416</v>
      </c>
      <c r="N835" s="135"/>
    </row>
    <row r="836" spans="3:14" x14ac:dyDescent="0.2">
      <c r="C836" t="s">
        <v>1898</v>
      </c>
      <c r="G836" s="14">
        <v>10.9</v>
      </c>
      <c r="H836" s="133"/>
      <c r="I836" s="133">
        <v>0.32</v>
      </c>
      <c r="J836" s="133">
        <v>7.42</v>
      </c>
      <c r="K836" s="135">
        <v>40684</v>
      </c>
      <c r="L836" s="135" t="s">
        <v>5118</v>
      </c>
      <c r="M836" s="135" t="s">
        <v>2994</v>
      </c>
      <c r="N836" s="135"/>
    </row>
    <row r="837" spans="3:14" x14ac:dyDescent="0.2">
      <c r="C837" t="s">
        <v>1800</v>
      </c>
      <c r="D837">
        <v>-2.71</v>
      </c>
      <c r="E837">
        <v>5.9</v>
      </c>
      <c r="F837">
        <v>9.4</v>
      </c>
      <c r="G837" s="14">
        <v>59.05</v>
      </c>
      <c r="H837" s="133"/>
      <c r="I837" s="133">
        <v>-0.65</v>
      </c>
      <c r="J837" s="133">
        <v>7.19</v>
      </c>
      <c r="K837" s="135">
        <v>40684</v>
      </c>
      <c r="L837" s="135" t="s">
        <v>4716</v>
      </c>
      <c r="M837" s="135" t="s">
        <v>1757</v>
      </c>
      <c r="N837" s="135"/>
    </row>
    <row r="838" spans="3:14" x14ac:dyDescent="0.2">
      <c r="C838" t="s">
        <v>1801</v>
      </c>
      <c r="E838">
        <v>1.9</v>
      </c>
      <c r="F838">
        <v>2.5</v>
      </c>
      <c r="G838" s="14">
        <v>25.65</v>
      </c>
      <c r="H838" s="133"/>
      <c r="I838" s="133">
        <v>6.34</v>
      </c>
      <c r="J838" s="133">
        <v>12.69</v>
      </c>
      <c r="K838" s="135">
        <v>40684</v>
      </c>
      <c r="L838" s="135" t="s">
        <v>4717</v>
      </c>
      <c r="M838" s="135" t="s">
        <v>1755</v>
      </c>
      <c r="N838" s="135"/>
    </row>
    <row r="839" spans="3:14" x14ac:dyDescent="0.2">
      <c r="C839" t="s">
        <v>4346</v>
      </c>
      <c r="D839">
        <v>36.29</v>
      </c>
      <c r="E839">
        <v>42.59</v>
      </c>
      <c r="F839">
        <v>47.05</v>
      </c>
      <c r="G839" s="14">
        <v>217.15</v>
      </c>
      <c r="H839" s="133">
        <v>1.41</v>
      </c>
      <c r="I839" s="133">
        <v>19.66</v>
      </c>
      <c r="J839" s="133">
        <v>19.510000000000002</v>
      </c>
      <c r="K839" s="135">
        <v>40684</v>
      </c>
      <c r="L839" s="135" t="s">
        <v>4347</v>
      </c>
      <c r="M839" s="135" t="s">
        <v>659</v>
      </c>
      <c r="N839" s="135"/>
    </row>
    <row r="840" spans="3:14" x14ac:dyDescent="0.2">
      <c r="C840" t="s">
        <v>9</v>
      </c>
      <c r="G840" s="14">
        <v>4.1500000000000004</v>
      </c>
      <c r="H840" s="133"/>
      <c r="I840" s="133">
        <v>-16.96</v>
      </c>
      <c r="J840" s="133">
        <v>0</v>
      </c>
      <c r="K840" s="135">
        <v>40684</v>
      </c>
      <c r="L840" s="135" t="s">
        <v>1491</v>
      </c>
      <c r="M840" s="135" t="s">
        <v>2994</v>
      </c>
      <c r="N840" s="135"/>
    </row>
    <row r="841" spans="3:14" x14ac:dyDescent="0.2">
      <c r="C841" t="s">
        <v>1899</v>
      </c>
      <c r="G841" s="14">
        <v>57.35</v>
      </c>
      <c r="H841" s="133">
        <v>3.14</v>
      </c>
      <c r="I841" s="133">
        <v>19.68</v>
      </c>
      <c r="J841" s="133">
        <v>4.66</v>
      </c>
      <c r="K841" s="135">
        <v>40684</v>
      </c>
      <c r="L841" s="135" t="s">
        <v>1900</v>
      </c>
      <c r="M841" s="135" t="s">
        <v>2420</v>
      </c>
      <c r="N841" s="135"/>
    </row>
    <row r="842" spans="3:14" x14ac:dyDescent="0.2">
      <c r="C842" t="s">
        <v>10</v>
      </c>
      <c r="G842" s="14">
        <v>5.35</v>
      </c>
      <c r="H842" s="133"/>
      <c r="I842" s="133">
        <v>0</v>
      </c>
      <c r="J842" s="133">
        <v>0</v>
      </c>
      <c r="K842" s="135">
        <v>40684</v>
      </c>
      <c r="L842" s="135" t="s">
        <v>1492</v>
      </c>
      <c r="M842" s="135" t="s">
        <v>2994</v>
      </c>
      <c r="N842" s="135"/>
    </row>
    <row r="843" spans="3:14" x14ac:dyDescent="0.2">
      <c r="C843" t="s">
        <v>4348</v>
      </c>
      <c r="D843">
        <v>10.59</v>
      </c>
      <c r="E843">
        <v>10.6</v>
      </c>
      <c r="F843">
        <v>12</v>
      </c>
      <c r="G843" s="14">
        <v>172.8</v>
      </c>
      <c r="H843" s="133"/>
      <c r="I843" s="133">
        <v>12.7</v>
      </c>
      <c r="J843" s="133">
        <v>15.7</v>
      </c>
      <c r="K843" s="135">
        <v>40684</v>
      </c>
      <c r="L843" s="135" t="s">
        <v>4349</v>
      </c>
      <c r="M843" s="135" t="s">
        <v>1756</v>
      </c>
      <c r="N843" s="135"/>
    </row>
    <row r="844" spans="3:14" x14ac:dyDescent="0.2">
      <c r="C844" t="s">
        <v>3498</v>
      </c>
      <c r="G844" s="14">
        <v>81.349999999999994</v>
      </c>
      <c r="H844" s="133"/>
      <c r="I844" s="133">
        <v>16.91</v>
      </c>
      <c r="J844" s="133">
        <v>5.75</v>
      </c>
      <c r="K844" s="135">
        <v>40684</v>
      </c>
      <c r="L844" s="135" t="s">
        <v>3207</v>
      </c>
      <c r="M844" s="135" t="s">
        <v>1429</v>
      </c>
      <c r="N844" s="135"/>
    </row>
    <row r="845" spans="3:14" x14ac:dyDescent="0.2">
      <c r="C845" t="s">
        <v>4350</v>
      </c>
      <c r="G845" s="14">
        <v>100.8</v>
      </c>
      <c r="H845" s="133"/>
      <c r="I845" s="133">
        <v>19.37</v>
      </c>
      <c r="J845" s="133">
        <v>5.01</v>
      </c>
      <c r="K845" s="135">
        <v>40684</v>
      </c>
      <c r="L845" s="135" t="s">
        <v>2800</v>
      </c>
      <c r="M845" s="135" t="s">
        <v>2995</v>
      </c>
      <c r="N845" s="135"/>
    </row>
    <row r="846" spans="3:14" x14ac:dyDescent="0.2">
      <c r="C846" t="s">
        <v>4661</v>
      </c>
      <c r="G846" s="14">
        <v>74.7</v>
      </c>
      <c r="H846" s="133">
        <v>2.68</v>
      </c>
      <c r="I846" s="133">
        <v>15.46</v>
      </c>
      <c r="J846" s="133">
        <v>10.83</v>
      </c>
      <c r="K846" s="135">
        <v>40684</v>
      </c>
      <c r="L846" s="135" t="s">
        <v>3208</v>
      </c>
      <c r="M846" s="135" t="s">
        <v>2417</v>
      </c>
      <c r="N846" s="135"/>
    </row>
    <row r="847" spans="3:14" x14ac:dyDescent="0.2">
      <c r="C847" t="s">
        <v>2801</v>
      </c>
      <c r="G847" s="14">
        <v>40.549999999999997</v>
      </c>
      <c r="H847" s="133">
        <v>3.64</v>
      </c>
      <c r="I847" s="133">
        <v>6.33</v>
      </c>
      <c r="J847" s="133">
        <v>6.21</v>
      </c>
      <c r="K847" s="135">
        <v>40684</v>
      </c>
      <c r="L847" s="135" t="s">
        <v>2802</v>
      </c>
      <c r="M847" s="135" t="s">
        <v>2418</v>
      </c>
      <c r="N847" s="135"/>
    </row>
    <row r="848" spans="3:14" x14ac:dyDescent="0.2">
      <c r="C848" t="s">
        <v>3412</v>
      </c>
      <c r="D848">
        <v>22.68</v>
      </c>
      <c r="E848">
        <v>28.9</v>
      </c>
      <c r="F848">
        <v>31.48</v>
      </c>
      <c r="G848" s="14">
        <v>273.95</v>
      </c>
      <c r="H848" s="133">
        <v>6.02</v>
      </c>
      <c r="I848" s="133">
        <v>18.84</v>
      </c>
      <c r="J848" s="133">
        <v>13.98</v>
      </c>
      <c r="K848" s="135">
        <v>40684</v>
      </c>
      <c r="L848" s="135" t="s">
        <v>2803</v>
      </c>
      <c r="M848" s="135" t="s">
        <v>1765</v>
      </c>
      <c r="N848" s="135" t="s">
        <v>5431</v>
      </c>
    </row>
    <row r="849" spans="3:14" x14ac:dyDescent="0.2">
      <c r="C849" t="s">
        <v>3499</v>
      </c>
      <c r="G849" s="14">
        <v>38.5</v>
      </c>
      <c r="H849" s="133"/>
      <c r="I849" s="133">
        <v>-19.079999999999998</v>
      </c>
      <c r="J849" s="133">
        <v>13.92</v>
      </c>
      <c r="K849" s="135">
        <v>40684</v>
      </c>
      <c r="L849" s="135" t="s">
        <v>2061</v>
      </c>
      <c r="M849" s="135" t="s">
        <v>1429</v>
      </c>
      <c r="N849" s="135"/>
    </row>
    <row r="850" spans="3:14" x14ac:dyDescent="0.2">
      <c r="C850" t="s">
        <v>5351</v>
      </c>
      <c r="G850" s="14">
        <v>284.75</v>
      </c>
      <c r="H850" s="133"/>
      <c r="I850" s="133">
        <v>19.28</v>
      </c>
      <c r="J850" s="133">
        <v>21.35</v>
      </c>
      <c r="K850" s="135">
        <v>40684</v>
      </c>
      <c r="L850" s="135" t="s">
        <v>1570</v>
      </c>
      <c r="M850" s="135"/>
      <c r="N850" s="135"/>
    </row>
    <row r="851" spans="3:14" x14ac:dyDescent="0.2">
      <c r="C851" t="s">
        <v>11</v>
      </c>
      <c r="G851" s="14">
        <v>80.2</v>
      </c>
      <c r="H851" s="133"/>
      <c r="I851" s="133">
        <v>21.71</v>
      </c>
      <c r="J851" s="133">
        <v>8.23</v>
      </c>
      <c r="K851" s="135">
        <v>40684</v>
      </c>
      <c r="L851" s="135" t="s">
        <v>2062</v>
      </c>
      <c r="M851" s="135" t="s">
        <v>2994</v>
      </c>
      <c r="N851" s="135"/>
    </row>
    <row r="852" spans="3:14" x14ac:dyDescent="0.2">
      <c r="C852" t="s">
        <v>2804</v>
      </c>
      <c r="D852">
        <v>-78.599999999999994</v>
      </c>
      <c r="E852">
        <v>16.14</v>
      </c>
      <c r="F852">
        <v>19.87</v>
      </c>
      <c r="G852" s="14">
        <v>283.89999999999998</v>
      </c>
      <c r="H852" s="133"/>
      <c r="K852" s="135">
        <v>40684</v>
      </c>
      <c r="L852" s="135" t="s">
        <v>4209</v>
      </c>
      <c r="M852" s="135" t="s">
        <v>659</v>
      </c>
      <c r="N852" s="135"/>
    </row>
    <row r="853" spans="3:14" x14ac:dyDescent="0.2">
      <c r="C853" t="s">
        <v>1802</v>
      </c>
      <c r="D853">
        <v>45.29</v>
      </c>
      <c r="E853">
        <v>61.22</v>
      </c>
      <c r="F853">
        <v>70.7</v>
      </c>
      <c r="G853" s="14">
        <v>338.7</v>
      </c>
      <c r="H853" s="133"/>
      <c r="I853" s="133">
        <v>15.49</v>
      </c>
      <c r="J853" s="133">
        <v>6.58</v>
      </c>
      <c r="K853" s="135">
        <v>40684</v>
      </c>
      <c r="L853" s="135" t="s">
        <v>4718</v>
      </c>
      <c r="M853" s="135" t="s">
        <v>660</v>
      </c>
      <c r="N853" s="135"/>
    </row>
    <row r="854" spans="3:14" x14ac:dyDescent="0.2">
      <c r="C854" t="s">
        <v>12</v>
      </c>
      <c r="G854" s="14">
        <v>29.9</v>
      </c>
      <c r="H854" s="133"/>
      <c r="I854" s="133">
        <v>7.62</v>
      </c>
      <c r="J854" s="133">
        <v>24</v>
      </c>
      <c r="K854" s="135">
        <v>40684</v>
      </c>
      <c r="L854" s="135" t="s">
        <v>2063</v>
      </c>
      <c r="M854" s="135" t="s">
        <v>2425</v>
      </c>
      <c r="N854" s="135"/>
    </row>
    <row r="855" spans="3:14" x14ac:dyDescent="0.2">
      <c r="C855" t="s">
        <v>3500</v>
      </c>
      <c r="G855" s="14">
        <v>3.8</v>
      </c>
      <c r="H855" s="133"/>
      <c r="K855" s="135">
        <v>40684</v>
      </c>
      <c r="L855" s="135" t="s">
        <v>2767</v>
      </c>
      <c r="M855" s="135" t="s">
        <v>1429</v>
      </c>
      <c r="N855" s="135"/>
    </row>
    <row r="856" spans="3:14" x14ac:dyDescent="0.2">
      <c r="C856" t="s">
        <v>1803</v>
      </c>
      <c r="D856">
        <v>8.26</v>
      </c>
      <c r="E856">
        <v>6.6</v>
      </c>
      <c r="F856">
        <v>9</v>
      </c>
      <c r="G856" s="14">
        <v>58</v>
      </c>
      <c r="H856" s="133"/>
      <c r="I856" s="133">
        <v>20.41</v>
      </c>
      <c r="J856" s="133">
        <v>7.84</v>
      </c>
      <c r="K856" s="135">
        <v>40684</v>
      </c>
      <c r="L856" s="135" t="s">
        <v>119</v>
      </c>
      <c r="M856" s="135" t="s">
        <v>2420</v>
      </c>
      <c r="N856" s="135"/>
    </row>
    <row r="857" spans="3:14" x14ac:dyDescent="0.2">
      <c r="C857" t="s">
        <v>1901</v>
      </c>
      <c r="G857" s="14">
        <v>80.25</v>
      </c>
      <c r="H857" s="133"/>
      <c r="I857" s="133">
        <v>15.31</v>
      </c>
      <c r="J857" s="133">
        <v>5.77</v>
      </c>
      <c r="K857" s="135">
        <v>40684</v>
      </c>
      <c r="L857" s="135" t="s">
        <v>1902</v>
      </c>
      <c r="M857" s="135" t="s">
        <v>2420</v>
      </c>
      <c r="N857" s="135"/>
    </row>
    <row r="858" spans="3:14" x14ac:dyDescent="0.2">
      <c r="C858" t="s">
        <v>13</v>
      </c>
      <c r="G858" s="14">
        <v>11.54</v>
      </c>
      <c r="H858" s="133"/>
      <c r="I858" s="133">
        <v>11.22</v>
      </c>
      <c r="J858" s="133">
        <v>3.93</v>
      </c>
      <c r="K858" s="135">
        <v>40684</v>
      </c>
      <c r="L858" s="135" t="s">
        <v>4095</v>
      </c>
      <c r="M858" s="135" t="s">
        <v>2427</v>
      </c>
      <c r="N858" s="135"/>
    </row>
    <row r="859" spans="3:14" x14ac:dyDescent="0.2">
      <c r="C859" t="s">
        <v>14</v>
      </c>
      <c r="G859" s="14">
        <v>28</v>
      </c>
      <c r="H859" s="133"/>
      <c r="I859" s="133">
        <v>-115.89</v>
      </c>
      <c r="J859" s="133">
        <v>0</v>
      </c>
      <c r="K859" s="135">
        <v>40684</v>
      </c>
      <c r="L859" s="135" t="s">
        <v>1687</v>
      </c>
      <c r="M859" s="135" t="s">
        <v>2427</v>
      </c>
      <c r="N859" s="135"/>
    </row>
    <row r="860" spans="3:14" x14ac:dyDescent="0.2">
      <c r="C860" t="s">
        <v>1903</v>
      </c>
      <c r="G860" s="14">
        <v>2.71</v>
      </c>
      <c r="H860" s="133"/>
      <c r="I860" s="133">
        <v>3.72</v>
      </c>
      <c r="J860" s="133">
        <v>0</v>
      </c>
      <c r="K860" s="135">
        <v>40684</v>
      </c>
      <c r="L860" s="135" t="s">
        <v>4964</v>
      </c>
      <c r="M860" s="135" t="s">
        <v>2994</v>
      </c>
      <c r="N860" s="135"/>
    </row>
    <row r="861" spans="3:14" x14ac:dyDescent="0.2">
      <c r="C861" t="s">
        <v>15</v>
      </c>
      <c r="G861" s="14">
        <v>12.4</v>
      </c>
      <c r="H861" s="133"/>
      <c r="I861" s="133">
        <v>-12.03</v>
      </c>
      <c r="J861" s="133">
        <v>0</v>
      </c>
      <c r="K861" s="135">
        <v>40684</v>
      </c>
      <c r="L861" s="135" t="s">
        <v>1688</v>
      </c>
      <c r="M861" s="135" t="s">
        <v>2944</v>
      </c>
      <c r="N861" s="135"/>
    </row>
    <row r="862" spans="3:14" x14ac:dyDescent="0.2">
      <c r="C862" t="s">
        <v>4210</v>
      </c>
      <c r="D862">
        <v>10.15</v>
      </c>
      <c r="E862">
        <v>16.100000000000001</v>
      </c>
      <c r="F862">
        <v>18.3</v>
      </c>
      <c r="G862" s="14">
        <v>181.8</v>
      </c>
      <c r="H862" s="133"/>
      <c r="I862" s="133">
        <v>2.62</v>
      </c>
      <c r="J862" s="133">
        <v>8.24</v>
      </c>
      <c r="K862" s="135">
        <v>40684</v>
      </c>
      <c r="L862" s="135" t="s">
        <v>1153</v>
      </c>
      <c r="M862" s="135" t="s">
        <v>659</v>
      </c>
      <c r="N862" s="135"/>
    </row>
    <row r="863" spans="3:14" x14ac:dyDescent="0.2">
      <c r="C863" t="s">
        <v>3206</v>
      </c>
      <c r="H863" s="133">
        <v>0.31</v>
      </c>
      <c r="I863" s="133">
        <v>4.82</v>
      </c>
      <c r="J863" s="133">
        <v>31.26</v>
      </c>
      <c r="K863" s="135">
        <v>40684</v>
      </c>
      <c r="L863" s="135" t="s">
        <v>120</v>
      </c>
      <c r="M863" s="135" t="s">
        <v>2416</v>
      </c>
      <c r="N863" s="135"/>
    </row>
    <row r="864" spans="3:14" x14ac:dyDescent="0.2">
      <c r="C864" t="s">
        <v>3501</v>
      </c>
      <c r="G864" s="14">
        <v>10.35</v>
      </c>
      <c r="H864" s="133"/>
      <c r="I864" s="133">
        <v>3.6</v>
      </c>
      <c r="J864" s="133">
        <v>41.75</v>
      </c>
      <c r="K864" s="135">
        <v>40684</v>
      </c>
      <c r="L864" s="135" t="s">
        <v>5359</v>
      </c>
      <c r="M864" s="135" t="s">
        <v>2942</v>
      </c>
      <c r="N864" s="135"/>
    </row>
    <row r="865" spans="3:14" x14ac:dyDescent="0.2">
      <c r="C865" t="s">
        <v>16</v>
      </c>
      <c r="G865" s="14">
        <v>11.16</v>
      </c>
      <c r="H865" s="133"/>
      <c r="I865" s="133">
        <v>2.7</v>
      </c>
      <c r="J865" s="133">
        <v>28.83</v>
      </c>
      <c r="K865" s="135">
        <v>40684</v>
      </c>
      <c r="L865" s="135" t="s">
        <v>1689</v>
      </c>
      <c r="M865" s="135" t="s">
        <v>2994</v>
      </c>
      <c r="N865" s="135"/>
    </row>
    <row r="866" spans="3:14" x14ac:dyDescent="0.2">
      <c r="C866" t="s">
        <v>1804</v>
      </c>
      <c r="G866" s="14">
        <v>3.95</v>
      </c>
      <c r="H866" s="133"/>
      <c r="I866" s="133">
        <v>0.14000000000000001</v>
      </c>
      <c r="J866" s="133">
        <v>0</v>
      </c>
      <c r="K866" s="135">
        <v>40684</v>
      </c>
      <c r="L866" s="135" t="s">
        <v>121</v>
      </c>
      <c r="M866" s="135" t="s">
        <v>1763</v>
      </c>
      <c r="N866" s="135"/>
    </row>
    <row r="867" spans="3:14" x14ac:dyDescent="0.2">
      <c r="C867" t="s">
        <v>3502</v>
      </c>
      <c r="G867" s="14">
        <v>41.8</v>
      </c>
      <c r="H867" s="133"/>
      <c r="I867" s="133">
        <v>3.76</v>
      </c>
      <c r="J867" s="133">
        <v>13.59</v>
      </c>
      <c r="K867" s="135">
        <v>40684</v>
      </c>
      <c r="L867" s="135" t="s">
        <v>5360</v>
      </c>
      <c r="M867" s="135"/>
      <c r="N867" s="135"/>
    </row>
    <row r="868" spans="3:14" x14ac:dyDescent="0.2">
      <c r="C868" t="s">
        <v>17</v>
      </c>
      <c r="G868" s="14">
        <v>112.65</v>
      </c>
      <c r="H868" s="133"/>
      <c r="I868" s="133">
        <v>8.68</v>
      </c>
      <c r="J868" s="133">
        <v>32.74</v>
      </c>
      <c r="K868" s="135">
        <v>40684</v>
      </c>
      <c r="L868" s="135" t="s">
        <v>1690</v>
      </c>
      <c r="M868" s="135" t="s">
        <v>659</v>
      </c>
      <c r="N868" s="135"/>
    </row>
    <row r="869" spans="3:14" x14ac:dyDescent="0.2">
      <c r="C869" t="s">
        <v>18</v>
      </c>
      <c r="G869" s="14">
        <v>0.55000000000000004</v>
      </c>
      <c r="H869" s="133"/>
      <c r="I869" s="133">
        <v>4.47</v>
      </c>
      <c r="J869" s="133">
        <v>9.0399999999999991</v>
      </c>
      <c r="K869" s="135">
        <v>40684</v>
      </c>
      <c r="L869" s="135" t="s">
        <v>1691</v>
      </c>
      <c r="M869" s="135" t="s">
        <v>2994</v>
      </c>
      <c r="N869" s="135"/>
    </row>
    <row r="870" spans="3:14" x14ac:dyDescent="0.2">
      <c r="C870" t="s">
        <v>19</v>
      </c>
      <c r="G870" s="14">
        <v>2.0499999999999998</v>
      </c>
      <c r="H870" s="133"/>
      <c r="I870" s="133">
        <v>149.88999999999999</v>
      </c>
      <c r="J870" s="133">
        <v>93.36</v>
      </c>
      <c r="K870" s="135">
        <v>40684</v>
      </c>
      <c r="L870" s="135" t="s">
        <v>1692</v>
      </c>
      <c r="M870" s="135" t="s">
        <v>2994</v>
      </c>
      <c r="N870" s="135"/>
    </row>
    <row r="871" spans="3:14" x14ac:dyDescent="0.2">
      <c r="C871" t="s">
        <v>5353</v>
      </c>
      <c r="D871">
        <v>46.44</v>
      </c>
      <c r="E871">
        <v>38.950000000000003</v>
      </c>
      <c r="F871">
        <v>42.25</v>
      </c>
      <c r="G871" s="14">
        <v>323.39999999999998</v>
      </c>
      <c r="H871" s="133"/>
      <c r="I871" s="133">
        <v>17.03</v>
      </c>
      <c r="J871" s="133">
        <v>6.6</v>
      </c>
      <c r="K871" s="135">
        <v>40684</v>
      </c>
      <c r="L871" s="135" t="s">
        <v>2918</v>
      </c>
      <c r="M871" s="135" t="s">
        <v>1429</v>
      </c>
      <c r="N871" s="135"/>
    </row>
    <row r="872" spans="3:14" x14ac:dyDescent="0.2">
      <c r="C872" t="s">
        <v>5354</v>
      </c>
      <c r="D872">
        <v>30.21</v>
      </c>
      <c r="E872">
        <v>20.350000000000001</v>
      </c>
      <c r="F872">
        <v>26.7</v>
      </c>
      <c r="G872" s="14">
        <v>136.69999999999999</v>
      </c>
      <c r="H872" s="133"/>
      <c r="I872" s="133">
        <v>10</v>
      </c>
      <c r="J872" s="133">
        <v>9.5299999999999994</v>
      </c>
      <c r="K872" s="135">
        <v>40684</v>
      </c>
      <c r="L872" s="135" t="s">
        <v>122</v>
      </c>
      <c r="M872" s="135" t="s">
        <v>1755</v>
      </c>
      <c r="N872" s="135"/>
    </row>
    <row r="873" spans="3:14" x14ac:dyDescent="0.2">
      <c r="C873" t="s">
        <v>4965</v>
      </c>
      <c r="G873" s="14">
        <v>3.2</v>
      </c>
      <c r="H873" s="133"/>
      <c r="K873" s="135">
        <v>40684</v>
      </c>
      <c r="L873" s="135" t="s">
        <v>1123</v>
      </c>
      <c r="M873" s="135" t="s">
        <v>3780</v>
      </c>
      <c r="N873" s="135"/>
    </row>
    <row r="874" spans="3:14" x14ac:dyDescent="0.2">
      <c r="C874" t="s">
        <v>4098</v>
      </c>
      <c r="G874" s="14">
        <v>46.85</v>
      </c>
      <c r="H874" s="133"/>
      <c r="K874" s="135">
        <v>40684</v>
      </c>
      <c r="L874" s="135" t="s">
        <v>1236</v>
      </c>
      <c r="M874" s="135" t="s">
        <v>2994</v>
      </c>
      <c r="N874" s="135"/>
    </row>
    <row r="875" spans="3:14" x14ac:dyDescent="0.2">
      <c r="C875" t="s">
        <v>5361</v>
      </c>
      <c r="G875" s="14">
        <v>5.8</v>
      </c>
      <c r="H875" s="133">
        <v>0.28999999999999998</v>
      </c>
      <c r="I875" s="133">
        <v>1.68</v>
      </c>
      <c r="J875" s="133">
        <v>232.15</v>
      </c>
      <c r="K875" s="135">
        <v>40684</v>
      </c>
      <c r="L875" s="135" t="s">
        <v>1461</v>
      </c>
      <c r="M875" s="135" t="s">
        <v>660</v>
      </c>
      <c r="N875" s="135"/>
    </row>
    <row r="876" spans="3:14" x14ac:dyDescent="0.2">
      <c r="C876" t="s">
        <v>4005</v>
      </c>
      <c r="E876">
        <v>52.65</v>
      </c>
      <c r="F876">
        <v>25.1</v>
      </c>
      <c r="G876" s="14">
        <v>96.5</v>
      </c>
      <c r="H876" s="133"/>
      <c r="I876" s="133">
        <v>38.75</v>
      </c>
      <c r="J876" s="133">
        <v>0</v>
      </c>
      <c r="K876" s="135">
        <v>40684</v>
      </c>
      <c r="L876" s="135" t="s">
        <v>4006</v>
      </c>
      <c r="M876" s="135" t="s">
        <v>2993</v>
      </c>
      <c r="N876" s="135"/>
    </row>
    <row r="877" spans="3:14" x14ac:dyDescent="0.2">
      <c r="C877" t="s">
        <v>4099</v>
      </c>
      <c r="G877" s="14">
        <v>0.95</v>
      </c>
      <c r="H877" s="133"/>
      <c r="I877" s="133">
        <v>0</v>
      </c>
      <c r="J877" s="133">
        <v>0</v>
      </c>
      <c r="K877" s="135">
        <v>40684</v>
      </c>
      <c r="L877" s="135" t="s">
        <v>1237</v>
      </c>
      <c r="M877" s="135" t="s">
        <v>2417</v>
      </c>
      <c r="N877" s="135"/>
    </row>
    <row r="878" spans="3:14" x14ac:dyDescent="0.2">
      <c r="C878" t="s">
        <v>3503</v>
      </c>
      <c r="G878" s="14">
        <v>1</v>
      </c>
      <c r="H878" s="133"/>
      <c r="K878" s="135">
        <v>40684</v>
      </c>
      <c r="L878" s="135" t="s">
        <v>799</v>
      </c>
      <c r="M878" s="135" t="s">
        <v>1429</v>
      </c>
      <c r="N878" s="135"/>
    </row>
    <row r="879" spans="3:14" x14ac:dyDescent="0.2">
      <c r="C879" t="s">
        <v>1124</v>
      </c>
      <c r="G879" s="14">
        <v>9.75</v>
      </c>
      <c r="H879" s="133"/>
      <c r="I879" s="133">
        <v>0</v>
      </c>
      <c r="J879" s="133">
        <v>10.72</v>
      </c>
      <c r="K879" s="135">
        <v>40684</v>
      </c>
      <c r="L879" s="135" t="s">
        <v>3475</v>
      </c>
      <c r="M879" s="135" t="s">
        <v>2417</v>
      </c>
      <c r="N879" s="135"/>
    </row>
    <row r="880" spans="3:14" x14ac:dyDescent="0.2">
      <c r="C880" t="s">
        <v>1731</v>
      </c>
      <c r="G880" s="14">
        <v>3.45</v>
      </c>
      <c r="H880" s="133"/>
      <c r="I880" s="133">
        <v>0.7</v>
      </c>
      <c r="J880" s="133">
        <v>117.29</v>
      </c>
      <c r="K880" s="135">
        <v>40684</v>
      </c>
      <c r="L880" s="135" t="s">
        <v>800</v>
      </c>
      <c r="M880" s="135" t="s">
        <v>1429</v>
      </c>
      <c r="N880" s="135"/>
    </row>
    <row r="881" spans="3:14" x14ac:dyDescent="0.2">
      <c r="C881" t="s">
        <v>137</v>
      </c>
      <c r="G881" s="14">
        <v>40.299999999999997</v>
      </c>
      <c r="H881" s="133"/>
      <c r="I881" s="133">
        <v>29.29</v>
      </c>
      <c r="J881" s="133">
        <v>6.87</v>
      </c>
      <c r="K881" s="135">
        <v>40684</v>
      </c>
      <c r="L881" s="135" t="s">
        <v>138</v>
      </c>
      <c r="M881" s="135" t="s">
        <v>2997</v>
      </c>
      <c r="N881" s="135"/>
    </row>
    <row r="882" spans="3:14" x14ac:dyDescent="0.2">
      <c r="C882" t="s">
        <v>3476</v>
      </c>
      <c r="G882" s="14">
        <v>14.4</v>
      </c>
      <c r="H882" s="133"/>
      <c r="I882" s="133">
        <v>-4.95</v>
      </c>
      <c r="J882" s="133">
        <v>47.85</v>
      </c>
      <c r="K882" s="135">
        <v>40684</v>
      </c>
      <c r="L882" s="135" t="s">
        <v>1700</v>
      </c>
      <c r="M882" s="135" t="s">
        <v>3180</v>
      </c>
      <c r="N882" s="135"/>
    </row>
    <row r="883" spans="3:14" x14ac:dyDescent="0.2">
      <c r="C883" t="s">
        <v>4007</v>
      </c>
      <c r="D883">
        <v>5.39</v>
      </c>
      <c r="E883">
        <v>7.2</v>
      </c>
      <c r="F883">
        <v>8.6999999999999993</v>
      </c>
      <c r="G883" s="14">
        <v>134.15</v>
      </c>
      <c r="H883" s="133"/>
      <c r="I883" s="133">
        <v>15.78</v>
      </c>
      <c r="J883" s="133">
        <v>16.260000000000002</v>
      </c>
      <c r="K883" s="135">
        <v>40684</v>
      </c>
      <c r="L883" s="135" t="s">
        <v>4008</v>
      </c>
      <c r="M883" s="135" t="s">
        <v>1765</v>
      </c>
      <c r="N883" s="135"/>
    </row>
    <row r="884" spans="3:14" x14ac:dyDescent="0.2">
      <c r="C884" t="s">
        <v>1387</v>
      </c>
      <c r="D884">
        <v>54.69</v>
      </c>
      <c r="E884">
        <v>62.75</v>
      </c>
      <c r="F884">
        <v>73.599999999999994</v>
      </c>
      <c r="G884" s="14">
        <v>1295.2</v>
      </c>
      <c r="H884" s="133"/>
      <c r="I884" s="133">
        <v>15.79</v>
      </c>
      <c r="J884" s="133">
        <v>17.11</v>
      </c>
      <c r="K884" s="135">
        <v>40684</v>
      </c>
      <c r="L884" s="135" t="s">
        <v>4009</v>
      </c>
      <c r="M884" s="135" t="s">
        <v>659</v>
      </c>
      <c r="N884" s="135"/>
    </row>
    <row r="885" spans="3:14" x14ac:dyDescent="0.2">
      <c r="C885" t="s">
        <v>4100</v>
      </c>
      <c r="G885" s="14">
        <v>4.29</v>
      </c>
      <c r="H885" s="133"/>
      <c r="I885" s="133">
        <v>-5.59</v>
      </c>
      <c r="J885" s="133">
        <v>0</v>
      </c>
      <c r="K885" s="135">
        <v>40684</v>
      </c>
      <c r="L885" s="135" t="s">
        <v>801</v>
      </c>
      <c r="M885" s="135" t="s">
        <v>659</v>
      </c>
      <c r="N885" s="135"/>
    </row>
    <row r="886" spans="3:14" x14ac:dyDescent="0.2">
      <c r="C886" t="s">
        <v>1321</v>
      </c>
      <c r="G886" s="14">
        <v>90.1</v>
      </c>
      <c r="H886" s="133"/>
      <c r="I886" s="133">
        <v>-1.67</v>
      </c>
      <c r="J886" s="133">
        <v>0</v>
      </c>
      <c r="K886" s="135">
        <v>40684</v>
      </c>
      <c r="L886" s="135" t="s">
        <v>802</v>
      </c>
      <c r="M886" s="135" t="s">
        <v>2418</v>
      </c>
      <c r="N886" s="135"/>
    </row>
    <row r="887" spans="3:14" x14ac:dyDescent="0.2">
      <c r="C887" t="s">
        <v>1322</v>
      </c>
      <c r="G887" s="14">
        <v>200</v>
      </c>
      <c r="H887" s="133"/>
      <c r="K887" s="135">
        <v>40684</v>
      </c>
      <c r="L887" s="135" t="s">
        <v>3196</v>
      </c>
      <c r="M887" s="135" t="s">
        <v>2994</v>
      </c>
      <c r="N887" s="135"/>
    </row>
    <row r="888" spans="3:14" x14ac:dyDescent="0.2">
      <c r="C888" t="s">
        <v>1323</v>
      </c>
      <c r="G888" s="14">
        <v>43.8</v>
      </c>
      <c r="H888" s="133">
        <v>2.2799999999999998</v>
      </c>
      <c r="I888" s="133">
        <v>20.2</v>
      </c>
      <c r="J888" s="133">
        <v>10.49</v>
      </c>
      <c r="K888" s="135">
        <v>40684</v>
      </c>
      <c r="L888" s="135" t="s">
        <v>3197</v>
      </c>
      <c r="M888" s="135" t="s">
        <v>2427</v>
      </c>
      <c r="N888" s="135"/>
    </row>
    <row r="889" spans="3:14" x14ac:dyDescent="0.2">
      <c r="C889" t="s">
        <v>1324</v>
      </c>
      <c r="G889" s="14">
        <v>8.98</v>
      </c>
      <c r="H889" s="133"/>
      <c r="I889" s="133">
        <v>282.18</v>
      </c>
      <c r="J889" s="133">
        <v>7.79</v>
      </c>
      <c r="K889" s="135">
        <v>40684</v>
      </c>
      <c r="L889" s="135" t="s">
        <v>3198</v>
      </c>
      <c r="M889" s="135" t="s">
        <v>2427</v>
      </c>
      <c r="N889" s="135"/>
    </row>
    <row r="890" spans="3:14" x14ac:dyDescent="0.2">
      <c r="C890" t="s">
        <v>1462</v>
      </c>
      <c r="G890" s="14">
        <v>152.35</v>
      </c>
      <c r="H890" s="133"/>
      <c r="I890" s="133">
        <v>31.64</v>
      </c>
      <c r="J890" s="133">
        <v>25.33</v>
      </c>
      <c r="K890" s="135">
        <v>40684</v>
      </c>
      <c r="L890" s="135" t="s">
        <v>1463</v>
      </c>
      <c r="M890" s="135"/>
      <c r="N890" s="135"/>
    </row>
    <row r="891" spans="3:14" x14ac:dyDescent="0.2">
      <c r="C891" t="s">
        <v>1701</v>
      </c>
      <c r="G891" s="14">
        <v>48.6</v>
      </c>
      <c r="H891" s="133">
        <v>2.0499999999999998</v>
      </c>
      <c r="I891" s="133">
        <v>14.72</v>
      </c>
      <c r="J891" s="133">
        <v>11.45</v>
      </c>
      <c r="K891" s="135">
        <v>40684</v>
      </c>
      <c r="L891" s="135"/>
      <c r="M891" s="135"/>
      <c r="N891" s="135"/>
    </row>
    <row r="892" spans="3:14" x14ac:dyDescent="0.2">
      <c r="C892" t="s">
        <v>1627</v>
      </c>
      <c r="G892" s="14">
        <v>76</v>
      </c>
      <c r="H892" s="133"/>
      <c r="I892" s="133">
        <v>1.81</v>
      </c>
      <c r="J892" s="133">
        <v>141.07</v>
      </c>
      <c r="K892" s="135">
        <v>40684</v>
      </c>
      <c r="L892" s="135" t="s">
        <v>3482</v>
      </c>
      <c r="M892" s="135" t="s">
        <v>1763</v>
      </c>
      <c r="N892" s="135"/>
    </row>
    <row r="893" spans="3:14" x14ac:dyDescent="0.2">
      <c r="C893" t="s">
        <v>4662</v>
      </c>
      <c r="G893" s="14">
        <v>342.25</v>
      </c>
      <c r="H893" s="133"/>
      <c r="I893" s="133">
        <v>14.63</v>
      </c>
      <c r="J893" s="133">
        <v>20.13</v>
      </c>
      <c r="K893" s="135">
        <v>40684</v>
      </c>
      <c r="L893" s="135" t="s">
        <v>1531</v>
      </c>
      <c r="M893" s="135" t="s">
        <v>659</v>
      </c>
      <c r="N893" s="135"/>
    </row>
    <row r="894" spans="3:14" x14ac:dyDescent="0.2">
      <c r="C894" t="s">
        <v>1805</v>
      </c>
      <c r="E894">
        <v>150.19999999999999</v>
      </c>
      <c r="F894">
        <v>137.69999999999999</v>
      </c>
      <c r="G894" s="14">
        <v>195.95</v>
      </c>
      <c r="H894" s="133">
        <v>4.08</v>
      </c>
      <c r="I894" s="133">
        <v>30.47</v>
      </c>
      <c r="J894" s="133">
        <v>10.45</v>
      </c>
      <c r="K894" s="135">
        <v>40684</v>
      </c>
      <c r="L894" s="135" t="s">
        <v>234</v>
      </c>
      <c r="M894" s="135" t="s">
        <v>2942</v>
      </c>
      <c r="N894" s="135"/>
    </row>
    <row r="895" spans="3:14" x14ac:dyDescent="0.2">
      <c r="C895" t="s">
        <v>3483</v>
      </c>
      <c r="G895" s="14">
        <v>4.4000000000000004</v>
      </c>
      <c r="H895" s="133"/>
      <c r="I895" s="133">
        <v>0</v>
      </c>
      <c r="J895" s="133">
        <v>2.5499999999999998</v>
      </c>
      <c r="K895" s="135">
        <v>40684</v>
      </c>
      <c r="L895" s="135" t="s">
        <v>3485</v>
      </c>
      <c r="M895" s="135" t="s">
        <v>5121</v>
      </c>
      <c r="N895" s="135"/>
    </row>
    <row r="896" spans="3:14" x14ac:dyDescent="0.2">
      <c r="C896" t="s">
        <v>3486</v>
      </c>
      <c r="G896" s="14">
        <v>2.98</v>
      </c>
      <c r="H896" s="133"/>
      <c r="K896" s="135">
        <v>40684</v>
      </c>
      <c r="L896" s="135" t="s">
        <v>3487</v>
      </c>
      <c r="M896" s="135" t="s">
        <v>3488</v>
      </c>
      <c r="N896" s="135"/>
    </row>
    <row r="897" spans="3:14" x14ac:dyDescent="0.2">
      <c r="C897" t="s">
        <v>4725</v>
      </c>
      <c r="D897">
        <v>15.34</v>
      </c>
      <c r="E897">
        <v>20.059999999999999</v>
      </c>
      <c r="F897">
        <v>22.2</v>
      </c>
      <c r="G897" s="14">
        <v>191.7</v>
      </c>
      <c r="H897" s="133"/>
      <c r="I897" s="133">
        <v>19.440000000000001</v>
      </c>
      <c r="J897" s="133">
        <v>10.14</v>
      </c>
      <c r="K897" s="135">
        <v>40684</v>
      </c>
      <c r="L897" s="135" t="s">
        <v>4010</v>
      </c>
      <c r="M897" s="135" t="s">
        <v>1429</v>
      </c>
      <c r="N897" s="135"/>
    </row>
    <row r="898" spans="3:14" x14ac:dyDescent="0.2">
      <c r="C898" t="s">
        <v>3489</v>
      </c>
      <c r="G898" s="14">
        <v>1.65</v>
      </c>
      <c r="H898" s="133"/>
      <c r="K898" s="135">
        <v>40684</v>
      </c>
      <c r="L898" s="135" t="s">
        <v>3490</v>
      </c>
      <c r="M898" s="135" t="s">
        <v>3780</v>
      </c>
      <c r="N898" s="135"/>
    </row>
    <row r="899" spans="3:14" x14ac:dyDescent="0.2">
      <c r="C899" t="s">
        <v>3491</v>
      </c>
      <c r="G899" s="14">
        <v>4.95</v>
      </c>
      <c r="H899" s="133">
        <v>4.0999999999999996</v>
      </c>
      <c r="I899" s="133">
        <v>64.709999999999994</v>
      </c>
      <c r="J899" s="133">
        <v>2.2799999999999998</v>
      </c>
      <c r="K899" s="135">
        <v>40684</v>
      </c>
      <c r="L899" s="135" t="s">
        <v>3492</v>
      </c>
      <c r="M899" s="135" t="s">
        <v>2427</v>
      </c>
      <c r="N899" s="135"/>
    </row>
    <row r="900" spans="3:14" x14ac:dyDescent="0.2">
      <c r="C900" t="s">
        <v>1464</v>
      </c>
      <c r="G900" s="14">
        <v>101</v>
      </c>
      <c r="H900" s="133">
        <v>1.49</v>
      </c>
      <c r="I900" s="133">
        <v>13.49</v>
      </c>
      <c r="J900" s="133">
        <v>22.82</v>
      </c>
      <c r="K900" s="135">
        <v>40684</v>
      </c>
      <c r="L900" s="135" t="s">
        <v>295</v>
      </c>
      <c r="M900" s="135" t="s">
        <v>1756</v>
      </c>
      <c r="N900" s="135"/>
    </row>
    <row r="901" spans="3:14" x14ac:dyDescent="0.2">
      <c r="C901" t="s">
        <v>4011</v>
      </c>
      <c r="D901">
        <v>3.27</v>
      </c>
      <c r="E901">
        <v>4.2</v>
      </c>
      <c r="F901">
        <v>5.0999999999999996</v>
      </c>
      <c r="G901" s="14">
        <v>85.05</v>
      </c>
      <c r="H901" s="133"/>
      <c r="I901" s="133">
        <v>3.73</v>
      </c>
      <c r="J901" s="133">
        <v>17.989999999999998</v>
      </c>
      <c r="K901" s="135">
        <v>40684</v>
      </c>
      <c r="L901" s="135" t="s">
        <v>235</v>
      </c>
      <c r="M901" s="135" t="s">
        <v>1756</v>
      </c>
      <c r="N901" s="135"/>
    </row>
    <row r="902" spans="3:14" x14ac:dyDescent="0.2">
      <c r="C902" t="s">
        <v>1325</v>
      </c>
      <c r="G902" s="14">
        <v>5.99</v>
      </c>
      <c r="H902" s="133"/>
      <c r="I902" s="133">
        <v>-12.41</v>
      </c>
      <c r="J902" s="133">
        <v>0</v>
      </c>
      <c r="K902" s="135">
        <v>40684</v>
      </c>
      <c r="L902" s="135" t="s">
        <v>96</v>
      </c>
      <c r="M902" s="135" t="s">
        <v>2994</v>
      </c>
      <c r="N902" s="135"/>
    </row>
    <row r="903" spans="3:14" x14ac:dyDescent="0.2">
      <c r="C903" t="s">
        <v>1806</v>
      </c>
      <c r="G903" s="14">
        <v>11.6</v>
      </c>
      <c r="H903" s="133"/>
      <c r="I903" s="133">
        <v>0.32</v>
      </c>
      <c r="J903" s="133">
        <v>323.95</v>
      </c>
      <c r="K903" s="135">
        <v>40684</v>
      </c>
      <c r="L903" s="135" t="s">
        <v>4184</v>
      </c>
      <c r="M903" s="135" t="s">
        <v>1755</v>
      </c>
      <c r="N903" s="135"/>
    </row>
    <row r="904" spans="3:14" x14ac:dyDescent="0.2">
      <c r="C904" t="s">
        <v>139</v>
      </c>
      <c r="G904" s="14">
        <v>65.349999999999994</v>
      </c>
      <c r="H904" s="133"/>
      <c r="I904" s="133">
        <v>22.54</v>
      </c>
      <c r="J904" s="133">
        <v>3.3</v>
      </c>
      <c r="K904" s="135">
        <v>40684</v>
      </c>
      <c r="L904" s="135" t="s">
        <v>140</v>
      </c>
      <c r="M904" s="135" t="s">
        <v>1758</v>
      </c>
      <c r="N904" s="135"/>
    </row>
    <row r="905" spans="3:14" x14ac:dyDescent="0.2">
      <c r="C905" t="s">
        <v>1326</v>
      </c>
      <c r="G905" s="14">
        <v>19.5</v>
      </c>
      <c r="H905" s="133"/>
      <c r="I905" s="133">
        <v>-0.11</v>
      </c>
      <c r="J905" s="133">
        <v>11.12</v>
      </c>
      <c r="K905" s="135">
        <v>40684</v>
      </c>
      <c r="L905" s="135" t="s">
        <v>97</v>
      </c>
      <c r="M905" s="135" t="s">
        <v>2417</v>
      </c>
      <c r="N905" s="135"/>
    </row>
    <row r="906" spans="3:14" x14ac:dyDescent="0.2">
      <c r="C906" t="s">
        <v>288</v>
      </c>
      <c r="G906" s="14">
        <v>23.7</v>
      </c>
      <c r="H906" s="133"/>
      <c r="K906" s="135">
        <v>40684</v>
      </c>
      <c r="L906" s="135" t="s">
        <v>98</v>
      </c>
      <c r="M906" s="135" t="s">
        <v>2427</v>
      </c>
      <c r="N906" s="135"/>
    </row>
    <row r="907" spans="3:14" x14ac:dyDescent="0.2">
      <c r="C907" t="s">
        <v>236</v>
      </c>
      <c r="G907" s="14">
        <v>19.5</v>
      </c>
      <c r="H907" s="133">
        <v>2.0699999999999998</v>
      </c>
      <c r="I907" s="133">
        <v>19.510000000000002</v>
      </c>
      <c r="J907" s="133">
        <v>6.83</v>
      </c>
      <c r="K907" s="135">
        <v>40684</v>
      </c>
      <c r="L907" s="135" t="s">
        <v>237</v>
      </c>
      <c r="M907" s="135" t="s">
        <v>2418</v>
      </c>
      <c r="N907" s="135"/>
    </row>
    <row r="908" spans="3:14" x14ac:dyDescent="0.2">
      <c r="C908" t="s">
        <v>1810</v>
      </c>
      <c r="E908">
        <v>22.91</v>
      </c>
      <c r="F908">
        <v>24.5</v>
      </c>
      <c r="G908" s="14">
        <v>129.35</v>
      </c>
      <c r="H908" s="133"/>
      <c r="I908" s="133">
        <v>11.99</v>
      </c>
      <c r="J908" s="133">
        <v>4.79</v>
      </c>
      <c r="K908" s="135">
        <v>40684</v>
      </c>
      <c r="L908" s="135" t="s">
        <v>4185</v>
      </c>
      <c r="M908" s="135" t="s">
        <v>2417</v>
      </c>
      <c r="N908" s="135"/>
    </row>
    <row r="909" spans="3:14" x14ac:dyDescent="0.2">
      <c r="C909" t="s">
        <v>289</v>
      </c>
      <c r="G909" s="14">
        <v>50.95</v>
      </c>
      <c r="H909" s="133"/>
      <c r="K909" s="135">
        <v>40684</v>
      </c>
      <c r="L909" s="135" t="s">
        <v>2086</v>
      </c>
      <c r="M909" s="135" t="s">
        <v>2995</v>
      </c>
      <c r="N909" s="135"/>
    </row>
    <row r="910" spans="3:14" x14ac:dyDescent="0.2">
      <c r="C910" t="s">
        <v>290</v>
      </c>
      <c r="G910" s="14">
        <v>174.55</v>
      </c>
      <c r="H910" s="133">
        <v>2.65</v>
      </c>
      <c r="I910" s="133">
        <v>4.75</v>
      </c>
      <c r="J910" s="133">
        <v>0</v>
      </c>
      <c r="K910" s="135">
        <v>40684</v>
      </c>
      <c r="L910" s="135" t="s">
        <v>2087</v>
      </c>
      <c r="M910" s="135" t="s">
        <v>2995</v>
      </c>
      <c r="N910" s="135"/>
    </row>
    <row r="911" spans="3:14" x14ac:dyDescent="0.2">
      <c r="C911" t="s">
        <v>296</v>
      </c>
      <c r="G911" s="14">
        <v>56.6</v>
      </c>
      <c r="H911" s="133"/>
      <c r="I911" s="133">
        <v>6.82</v>
      </c>
      <c r="J911" s="133">
        <v>61.6</v>
      </c>
      <c r="K911" s="135">
        <v>40684</v>
      </c>
      <c r="L911" s="135" t="s">
        <v>297</v>
      </c>
      <c r="M911" s="135"/>
      <c r="N911" s="135"/>
    </row>
    <row r="912" spans="3:14" x14ac:dyDescent="0.2">
      <c r="C912" t="s">
        <v>1811</v>
      </c>
      <c r="G912" s="14">
        <v>36.049999999999997</v>
      </c>
      <c r="H912" s="133"/>
      <c r="I912" s="133">
        <v>35.32</v>
      </c>
      <c r="J912" s="133">
        <v>11.92</v>
      </c>
      <c r="K912" s="135">
        <v>40684</v>
      </c>
      <c r="L912" s="135" t="s">
        <v>2531</v>
      </c>
      <c r="M912" s="135" t="s">
        <v>1429</v>
      </c>
      <c r="N912" s="135" t="s">
        <v>893</v>
      </c>
    </row>
    <row r="913" spans="3:14" x14ac:dyDescent="0.2">
      <c r="C913" t="s">
        <v>291</v>
      </c>
      <c r="G913" s="14">
        <v>15.85</v>
      </c>
      <c r="H913" s="133"/>
      <c r="I913" s="133">
        <v>-2.4700000000000002</v>
      </c>
      <c r="J913" s="133">
        <v>0</v>
      </c>
      <c r="K913" s="135">
        <v>40684</v>
      </c>
      <c r="L913" s="135" t="s">
        <v>2088</v>
      </c>
      <c r="M913" s="135" t="s">
        <v>2944</v>
      </c>
      <c r="N913" s="135"/>
    </row>
    <row r="914" spans="3:14" x14ac:dyDescent="0.2">
      <c r="C914" t="s">
        <v>238</v>
      </c>
      <c r="D914">
        <v>55.38</v>
      </c>
      <c r="E914">
        <v>77.25</v>
      </c>
      <c r="F914">
        <v>85.6</v>
      </c>
      <c r="G914" s="14">
        <v>1970.05</v>
      </c>
      <c r="H914" s="133">
        <v>1.1399999999999999</v>
      </c>
      <c r="I914" s="133">
        <v>33.97</v>
      </c>
      <c r="J914" s="133">
        <v>35.75</v>
      </c>
      <c r="K914" s="135">
        <v>40684</v>
      </c>
      <c r="L914" s="135" t="s">
        <v>239</v>
      </c>
      <c r="M914" s="135" t="s">
        <v>2416</v>
      </c>
      <c r="N914" s="135"/>
    </row>
    <row r="915" spans="3:14" x14ac:dyDescent="0.2">
      <c r="C915" t="s">
        <v>298</v>
      </c>
      <c r="G915" s="14">
        <v>38.15</v>
      </c>
      <c r="H915" s="133">
        <v>0.52</v>
      </c>
      <c r="I915" s="133">
        <v>3.77</v>
      </c>
      <c r="J915" s="133">
        <v>15.45</v>
      </c>
      <c r="K915" s="135">
        <v>40684</v>
      </c>
      <c r="L915" s="135" t="s">
        <v>4871</v>
      </c>
      <c r="M915" s="135"/>
      <c r="N915" s="135"/>
    </row>
    <row r="916" spans="3:14" x14ac:dyDescent="0.2">
      <c r="C916" t="s">
        <v>292</v>
      </c>
      <c r="G916" s="14">
        <v>1.32</v>
      </c>
      <c r="H916" s="133"/>
      <c r="I916" s="133">
        <v>1.8</v>
      </c>
      <c r="J916" s="133">
        <v>24.88</v>
      </c>
      <c r="K916" s="135">
        <v>40684</v>
      </c>
      <c r="L916" s="135" t="s">
        <v>1327</v>
      </c>
      <c r="M916" s="135" t="s">
        <v>659</v>
      </c>
      <c r="N916" s="135"/>
    </row>
    <row r="917" spans="3:14" x14ac:dyDescent="0.2">
      <c r="C917" t="s">
        <v>293</v>
      </c>
      <c r="G917" s="14">
        <v>55.2</v>
      </c>
      <c r="H917" s="133"/>
      <c r="K917" s="135">
        <v>40684</v>
      </c>
      <c r="L917" s="135" t="s">
        <v>1328</v>
      </c>
      <c r="M917" s="135" t="s">
        <v>1429</v>
      </c>
      <c r="N917" s="135"/>
    </row>
    <row r="918" spans="3:14" x14ac:dyDescent="0.2">
      <c r="C918" t="s">
        <v>1812</v>
      </c>
      <c r="D918">
        <v>24.75</v>
      </c>
      <c r="E918">
        <v>18.2</v>
      </c>
      <c r="F918">
        <v>20.04</v>
      </c>
      <c r="G918" s="14">
        <v>72.150000000000006</v>
      </c>
      <c r="H918" s="133"/>
      <c r="I918" s="133">
        <v>10.53</v>
      </c>
      <c r="J918" s="133">
        <v>5.0999999999999996</v>
      </c>
      <c r="K918" s="135">
        <v>40684</v>
      </c>
      <c r="L918" s="135" t="s">
        <v>2532</v>
      </c>
      <c r="M918" s="135" t="s">
        <v>2997</v>
      </c>
      <c r="N918" s="135"/>
    </row>
    <row r="919" spans="3:14" x14ac:dyDescent="0.2">
      <c r="C919" t="s">
        <v>825</v>
      </c>
      <c r="G919" s="14">
        <v>84.85</v>
      </c>
      <c r="H919" s="133"/>
      <c r="I919" s="133">
        <v>0.02</v>
      </c>
      <c r="J919" s="133">
        <v>11.14</v>
      </c>
      <c r="K919" s="135">
        <v>40684</v>
      </c>
      <c r="L919" s="135" t="s">
        <v>1245</v>
      </c>
      <c r="M919" s="135" t="s">
        <v>2994</v>
      </c>
      <c r="N919" s="135"/>
    </row>
    <row r="920" spans="3:14" x14ac:dyDescent="0.2">
      <c r="C920" t="s">
        <v>2280</v>
      </c>
      <c r="D920">
        <v>119.01</v>
      </c>
      <c r="E920">
        <v>139.85</v>
      </c>
      <c r="F920">
        <v>171.1</v>
      </c>
      <c r="G920" s="14">
        <v>1033.55</v>
      </c>
      <c r="H920" s="133"/>
      <c r="I920" s="133">
        <v>24.04</v>
      </c>
      <c r="J920" s="133">
        <v>7.41</v>
      </c>
      <c r="K920" s="135">
        <v>40684</v>
      </c>
      <c r="L920" s="135" t="s">
        <v>141</v>
      </c>
      <c r="M920" s="135" t="s">
        <v>660</v>
      </c>
      <c r="N920" s="135"/>
    </row>
    <row r="921" spans="3:14" x14ac:dyDescent="0.2">
      <c r="C921" t="s">
        <v>471</v>
      </c>
      <c r="D921">
        <v>6.64</v>
      </c>
      <c r="E921">
        <v>2.6</v>
      </c>
      <c r="F921">
        <v>5.65</v>
      </c>
      <c r="G921" s="14">
        <v>56.85</v>
      </c>
      <c r="H921" s="133">
        <v>0.26</v>
      </c>
      <c r="I921" s="133">
        <v>4.33</v>
      </c>
      <c r="J921" s="133">
        <v>5.13</v>
      </c>
      <c r="K921" s="135">
        <v>40684</v>
      </c>
      <c r="L921" s="135" t="s">
        <v>2533</v>
      </c>
      <c r="M921" s="135" t="s">
        <v>3180</v>
      </c>
      <c r="N921" s="135" t="s">
        <v>5424</v>
      </c>
    </row>
    <row r="922" spans="3:14" x14ac:dyDescent="0.2">
      <c r="C922" t="s">
        <v>240</v>
      </c>
      <c r="G922" s="14">
        <v>95.5</v>
      </c>
      <c r="H922" s="133"/>
      <c r="K922" s="135">
        <v>40684</v>
      </c>
      <c r="L922" s="135" t="s">
        <v>241</v>
      </c>
      <c r="M922" s="135" t="s">
        <v>2418</v>
      </c>
      <c r="N922" s="135"/>
    </row>
    <row r="923" spans="3:14" x14ac:dyDescent="0.2">
      <c r="C923" t="s">
        <v>4663</v>
      </c>
      <c r="G923" s="14">
        <v>96.05</v>
      </c>
      <c r="H923" s="133"/>
      <c r="I923" s="133">
        <v>9.59</v>
      </c>
      <c r="J923" s="133">
        <v>24.26</v>
      </c>
      <c r="K923" s="135">
        <v>40684</v>
      </c>
      <c r="L923" s="135" t="s">
        <v>2535</v>
      </c>
      <c r="M923" s="135" t="s">
        <v>1755</v>
      </c>
      <c r="N923" s="135"/>
    </row>
    <row r="924" spans="3:14" x14ac:dyDescent="0.2">
      <c r="C924" t="s">
        <v>242</v>
      </c>
      <c r="D924">
        <v>0.56999999999999995</v>
      </c>
      <c r="E924">
        <v>5.25</v>
      </c>
      <c r="F924">
        <v>9.75</v>
      </c>
      <c r="G924" s="14">
        <v>98.7</v>
      </c>
      <c r="H924" s="133">
        <v>1.01</v>
      </c>
      <c r="I924" s="133">
        <v>-0.04</v>
      </c>
      <c r="J924" s="133">
        <v>1038.3599999999999</v>
      </c>
      <c r="K924" s="135">
        <v>40684</v>
      </c>
      <c r="L924" s="135" t="s">
        <v>243</v>
      </c>
      <c r="M924" s="135" t="s">
        <v>2944</v>
      </c>
      <c r="N924" s="135"/>
    </row>
    <row r="925" spans="3:14" x14ac:dyDescent="0.2">
      <c r="C925" t="s">
        <v>4116</v>
      </c>
      <c r="G925" s="14">
        <v>10</v>
      </c>
      <c r="H925" s="133"/>
      <c r="K925" s="135">
        <v>40684</v>
      </c>
      <c r="L925" s="135" t="s">
        <v>1246</v>
      </c>
      <c r="M925" s="135" t="s">
        <v>2944</v>
      </c>
      <c r="N925" s="135"/>
    </row>
    <row r="926" spans="3:14" x14ac:dyDescent="0.2">
      <c r="C926" t="s">
        <v>142</v>
      </c>
      <c r="G926" s="14">
        <v>137.05000000000001</v>
      </c>
      <c r="H926" s="133"/>
      <c r="I926" s="133">
        <v>6.57</v>
      </c>
      <c r="J926" s="133">
        <v>24.97</v>
      </c>
      <c r="K926" s="135">
        <v>40684</v>
      </c>
      <c r="L926" s="135" t="s">
        <v>4246</v>
      </c>
      <c r="M926" s="135" t="s">
        <v>2415</v>
      </c>
      <c r="N926" s="135"/>
    </row>
    <row r="927" spans="3:14" x14ac:dyDescent="0.2">
      <c r="C927" t="s">
        <v>4117</v>
      </c>
      <c r="G927" s="14">
        <v>219.45</v>
      </c>
      <c r="H927" s="133">
        <v>1.37</v>
      </c>
      <c r="I927" s="133">
        <v>3.08</v>
      </c>
      <c r="J927" s="133">
        <v>12.44</v>
      </c>
      <c r="K927" s="135">
        <v>40684</v>
      </c>
      <c r="L927" s="135" t="s">
        <v>1247</v>
      </c>
      <c r="M927" s="135" t="s">
        <v>2997</v>
      </c>
      <c r="N927" s="135"/>
    </row>
    <row r="928" spans="3:14" x14ac:dyDescent="0.2">
      <c r="C928" t="s">
        <v>472</v>
      </c>
      <c r="G928" s="14">
        <v>67.150000000000006</v>
      </c>
      <c r="H928" s="133"/>
      <c r="K928" s="135">
        <v>40684</v>
      </c>
      <c r="L928" s="135" t="s">
        <v>3469</v>
      </c>
      <c r="M928" s="135" t="s">
        <v>2419</v>
      </c>
      <c r="N928" s="135"/>
    </row>
    <row r="929" spans="3:14" x14ac:dyDescent="0.2">
      <c r="C929" t="s">
        <v>2881</v>
      </c>
      <c r="G929" s="14">
        <v>10.029999999999999</v>
      </c>
      <c r="H929" s="133"/>
      <c r="I929" s="133">
        <v>0</v>
      </c>
      <c r="J929" s="133">
        <v>0</v>
      </c>
      <c r="K929" s="135">
        <v>40684</v>
      </c>
      <c r="L929" s="135" t="s">
        <v>2882</v>
      </c>
      <c r="M929" s="135" t="s">
        <v>2416</v>
      </c>
      <c r="N929" s="135"/>
    </row>
    <row r="930" spans="3:14" x14ac:dyDescent="0.2">
      <c r="C930" t="s">
        <v>4118</v>
      </c>
      <c r="G930" s="14">
        <v>12.15</v>
      </c>
      <c r="H930" s="133">
        <v>2.5</v>
      </c>
      <c r="I930" s="133">
        <v>-3.97</v>
      </c>
      <c r="J930" s="133">
        <v>9.0399999999999991</v>
      </c>
      <c r="K930" s="135">
        <v>40684</v>
      </c>
      <c r="L930" s="135" t="s">
        <v>1248</v>
      </c>
      <c r="M930" s="135" t="s">
        <v>2994</v>
      </c>
      <c r="N930" s="135"/>
    </row>
    <row r="931" spans="3:14" x14ac:dyDescent="0.2">
      <c r="C931" t="s">
        <v>4119</v>
      </c>
      <c r="G931" s="14">
        <v>139.80000000000001</v>
      </c>
      <c r="H931" s="133"/>
      <c r="I931" s="133">
        <v>13.56</v>
      </c>
      <c r="J931" s="133">
        <v>2.64</v>
      </c>
      <c r="K931" s="135">
        <v>40684</v>
      </c>
      <c r="L931" s="135" t="s">
        <v>2043</v>
      </c>
      <c r="M931" s="135" t="s">
        <v>2994</v>
      </c>
      <c r="N931" s="135"/>
    </row>
    <row r="932" spans="3:14" x14ac:dyDescent="0.2">
      <c r="C932" t="s">
        <v>4120</v>
      </c>
      <c r="G932" s="14">
        <v>48.4</v>
      </c>
      <c r="H932" s="133"/>
      <c r="I932" s="133">
        <v>29.43</v>
      </c>
      <c r="J932" s="133">
        <v>0</v>
      </c>
      <c r="K932" s="135">
        <v>40684</v>
      </c>
      <c r="L932" s="135" t="s">
        <v>2044</v>
      </c>
      <c r="M932" s="135" t="s">
        <v>2427</v>
      </c>
      <c r="N932" s="135"/>
    </row>
    <row r="933" spans="3:14" x14ac:dyDescent="0.2">
      <c r="C933" t="s">
        <v>473</v>
      </c>
      <c r="D933">
        <v>58.98</v>
      </c>
      <c r="E933">
        <v>69.67</v>
      </c>
      <c r="F933">
        <v>84.9</v>
      </c>
      <c r="G933" s="14">
        <v>1372.65</v>
      </c>
      <c r="H933" s="133"/>
      <c r="I933" s="133">
        <v>25.17</v>
      </c>
      <c r="J933" s="133">
        <v>21.16</v>
      </c>
      <c r="K933" s="135">
        <v>40684</v>
      </c>
      <c r="L933" s="135" t="s">
        <v>3470</v>
      </c>
      <c r="M933" s="135" t="s">
        <v>1759</v>
      </c>
      <c r="N933" s="135"/>
    </row>
    <row r="934" spans="3:14" x14ac:dyDescent="0.2">
      <c r="C934" t="s">
        <v>1732</v>
      </c>
      <c r="G934" s="14">
        <v>17.5</v>
      </c>
      <c r="H934" s="133"/>
      <c r="I934" s="133">
        <v>8.0299999999999994</v>
      </c>
      <c r="J934" s="133">
        <v>1.39</v>
      </c>
      <c r="K934" s="135">
        <v>40684</v>
      </c>
      <c r="L934" s="135" t="s">
        <v>143</v>
      </c>
      <c r="M934" s="135" t="s">
        <v>2997</v>
      </c>
      <c r="N934" s="135"/>
    </row>
    <row r="935" spans="3:14" x14ac:dyDescent="0.2">
      <c r="C935" t="s">
        <v>4121</v>
      </c>
      <c r="G935" s="14">
        <v>45.15</v>
      </c>
      <c r="H935" s="133">
        <v>1.87</v>
      </c>
      <c r="I935" s="133">
        <v>16.600000000000001</v>
      </c>
      <c r="J935" s="133">
        <v>7.35</v>
      </c>
      <c r="K935" s="135">
        <v>40684</v>
      </c>
      <c r="L935" s="135" t="s">
        <v>2045</v>
      </c>
      <c r="M935" s="135" t="s">
        <v>1429</v>
      </c>
      <c r="N935" s="135"/>
    </row>
    <row r="936" spans="3:14" x14ac:dyDescent="0.2">
      <c r="C936" t="s">
        <v>2883</v>
      </c>
      <c r="G936" s="14">
        <v>45.25</v>
      </c>
      <c r="H936" s="133"/>
      <c r="I936" s="133">
        <v>9.59</v>
      </c>
      <c r="J936" s="133">
        <v>0</v>
      </c>
      <c r="K936" s="135">
        <v>40684</v>
      </c>
      <c r="L936" s="135" t="s">
        <v>2884</v>
      </c>
      <c r="M936" s="135" t="s">
        <v>2420</v>
      </c>
      <c r="N936" s="135"/>
    </row>
    <row r="937" spans="3:14" x14ac:dyDescent="0.2">
      <c r="C937" t="s">
        <v>1432</v>
      </c>
      <c r="G937" s="14">
        <v>69.599999999999994</v>
      </c>
      <c r="H937" s="133"/>
      <c r="I937" s="133">
        <v>-18.07</v>
      </c>
      <c r="J937" s="133">
        <v>3.11</v>
      </c>
      <c r="K937" s="135">
        <v>40684</v>
      </c>
      <c r="L937" s="135" t="s">
        <v>2907</v>
      </c>
      <c r="M937" s="135" t="s">
        <v>1759</v>
      </c>
      <c r="N937" s="135"/>
    </row>
    <row r="938" spans="3:14" x14ac:dyDescent="0.2">
      <c r="C938" t="s">
        <v>4122</v>
      </c>
      <c r="G938" s="14">
        <v>125</v>
      </c>
      <c r="H938" s="133"/>
      <c r="K938" s="135">
        <v>40684</v>
      </c>
      <c r="L938" s="135" t="s">
        <v>2046</v>
      </c>
      <c r="M938" s="135" t="s">
        <v>2418</v>
      </c>
      <c r="N938" s="135"/>
    </row>
    <row r="939" spans="3:14" x14ac:dyDescent="0.2">
      <c r="C939" t="s">
        <v>4123</v>
      </c>
      <c r="G939" s="14">
        <v>223.85</v>
      </c>
      <c r="H939" s="133"/>
      <c r="K939" s="135">
        <v>40684</v>
      </c>
      <c r="L939" s="135" t="s">
        <v>2047</v>
      </c>
      <c r="M939" s="135" t="s">
        <v>2418</v>
      </c>
      <c r="N939" s="135"/>
    </row>
    <row r="940" spans="3:14" x14ac:dyDescent="0.2">
      <c r="C940" t="s">
        <v>1388</v>
      </c>
      <c r="D940">
        <v>21.05</v>
      </c>
      <c r="E940">
        <v>27.7</v>
      </c>
      <c r="F940">
        <v>27.11</v>
      </c>
      <c r="G940" s="14">
        <v>498.25</v>
      </c>
      <c r="H940" s="133">
        <v>0.4</v>
      </c>
      <c r="I940" s="133">
        <v>14.33</v>
      </c>
      <c r="J940" s="133">
        <v>18.29</v>
      </c>
      <c r="K940" s="135">
        <v>40684</v>
      </c>
      <c r="L940" s="135" t="s">
        <v>244</v>
      </c>
      <c r="M940" s="135" t="s">
        <v>659</v>
      </c>
      <c r="N940" s="135"/>
    </row>
    <row r="941" spans="3:14" x14ac:dyDescent="0.2">
      <c r="C941" t="s">
        <v>4124</v>
      </c>
      <c r="G941" s="14">
        <v>230.2</v>
      </c>
      <c r="H941" s="133">
        <v>3.51</v>
      </c>
      <c r="I941" s="133">
        <v>12.32</v>
      </c>
      <c r="J941" s="133">
        <v>12.94</v>
      </c>
      <c r="K941" s="135">
        <v>40684</v>
      </c>
      <c r="L941" s="135" t="s">
        <v>2074</v>
      </c>
      <c r="M941" s="135" t="s">
        <v>2418</v>
      </c>
      <c r="N941" s="135"/>
    </row>
    <row r="942" spans="3:14" x14ac:dyDescent="0.2">
      <c r="C942" t="s">
        <v>4125</v>
      </c>
      <c r="G942" s="14">
        <v>5.4</v>
      </c>
      <c r="H942" s="133"/>
      <c r="I942" s="133">
        <v>9.4499999999999993</v>
      </c>
      <c r="J942" s="133">
        <v>0</v>
      </c>
      <c r="K942" s="135">
        <v>40684</v>
      </c>
      <c r="L942" s="135" t="s">
        <v>2075</v>
      </c>
      <c r="M942" s="135" t="s">
        <v>2427</v>
      </c>
      <c r="N942" s="135"/>
    </row>
    <row r="943" spans="3:14" x14ac:dyDescent="0.2">
      <c r="C943" t="s">
        <v>4126</v>
      </c>
      <c r="G943" s="14">
        <v>46.8</v>
      </c>
      <c r="H943" s="133"/>
      <c r="I943" s="133">
        <v>13.55</v>
      </c>
      <c r="J943" s="133">
        <v>4.55</v>
      </c>
      <c r="K943" s="135">
        <v>40684</v>
      </c>
      <c r="L943" s="135" t="s">
        <v>5131</v>
      </c>
      <c r="M943" s="135" t="s">
        <v>2418</v>
      </c>
      <c r="N943" s="135"/>
    </row>
    <row r="944" spans="3:14" x14ac:dyDescent="0.2">
      <c r="C944" t="s">
        <v>113</v>
      </c>
      <c r="D944">
        <v>17.95</v>
      </c>
      <c r="E944">
        <v>18.149999999999999</v>
      </c>
      <c r="F944">
        <v>21.6</v>
      </c>
      <c r="G944" s="14">
        <v>120</v>
      </c>
      <c r="H944" s="133">
        <v>1.83</v>
      </c>
      <c r="I944" s="133">
        <v>18.149999999999999</v>
      </c>
      <c r="J944" s="133">
        <v>6.83</v>
      </c>
      <c r="K944" s="135">
        <v>40684</v>
      </c>
      <c r="L944" s="135"/>
      <c r="M944" s="135" t="s">
        <v>2997</v>
      </c>
      <c r="N944" s="135"/>
    </row>
    <row r="945" spans="3:14" x14ac:dyDescent="0.2">
      <c r="C945" t="s">
        <v>4127</v>
      </c>
      <c r="G945" s="14">
        <v>15.4</v>
      </c>
      <c r="H945" s="133">
        <v>1.95</v>
      </c>
      <c r="I945" s="133">
        <v>2.65</v>
      </c>
      <c r="J945" s="133">
        <v>11.01</v>
      </c>
      <c r="K945" s="135">
        <v>40684</v>
      </c>
      <c r="L945" s="135" t="s">
        <v>3651</v>
      </c>
      <c r="M945" s="135" t="s">
        <v>2997</v>
      </c>
      <c r="N945" s="135"/>
    </row>
    <row r="946" spans="3:14" x14ac:dyDescent="0.2">
      <c r="C946" t="s">
        <v>1389</v>
      </c>
      <c r="D946">
        <v>4.41</v>
      </c>
      <c r="E946">
        <v>22.3</v>
      </c>
      <c r="F946">
        <v>22.5</v>
      </c>
      <c r="G946" s="14">
        <v>344.2</v>
      </c>
      <c r="H946" s="133">
        <v>0.28999999999999998</v>
      </c>
      <c r="I946" s="133">
        <v>11.21</v>
      </c>
      <c r="J946" s="133">
        <v>0</v>
      </c>
      <c r="K946" s="135">
        <v>40684</v>
      </c>
      <c r="L946" s="135" t="s">
        <v>245</v>
      </c>
      <c r="M946" s="135" t="s">
        <v>2994</v>
      </c>
      <c r="N946" s="135"/>
    </row>
    <row r="947" spans="3:14" x14ac:dyDescent="0.2">
      <c r="C947" t="s">
        <v>1733</v>
      </c>
      <c r="G947" s="14">
        <v>81.25</v>
      </c>
      <c r="H947" s="133"/>
      <c r="I947" s="133">
        <v>6.38</v>
      </c>
      <c r="J947" s="133">
        <v>18.260000000000002</v>
      </c>
      <c r="K947" s="135">
        <v>40684</v>
      </c>
      <c r="L947" s="135" t="s">
        <v>5119</v>
      </c>
      <c r="M947" s="135" t="s">
        <v>1759</v>
      </c>
      <c r="N947" s="135"/>
    </row>
    <row r="948" spans="3:14" x14ac:dyDescent="0.2">
      <c r="C948" t="s">
        <v>2885</v>
      </c>
      <c r="G948" s="14">
        <v>77.95</v>
      </c>
      <c r="H948" s="133">
        <v>1.28</v>
      </c>
      <c r="I948" s="133">
        <v>22.88</v>
      </c>
      <c r="J948" s="133">
        <v>7.43</v>
      </c>
      <c r="K948" s="135">
        <v>40684</v>
      </c>
      <c r="L948" s="135" t="s">
        <v>2886</v>
      </c>
      <c r="M948" s="135" t="s">
        <v>2997</v>
      </c>
      <c r="N948" s="135"/>
    </row>
    <row r="949" spans="3:14" x14ac:dyDescent="0.2">
      <c r="C949" t="s">
        <v>4128</v>
      </c>
      <c r="G949" s="14">
        <v>43</v>
      </c>
      <c r="H949" s="133"/>
      <c r="I949" s="133">
        <v>8.34</v>
      </c>
      <c r="J949" s="133">
        <v>19.489999999999998</v>
      </c>
      <c r="K949" s="135">
        <v>40684</v>
      </c>
      <c r="L949" s="135" t="s">
        <v>3652</v>
      </c>
      <c r="M949" s="135" t="s">
        <v>659</v>
      </c>
      <c r="N949" s="135"/>
    </row>
    <row r="950" spans="3:14" x14ac:dyDescent="0.2">
      <c r="C950" t="s">
        <v>474</v>
      </c>
      <c r="E950">
        <v>2.8</v>
      </c>
      <c r="F950">
        <v>3.71</v>
      </c>
      <c r="G950" s="14">
        <v>26.85</v>
      </c>
      <c r="H950" s="133">
        <v>1.1200000000000001</v>
      </c>
      <c r="I950" s="133">
        <v>17.170000000000002</v>
      </c>
      <c r="J950" s="133">
        <v>16.34</v>
      </c>
      <c r="K950" s="135">
        <v>40684</v>
      </c>
      <c r="L950" s="135" t="s">
        <v>3471</v>
      </c>
      <c r="M950" s="135" t="s">
        <v>2416</v>
      </c>
      <c r="N950" s="135"/>
    </row>
    <row r="951" spans="3:14" x14ac:dyDescent="0.2">
      <c r="C951" t="s">
        <v>5324</v>
      </c>
      <c r="G951" s="14">
        <v>509.1</v>
      </c>
      <c r="H951" s="133">
        <v>1.28</v>
      </c>
      <c r="I951" s="133">
        <v>4.74</v>
      </c>
      <c r="J951" s="133">
        <v>36.92</v>
      </c>
      <c r="K951" s="135">
        <v>40684</v>
      </c>
      <c r="L951" s="135" t="s">
        <v>3472</v>
      </c>
      <c r="M951" s="135" t="s">
        <v>660</v>
      </c>
      <c r="N951" s="135"/>
    </row>
    <row r="952" spans="3:14" x14ac:dyDescent="0.2">
      <c r="C952" t="s">
        <v>4129</v>
      </c>
      <c r="G952" s="14">
        <v>114.75</v>
      </c>
      <c r="H952" s="133">
        <v>0.87</v>
      </c>
      <c r="I952" s="133">
        <v>-18.600000000000001</v>
      </c>
      <c r="J952" s="133">
        <v>22.9</v>
      </c>
      <c r="K952" s="135">
        <v>40684</v>
      </c>
      <c r="L952" s="135" t="s">
        <v>3653</v>
      </c>
      <c r="M952" s="135" t="s">
        <v>2994</v>
      </c>
      <c r="N952" s="135"/>
    </row>
    <row r="953" spans="3:14" x14ac:dyDescent="0.2">
      <c r="C953" t="s">
        <v>1390</v>
      </c>
      <c r="D953">
        <v>21.79</v>
      </c>
      <c r="E953">
        <v>7.2</v>
      </c>
      <c r="F953">
        <v>7.9</v>
      </c>
      <c r="G953" s="14">
        <v>83.9</v>
      </c>
      <c r="H953" s="133">
        <v>1.01</v>
      </c>
      <c r="I953" s="133">
        <v>-2.33</v>
      </c>
      <c r="J953" s="133">
        <v>36.14</v>
      </c>
      <c r="K953" s="135">
        <v>40684</v>
      </c>
      <c r="L953" s="135" t="s">
        <v>4260</v>
      </c>
      <c r="M953" s="135" t="s">
        <v>1754</v>
      </c>
      <c r="N953" s="135" t="s">
        <v>893</v>
      </c>
    </row>
    <row r="954" spans="3:14" x14ac:dyDescent="0.2">
      <c r="C954" t="s">
        <v>5325</v>
      </c>
      <c r="G954" s="14">
        <v>32.799999999999997</v>
      </c>
      <c r="H954" s="133"/>
      <c r="K954" s="135">
        <v>40684</v>
      </c>
      <c r="L954" s="135" t="s">
        <v>3473</v>
      </c>
      <c r="M954" s="135" t="s">
        <v>1756</v>
      </c>
      <c r="N954" s="135"/>
    </row>
    <row r="955" spans="3:14" x14ac:dyDescent="0.2">
      <c r="C955" t="s">
        <v>4872</v>
      </c>
      <c r="G955" s="14">
        <v>560</v>
      </c>
      <c r="H955" s="133"/>
      <c r="I955" s="133">
        <v>13.25</v>
      </c>
      <c r="J955" s="133">
        <v>37.74</v>
      </c>
      <c r="K955" s="135">
        <v>40684</v>
      </c>
      <c r="L955" s="135" t="s">
        <v>1524</v>
      </c>
      <c r="M955" s="135" t="s">
        <v>5141</v>
      </c>
      <c r="N955" s="135"/>
    </row>
    <row r="956" spans="3:14" x14ac:dyDescent="0.2">
      <c r="C956" t="s">
        <v>1391</v>
      </c>
      <c r="D956">
        <v>53.4</v>
      </c>
      <c r="E956">
        <v>63.6</v>
      </c>
      <c r="F956">
        <v>74.22</v>
      </c>
      <c r="G956" s="14">
        <v>923.2</v>
      </c>
      <c r="H956" s="133">
        <v>0.87</v>
      </c>
      <c r="I956" s="133">
        <v>13.42</v>
      </c>
      <c r="J956" s="133">
        <v>14.87</v>
      </c>
      <c r="K956" s="135">
        <v>40684</v>
      </c>
      <c r="L956" s="135" t="s">
        <v>4261</v>
      </c>
      <c r="M956" s="135" t="s">
        <v>1758</v>
      </c>
      <c r="N956" s="135" t="s">
        <v>5432</v>
      </c>
    </row>
    <row r="957" spans="3:14" x14ac:dyDescent="0.2">
      <c r="C957" t="s">
        <v>2519</v>
      </c>
      <c r="G957" s="14">
        <v>42.25</v>
      </c>
      <c r="H957" s="133"/>
      <c r="K957" s="135">
        <v>40684</v>
      </c>
      <c r="L957" s="135" t="s">
        <v>3275</v>
      </c>
      <c r="M957" s="135" t="s">
        <v>1765</v>
      </c>
      <c r="N957" s="135"/>
    </row>
    <row r="958" spans="3:14" x14ac:dyDescent="0.2">
      <c r="C958" t="s">
        <v>4364</v>
      </c>
      <c r="G958" s="14">
        <v>130.94999999999999</v>
      </c>
      <c r="H958" s="133"/>
      <c r="K958" s="135">
        <v>40684</v>
      </c>
      <c r="L958" s="135" t="s">
        <v>3474</v>
      </c>
      <c r="M958" s="135" t="s">
        <v>1765</v>
      </c>
      <c r="N958" s="135"/>
    </row>
    <row r="959" spans="3:14" x14ac:dyDescent="0.2">
      <c r="C959" t="s">
        <v>1906</v>
      </c>
      <c r="G959" s="14">
        <v>112.7</v>
      </c>
      <c r="H959" s="133"/>
      <c r="I959" s="133">
        <v>0.77</v>
      </c>
      <c r="J959" s="133">
        <v>115.6</v>
      </c>
      <c r="K959" s="135">
        <v>40684</v>
      </c>
      <c r="L959" s="135" t="s">
        <v>1907</v>
      </c>
      <c r="M959" s="135" t="s">
        <v>1756</v>
      </c>
      <c r="N959" s="135" t="s">
        <v>5430</v>
      </c>
    </row>
    <row r="960" spans="3:14" x14ac:dyDescent="0.2">
      <c r="C960" t="s">
        <v>4130</v>
      </c>
      <c r="G960" s="14">
        <v>19.399999999999999</v>
      </c>
      <c r="H960" s="133"/>
      <c r="K960" s="135">
        <v>40684</v>
      </c>
      <c r="L960" s="135" t="s">
        <v>3646</v>
      </c>
      <c r="M960" s="135" t="s">
        <v>2418</v>
      </c>
      <c r="N960" s="135"/>
    </row>
    <row r="961" spans="3:14" x14ac:dyDescent="0.2">
      <c r="C961" t="s">
        <v>4262</v>
      </c>
      <c r="D961">
        <v>10.29</v>
      </c>
      <c r="E961">
        <v>8.4</v>
      </c>
      <c r="F961">
        <v>10.49</v>
      </c>
      <c r="G961" s="14">
        <v>59.55</v>
      </c>
      <c r="H961" s="133">
        <v>1.68</v>
      </c>
      <c r="I961" s="133">
        <v>18.760000000000002</v>
      </c>
      <c r="J961" s="133">
        <v>9.76</v>
      </c>
      <c r="K961" s="135">
        <v>40684</v>
      </c>
      <c r="L961" s="135" t="s">
        <v>1402</v>
      </c>
      <c r="M961" s="135" t="s">
        <v>2427</v>
      </c>
      <c r="N961" s="135"/>
    </row>
    <row r="962" spans="3:14" x14ac:dyDescent="0.2">
      <c r="C962" t="s">
        <v>2954</v>
      </c>
      <c r="E962">
        <v>1.2</v>
      </c>
      <c r="F962">
        <v>1.8</v>
      </c>
      <c r="G962" s="14">
        <v>17.149999999999999</v>
      </c>
      <c r="H962" s="133">
        <v>0.87</v>
      </c>
      <c r="I962" s="133">
        <v>7.0000000000000007E-2</v>
      </c>
      <c r="J962" s="133">
        <v>38.33</v>
      </c>
      <c r="K962" s="135">
        <v>40684</v>
      </c>
      <c r="L962" s="135" t="s">
        <v>1160</v>
      </c>
      <c r="M962" s="135" t="s">
        <v>2418</v>
      </c>
      <c r="N962" s="135"/>
    </row>
    <row r="963" spans="3:14" x14ac:dyDescent="0.2">
      <c r="C963" t="s">
        <v>2887</v>
      </c>
      <c r="G963" s="14">
        <v>35.049999999999997</v>
      </c>
      <c r="H963" s="133"/>
      <c r="I963" s="133">
        <v>13.69</v>
      </c>
      <c r="J963" s="133">
        <v>9.34</v>
      </c>
      <c r="K963" s="135">
        <v>40684</v>
      </c>
      <c r="L963" s="135"/>
      <c r="M963" s="135"/>
      <c r="N963" s="135"/>
    </row>
    <row r="964" spans="3:14" x14ac:dyDescent="0.2">
      <c r="C964" t="s">
        <v>475</v>
      </c>
      <c r="D964">
        <v>34.78</v>
      </c>
      <c r="E964">
        <v>59.75</v>
      </c>
      <c r="F964">
        <v>80.150000000000006</v>
      </c>
      <c r="G964" s="14">
        <v>331.15</v>
      </c>
      <c r="H964" s="133"/>
      <c r="I964" s="133">
        <v>20.68</v>
      </c>
      <c r="J964" s="133">
        <v>2.2400000000000002</v>
      </c>
      <c r="K964" s="135">
        <v>40684</v>
      </c>
      <c r="L964" s="135" t="s">
        <v>4192</v>
      </c>
      <c r="M964" s="135" t="s">
        <v>2419</v>
      </c>
      <c r="N964" s="135"/>
    </row>
    <row r="965" spans="3:14" x14ac:dyDescent="0.2">
      <c r="C965" t="s">
        <v>3845</v>
      </c>
      <c r="G965" s="14">
        <v>22</v>
      </c>
      <c r="H965" s="133"/>
      <c r="I965" s="133">
        <v>7.31</v>
      </c>
      <c r="J965" s="133">
        <v>0</v>
      </c>
      <c r="K965" s="135">
        <v>40684</v>
      </c>
      <c r="L965" s="135" t="s">
        <v>3647</v>
      </c>
      <c r="M965" s="135" t="s">
        <v>2427</v>
      </c>
      <c r="N965" s="135"/>
    </row>
    <row r="966" spans="3:14" x14ac:dyDescent="0.2">
      <c r="C966" t="s">
        <v>3846</v>
      </c>
      <c r="G966" s="14">
        <v>9.39</v>
      </c>
      <c r="H966" s="133"/>
      <c r="K966" s="135">
        <v>40684</v>
      </c>
      <c r="L966" s="135" t="s">
        <v>3648</v>
      </c>
      <c r="M966" s="135" t="s">
        <v>2994</v>
      </c>
      <c r="N966" s="135"/>
    </row>
    <row r="967" spans="3:14" x14ac:dyDescent="0.2">
      <c r="C967" t="s">
        <v>3649</v>
      </c>
      <c r="D967">
        <v>15.7</v>
      </c>
      <c r="E967">
        <v>18.600000000000001</v>
      </c>
      <c r="F967">
        <v>20.58</v>
      </c>
      <c r="G967" s="14">
        <v>135.1</v>
      </c>
      <c r="H967" s="133">
        <v>2.41</v>
      </c>
      <c r="I967" s="133">
        <v>18.93</v>
      </c>
      <c r="J967" s="133">
        <v>6.03</v>
      </c>
      <c r="K967" s="135">
        <v>40684</v>
      </c>
      <c r="L967" s="135" t="s">
        <v>1161</v>
      </c>
      <c r="M967" s="135" t="s">
        <v>1429</v>
      </c>
      <c r="N967" s="135" t="s">
        <v>5433</v>
      </c>
    </row>
    <row r="968" spans="3:14" x14ac:dyDescent="0.2">
      <c r="C968" t="s">
        <v>3847</v>
      </c>
      <c r="G968" s="14">
        <v>91.35</v>
      </c>
      <c r="H968" s="133">
        <v>2.19</v>
      </c>
      <c r="I968" s="133">
        <v>21.68</v>
      </c>
      <c r="J968" s="133">
        <v>6.8</v>
      </c>
      <c r="K968" s="135">
        <v>40684</v>
      </c>
      <c r="L968" s="135" t="s">
        <v>3650</v>
      </c>
      <c r="M968" s="135" t="s">
        <v>2418</v>
      </c>
      <c r="N968" s="135"/>
    </row>
    <row r="969" spans="3:14" x14ac:dyDescent="0.2">
      <c r="C969" t="s">
        <v>2888</v>
      </c>
      <c r="G969" s="14">
        <v>12</v>
      </c>
      <c r="H969" s="133"/>
      <c r="I969" s="133">
        <v>3.41</v>
      </c>
      <c r="J969" s="133">
        <v>10.67</v>
      </c>
      <c r="K969" s="135">
        <v>40684</v>
      </c>
      <c r="L969" s="135" t="s">
        <v>4207</v>
      </c>
      <c r="M969" s="135" t="s">
        <v>2425</v>
      </c>
      <c r="N969" s="135"/>
    </row>
    <row r="970" spans="3:14" x14ac:dyDescent="0.2">
      <c r="C970" t="s">
        <v>476</v>
      </c>
      <c r="G970" s="14">
        <v>271.55</v>
      </c>
      <c r="H970" s="133"/>
      <c r="K970" s="135">
        <v>40684</v>
      </c>
      <c r="L970" s="135" t="s">
        <v>4193</v>
      </c>
      <c r="M970" s="135" t="s">
        <v>1756</v>
      </c>
      <c r="N970" s="135"/>
    </row>
    <row r="971" spans="3:14" x14ac:dyDescent="0.2">
      <c r="C971" t="s">
        <v>1734</v>
      </c>
      <c r="G971" s="14">
        <v>57.7</v>
      </c>
      <c r="H971" s="133"/>
      <c r="I971" s="133">
        <v>35.74</v>
      </c>
      <c r="J971" s="133">
        <v>3</v>
      </c>
      <c r="K971" s="135">
        <v>40684</v>
      </c>
      <c r="L971" s="135" t="s">
        <v>5254</v>
      </c>
      <c r="M971" s="135" t="s">
        <v>1429</v>
      </c>
      <c r="N971" s="135"/>
    </row>
    <row r="972" spans="3:14" x14ac:dyDescent="0.2">
      <c r="C972" t="s">
        <v>4208</v>
      </c>
      <c r="G972" s="14">
        <v>19.2</v>
      </c>
      <c r="H972" s="133"/>
      <c r="I972" s="133">
        <v>1.07</v>
      </c>
      <c r="J972" s="133">
        <v>1212.94</v>
      </c>
      <c r="K972" s="135">
        <v>40684</v>
      </c>
      <c r="L972" s="135" t="s">
        <v>406</v>
      </c>
      <c r="M972" s="135" t="s">
        <v>2416</v>
      </c>
      <c r="N972" s="135"/>
    </row>
    <row r="973" spans="3:14" x14ac:dyDescent="0.2">
      <c r="C973" t="s">
        <v>3848</v>
      </c>
      <c r="G973" s="14">
        <v>747</v>
      </c>
      <c r="H973" s="133"/>
      <c r="I973" s="133">
        <v>30.91</v>
      </c>
      <c r="J973" s="133">
        <v>5.31</v>
      </c>
      <c r="K973" s="135">
        <v>40684</v>
      </c>
      <c r="L973" s="135" t="s">
        <v>5152</v>
      </c>
      <c r="M973" s="135" t="s">
        <v>2994</v>
      </c>
      <c r="N973" s="135"/>
    </row>
    <row r="974" spans="3:14" x14ac:dyDescent="0.2">
      <c r="C974" t="s">
        <v>407</v>
      </c>
      <c r="G974" s="14">
        <v>22.7</v>
      </c>
      <c r="H974" s="133"/>
      <c r="I974" s="133">
        <v>13.01</v>
      </c>
      <c r="J974" s="133">
        <v>21.69</v>
      </c>
      <c r="K974" s="135">
        <v>40684</v>
      </c>
      <c r="L974" s="135" t="s">
        <v>5120</v>
      </c>
      <c r="M974" s="135" t="s">
        <v>661</v>
      </c>
      <c r="N974" s="135"/>
    </row>
    <row r="975" spans="3:14" x14ac:dyDescent="0.2">
      <c r="C975" t="s">
        <v>3849</v>
      </c>
      <c r="G975" s="14">
        <v>103.35</v>
      </c>
      <c r="H975" s="133"/>
      <c r="I975" s="133">
        <v>7.97</v>
      </c>
      <c r="J975" s="133">
        <v>17.02</v>
      </c>
      <c r="K975" s="135">
        <v>40684</v>
      </c>
      <c r="L975" s="135" t="s">
        <v>2947</v>
      </c>
      <c r="M975" s="135" t="s">
        <v>2416</v>
      </c>
      <c r="N975" s="135"/>
    </row>
    <row r="976" spans="3:14" x14ac:dyDescent="0.2">
      <c r="C976" t="s">
        <v>4559</v>
      </c>
      <c r="G976" s="14">
        <v>130.75</v>
      </c>
      <c r="H976" s="133"/>
      <c r="I976" s="133">
        <v>15.82</v>
      </c>
      <c r="J976" s="133">
        <v>16.329999999999998</v>
      </c>
      <c r="K976" s="135">
        <v>40684</v>
      </c>
      <c r="L976" s="135" t="s">
        <v>420</v>
      </c>
      <c r="M976" s="135"/>
      <c r="N976" s="135"/>
    </row>
    <row r="977" spans="3:14" x14ac:dyDescent="0.2">
      <c r="C977" t="s">
        <v>4664</v>
      </c>
      <c r="G977" s="14">
        <v>147.1</v>
      </c>
      <c r="H977" s="133"/>
      <c r="I977" s="133">
        <v>9.2100000000000009</v>
      </c>
      <c r="J977" s="133">
        <v>12.54</v>
      </c>
      <c r="K977" s="135">
        <v>40684</v>
      </c>
      <c r="L977" s="135" t="s">
        <v>2948</v>
      </c>
      <c r="M977" s="135" t="s">
        <v>2995</v>
      </c>
      <c r="N977" s="135"/>
    </row>
    <row r="978" spans="3:14" x14ac:dyDescent="0.2">
      <c r="C978" t="s">
        <v>1416</v>
      </c>
      <c r="D978">
        <v>16.350000000000001</v>
      </c>
      <c r="E978">
        <v>14.5</v>
      </c>
      <c r="F978">
        <v>17.149999999999999</v>
      </c>
      <c r="G978" s="14">
        <v>142.6</v>
      </c>
      <c r="H978" s="133"/>
      <c r="I978" s="133">
        <v>19.03</v>
      </c>
      <c r="J978" s="133">
        <v>12.07</v>
      </c>
      <c r="K978" s="135">
        <v>40684</v>
      </c>
      <c r="L978" s="135" t="s">
        <v>4522</v>
      </c>
      <c r="M978" s="135" t="s">
        <v>2997</v>
      </c>
      <c r="N978" s="135"/>
    </row>
    <row r="979" spans="3:14" x14ac:dyDescent="0.2">
      <c r="C979" t="s">
        <v>408</v>
      </c>
      <c r="G979" s="14">
        <v>15.2</v>
      </c>
      <c r="H979" s="133"/>
      <c r="I979" s="133">
        <v>5.42</v>
      </c>
      <c r="J979" s="133">
        <v>7.36</v>
      </c>
      <c r="K979" s="135">
        <v>40684</v>
      </c>
      <c r="L979" s="135" t="s">
        <v>1722</v>
      </c>
      <c r="M979" s="135" t="s">
        <v>661</v>
      </c>
      <c r="N979" s="135"/>
    </row>
    <row r="980" spans="3:14" x14ac:dyDescent="0.2">
      <c r="C980" t="s">
        <v>3850</v>
      </c>
      <c r="G980" s="14">
        <v>33.9</v>
      </c>
      <c r="H980" s="133"/>
      <c r="I980" s="133">
        <v>45.71</v>
      </c>
      <c r="J980" s="133">
        <v>0</v>
      </c>
      <c r="K980" s="135">
        <v>40684</v>
      </c>
      <c r="L980" s="135" t="s">
        <v>2949</v>
      </c>
      <c r="M980" s="135" t="s">
        <v>2427</v>
      </c>
      <c r="N980" s="135"/>
    </row>
    <row r="981" spans="3:14" x14ac:dyDescent="0.2">
      <c r="C981" t="s">
        <v>3851</v>
      </c>
      <c r="G981" s="14">
        <v>28.15</v>
      </c>
      <c r="H981" s="133"/>
      <c r="I981" s="133">
        <v>1.64</v>
      </c>
      <c r="J981" s="133">
        <v>30.13</v>
      </c>
      <c r="K981" s="135">
        <v>40684</v>
      </c>
      <c r="L981" s="135" t="s">
        <v>4794</v>
      </c>
      <c r="M981" s="135" t="s">
        <v>2994</v>
      </c>
      <c r="N981" s="135"/>
    </row>
    <row r="982" spans="3:14" x14ac:dyDescent="0.2">
      <c r="C982" t="s">
        <v>1723</v>
      </c>
      <c r="G982" s="14">
        <v>13.1</v>
      </c>
      <c r="H982" s="133"/>
      <c r="I982" s="133">
        <v>12.01</v>
      </c>
      <c r="J982" s="133">
        <v>4.12</v>
      </c>
      <c r="K982" s="135">
        <v>40684</v>
      </c>
      <c r="L982" s="135" t="s">
        <v>1724</v>
      </c>
      <c r="M982" s="135" t="s">
        <v>2416</v>
      </c>
      <c r="N982" s="135"/>
    </row>
    <row r="983" spans="3:14" x14ac:dyDescent="0.2">
      <c r="C983" t="s">
        <v>3852</v>
      </c>
      <c r="G983" s="14">
        <v>20.75</v>
      </c>
      <c r="H983" s="133"/>
      <c r="I983" s="133">
        <v>24.09</v>
      </c>
      <c r="J983" s="133">
        <v>5.68</v>
      </c>
      <c r="K983" s="135">
        <v>40684</v>
      </c>
      <c r="L983" s="135" t="s">
        <v>1571</v>
      </c>
      <c r="M983" s="135" t="s">
        <v>659</v>
      </c>
      <c r="N983" s="135"/>
    </row>
    <row r="984" spans="3:14" x14ac:dyDescent="0.2">
      <c r="C984" t="s">
        <v>3853</v>
      </c>
      <c r="G984" s="14">
        <v>79.5</v>
      </c>
      <c r="H984" s="133"/>
      <c r="I984" s="133">
        <v>15.93</v>
      </c>
      <c r="J984" s="133">
        <v>7.87</v>
      </c>
      <c r="K984" s="135">
        <v>40684</v>
      </c>
      <c r="L984" s="135" t="s">
        <v>1572</v>
      </c>
      <c r="M984" s="135" t="s">
        <v>2418</v>
      </c>
      <c r="N984" s="135"/>
    </row>
    <row r="985" spans="3:14" x14ac:dyDescent="0.2">
      <c r="C985" t="s">
        <v>3854</v>
      </c>
      <c r="G985" s="14">
        <v>97.95</v>
      </c>
      <c r="H985" s="133"/>
      <c r="I985" s="133">
        <v>12.26</v>
      </c>
      <c r="J985" s="133">
        <v>8.9</v>
      </c>
      <c r="K985" s="135">
        <v>40684</v>
      </c>
      <c r="L985" s="135" t="s">
        <v>1573</v>
      </c>
      <c r="M985" s="135" t="s">
        <v>2994</v>
      </c>
      <c r="N985" s="135"/>
    </row>
    <row r="986" spans="3:14" x14ac:dyDescent="0.2">
      <c r="C986" t="s">
        <v>144</v>
      </c>
      <c r="G986" s="14">
        <v>71.5</v>
      </c>
      <c r="H986" s="133"/>
      <c r="I986" s="133">
        <v>26.47</v>
      </c>
      <c r="J986" s="133">
        <v>46.57</v>
      </c>
      <c r="K986" s="135">
        <v>40684</v>
      </c>
      <c r="L986" s="135" t="s">
        <v>2300</v>
      </c>
      <c r="M986" s="135" t="s">
        <v>2416</v>
      </c>
      <c r="N986" s="135"/>
    </row>
    <row r="987" spans="3:14" x14ac:dyDescent="0.2">
      <c r="C987" t="s">
        <v>4665</v>
      </c>
      <c r="G987" s="14">
        <v>276.75</v>
      </c>
      <c r="H987" s="133"/>
      <c r="I987" s="133">
        <v>13.92</v>
      </c>
      <c r="J987" s="133">
        <v>5.33</v>
      </c>
      <c r="K987" s="135">
        <v>40684</v>
      </c>
      <c r="L987" s="135" t="s">
        <v>1574</v>
      </c>
      <c r="M987" s="135" t="s">
        <v>2944</v>
      </c>
      <c r="N987" s="135"/>
    </row>
    <row r="988" spans="3:14" x14ac:dyDescent="0.2">
      <c r="C988" t="s">
        <v>2301</v>
      </c>
      <c r="G988" s="14">
        <v>18.850000000000001</v>
      </c>
      <c r="H988" s="133"/>
      <c r="I988" s="133">
        <v>12.55</v>
      </c>
      <c r="J988" s="133">
        <v>0</v>
      </c>
      <c r="K988" s="135">
        <v>40684</v>
      </c>
      <c r="L988" s="135" t="s">
        <v>2302</v>
      </c>
      <c r="M988" s="135" t="s">
        <v>2995</v>
      </c>
      <c r="N988" s="135"/>
    </row>
    <row r="989" spans="3:14" x14ac:dyDescent="0.2">
      <c r="C989" t="s">
        <v>3855</v>
      </c>
      <c r="G989" s="14">
        <v>42.85</v>
      </c>
      <c r="H989" s="133"/>
      <c r="I989" s="133">
        <v>9.34</v>
      </c>
      <c r="J989" s="133">
        <v>2.98</v>
      </c>
      <c r="K989" s="135">
        <v>40684</v>
      </c>
      <c r="L989" s="135" t="s">
        <v>2101</v>
      </c>
      <c r="M989" s="135" t="s">
        <v>2994</v>
      </c>
      <c r="N989" s="135"/>
    </row>
    <row r="990" spans="3:14" x14ac:dyDescent="0.2">
      <c r="C990" t="s">
        <v>478</v>
      </c>
      <c r="D990">
        <v>20.89</v>
      </c>
      <c r="E990">
        <v>20</v>
      </c>
      <c r="F990">
        <v>22.3</v>
      </c>
      <c r="G990" s="14">
        <v>117.8</v>
      </c>
      <c r="H990" s="133">
        <v>2.54</v>
      </c>
      <c r="I990" s="133">
        <v>17.48</v>
      </c>
      <c r="J990" s="133">
        <v>5.65</v>
      </c>
      <c r="K990" s="135">
        <v>40684</v>
      </c>
      <c r="L990" s="135" t="s">
        <v>5113</v>
      </c>
      <c r="M990" s="135" t="s">
        <v>3180</v>
      </c>
      <c r="N990" s="135" t="s">
        <v>5434</v>
      </c>
    </row>
    <row r="991" spans="3:14" x14ac:dyDescent="0.2">
      <c r="C991" t="s">
        <v>3856</v>
      </c>
      <c r="G991" s="14">
        <v>12.76</v>
      </c>
      <c r="H991" s="133"/>
      <c r="I991" s="133">
        <v>4.2699999999999996</v>
      </c>
      <c r="J991" s="133">
        <v>11.61</v>
      </c>
      <c r="K991" s="135">
        <v>40684</v>
      </c>
      <c r="L991" s="135" t="s">
        <v>509</v>
      </c>
      <c r="M991" s="135" t="s">
        <v>659</v>
      </c>
      <c r="N991" s="135"/>
    </row>
    <row r="992" spans="3:14" x14ac:dyDescent="0.2">
      <c r="C992" t="s">
        <v>479</v>
      </c>
      <c r="G992" s="14">
        <v>9.6</v>
      </c>
      <c r="H992" s="133"/>
      <c r="K992" s="135">
        <v>40684</v>
      </c>
      <c r="L992" s="135" t="s">
        <v>5114</v>
      </c>
      <c r="M992" s="135" t="s">
        <v>1429</v>
      </c>
      <c r="N992" s="135"/>
    </row>
    <row r="993" spans="3:14" x14ac:dyDescent="0.2">
      <c r="C993" t="s">
        <v>3857</v>
      </c>
      <c r="G993" s="14">
        <v>134</v>
      </c>
      <c r="H993" s="133"/>
      <c r="I993" s="133">
        <v>14.41</v>
      </c>
      <c r="J993" s="133">
        <v>7.5</v>
      </c>
      <c r="K993" s="135">
        <v>40684</v>
      </c>
      <c r="L993" s="135" t="s">
        <v>5155</v>
      </c>
      <c r="M993" s="135" t="s">
        <v>2994</v>
      </c>
      <c r="N993" s="135"/>
    </row>
    <row r="994" spans="3:14" x14ac:dyDescent="0.2">
      <c r="C994" t="s">
        <v>480</v>
      </c>
      <c r="D994">
        <v>26.62</v>
      </c>
      <c r="E994">
        <v>27.5</v>
      </c>
      <c r="F994">
        <v>32.5</v>
      </c>
      <c r="G994" s="14">
        <v>155.44999999999999</v>
      </c>
      <c r="H994" s="133"/>
      <c r="I994" s="133">
        <v>12.16</v>
      </c>
      <c r="J994" s="133">
        <v>4.55</v>
      </c>
      <c r="K994" s="135">
        <v>40684</v>
      </c>
      <c r="L994" s="135" t="s">
        <v>4666</v>
      </c>
      <c r="M994" s="135" t="s">
        <v>1429</v>
      </c>
      <c r="N994" s="135"/>
    </row>
    <row r="995" spans="3:14" x14ac:dyDescent="0.2">
      <c r="C995" t="s">
        <v>1392</v>
      </c>
      <c r="D995">
        <v>-1.1399999999999999</v>
      </c>
      <c r="E995">
        <v>2.87</v>
      </c>
      <c r="F995">
        <v>4.6399999999999997</v>
      </c>
      <c r="G995" s="14">
        <v>76.900000000000006</v>
      </c>
      <c r="H995" s="133"/>
      <c r="I995" s="133">
        <v>1.21</v>
      </c>
      <c r="J995" s="133">
        <v>0</v>
      </c>
      <c r="K995" s="135">
        <v>40684</v>
      </c>
      <c r="L995" s="135" t="s">
        <v>4523</v>
      </c>
      <c r="M995" s="135" t="s">
        <v>1429</v>
      </c>
      <c r="N995" s="135"/>
    </row>
    <row r="996" spans="3:14" x14ac:dyDescent="0.2">
      <c r="C996" t="s">
        <v>4804</v>
      </c>
      <c r="G996" s="14">
        <v>46.3</v>
      </c>
      <c r="H996" s="133">
        <v>3.24</v>
      </c>
      <c r="I996" s="133">
        <v>8.77</v>
      </c>
      <c r="J996" s="133">
        <v>6.98</v>
      </c>
      <c r="K996" s="135">
        <v>40684</v>
      </c>
      <c r="L996" s="135" t="s">
        <v>5156</v>
      </c>
      <c r="M996" s="135" t="s">
        <v>2997</v>
      </c>
      <c r="N996" s="135"/>
    </row>
    <row r="997" spans="3:14" x14ac:dyDescent="0.2">
      <c r="C997" t="s">
        <v>3858</v>
      </c>
      <c r="G997" s="14">
        <v>8.0500000000000007</v>
      </c>
      <c r="H997" s="133"/>
      <c r="I997" s="133">
        <v>11.17</v>
      </c>
      <c r="J997" s="133">
        <v>0</v>
      </c>
      <c r="K997" s="135">
        <v>40684</v>
      </c>
      <c r="L997" s="135" t="s">
        <v>5157</v>
      </c>
      <c r="M997" s="135" t="s">
        <v>2995</v>
      </c>
      <c r="N997" s="135"/>
    </row>
    <row r="998" spans="3:14" x14ac:dyDescent="0.2">
      <c r="C998" t="s">
        <v>481</v>
      </c>
      <c r="E998">
        <v>65.94</v>
      </c>
      <c r="F998">
        <v>73.72</v>
      </c>
      <c r="G998" s="14">
        <v>549.79999999999995</v>
      </c>
      <c r="H998" s="133"/>
      <c r="I998" s="133">
        <v>25.62</v>
      </c>
      <c r="J998" s="133">
        <v>7.34</v>
      </c>
      <c r="K998" s="135">
        <v>40684</v>
      </c>
      <c r="L998" s="135" t="s">
        <v>4667</v>
      </c>
      <c r="M998" s="135" t="s">
        <v>1765</v>
      </c>
      <c r="N998" s="135"/>
    </row>
    <row r="999" spans="3:14" x14ac:dyDescent="0.2">
      <c r="C999" t="s">
        <v>4524</v>
      </c>
      <c r="D999">
        <v>26.65</v>
      </c>
      <c r="E999">
        <v>18.7</v>
      </c>
      <c r="F999">
        <v>23.2</v>
      </c>
      <c r="G999" s="14">
        <v>160.80000000000001</v>
      </c>
      <c r="H999" s="133"/>
      <c r="I999" s="133">
        <v>23.34</v>
      </c>
      <c r="J999" s="133">
        <v>9.7899999999999991</v>
      </c>
      <c r="K999" s="135">
        <v>40684</v>
      </c>
      <c r="L999" s="135" t="s">
        <v>4525</v>
      </c>
      <c r="M999" s="135" t="s">
        <v>2997</v>
      </c>
      <c r="N999" s="135"/>
    </row>
    <row r="1000" spans="3:14" x14ac:dyDescent="0.2">
      <c r="C1000" t="s">
        <v>421</v>
      </c>
      <c r="G1000" s="14">
        <v>124.15</v>
      </c>
      <c r="H1000" s="133"/>
      <c r="I1000" s="133">
        <v>-0.68</v>
      </c>
      <c r="J1000" s="133">
        <v>52.52</v>
      </c>
      <c r="K1000" s="135">
        <v>40684</v>
      </c>
      <c r="L1000" s="135" t="s">
        <v>1260</v>
      </c>
      <c r="M1000" s="135" t="s">
        <v>2425</v>
      </c>
      <c r="N1000" s="135"/>
    </row>
    <row r="1001" spans="3:14" x14ac:dyDescent="0.2">
      <c r="C1001" t="s">
        <v>1725</v>
      </c>
      <c r="G1001" s="14">
        <v>12.33</v>
      </c>
      <c r="H1001" s="133"/>
      <c r="I1001" s="133">
        <v>10.18</v>
      </c>
      <c r="J1001" s="133">
        <v>105.54</v>
      </c>
      <c r="K1001" s="135">
        <v>40684</v>
      </c>
      <c r="L1001" s="135" t="s">
        <v>1726</v>
      </c>
      <c r="M1001" s="135" t="s">
        <v>2994</v>
      </c>
      <c r="N1001" s="135"/>
    </row>
    <row r="1002" spans="3:14" x14ac:dyDescent="0.2">
      <c r="C1002" t="s">
        <v>4526</v>
      </c>
      <c r="D1002">
        <v>8.9</v>
      </c>
      <c r="E1002">
        <v>15.05</v>
      </c>
      <c r="F1002">
        <v>11.15</v>
      </c>
      <c r="G1002" s="14">
        <v>104.4</v>
      </c>
      <c r="H1002" s="133">
        <v>4.8</v>
      </c>
      <c r="I1002" s="133">
        <v>3.94</v>
      </c>
      <c r="J1002" s="133">
        <v>12.88</v>
      </c>
      <c r="K1002" s="135">
        <v>40684</v>
      </c>
      <c r="L1002" s="135" t="s">
        <v>4527</v>
      </c>
      <c r="M1002" s="135" t="s">
        <v>2993</v>
      </c>
      <c r="N1002" s="135"/>
    </row>
    <row r="1003" spans="3:14" x14ac:dyDescent="0.2">
      <c r="C1003" t="s">
        <v>3859</v>
      </c>
      <c r="G1003" s="14">
        <v>40.299999999999997</v>
      </c>
      <c r="H1003" s="133"/>
      <c r="I1003" s="133">
        <v>0</v>
      </c>
      <c r="J1003" s="133">
        <v>0</v>
      </c>
      <c r="K1003" s="135">
        <v>40684</v>
      </c>
      <c r="L1003" s="135" t="s">
        <v>4565</v>
      </c>
      <c r="M1003" s="135" t="s">
        <v>2418</v>
      </c>
      <c r="N1003" s="135"/>
    </row>
    <row r="1004" spans="3:14" x14ac:dyDescent="0.2">
      <c r="C1004" t="s">
        <v>1261</v>
      </c>
      <c r="H1004" s="133"/>
      <c r="I1004" s="133">
        <v>6.86</v>
      </c>
      <c r="J1004" s="133">
        <v>47.95</v>
      </c>
      <c r="K1004" s="135">
        <v>40684</v>
      </c>
      <c r="L1004" s="135" t="s">
        <v>1262</v>
      </c>
      <c r="M1004" s="135" t="s">
        <v>1759</v>
      </c>
      <c r="N1004" s="135"/>
    </row>
    <row r="1005" spans="3:14" x14ac:dyDescent="0.2">
      <c r="C1005" t="s">
        <v>3860</v>
      </c>
      <c r="G1005" s="14">
        <v>10.050000000000001</v>
      </c>
      <c r="H1005" s="133"/>
      <c r="K1005" s="135">
        <v>40684</v>
      </c>
      <c r="L1005" s="135" t="s">
        <v>527</v>
      </c>
      <c r="M1005" s="135" t="s">
        <v>659</v>
      </c>
      <c r="N1005" s="135"/>
    </row>
    <row r="1006" spans="3:14" x14ac:dyDescent="0.2">
      <c r="C1006" t="s">
        <v>1411</v>
      </c>
      <c r="G1006" s="14">
        <v>6.91</v>
      </c>
      <c r="H1006" s="133"/>
      <c r="I1006" s="133">
        <v>2.44</v>
      </c>
      <c r="J1006" s="133">
        <v>9.6</v>
      </c>
      <c r="K1006" s="135">
        <v>40684</v>
      </c>
      <c r="L1006" s="135" t="s">
        <v>528</v>
      </c>
      <c r="M1006" s="135" t="s">
        <v>2994</v>
      </c>
      <c r="N1006" s="135"/>
    </row>
    <row r="1007" spans="3:14" x14ac:dyDescent="0.2">
      <c r="C1007" t="s">
        <v>482</v>
      </c>
      <c r="D1007">
        <v>18</v>
      </c>
      <c r="E1007">
        <v>19</v>
      </c>
      <c r="F1007">
        <v>29.18</v>
      </c>
      <c r="G1007" s="14">
        <v>337.2</v>
      </c>
      <c r="H1007" s="133"/>
      <c r="I1007" s="133">
        <v>57.31</v>
      </c>
      <c r="J1007" s="133">
        <v>18.059999999999999</v>
      </c>
      <c r="K1007" s="135">
        <v>40684</v>
      </c>
      <c r="L1007" s="135" t="s">
        <v>880</v>
      </c>
      <c r="M1007" s="135" t="s">
        <v>1765</v>
      </c>
      <c r="N1007" s="135"/>
    </row>
    <row r="1008" spans="3:14" x14ac:dyDescent="0.2">
      <c r="C1008" t="s">
        <v>1735</v>
      </c>
      <c r="G1008" s="14">
        <v>19.100000000000001</v>
      </c>
      <c r="H1008" s="133"/>
      <c r="I1008" s="133">
        <v>13.73</v>
      </c>
      <c r="J1008" s="133">
        <v>1.9</v>
      </c>
      <c r="K1008" s="135">
        <v>40684</v>
      </c>
      <c r="L1008" s="135" t="s">
        <v>3140</v>
      </c>
      <c r="M1008" s="135" t="s">
        <v>2994</v>
      </c>
      <c r="N1008" s="135"/>
    </row>
    <row r="1009" spans="3:14" x14ac:dyDescent="0.2">
      <c r="C1009" t="s">
        <v>5326</v>
      </c>
      <c r="D1009">
        <v>31.62</v>
      </c>
      <c r="E1009">
        <v>48.5</v>
      </c>
      <c r="F1009">
        <v>53.4</v>
      </c>
      <c r="G1009" s="14">
        <v>293.14999999999998</v>
      </c>
      <c r="H1009" s="133"/>
      <c r="I1009" s="133">
        <v>26.35</v>
      </c>
      <c r="J1009" s="133">
        <v>7.44</v>
      </c>
      <c r="K1009" s="135">
        <v>40684</v>
      </c>
      <c r="L1009" s="135" t="s">
        <v>1417</v>
      </c>
      <c r="M1009" s="135" t="s">
        <v>2997</v>
      </c>
      <c r="N1009" s="135"/>
    </row>
    <row r="1010" spans="3:14" x14ac:dyDescent="0.2">
      <c r="C1010" t="s">
        <v>1727</v>
      </c>
      <c r="G1010" s="14">
        <v>0.25</v>
      </c>
      <c r="H1010" s="133"/>
      <c r="I1010" s="133">
        <v>-1.46</v>
      </c>
      <c r="J1010" s="133">
        <v>0</v>
      </c>
      <c r="K1010" s="135">
        <v>40684</v>
      </c>
      <c r="L1010" s="135" t="s">
        <v>1728</v>
      </c>
      <c r="M1010" s="135" t="s">
        <v>1763</v>
      </c>
      <c r="N1010" s="135"/>
    </row>
    <row r="1011" spans="3:14" x14ac:dyDescent="0.2">
      <c r="C1011" t="s">
        <v>2805</v>
      </c>
      <c r="G1011" s="14">
        <v>1.41</v>
      </c>
      <c r="H1011" s="133"/>
      <c r="K1011" s="135">
        <v>40684</v>
      </c>
      <c r="L1011" s="135" t="s">
        <v>3014</v>
      </c>
      <c r="M1011" s="135" t="s">
        <v>2994</v>
      </c>
      <c r="N1011" s="135"/>
    </row>
    <row r="1012" spans="3:14" x14ac:dyDescent="0.2">
      <c r="C1012" t="s">
        <v>4493</v>
      </c>
      <c r="G1012" s="14">
        <v>81.25</v>
      </c>
      <c r="H1012" s="133">
        <v>1.23</v>
      </c>
      <c r="I1012" s="133">
        <v>24.8</v>
      </c>
      <c r="J1012" s="133">
        <v>17.88</v>
      </c>
      <c r="K1012" s="135">
        <v>40684</v>
      </c>
      <c r="L1012" s="135" t="s">
        <v>516</v>
      </c>
      <c r="M1012" s="135" t="s">
        <v>659</v>
      </c>
      <c r="N1012" s="135"/>
    </row>
    <row r="1013" spans="3:14" x14ac:dyDescent="0.2">
      <c r="C1013" t="s">
        <v>4528</v>
      </c>
      <c r="D1013">
        <v>1.98</v>
      </c>
      <c r="E1013">
        <v>3.15</v>
      </c>
      <c r="F1013">
        <v>4.4000000000000004</v>
      </c>
      <c r="G1013" s="14">
        <v>38.049999999999997</v>
      </c>
      <c r="H1013" s="133"/>
      <c r="I1013" s="133">
        <v>7.53</v>
      </c>
      <c r="J1013" s="133">
        <v>11.16</v>
      </c>
      <c r="K1013" s="135">
        <v>40684</v>
      </c>
      <c r="L1013" s="135" t="s">
        <v>4529</v>
      </c>
      <c r="M1013" s="135" t="s">
        <v>3180</v>
      </c>
      <c r="N1013" s="135"/>
    </row>
    <row r="1014" spans="3:14" x14ac:dyDescent="0.2">
      <c r="C1014" t="s">
        <v>2806</v>
      </c>
      <c r="G1014" s="14">
        <v>5.95</v>
      </c>
      <c r="H1014" s="133"/>
      <c r="K1014" s="135">
        <v>40684</v>
      </c>
      <c r="L1014" s="135" t="s">
        <v>517</v>
      </c>
      <c r="M1014" s="135" t="s">
        <v>2994</v>
      </c>
      <c r="N1014" s="135"/>
    </row>
    <row r="1015" spans="3:14" x14ac:dyDescent="0.2">
      <c r="C1015" t="s">
        <v>2807</v>
      </c>
      <c r="G1015" s="14">
        <v>15.55</v>
      </c>
      <c r="H1015" s="133"/>
      <c r="I1015" s="133">
        <v>5.55</v>
      </c>
      <c r="J1015" s="133">
        <v>5.6</v>
      </c>
      <c r="K1015" s="135">
        <v>40684</v>
      </c>
      <c r="L1015" s="135" t="s">
        <v>518</v>
      </c>
      <c r="M1015" s="135" t="s">
        <v>2993</v>
      </c>
      <c r="N1015" s="135"/>
    </row>
    <row r="1016" spans="3:14" x14ac:dyDescent="0.2">
      <c r="C1016" t="s">
        <v>809</v>
      </c>
      <c r="G1016" s="14">
        <v>6.45</v>
      </c>
      <c r="H1016" s="133"/>
      <c r="K1016" s="135">
        <v>40684</v>
      </c>
      <c r="L1016" s="135" t="s">
        <v>519</v>
      </c>
      <c r="M1016" s="135" t="s">
        <v>2994</v>
      </c>
      <c r="N1016" s="135"/>
    </row>
    <row r="1017" spans="3:14" x14ac:dyDescent="0.2">
      <c r="C1017" t="s">
        <v>1263</v>
      </c>
      <c r="G1017" s="14">
        <v>206</v>
      </c>
      <c r="H1017" s="133"/>
      <c r="K1017" s="135">
        <v>40684</v>
      </c>
      <c r="L1017" s="135" t="s">
        <v>1264</v>
      </c>
      <c r="M1017" s="135" t="s">
        <v>2415</v>
      </c>
      <c r="N1017" s="135"/>
    </row>
    <row r="1018" spans="3:14" x14ac:dyDescent="0.2">
      <c r="C1018" t="s">
        <v>1265</v>
      </c>
      <c r="G1018" s="14">
        <v>23.4</v>
      </c>
      <c r="H1018" s="133"/>
      <c r="K1018" s="135">
        <v>40684</v>
      </c>
      <c r="L1018" s="135" t="s">
        <v>1264</v>
      </c>
      <c r="M1018" s="135" t="s">
        <v>2415</v>
      </c>
      <c r="N1018" s="135"/>
    </row>
    <row r="1019" spans="3:14" x14ac:dyDescent="0.2">
      <c r="C1019" t="s">
        <v>810</v>
      </c>
      <c r="G1019" s="14">
        <v>5.65</v>
      </c>
      <c r="H1019" s="133"/>
      <c r="I1019" s="133">
        <v>3.07</v>
      </c>
      <c r="J1019" s="133">
        <v>42.71</v>
      </c>
      <c r="K1019" s="135">
        <v>40684</v>
      </c>
      <c r="L1019" s="135" t="s">
        <v>520</v>
      </c>
      <c r="M1019" s="135" t="s">
        <v>2995</v>
      </c>
      <c r="N1019" s="135"/>
    </row>
    <row r="1020" spans="3:14" x14ac:dyDescent="0.2">
      <c r="C1020" t="s">
        <v>483</v>
      </c>
      <c r="D1020">
        <v>45.71</v>
      </c>
      <c r="E1020">
        <v>49.3</v>
      </c>
      <c r="F1020">
        <v>58.77</v>
      </c>
      <c r="G1020" s="14">
        <v>269.05</v>
      </c>
      <c r="H1020" s="133"/>
      <c r="I1020" s="133">
        <v>9.74</v>
      </c>
      <c r="J1020" s="133">
        <v>29.74</v>
      </c>
      <c r="K1020" s="135">
        <v>40684</v>
      </c>
      <c r="L1020" s="135" t="s">
        <v>3277</v>
      </c>
      <c r="M1020" s="135" t="s">
        <v>1765</v>
      </c>
      <c r="N1020" s="135"/>
    </row>
    <row r="1021" spans="3:14" x14ac:dyDescent="0.2">
      <c r="C1021" t="s">
        <v>484</v>
      </c>
      <c r="D1021">
        <v>5.12</v>
      </c>
      <c r="E1021">
        <v>8</v>
      </c>
      <c r="F1021">
        <v>11</v>
      </c>
      <c r="G1021" s="14">
        <v>381.15</v>
      </c>
      <c r="H1021" s="133"/>
      <c r="I1021" s="133">
        <v>17.32</v>
      </c>
      <c r="J1021" s="133">
        <v>41.57</v>
      </c>
      <c r="K1021" s="135">
        <v>40684</v>
      </c>
      <c r="L1021" s="135" t="s">
        <v>126</v>
      </c>
      <c r="M1021" s="135" t="s">
        <v>2416</v>
      </c>
      <c r="N1021" s="135"/>
    </row>
    <row r="1022" spans="3:14" x14ac:dyDescent="0.2">
      <c r="C1022" t="s">
        <v>1393</v>
      </c>
      <c r="D1022">
        <v>212.31</v>
      </c>
      <c r="E1022">
        <v>123.5</v>
      </c>
      <c r="F1022">
        <v>166.4</v>
      </c>
      <c r="G1022" s="14">
        <v>1846</v>
      </c>
      <c r="H1022" s="133"/>
      <c r="K1022" s="135">
        <v>40684</v>
      </c>
      <c r="L1022" s="135" t="s">
        <v>4530</v>
      </c>
      <c r="M1022" s="135" t="s">
        <v>2995</v>
      </c>
      <c r="N1022" s="135"/>
    </row>
    <row r="1023" spans="3:14" x14ac:dyDescent="0.2">
      <c r="C1023" t="s">
        <v>485</v>
      </c>
      <c r="E1023">
        <v>-1</v>
      </c>
      <c r="F1023">
        <v>-0.4</v>
      </c>
      <c r="G1023" s="14">
        <v>46.3</v>
      </c>
      <c r="H1023" s="133"/>
      <c r="I1023" s="133">
        <v>-8.18</v>
      </c>
      <c r="J1023" s="133">
        <v>0</v>
      </c>
      <c r="K1023" s="135">
        <v>40684</v>
      </c>
      <c r="L1023" s="135" t="s">
        <v>127</v>
      </c>
      <c r="M1023" s="135" t="s">
        <v>2944</v>
      </c>
      <c r="N1023" s="135"/>
    </row>
    <row r="1024" spans="3:14" x14ac:dyDescent="0.2">
      <c r="C1024" t="s">
        <v>811</v>
      </c>
      <c r="G1024" s="14">
        <v>10.74</v>
      </c>
      <c r="H1024" s="133"/>
      <c r="I1024" s="133">
        <v>7.71</v>
      </c>
      <c r="J1024" s="133">
        <v>151.46</v>
      </c>
      <c r="K1024" s="135">
        <v>40684</v>
      </c>
      <c r="L1024" s="135" t="s">
        <v>521</v>
      </c>
      <c r="M1024" s="135" t="s">
        <v>2995</v>
      </c>
      <c r="N1024" s="135"/>
    </row>
    <row r="1025" spans="3:14" x14ac:dyDescent="0.2">
      <c r="C1025" t="s">
        <v>812</v>
      </c>
      <c r="G1025" s="14">
        <v>195</v>
      </c>
      <c r="H1025" s="133"/>
      <c r="I1025" s="133">
        <v>8.7100000000000009</v>
      </c>
      <c r="J1025" s="133">
        <v>5.88</v>
      </c>
      <c r="K1025" s="135">
        <v>40684</v>
      </c>
      <c r="L1025" s="135" t="s">
        <v>522</v>
      </c>
      <c r="M1025" s="135" t="s">
        <v>2994</v>
      </c>
      <c r="N1025" s="135"/>
    </row>
    <row r="1026" spans="3:14" x14ac:dyDescent="0.2">
      <c r="C1026" t="s">
        <v>1266</v>
      </c>
      <c r="G1026" s="14">
        <v>4</v>
      </c>
      <c r="H1026" s="133"/>
      <c r="I1026" s="133">
        <v>3.05</v>
      </c>
      <c r="J1026" s="133">
        <v>7.36</v>
      </c>
      <c r="K1026" s="135">
        <v>40684</v>
      </c>
      <c r="L1026" s="135" t="s">
        <v>3216</v>
      </c>
      <c r="M1026" s="135" t="s">
        <v>2994</v>
      </c>
      <c r="N1026" s="135"/>
    </row>
    <row r="1027" spans="3:14" x14ac:dyDescent="0.2">
      <c r="C1027" t="s">
        <v>813</v>
      </c>
      <c r="G1027" s="14">
        <v>1.95</v>
      </c>
      <c r="H1027" s="133"/>
      <c r="I1027" s="133">
        <v>-0.08</v>
      </c>
      <c r="J1027" s="133">
        <v>17.41</v>
      </c>
      <c r="K1027" s="135">
        <v>40684</v>
      </c>
      <c r="L1027" s="135" t="s">
        <v>523</v>
      </c>
      <c r="M1027" s="135" t="s">
        <v>2994</v>
      </c>
      <c r="N1027" s="135"/>
    </row>
    <row r="1028" spans="3:14" x14ac:dyDescent="0.2">
      <c r="C1028" t="s">
        <v>1736</v>
      </c>
      <c r="H1028" s="133"/>
      <c r="K1028" s="135">
        <v>40684</v>
      </c>
      <c r="L1028" s="135" t="s">
        <v>1729</v>
      </c>
      <c r="M1028" s="135" t="s">
        <v>2421</v>
      </c>
      <c r="N1028" s="135"/>
    </row>
    <row r="1029" spans="3:14" x14ac:dyDescent="0.2">
      <c r="C1029" t="s">
        <v>814</v>
      </c>
      <c r="G1029" s="14">
        <v>149.75</v>
      </c>
      <c r="H1029" s="133"/>
      <c r="I1029" s="133">
        <v>3.63</v>
      </c>
      <c r="J1029" s="133">
        <v>50.36</v>
      </c>
      <c r="K1029" s="135">
        <v>40684</v>
      </c>
      <c r="L1029" s="135" t="s">
        <v>524</v>
      </c>
      <c r="M1029" s="135" t="s">
        <v>2997</v>
      </c>
      <c r="N1029" s="135"/>
    </row>
    <row r="1030" spans="3:14" x14ac:dyDescent="0.2">
      <c r="C1030" t="s">
        <v>1525</v>
      </c>
      <c r="G1030" s="14">
        <v>18.850000000000001</v>
      </c>
      <c r="H1030" s="133"/>
      <c r="I1030" s="133">
        <v>0.9</v>
      </c>
      <c r="J1030" s="133">
        <v>37.5</v>
      </c>
      <c r="K1030" s="135">
        <v>40684</v>
      </c>
      <c r="L1030" s="135" t="s">
        <v>525</v>
      </c>
      <c r="M1030" s="135" t="s">
        <v>2994</v>
      </c>
      <c r="N1030" s="135"/>
    </row>
    <row r="1031" spans="3:14" x14ac:dyDescent="0.2">
      <c r="C1031" t="s">
        <v>2111</v>
      </c>
      <c r="G1031" s="14">
        <v>32.85</v>
      </c>
      <c r="H1031" s="133"/>
      <c r="I1031" s="133">
        <v>-11.18</v>
      </c>
      <c r="J1031" s="133">
        <v>0</v>
      </c>
      <c r="K1031" s="135">
        <v>40684</v>
      </c>
      <c r="L1031" s="135" t="s">
        <v>2112</v>
      </c>
      <c r="M1031" s="135" t="s">
        <v>2993</v>
      </c>
      <c r="N1031" s="135"/>
    </row>
    <row r="1032" spans="3:14" x14ac:dyDescent="0.2">
      <c r="C1032" t="s">
        <v>486</v>
      </c>
      <c r="D1032">
        <v>40.909999999999997</v>
      </c>
      <c r="E1032">
        <v>54.4</v>
      </c>
      <c r="F1032">
        <v>67.34</v>
      </c>
      <c r="G1032" s="14">
        <v>686.4</v>
      </c>
      <c r="H1032" s="133"/>
      <c r="I1032" s="133">
        <v>22.5</v>
      </c>
      <c r="J1032" s="133">
        <v>12.57</v>
      </c>
      <c r="K1032" s="135">
        <v>40684</v>
      </c>
      <c r="L1032" s="135" t="s">
        <v>128</v>
      </c>
      <c r="M1032" s="135" t="s">
        <v>660</v>
      </c>
      <c r="N1032" s="135" t="s">
        <v>5435</v>
      </c>
    </row>
    <row r="1033" spans="3:14" x14ac:dyDescent="0.2">
      <c r="C1033" t="s">
        <v>1526</v>
      </c>
      <c r="G1033" s="14">
        <v>1.56</v>
      </c>
      <c r="H1033" s="133"/>
      <c r="I1033" s="133">
        <v>-10.83</v>
      </c>
      <c r="J1033" s="133">
        <v>0</v>
      </c>
      <c r="K1033" s="135">
        <v>40684</v>
      </c>
      <c r="L1033" s="135" t="s">
        <v>3644</v>
      </c>
      <c r="M1033" s="135" t="s">
        <v>2427</v>
      </c>
      <c r="N1033" s="135"/>
    </row>
    <row r="1034" spans="3:14" x14ac:dyDescent="0.2">
      <c r="C1034" t="s">
        <v>1730</v>
      </c>
      <c r="G1034" s="14">
        <v>6.13</v>
      </c>
      <c r="H1034" s="133"/>
      <c r="K1034" s="135">
        <v>40684</v>
      </c>
      <c r="L1034" s="135" t="s">
        <v>776</v>
      </c>
      <c r="M1034" s="135" t="s">
        <v>2997</v>
      </c>
      <c r="N1034" s="135"/>
    </row>
    <row r="1035" spans="3:14" x14ac:dyDescent="0.2">
      <c r="C1035" t="s">
        <v>5327</v>
      </c>
      <c r="D1035">
        <v>22.48</v>
      </c>
      <c r="E1035">
        <v>28.75</v>
      </c>
      <c r="F1035">
        <v>34</v>
      </c>
      <c r="G1035" s="14">
        <v>862.7</v>
      </c>
      <c r="H1035" s="133">
        <v>0.57999999999999996</v>
      </c>
      <c r="I1035" s="133">
        <v>24.97</v>
      </c>
      <c r="J1035" s="133">
        <v>35.49</v>
      </c>
      <c r="K1035" s="135">
        <v>40684</v>
      </c>
      <c r="L1035" s="135" t="s">
        <v>2114</v>
      </c>
      <c r="M1035" s="135" t="s">
        <v>2428</v>
      </c>
      <c r="N1035" s="135"/>
    </row>
    <row r="1036" spans="3:14" x14ac:dyDescent="0.2">
      <c r="C1036" t="s">
        <v>1737</v>
      </c>
      <c r="G1036" s="14">
        <v>8.15</v>
      </c>
      <c r="H1036" s="133"/>
      <c r="I1036" s="133">
        <v>1.08</v>
      </c>
      <c r="J1036" s="133">
        <v>13.38</v>
      </c>
      <c r="K1036" s="135">
        <v>40684</v>
      </c>
      <c r="L1036" s="135" t="s">
        <v>4113</v>
      </c>
      <c r="M1036" s="135" t="s">
        <v>1429</v>
      </c>
      <c r="N1036" s="135"/>
    </row>
    <row r="1037" spans="3:14" x14ac:dyDescent="0.2">
      <c r="C1037" t="s">
        <v>1527</v>
      </c>
      <c r="G1037" s="14">
        <v>8.1300000000000008</v>
      </c>
      <c r="H1037" s="133"/>
      <c r="I1037" s="133">
        <v>-1.78</v>
      </c>
      <c r="J1037" s="133">
        <v>0</v>
      </c>
      <c r="K1037" s="135">
        <v>40684</v>
      </c>
      <c r="L1037" s="135" t="s">
        <v>5162</v>
      </c>
      <c r="M1037" s="135" t="s">
        <v>2994</v>
      </c>
      <c r="N1037" s="135"/>
    </row>
    <row r="1038" spans="3:14" x14ac:dyDescent="0.2">
      <c r="C1038" t="s">
        <v>3217</v>
      </c>
      <c r="G1038" s="14">
        <v>316.35000000000002</v>
      </c>
      <c r="H1038" s="133">
        <v>0.63</v>
      </c>
      <c r="I1038" s="133">
        <v>18.91</v>
      </c>
      <c r="J1038" s="133">
        <v>12.72</v>
      </c>
      <c r="K1038" s="135">
        <v>40684</v>
      </c>
      <c r="L1038" s="135" t="s">
        <v>3218</v>
      </c>
      <c r="M1038" s="135"/>
      <c r="N1038" s="135"/>
    </row>
    <row r="1039" spans="3:14" x14ac:dyDescent="0.2">
      <c r="C1039" t="s">
        <v>2893</v>
      </c>
      <c r="G1039" s="14">
        <v>33.299999999999997</v>
      </c>
      <c r="H1039" s="133"/>
      <c r="K1039" s="135">
        <v>40684</v>
      </c>
      <c r="L1039" s="135" t="s">
        <v>5163</v>
      </c>
      <c r="M1039" s="135" t="s">
        <v>1762</v>
      </c>
      <c r="N1039" s="135"/>
    </row>
    <row r="1040" spans="3:14" x14ac:dyDescent="0.2">
      <c r="C1040" t="s">
        <v>2894</v>
      </c>
      <c r="G1040" s="14">
        <v>39.65</v>
      </c>
      <c r="H1040" s="133"/>
      <c r="I1040" s="133">
        <v>-233.75</v>
      </c>
      <c r="J1040" s="133">
        <v>0</v>
      </c>
      <c r="K1040" s="135">
        <v>40684</v>
      </c>
      <c r="L1040" s="135" t="s">
        <v>5164</v>
      </c>
      <c r="M1040" s="135" t="s">
        <v>2427</v>
      </c>
      <c r="N1040" s="135"/>
    </row>
    <row r="1041" spans="3:14" x14ac:dyDescent="0.2">
      <c r="C1041" t="s">
        <v>3830</v>
      </c>
      <c r="D1041">
        <v>12.14</v>
      </c>
      <c r="E1041">
        <v>15.15</v>
      </c>
      <c r="F1041">
        <v>19.09</v>
      </c>
      <c r="G1041" s="14">
        <v>174.05</v>
      </c>
      <c r="H1041" s="133"/>
      <c r="K1041" s="135">
        <v>40684</v>
      </c>
      <c r="L1041" s="135" t="s">
        <v>129</v>
      </c>
      <c r="M1041" s="135" t="s">
        <v>1758</v>
      </c>
      <c r="N1041" s="135"/>
    </row>
    <row r="1042" spans="3:14" x14ac:dyDescent="0.2">
      <c r="C1042" t="s">
        <v>2895</v>
      </c>
      <c r="G1042" s="14">
        <v>366.8</v>
      </c>
      <c r="H1042" s="133">
        <v>1.64</v>
      </c>
      <c r="I1042" s="133">
        <v>18.72</v>
      </c>
      <c r="J1042" s="133">
        <v>10.220000000000001</v>
      </c>
      <c r="K1042" s="135">
        <v>40684</v>
      </c>
      <c r="L1042" s="135" t="s">
        <v>1629</v>
      </c>
      <c r="M1042" s="135" t="s">
        <v>2994</v>
      </c>
      <c r="N1042" s="135"/>
    </row>
    <row r="1043" spans="3:14" x14ac:dyDescent="0.2">
      <c r="C1043" t="s">
        <v>4531</v>
      </c>
      <c r="D1043">
        <v>33.6</v>
      </c>
      <c r="E1043">
        <v>41.9</v>
      </c>
      <c r="F1043">
        <v>49.7</v>
      </c>
      <c r="G1043" s="14">
        <v>627.6</v>
      </c>
      <c r="H1043" s="133">
        <v>1.1200000000000001</v>
      </c>
      <c r="I1043" s="133">
        <v>20.39</v>
      </c>
      <c r="J1043" s="133">
        <v>18.68</v>
      </c>
      <c r="K1043" s="135">
        <v>40684</v>
      </c>
      <c r="L1043" s="135" t="s">
        <v>4532</v>
      </c>
      <c r="M1043" s="135" t="s">
        <v>3180</v>
      </c>
      <c r="N1043" s="135"/>
    </row>
    <row r="1044" spans="3:14" x14ac:dyDescent="0.2">
      <c r="C1044" t="s">
        <v>3219</v>
      </c>
      <c r="H1044" s="133"/>
      <c r="I1044" s="133">
        <v>-10.36</v>
      </c>
      <c r="J1044" s="133">
        <v>0</v>
      </c>
      <c r="K1044" s="135">
        <v>40684</v>
      </c>
      <c r="L1044" s="135" t="s">
        <v>3220</v>
      </c>
      <c r="M1044" s="135" t="s">
        <v>1756</v>
      </c>
      <c r="N1044" s="135"/>
    </row>
    <row r="1045" spans="3:14" x14ac:dyDescent="0.2">
      <c r="C1045" t="s">
        <v>4533</v>
      </c>
      <c r="D1045">
        <v>9.33</v>
      </c>
      <c r="E1045">
        <v>11.07</v>
      </c>
      <c r="F1045">
        <v>14</v>
      </c>
      <c r="G1045" s="14">
        <v>58.4</v>
      </c>
      <c r="H1045" s="133"/>
      <c r="I1045" s="133">
        <v>11.18</v>
      </c>
      <c r="J1045" s="133">
        <v>14.59</v>
      </c>
      <c r="K1045" s="135">
        <v>40684</v>
      </c>
      <c r="L1045" s="135" t="s">
        <v>4534</v>
      </c>
      <c r="M1045" s="135" t="s">
        <v>2994</v>
      </c>
      <c r="N1045" s="135"/>
    </row>
    <row r="1046" spans="3:14" x14ac:dyDescent="0.2">
      <c r="C1046" t="s">
        <v>777</v>
      </c>
      <c r="G1046" s="14">
        <v>1.03</v>
      </c>
      <c r="H1046" s="133"/>
      <c r="I1046" s="133">
        <v>-1.31</v>
      </c>
      <c r="J1046" s="133">
        <v>0</v>
      </c>
      <c r="K1046" s="135">
        <v>40684</v>
      </c>
      <c r="L1046" s="135"/>
      <c r="M1046" s="135"/>
      <c r="N1046" s="135"/>
    </row>
    <row r="1047" spans="3:14" x14ac:dyDescent="0.2">
      <c r="C1047" t="s">
        <v>2896</v>
      </c>
      <c r="G1047" s="14">
        <v>91.9</v>
      </c>
      <c r="H1047" s="133">
        <v>0.54</v>
      </c>
      <c r="I1047" s="133">
        <v>2.83</v>
      </c>
      <c r="J1047" s="133">
        <v>9.1</v>
      </c>
      <c r="K1047" s="135">
        <v>40684</v>
      </c>
      <c r="L1047" s="135" t="s">
        <v>1630</v>
      </c>
      <c r="M1047" s="135" t="s">
        <v>2994</v>
      </c>
      <c r="N1047" s="135"/>
    </row>
    <row r="1048" spans="3:14" x14ac:dyDescent="0.2">
      <c r="C1048" t="s">
        <v>4535</v>
      </c>
      <c r="D1048">
        <v>71.3</v>
      </c>
      <c r="E1048">
        <v>85.3</v>
      </c>
      <c r="F1048">
        <v>102.2</v>
      </c>
      <c r="G1048" s="14">
        <v>2196.1999999999998</v>
      </c>
      <c r="H1048" s="133">
        <v>2.27</v>
      </c>
      <c r="I1048" s="133">
        <v>31.68</v>
      </c>
      <c r="J1048" s="133">
        <v>30.87</v>
      </c>
      <c r="K1048" s="135">
        <v>40684</v>
      </c>
      <c r="L1048" s="135" t="s">
        <v>4536</v>
      </c>
      <c r="M1048" s="135" t="s">
        <v>2416</v>
      </c>
      <c r="N1048" s="135"/>
    </row>
    <row r="1049" spans="3:14" x14ac:dyDescent="0.2">
      <c r="C1049" t="s">
        <v>2897</v>
      </c>
      <c r="G1049" s="14">
        <v>8.9499999999999993</v>
      </c>
      <c r="H1049" s="133"/>
      <c r="I1049" s="133">
        <v>-18.11</v>
      </c>
      <c r="J1049" s="133">
        <v>0</v>
      </c>
      <c r="K1049" s="135">
        <v>40684</v>
      </c>
      <c r="L1049" s="135" t="s">
        <v>1631</v>
      </c>
      <c r="M1049" s="135" t="s">
        <v>1429</v>
      </c>
      <c r="N1049" s="135"/>
    </row>
    <row r="1050" spans="3:14" x14ac:dyDescent="0.2">
      <c r="C1050" t="s">
        <v>2898</v>
      </c>
      <c r="G1050" s="14">
        <v>30.95</v>
      </c>
      <c r="H1050" s="133"/>
      <c r="I1050" s="133">
        <v>10.130000000000001</v>
      </c>
      <c r="J1050" s="133">
        <v>3.24</v>
      </c>
      <c r="K1050" s="135">
        <v>40684</v>
      </c>
      <c r="L1050" s="135" t="s">
        <v>1632</v>
      </c>
      <c r="M1050" s="135" t="s">
        <v>1429</v>
      </c>
      <c r="N1050" s="135"/>
    </row>
    <row r="1051" spans="3:14" x14ac:dyDescent="0.2">
      <c r="C1051" t="s">
        <v>2899</v>
      </c>
      <c r="G1051" s="14">
        <v>7.7</v>
      </c>
      <c r="H1051" s="133"/>
      <c r="I1051" s="133">
        <v>-12.96</v>
      </c>
      <c r="J1051" s="133">
        <v>0</v>
      </c>
      <c r="K1051" s="135">
        <v>40684</v>
      </c>
      <c r="L1051" s="135" t="s">
        <v>1633</v>
      </c>
      <c r="M1051" s="135" t="s">
        <v>2994</v>
      </c>
      <c r="N1051" s="135"/>
    </row>
    <row r="1052" spans="3:14" x14ac:dyDescent="0.2">
      <c r="C1052" t="s">
        <v>4812</v>
      </c>
      <c r="G1052" s="14">
        <v>37.35</v>
      </c>
      <c r="H1052" s="133"/>
      <c r="I1052" s="133">
        <v>21.76</v>
      </c>
      <c r="J1052" s="133">
        <v>6.33</v>
      </c>
      <c r="K1052" s="135">
        <v>40684</v>
      </c>
      <c r="L1052" s="135" t="s">
        <v>3049</v>
      </c>
      <c r="M1052" s="135" t="s">
        <v>1429</v>
      </c>
      <c r="N1052" s="135"/>
    </row>
    <row r="1053" spans="3:14" x14ac:dyDescent="0.2">
      <c r="C1053" t="s">
        <v>3050</v>
      </c>
      <c r="D1053">
        <v>0.85</v>
      </c>
      <c r="E1053">
        <v>1.2</v>
      </c>
      <c r="F1053">
        <v>1.7</v>
      </c>
      <c r="G1053" s="14">
        <v>16.899999999999999</v>
      </c>
      <c r="H1053" s="133"/>
      <c r="I1053" s="133">
        <v>11.5</v>
      </c>
      <c r="J1053" s="133">
        <v>8.9499999999999993</v>
      </c>
      <c r="K1053" s="135">
        <v>40684</v>
      </c>
      <c r="L1053" s="135" t="s">
        <v>3051</v>
      </c>
      <c r="M1053" s="135" t="s">
        <v>2418</v>
      </c>
      <c r="N1053" s="135"/>
    </row>
    <row r="1054" spans="3:14" x14ac:dyDescent="0.2">
      <c r="C1054" t="s">
        <v>3221</v>
      </c>
      <c r="H1054" s="133"/>
      <c r="I1054" s="133">
        <v>4.45</v>
      </c>
      <c r="J1054" s="133">
        <v>18.8</v>
      </c>
      <c r="K1054" s="135">
        <v>40684</v>
      </c>
      <c r="L1054" s="135" t="s">
        <v>3222</v>
      </c>
      <c r="M1054" s="135" t="s">
        <v>661</v>
      </c>
      <c r="N1054" s="135"/>
    </row>
    <row r="1055" spans="3:14" x14ac:dyDescent="0.2">
      <c r="C1055" t="s">
        <v>3223</v>
      </c>
      <c r="G1055" s="14">
        <v>23.45</v>
      </c>
      <c r="H1055" s="133"/>
      <c r="I1055" s="133">
        <v>15.94</v>
      </c>
      <c r="J1055" s="133">
        <v>9.02</v>
      </c>
      <c r="K1055" s="135">
        <v>40684</v>
      </c>
      <c r="L1055" s="135" t="s">
        <v>3519</v>
      </c>
      <c r="M1055" s="135" t="s">
        <v>660</v>
      </c>
      <c r="N1055" s="135"/>
    </row>
    <row r="1056" spans="3:14" x14ac:dyDescent="0.2">
      <c r="C1056" t="s">
        <v>2900</v>
      </c>
      <c r="G1056" s="14">
        <v>39.6</v>
      </c>
      <c r="H1056" s="133"/>
      <c r="K1056" s="135">
        <v>40684</v>
      </c>
      <c r="L1056" s="135" t="s">
        <v>5255</v>
      </c>
      <c r="M1056" s="135" t="s">
        <v>2997</v>
      </c>
      <c r="N1056" s="135"/>
    </row>
    <row r="1057" spans="3:14" x14ac:dyDescent="0.2">
      <c r="C1057" t="s">
        <v>2901</v>
      </c>
      <c r="G1057" s="14">
        <v>63.3</v>
      </c>
      <c r="H1057" s="133"/>
      <c r="I1057" s="133">
        <v>18.71</v>
      </c>
      <c r="J1057" s="133">
        <v>6.96</v>
      </c>
      <c r="K1057" s="135">
        <v>40684</v>
      </c>
      <c r="L1057" s="135" t="s">
        <v>5256</v>
      </c>
      <c r="M1057" s="135" t="s">
        <v>659</v>
      </c>
      <c r="N1057" s="135"/>
    </row>
    <row r="1058" spans="3:14" x14ac:dyDescent="0.2">
      <c r="C1058" t="s">
        <v>2902</v>
      </c>
      <c r="G1058" s="14">
        <v>16.55</v>
      </c>
      <c r="H1058" s="133"/>
      <c r="I1058" s="133">
        <v>-44.23</v>
      </c>
      <c r="J1058" s="133">
        <v>3.58</v>
      </c>
      <c r="K1058" s="135">
        <v>40684</v>
      </c>
      <c r="L1058" s="135" t="s">
        <v>3185</v>
      </c>
      <c r="M1058" s="135" t="s">
        <v>2994</v>
      </c>
      <c r="N1058" s="135"/>
    </row>
    <row r="1059" spans="3:14" x14ac:dyDescent="0.2">
      <c r="C1059" t="s">
        <v>2903</v>
      </c>
      <c r="G1059" s="14">
        <v>16.05</v>
      </c>
      <c r="H1059" s="133"/>
      <c r="I1059" s="133">
        <v>11.85</v>
      </c>
      <c r="J1059" s="133">
        <v>2.66</v>
      </c>
      <c r="K1059" s="135">
        <v>40684</v>
      </c>
      <c r="L1059" s="135" t="s">
        <v>3952</v>
      </c>
      <c r="M1059" s="135" t="s">
        <v>2994</v>
      </c>
      <c r="N1059" s="135"/>
    </row>
    <row r="1060" spans="3:14" x14ac:dyDescent="0.2">
      <c r="C1060" t="s">
        <v>4853</v>
      </c>
      <c r="G1060" s="14">
        <v>24.65</v>
      </c>
      <c r="H1060" s="133"/>
      <c r="I1060" s="133">
        <v>0</v>
      </c>
      <c r="J1060" s="133">
        <v>5</v>
      </c>
      <c r="K1060" s="135">
        <v>40684</v>
      </c>
      <c r="L1060" s="135" t="s">
        <v>2303</v>
      </c>
      <c r="M1060" s="135" t="s">
        <v>1759</v>
      </c>
      <c r="N1060" s="135"/>
    </row>
    <row r="1061" spans="3:14" x14ac:dyDescent="0.2">
      <c r="C1061" t="s">
        <v>2904</v>
      </c>
      <c r="G1061" s="14">
        <v>17.75</v>
      </c>
      <c r="H1061" s="133">
        <v>8.4499999999999993</v>
      </c>
      <c r="I1061" s="133">
        <v>23.2</v>
      </c>
      <c r="J1061" s="133">
        <v>2.31</v>
      </c>
      <c r="K1061" s="135">
        <v>40684</v>
      </c>
      <c r="L1061" s="135" t="s">
        <v>3953</v>
      </c>
      <c r="M1061" s="135" t="s">
        <v>2994</v>
      </c>
      <c r="N1061" s="135"/>
    </row>
    <row r="1062" spans="3:14" x14ac:dyDescent="0.2">
      <c r="C1062" t="s">
        <v>2783</v>
      </c>
      <c r="G1062" s="14">
        <v>12.56</v>
      </c>
      <c r="H1062" s="133"/>
      <c r="I1062" s="133">
        <v>-157.38</v>
      </c>
      <c r="J1062" s="133">
        <v>0</v>
      </c>
      <c r="K1062" s="135">
        <v>40684</v>
      </c>
      <c r="L1062" s="135" t="s">
        <v>3954</v>
      </c>
      <c r="M1062" s="135" t="s">
        <v>1429</v>
      </c>
      <c r="N1062" s="135"/>
    </row>
    <row r="1063" spans="3:14" x14ac:dyDescent="0.2">
      <c r="C1063" t="s">
        <v>3831</v>
      </c>
      <c r="D1063">
        <v>7.46</v>
      </c>
      <c r="E1063">
        <v>8.39</v>
      </c>
      <c r="F1063">
        <v>11.13</v>
      </c>
      <c r="G1063" s="14">
        <v>39.75</v>
      </c>
      <c r="H1063" s="133"/>
      <c r="I1063" s="133">
        <v>14.56</v>
      </c>
      <c r="J1063" s="133">
        <v>14.87</v>
      </c>
      <c r="K1063" s="135">
        <v>40684</v>
      </c>
      <c r="L1063" s="135" t="s">
        <v>5115</v>
      </c>
      <c r="M1063" s="135" t="s">
        <v>660</v>
      </c>
      <c r="N1063" s="135"/>
    </row>
    <row r="1064" spans="3:14" x14ac:dyDescent="0.2">
      <c r="C1064" t="s">
        <v>2304</v>
      </c>
      <c r="G1064" s="14">
        <v>5</v>
      </c>
      <c r="H1064" s="133"/>
      <c r="I1064" s="133">
        <v>-6.77</v>
      </c>
      <c r="J1064" s="133">
        <v>4.91</v>
      </c>
      <c r="K1064" s="135">
        <v>40684</v>
      </c>
      <c r="L1064" s="135" t="s">
        <v>1541</v>
      </c>
      <c r="M1064" s="135" t="s">
        <v>2419</v>
      </c>
      <c r="N1064" s="135"/>
    </row>
    <row r="1065" spans="3:14" x14ac:dyDescent="0.2">
      <c r="C1065" t="s">
        <v>2784</v>
      </c>
      <c r="G1065" s="14">
        <v>308.7</v>
      </c>
      <c r="H1065" s="133"/>
      <c r="I1065" s="133">
        <v>21.42</v>
      </c>
      <c r="J1065" s="133">
        <v>3.87</v>
      </c>
      <c r="K1065" s="135">
        <v>40684</v>
      </c>
      <c r="L1065" s="135" t="s">
        <v>3614</v>
      </c>
      <c r="M1065" s="135" t="s">
        <v>2994</v>
      </c>
      <c r="N1065" s="135"/>
    </row>
    <row r="1066" spans="3:14" x14ac:dyDescent="0.2">
      <c r="C1066" t="s">
        <v>2785</v>
      </c>
      <c r="G1066" s="14">
        <v>0.5</v>
      </c>
      <c r="H1066" s="133"/>
      <c r="I1066" s="133">
        <v>-0.83</v>
      </c>
      <c r="J1066" s="133">
        <v>0</v>
      </c>
      <c r="K1066" s="135">
        <v>40684</v>
      </c>
      <c r="L1066" s="135" t="s">
        <v>3615</v>
      </c>
      <c r="M1066" s="135" t="s">
        <v>1429</v>
      </c>
      <c r="N1066" s="135"/>
    </row>
    <row r="1067" spans="3:14" x14ac:dyDescent="0.2">
      <c r="C1067" t="s">
        <v>2786</v>
      </c>
      <c r="G1067" s="14">
        <v>9.5</v>
      </c>
      <c r="H1067" s="133"/>
      <c r="I1067" s="133">
        <v>-2.11</v>
      </c>
      <c r="J1067" s="133">
        <v>14.07</v>
      </c>
      <c r="K1067" s="135">
        <v>40684</v>
      </c>
      <c r="L1067" s="135" t="s">
        <v>3616</v>
      </c>
      <c r="M1067" s="135" t="s">
        <v>2994</v>
      </c>
      <c r="N1067" s="135"/>
    </row>
    <row r="1068" spans="3:14" x14ac:dyDescent="0.2">
      <c r="C1068" t="s">
        <v>778</v>
      </c>
      <c r="G1068" s="14">
        <v>1.38</v>
      </c>
      <c r="H1068" s="133"/>
      <c r="K1068" s="135">
        <v>40684</v>
      </c>
      <c r="L1068" s="135" t="s">
        <v>1468</v>
      </c>
      <c r="M1068" s="135" t="s">
        <v>2994</v>
      </c>
      <c r="N1068" s="135"/>
    </row>
    <row r="1069" spans="3:14" x14ac:dyDescent="0.2">
      <c r="C1069" t="s">
        <v>2787</v>
      </c>
      <c r="G1069" s="14">
        <v>30.6</v>
      </c>
      <c r="H1069" s="133"/>
      <c r="K1069" s="135">
        <v>40684</v>
      </c>
      <c r="L1069" s="135" t="s">
        <v>1481</v>
      </c>
      <c r="M1069" s="135" t="s">
        <v>2994</v>
      </c>
      <c r="N1069" s="135"/>
    </row>
    <row r="1070" spans="3:14" x14ac:dyDescent="0.2">
      <c r="C1070" t="s">
        <v>2788</v>
      </c>
      <c r="G1070" s="14">
        <v>25.75</v>
      </c>
      <c r="H1070" s="133"/>
      <c r="I1070" s="133">
        <v>41.94</v>
      </c>
      <c r="J1070" s="133">
        <v>2.14</v>
      </c>
      <c r="K1070" s="135">
        <v>40684</v>
      </c>
      <c r="L1070" s="135" t="s">
        <v>1482</v>
      </c>
      <c r="M1070" s="135" t="s">
        <v>2994</v>
      </c>
      <c r="N1070" s="135"/>
    </row>
    <row r="1071" spans="3:14" x14ac:dyDescent="0.2">
      <c r="C1071" t="s">
        <v>2789</v>
      </c>
      <c r="G1071" s="14">
        <v>22.25</v>
      </c>
      <c r="H1071" s="133"/>
      <c r="I1071" s="133">
        <v>-11.2</v>
      </c>
      <c r="J1071" s="133">
        <v>2.17</v>
      </c>
      <c r="K1071" s="135">
        <v>40684</v>
      </c>
      <c r="L1071" s="135" t="s">
        <v>1483</v>
      </c>
      <c r="M1071" s="135" t="s">
        <v>2994</v>
      </c>
      <c r="N1071" s="135"/>
    </row>
    <row r="1072" spans="3:14" x14ac:dyDescent="0.2">
      <c r="C1072" t="s">
        <v>4854</v>
      </c>
      <c r="G1072" s="14">
        <v>5.8</v>
      </c>
      <c r="H1072" s="133"/>
      <c r="I1072" s="133">
        <v>0</v>
      </c>
      <c r="J1072" s="133">
        <v>6.31</v>
      </c>
      <c r="K1072" s="135">
        <v>40684</v>
      </c>
      <c r="L1072" s="135" t="s">
        <v>1469</v>
      </c>
      <c r="M1072" s="135" t="s">
        <v>2942</v>
      </c>
      <c r="N1072" s="135"/>
    </row>
    <row r="1073" spans="3:14" x14ac:dyDescent="0.2">
      <c r="C1073" t="s">
        <v>2790</v>
      </c>
      <c r="G1073" s="14">
        <v>7.23</v>
      </c>
      <c r="H1073" s="133"/>
      <c r="K1073" s="135">
        <v>40684</v>
      </c>
      <c r="L1073" s="135" t="s">
        <v>1484</v>
      </c>
      <c r="M1073" s="135" t="s">
        <v>659</v>
      </c>
      <c r="N1073" s="135"/>
    </row>
    <row r="1074" spans="3:14" x14ac:dyDescent="0.2">
      <c r="C1074" t="s">
        <v>5328</v>
      </c>
      <c r="D1074">
        <v>144.37</v>
      </c>
      <c r="E1074">
        <v>181</v>
      </c>
      <c r="F1074">
        <v>229.3</v>
      </c>
      <c r="G1074" s="14">
        <v>2320.4499999999998</v>
      </c>
      <c r="H1074" s="133"/>
      <c r="I1074" s="133">
        <v>13.91</v>
      </c>
      <c r="J1074" s="133">
        <v>17.84</v>
      </c>
      <c r="K1074" s="135">
        <v>40684</v>
      </c>
      <c r="L1074" s="135" t="s">
        <v>1485</v>
      </c>
      <c r="M1074" s="135" t="s">
        <v>660</v>
      </c>
      <c r="N1074" s="135"/>
    </row>
    <row r="1075" spans="3:14" x14ac:dyDescent="0.2">
      <c r="C1075" t="s">
        <v>3520</v>
      </c>
      <c r="G1075" s="14">
        <v>524.5</v>
      </c>
      <c r="H1075" s="133"/>
      <c r="I1075" s="133">
        <v>18.82</v>
      </c>
      <c r="J1075" s="133">
        <v>6.66</v>
      </c>
      <c r="K1075" s="135">
        <v>40684</v>
      </c>
      <c r="L1075" s="135" t="s">
        <v>3521</v>
      </c>
      <c r="M1075" s="135" t="s">
        <v>660</v>
      </c>
      <c r="N1075" s="135"/>
    </row>
    <row r="1076" spans="3:14" x14ac:dyDescent="0.2">
      <c r="C1076" t="s">
        <v>3522</v>
      </c>
      <c r="G1076" s="14">
        <v>662.15</v>
      </c>
      <c r="H1076" s="133"/>
      <c r="I1076" s="133">
        <v>21.48</v>
      </c>
      <c r="J1076" s="133">
        <v>6.22</v>
      </c>
      <c r="K1076" s="135">
        <v>40684</v>
      </c>
      <c r="L1076" s="135" t="s">
        <v>3523</v>
      </c>
      <c r="M1076" s="135" t="s">
        <v>660</v>
      </c>
      <c r="N1076" s="135"/>
    </row>
    <row r="1077" spans="3:14" x14ac:dyDescent="0.2">
      <c r="C1077" t="s">
        <v>3524</v>
      </c>
      <c r="G1077" s="14">
        <v>726.45</v>
      </c>
      <c r="H1077" s="133">
        <v>2.48</v>
      </c>
      <c r="I1077" s="133">
        <v>21.02</v>
      </c>
      <c r="J1077" s="133">
        <v>4.9800000000000004</v>
      </c>
      <c r="K1077" s="135">
        <v>40684</v>
      </c>
      <c r="L1077" s="135" t="s">
        <v>3525</v>
      </c>
      <c r="M1077" s="135" t="s">
        <v>660</v>
      </c>
      <c r="N1077" s="135"/>
    </row>
    <row r="1078" spans="3:14" x14ac:dyDescent="0.2">
      <c r="C1078" t="s">
        <v>4855</v>
      </c>
      <c r="G1078" s="14">
        <v>223.2</v>
      </c>
      <c r="H1078" s="133"/>
      <c r="I1078" s="133">
        <v>18.670000000000002</v>
      </c>
      <c r="J1078" s="133">
        <v>29.54</v>
      </c>
      <c r="K1078" s="135">
        <v>40684</v>
      </c>
      <c r="L1078" s="135" t="s">
        <v>3526</v>
      </c>
      <c r="M1078" s="135" t="s">
        <v>661</v>
      </c>
      <c r="N1078" s="135"/>
    </row>
    <row r="1079" spans="3:14" x14ac:dyDescent="0.2">
      <c r="C1079" t="s">
        <v>1542</v>
      </c>
      <c r="G1079" s="14">
        <v>0.3</v>
      </c>
      <c r="H1079" s="133"/>
      <c r="I1079" s="133">
        <v>-30.7</v>
      </c>
      <c r="J1079" s="133">
        <v>0</v>
      </c>
      <c r="K1079" s="135">
        <v>40684</v>
      </c>
      <c r="L1079" s="135" t="s">
        <v>1543</v>
      </c>
      <c r="M1079" s="135" t="s">
        <v>2994</v>
      </c>
      <c r="N1079" s="135"/>
    </row>
    <row r="1080" spans="3:14" x14ac:dyDescent="0.2">
      <c r="C1080" t="s">
        <v>2791</v>
      </c>
      <c r="G1080" s="14">
        <v>4.7</v>
      </c>
      <c r="H1080" s="133"/>
      <c r="I1080" s="133">
        <v>0</v>
      </c>
      <c r="J1080" s="133">
        <v>4.1399999999999997</v>
      </c>
      <c r="K1080" s="135">
        <v>40684</v>
      </c>
      <c r="L1080" s="135" t="s">
        <v>1486</v>
      </c>
      <c r="M1080" s="135" t="s">
        <v>2997</v>
      </c>
      <c r="N1080" s="135"/>
    </row>
    <row r="1081" spans="3:14" x14ac:dyDescent="0.2">
      <c r="C1081" t="s">
        <v>3832</v>
      </c>
      <c r="G1081" s="14">
        <v>168.25</v>
      </c>
      <c r="H1081" s="133"/>
      <c r="I1081" s="133">
        <v>4.4800000000000004</v>
      </c>
      <c r="J1081" s="133">
        <v>39.799999999999997</v>
      </c>
      <c r="K1081" s="135">
        <v>40684</v>
      </c>
      <c r="L1081" s="135" t="s">
        <v>5116</v>
      </c>
      <c r="M1081" s="135" t="s">
        <v>2417</v>
      </c>
      <c r="N1081" s="135" t="s">
        <v>5421</v>
      </c>
    </row>
    <row r="1082" spans="3:14" x14ac:dyDescent="0.2">
      <c r="C1082" t="s">
        <v>3833</v>
      </c>
      <c r="G1082" s="14">
        <v>58.2</v>
      </c>
      <c r="H1082" s="133"/>
      <c r="I1082" s="133">
        <v>27.81</v>
      </c>
      <c r="J1082" s="133">
        <v>14.76</v>
      </c>
      <c r="K1082" s="135">
        <v>40684</v>
      </c>
      <c r="L1082" s="135" t="s">
        <v>336</v>
      </c>
      <c r="M1082" s="135" t="s">
        <v>1763</v>
      </c>
      <c r="N1082" s="135"/>
    </row>
    <row r="1083" spans="3:14" x14ac:dyDescent="0.2">
      <c r="C1083" t="s">
        <v>2792</v>
      </c>
      <c r="G1083" s="14">
        <v>262.64999999999998</v>
      </c>
      <c r="H1083" s="133">
        <v>0.38</v>
      </c>
      <c r="I1083" s="133">
        <v>12.85</v>
      </c>
      <c r="J1083" s="133">
        <v>26.86</v>
      </c>
      <c r="K1083" s="135">
        <v>40684</v>
      </c>
      <c r="L1083" s="135" t="s">
        <v>2184</v>
      </c>
      <c r="M1083" s="135" t="s">
        <v>2418</v>
      </c>
      <c r="N1083" s="135"/>
    </row>
    <row r="1084" spans="3:14" x14ac:dyDescent="0.2">
      <c r="C1084" t="s">
        <v>3527</v>
      </c>
      <c r="G1084" s="14">
        <v>94.1</v>
      </c>
      <c r="H1084" s="133"/>
      <c r="I1084" s="133">
        <v>8.42</v>
      </c>
      <c r="J1084" s="133">
        <v>17.36</v>
      </c>
      <c r="K1084" s="135">
        <v>40684</v>
      </c>
      <c r="L1084" s="135" t="s">
        <v>3528</v>
      </c>
      <c r="M1084" s="135"/>
      <c r="N1084" s="135"/>
    </row>
    <row r="1085" spans="3:14" x14ac:dyDescent="0.2">
      <c r="C1085" t="s">
        <v>2793</v>
      </c>
      <c r="G1085" s="14">
        <v>382.95</v>
      </c>
      <c r="H1085" s="133">
        <v>0.39</v>
      </c>
      <c r="I1085" s="133">
        <v>1.55</v>
      </c>
      <c r="J1085" s="133">
        <v>30.11</v>
      </c>
      <c r="K1085" s="135">
        <v>40684</v>
      </c>
      <c r="L1085" s="135" t="s">
        <v>3767</v>
      </c>
      <c r="M1085" s="135" t="s">
        <v>659</v>
      </c>
      <c r="N1085" s="135"/>
    </row>
    <row r="1086" spans="3:14" x14ac:dyDescent="0.2">
      <c r="C1086" t="s">
        <v>1470</v>
      </c>
      <c r="G1086" s="14">
        <v>4.9800000000000004</v>
      </c>
      <c r="H1086" s="133"/>
      <c r="I1086" s="133">
        <v>15.45</v>
      </c>
      <c r="J1086" s="133">
        <v>4.07</v>
      </c>
      <c r="K1086" s="135">
        <v>40684</v>
      </c>
      <c r="L1086" s="135" t="s">
        <v>99</v>
      </c>
      <c r="M1086" s="135" t="s">
        <v>2996</v>
      </c>
      <c r="N1086" s="135"/>
    </row>
    <row r="1087" spans="3:14" x14ac:dyDescent="0.2">
      <c r="C1087" t="s">
        <v>3529</v>
      </c>
      <c r="E1087">
        <v>15.1</v>
      </c>
      <c r="F1087">
        <v>18.899999999999999</v>
      </c>
      <c r="G1087" s="14">
        <v>191</v>
      </c>
      <c r="H1087" s="133">
        <v>0.42</v>
      </c>
      <c r="I1087" s="133">
        <v>12.3</v>
      </c>
      <c r="J1087" s="133">
        <v>13.55</v>
      </c>
      <c r="K1087" s="135">
        <v>40684</v>
      </c>
      <c r="L1087" s="135" t="s">
        <v>3530</v>
      </c>
      <c r="M1087" s="135"/>
      <c r="N1087" s="135"/>
    </row>
    <row r="1088" spans="3:14" x14ac:dyDescent="0.2">
      <c r="C1088" t="s">
        <v>2794</v>
      </c>
      <c r="G1088" s="14">
        <v>30.85</v>
      </c>
      <c r="H1088" s="133"/>
      <c r="I1088" s="133">
        <v>13.87</v>
      </c>
      <c r="J1088" s="133">
        <v>6.47</v>
      </c>
      <c r="K1088" s="135">
        <v>40684</v>
      </c>
      <c r="L1088" s="135" t="s">
        <v>3960</v>
      </c>
      <c r="M1088" s="135" t="s">
        <v>2418</v>
      </c>
      <c r="N1088" s="135"/>
    </row>
    <row r="1089" spans="3:14" x14ac:dyDescent="0.2">
      <c r="C1089" t="s">
        <v>5355</v>
      </c>
      <c r="G1089" s="14">
        <v>59.35</v>
      </c>
      <c r="H1089" s="133"/>
      <c r="I1089" s="133">
        <v>14.6</v>
      </c>
      <c r="J1089" s="133">
        <v>5.76</v>
      </c>
      <c r="K1089" s="135">
        <v>40684</v>
      </c>
      <c r="L1089" s="135" t="s">
        <v>3052</v>
      </c>
      <c r="M1089" s="135" t="s">
        <v>1429</v>
      </c>
      <c r="N1089" s="135"/>
    </row>
    <row r="1090" spans="3:14" x14ac:dyDescent="0.2">
      <c r="C1090" t="s">
        <v>1977</v>
      </c>
      <c r="G1090" s="14">
        <v>5.4</v>
      </c>
      <c r="H1090" s="133"/>
      <c r="I1090" s="133">
        <v>7.27</v>
      </c>
      <c r="J1090" s="133">
        <v>2.77</v>
      </c>
      <c r="K1090" s="135">
        <v>40684</v>
      </c>
      <c r="L1090" s="135" t="s">
        <v>3955</v>
      </c>
      <c r="M1090" s="135" t="s">
        <v>2416</v>
      </c>
      <c r="N1090" s="135"/>
    </row>
    <row r="1091" spans="3:14" x14ac:dyDescent="0.2">
      <c r="C1091" t="s">
        <v>3956</v>
      </c>
      <c r="G1091" s="14">
        <v>10.199999999999999</v>
      </c>
      <c r="H1091" s="133"/>
      <c r="I1091" s="133">
        <v>5.1100000000000003</v>
      </c>
      <c r="J1091" s="133">
        <v>5.99</v>
      </c>
      <c r="K1091" s="135">
        <v>40684</v>
      </c>
      <c r="L1091" s="135" t="s">
        <v>3957</v>
      </c>
      <c r="M1091" s="135" t="s">
        <v>2997</v>
      </c>
      <c r="N1091" s="135"/>
    </row>
    <row r="1092" spans="3:14" x14ac:dyDescent="0.2">
      <c r="C1092" t="s">
        <v>2795</v>
      </c>
      <c r="G1092" s="14">
        <v>26.9</v>
      </c>
      <c r="H1092" s="133"/>
      <c r="I1092" s="133">
        <v>16.72</v>
      </c>
      <c r="J1092" s="133">
        <v>5.15</v>
      </c>
      <c r="K1092" s="135">
        <v>40684</v>
      </c>
      <c r="L1092" s="135" t="s">
        <v>3961</v>
      </c>
      <c r="M1092" s="135" t="s">
        <v>2994</v>
      </c>
      <c r="N1092" s="135"/>
    </row>
    <row r="1093" spans="3:14" x14ac:dyDescent="0.2">
      <c r="C1093" t="s">
        <v>3053</v>
      </c>
      <c r="E1093">
        <v>8.6</v>
      </c>
      <c r="F1093">
        <v>10.4</v>
      </c>
      <c r="G1093" s="14">
        <v>150.55000000000001</v>
      </c>
      <c r="H1093" s="133"/>
      <c r="K1093" s="135">
        <v>40684</v>
      </c>
      <c r="L1093" s="135" t="s">
        <v>3054</v>
      </c>
      <c r="M1093" s="135" t="s">
        <v>2418</v>
      </c>
      <c r="N1093" s="135"/>
    </row>
    <row r="1094" spans="3:14" x14ac:dyDescent="0.2">
      <c r="C1094" t="s">
        <v>3055</v>
      </c>
      <c r="D1094">
        <v>3.57</v>
      </c>
      <c r="E1094">
        <v>4.8499999999999996</v>
      </c>
      <c r="F1094">
        <v>6.15</v>
      </c>
      <c r="G1094" s="14">
        <v>61.55</v>
      </c>
      <c r="H1094" s="133">
        <v>1.46</v>
      </c>
      <c r="I1094" s="133">
        <v>13.49</v>
      </c>
      <c r="J1094" s="133">
        <v>17.13</v>
      </c>
      <c r="K1094" s="135">
        <v>40684</v>
      </c>
      <c r="L1094" s="135" t="s">
        <v>3056</v>
      </c>
      <c r="M1094" s="135" t="s">
        <v>3180</v>
      </c>
      <c r="N1094" s="135"/>
    </row>
    <row r="1095" spans="3:14" x14ac:dyDescent="0.2">
      <c r="C1095" t="s">
        <v>2751</v>
      </c>
      <c r="G1095" s="14">
        <v>483.1</v>
      </c>
      <c r="H1095" s="133">
        <v>2.1</v>
      </c>
      <c r="I1095" s="133">
        <v>18.28</v>
      </c>
      <c r="J1095" s="133">
        <v>11.66</v>
      </c>
      <c r="K1095" s="135">
        <v>40684</v>
      </c>
      <c r="L1095" s="135" t="s">
        <v>4781</v>
      </c>
      <c r="M1095" s="135" t="s">
        <v>660</v>
      </c>
      <c r="N1095" s="135"/>
    </row>
    <row r="1096" spans="3:14" x14ac:dyDescent="0.2">
      <c r="C1096" t="s">
        <v>4201</v>
      </c>
      <c r="G1096" s="14">
        <v>28.85</v>
      </c>
      <c r="H1096" s="133">
        <v>1.74</v>
      </c>
      <c r="I1096" s="133">
        <v>22.94</v>
      </c>
      <c r="J1096" s="133">
        <v>4.92</v>
      </c>
      <c r="K1096" s="135">
        <v>40684</v>
      </c>
      <c r="L1096" s="135" t="s">
        <v>38</v>
      </c>
      <c r="M1096" s="135" t="s">
        <v>2417</v>
      </c>
      <c r="N1096" s="135"/>
    </row>
    <row r="1097" spans="3:14" x14ac:dyDescent="0.2">
      <c r="C1097" t="s">
        <v>3057</v>
      </c>
      <c r="D1097">
        <v>13.04</v>
      </c>
      <c r="E1097">
        <v>16.8</v>
      </c>
      <c r="F1097">
        <v>19.7</v>
      </c>
      <c r="G1097" s="14">
        <v>439.25</v>
      </c>
      <c r="H1097" s="133">
        <v>0.63</v>
      </c>
      <c r="I1097" s="133">
        <v>16.25</v>
      </c>
      <c r="J1097" s="133">
        <v>50.5</v>
      </c>
      <c r="K1097" s="135">
        <v>40684</v>
      </c>
      <c r="L1097" s="135" t="s">
        <v>4730</v>
      </c>
      <c r="M1097" s="135" t="s">
        <v>659</v>
      </c>
      <c r="N1097" s="135"/>
    </row>
    <row r="1098" spans="3:14" x14ac:dyDescent="0.2">
      <c r="C1098" t="s">
        <v>701</v>
      </c>
      <c r="D1098">
        <v>13.19</v>
      </c>
      <c r="E1098">
        <v>17.86</v>
      </c>
      <c r="F1098">
        <v>20.7</v>
      </c>
      <c r="G1098" s="14">
        <v>386.9</v>
      </c>
      <c r="H1098" s="133">
        <v>1.94</v>
      </c>
      <c r="I1098" s="133">
        <v>28.28</v>
      </c>
      <c r="J1098" s="133">
        <v>26.84</v>
      </c>
      <c r="K1098" s="135">
        <v>40684</v>
      </c>
      <c r="L1098" s="135" t="s">
        <v>337</v>
      </c>
      <c r="M1098" s="135" t="s">
        <v>2944</v>
      </c>
      <c r="N1098" s="135"/>
    </row>
    <row r="1099" spans="3:14" x14ac:dyDescent="0.2">
      <c r="C1099" t="s">
        <v>4731</v>
      </c>
      <c r="E1099">
        <v>2.7</v>
      </c>
      <c r="F1099">
        <v>3.4</v>
      </c>
      <c r="G1099" s="14">
        <v>20</v>
      </c>
      <c r="H1099" s="133">
        <v>2.13</v>
      </c>
      <c r="I1099" s="133">
        <v>30.67</v>
      </c>
      <c r="J1099" s="133">
        <v>11.01</v>
      </c>
      <c r="K1099" s="135">
        <v>40684</v>
      </c>
      <c r="L1099" s="135" t="s">
        <v>4732</v>
      </c>
      <c r="M1099" s="135" t="s">
        <v>2418</v>
      </c>
      <c r="N1099" s="135"/>
    </row>
    <row r="1100" spans="3:14" x14ac:dyDescent="0.2">
      <c r="C1100" t="s">
        <v>4345</v>
      </c>
      <c r="G1100" s="14">
        <v>253.25</v>
      </c>
      <c r="H1100" s="133"/>
      <c r="I1100" s="133">
        <v>27.86</v>
      </c>
      <c r="J1100" s="133">
        <v>3.63</v>
      </c>
      <c r="K1100" s="135">
        <v>40684</v>
      </c>
      <c r="L1100" s="135" t="s">
        <v>39</v>
      </c>
      <c r="M1100" s="135" t="s">
        <v>2994</v>
      </c>
      <c r="N1100" s="135"/>
    </row>
    <row r="1101" spans="3:14" x14ac:dyDescent="0.2">
      <c r="C1101" t="s">
        <v>4131</v>
      </c>
      <c r="G1101" s="14">
        <v>10.4</v>
      </c>
      <c r="H1101" s="133"/>
      <c r="I1101" s="133">
        <v>0.05</v>
      </c>
      <c r="J1101" s="133">
        <v>178.88</v>
      </c>
      <c r="K1101" s="135">
        <v>40684</v>
      </c>
      <c r="L1101" s="135" t="s">
        <v>40</v>
      </c>
      <c r="M1101" s="135" t="s">
        <v>2994</v>
      </c>
      <c r="N1101" s="135"/>
    </row>
    <row r="1102" spans="3:14" x14ac:dyDescent="0.2">
      <c r="C1102" t="s">
        <v>5319</v>
      </c>
      <c r="G1102" s="14">
        <v>80.2</v>
      </c>
      <c r="H1102" s="133"/>
      <c r="I1102" s="133">
        <v>3.99</v>
      </c>
      <c r="J1102" s="133">
        <v>3.08</v>
      </c>
      <c r="K1102" s="135">
        <v>40684</v>
      </c>
      <c r="L1102" s="135" t="s">
        <v>5320</v>
      </c>
      <c r="M1102" s="135" t="s">
        <v>2994</v>
      </c>
      <c r="N1102" s="135"/>
    </row>
    <row r="1103" spans="3:14" x14ac:dyDescent="0.2">
      <c r="C1103" t="s">
        <v>5321</v>
      </c>
      <c r="G1103" s="14">
        <v>20.8</v>
      </c>
      <c r="H1103" s="133"/>
      <c r="I1103" s="133">
        <v>24.37</v>
      </c>
      <c r="J1103" s="133">
        <v>4.04</v>
      </c>
      <c r="K1103" s="135">
        <v>40684</v>
      </c>
      <c r="L1103" s="135" t="s">
        <v>422</v>
      </c>
      <c r="M1103" s="135" t="s">
        <v>659</v>
      </c>
      <c r="N1103" s="135"/>
    </row>
    <row r="1104" spans="3:14" x14ac:dyDescent="0.2">
      <c r="C1104" t="s">
        <v>4132</v>
      </c>
      <c r="G1104" s="14">
        <v>35.700000000000003</v>
      </c>
      <c r="H1104" s="133"/>
      <c r="I1104" s="133">
        <v>5.37</v>
      </c>
      <c r="J1104" s="133">
        <v>17.97</v>
      </c>
      <c r="K1104" s="135">
        <v>40684</v>
      </c>
      <c r="L1104" s="135" t="s">
        <v>3143</v>
      </c>
      <c r="M1104" s="135" t="s">
        <v>2994</v>
      </c>
      <c r="N1104" s="135"/>
    </row>
    <row r="1105" spans="3:14" x14ac:dyDescent="0.2">
      <c r="C1105" t="s">
        <v>4133</v>
      </c>
      <c r="G1105" s="14">
        <v>118.75</v>
      </c>
      <c r="H1105" s="133">
        <v>1.68</v>
      </c>
      <c r="I1105" s="133">
        <v>35.119999999999997</v>
      </c>
      <c r="J1105" s="133">
        <v>6.78</v>
      </c>
      <c r="K1105" s="135">
        <v>40684</v>
      </c>
      <c r="L1105" s="135" t="s">
        <v>3815</v>
      </c>
      <c r="M1105" s="135" t="s">
        <v>2994</v>
      </c>
      <c r="N1105" s="135"/>
    </row>
    <row r="1106" spans="3:14" x14ac:dyDescent="0.2">
      <c r="C1106" t="s">
        <v>4134</v>
      </c>
      <c r="G1106" s="14">
        <v>21.35</v>
      </c>
      <c r="H1106" s="133"/>
      <c r="I1106" s="133">
        <v>6.32</v>
      </c>
      <c r="J1106" s="133">
        <v>9.3000000000000007</v>
      </c>
      <c r="K1106" s="135">
        <v>40684</v>
      </c>
      <c r="L1106" s="135" t="s">
        <v>4402</v>
      </c>
      <c r="M1106" s="135" t="s">
        <v>2994</v>
      </c>
      <c r="N1106" s="135"/>
    </row>
    <row r="1107" spans="3:14" x14ac:dyDescent="0.2">
      <c r="C1107" t="s">
        <v>4135</v>
      </c>
      <c r="G1107" s="14">
        <v>2.4</v>
      </c>
      <c r="H1107" s="133"/>
      <c r="I1107" s="133">
        <v>22.73</v>
      </c>
      <c r="J1107" s="133">
        <v>6.72</v>
      </c>
      <c r="K1107" s="135">
        <v>40684</v>
      </c>
      <c r="L1107" s="135" t="s">
        <v>4403</v>
      </c>
      <c r="M1107" s="135" t="s">
        <v>2994</v>
      </c>
      <c r="N1107" s="135"/>
    </row>
    <row r="1108" spans="3:14" x14ac:dyDescent="0.2">
      <c r="C1108" t="s">
        <v>4136</v>
      </c>
      <c r="G1108" s="14">
        <v>98.95</v>
      </c>
      <c r="H1108" s="133"/>
      <c r="I1108" s="133">
        <v>5.97</v>
      </c>
      <c r="J1108" s="133">
        <v>11.51</v>
      </c>
      <c r="K1108" s="135">
        <v>40684</v>
      </c>
      <c r="L1108" s="135" t="s">
        <v>3202</v>
      </c>
      <c r="M1108" s="135" t="s">
        <v>2994</v>
      </c>
      <c r="N1108" s="135"/>
    </row>
    <row r="1109" spans="3:14" x14ac:dyDescent="0.2">
      <c r="C1109" t="s">
        <v>2848</v>
      </c>
      <c r="G1109" s="14">
        <v>21.2</v>
      </c>
      <c r="H1109" s="133">
        <v>1.18</v>
      </c>
      <c r="I1109" s="133">
        <v>6.98</v>
      </c>
      <c r="J1109" s="133">
        <v>35.35</v>
      </c>
      <c r="K1109" s="135">
        <v>40684</v>
      </c>
      <c r="L1109" s="135" t="s">
        <v>3203</v>
      </c>
      <c r="M1109" s="135" t="s">
        <v>659</v>
      </c>
      <c r="N1109" s="135"/>
    </row>
    <row r="1110" spans="3:14" x14ac:dyDescent="0.2">
      <c r="C1110" t="s">
        <v>423</v>
      </c>
      <c r="D1110">
        <v>-7.77</v>
      </c>
      <c r="E1110">
        <v>-4.2</v>
      </c>
      <c r="F1110">
        <v>2.75</v>
      </c>
      <c r="G1110" s="14">
        <v>50.7</v>
      </c>
      <c r="H1110" s="133"/>
      <c r="I1110" s="133">
        <v>-17.96</v>
      </c>
      <c r="J1110" s="133">
        <v>0</v>
      </c>
      <c r="K1110" s="135">
        <v>40684</v>
      </c>
      <c r="L1110" s="135" t="s">
        <v>424</v>
      </c>
      <c r="M1110" s="135" t="s">
        <v>1756</v>
      </c>
      <c r="N1110" s="135" t="s">
        <v>5416</v>
      </c>
    </row>
    <row r="1111" spans="3:14" x14ac:dyDescent="0.2">
      <c r="C1111" t="s">
        <v>425</v>
      </c>
      <c r="D1111">
        <v>19.399999999999999</v>
      </c>
      <c r="E1111">
        <v>22.53</v>
      </c>
      <c r="F1111">
        <v>28.77</v>
      </c>
      <c r="G1111" s="14">
        <v>355</v>
      </c>
      <c r="H1111" s="133"/>
      <c r="I1111" s="133">
        <v>10.93</v>
      </c>
      <c r="J1111" s="133">
        <v>14.05</v>
      </c>
      <c r="K1111" s="135">
        <v>40684</v>
      </c>
      <c r="L1111" s="135" t="s">
        <v>426</v>
      </c>
      <c r="M1111" s="135" t="s">
        <v>2418</v>
      </c>
      <c r="N1111" s="135"/>
    </row>
    <row r="1112" spans="3:14" x14ac:dyDescent="0.2">
      <c r="C1112" t="s">
        <v>3958</v>
      </c>
      <c r="G1112" s="14">
        <v>82.1</v>
      </c>
      <c r="H1112" s="133"/>
      <c r="I1112" s="133">
        <v>31.44</v>
      </c>
      <c r="J1112" s="133">
        <v>13.7</v>
      </c>
      <c r="K1112" s="135">
        <v>40684</v>
      </c>
      <c r="L1112" s="135" t="s">
        <v>3959</v>
      </c>
      <c r="M1112" s="135" t="s">
        <v>2994</v>
      </c>
      <c r="N1112" s="135"/>
    </row>
    <row r="1113" spans="3:14" x14ac:dyDescent="0.2">
      <c r="C1113" t="s">
        <v>4856</v>
      </c>
      <c r="G1113" s="14">
        <v>6.2</v>
      </c>
      <c r="H1113" s="133"/>
      <c r="I1113" s="133">
        <v>0</v>
      </c>
      <c r="J1113" s="133">
        <v>0</v>
      </c>
      <c r="K1113" s="135">
        <v>40684</v>
      </c>
      <c r="L1113" s="135" t="s">
        <v>2305</v>
      </c>
      <c r="M1113" s="135" t="s">
        <v>2417</v>
      </c>
      <c r="N1113" s="135"/>
    </row>
    <row r="1114" spans="3:14" x14ac:dyDescent="0.2">
      <c r="C1114" t="s">
        <v>2849</v>
      </c>
      <c r="G1114" s="14">
        <v>0.5</v>
      </c>
      <c r="H1114" s="133"/>
      <c r="I1114" s="133">
        <v>-0.67</v>
      </c>
      <c r="J1114" s="133">
        <v>0</v>
      </c>
      <c r="K1114" s="135">
        <v>40684</v>
      </c>
      <c r="L1114" s="135" t="s">
        <v>2511</v>
      </c>
      <c r="M1114" s="135" t="s">
        <v>2994</v>
      </c>
      <c r="N1114" s="135"/>
    </row>
    <row r="1115" spans="3:14" x14ac:dyDescent="0.2">
      <c r="C1115" t="s">
        <v>2925</v>
      </c>
      <c r="D1115">
        <v>15.58</v>
      </c>
      <c r="E1115">
        <v>19.8</v>
      </c>
      <c r="F1115">
        <v>25</v>
      </c>
      <c r="G1115" s="14">
        <v>111.35</v>
      </c>
      <c r="H1115" s="133"/>
      <c r="I1115" s="133">
        <v>15.57</v>
      </c>
      <c r="J1115" s="133">
        <v>6.1</v>
      </c>
      <c r="K1115" s="135">
        <v>40684</v>
      </c>
      <c r="L1115" s="135" t="s">
        <v>2530</v>
      </c>
      <c r="M1115" s="135" t="s">
        <v>660</v>
      </c>
      <c r="N1115" s="135"/>
    </row>
    <row r="1116" spans="3:14" x14ac:dyDescent="0.2">
      <c r="C1116" t="s">
        <v>2850</v>
      </c>
      <c r="G1116" s="14">
        <v>27.75</v>
      </c>
      <c r="H1116" s="133"/>
      <c r="I1116" s="133">
        <v>8.23</v>
      </c>
      <c r="J1116" s="133">
        <v>350.68</v>
      </c>
      <c r="K1116" s="135">
        <v>40684</v>
      </c>
      <c r="L1116" s="135" t="s">
        <v>2512</v>
      </c>
      <c r="M1116" s="135" t="s">
        <v>659</v>
      </c>
      <c r="N1116" s="135"/>
    </row>
    <row r="1117" spans="3:14" x14ac:dyDescent="0.2">
      <c r="C1117" t="s">
        <v>427</v>
      </c>
      <c r="D1117">
        <v>5.78</v>
      </c>
      <c r="E1117">
        <v>7.23</v>
      </c>
      <c r="F1117">
        <v>9.5500000000000007</v>
      </c>
      <c r="G1117" s="14">
        <v>99.55</v>
      </c>
      <c r="H1117" s="133"/>
      <c r="I1117" s="133">
        <v>12.61</v>
      </c>
      <c r="J1117" s="133">
        <v>14.56</v>
      </c>
      <c r="K1117" s="135">
        <v>40684</v>
      </c>
      <c r="L1117" s="135" t="s">
        <v>428</v>
      </c>
      <c r="M1117" s="135" t="s">
        <v>2425</v>
      </c>
      <c r="N1117" s="135"/>
    </row>
    <row r="1118" spans="3:14" x14ac:dyDescent="0.2">
      <c r="C1118" t="s">
        <v>66</v>
      </c>
      <c r="G1118" s="14">
        <v>41.35</v>
      </c>
      <c r="H1118" s="133">
        <v>0.48</v>
      </c>
      <c r="I1118" s="133">
        <v>4.45</v>
      </c>
      <c r="J1118" s="133">
        <v>44.03</v>
      </c>
      <c r="K1118" s="135">
        <v>40684</v>
      </c>
      <c r="L1118" s="135"/>
      <c r="M1118" s="135"/>
      <c r="N1118" s="135"/>
    </row>
    <row r="1119" spans="3:14" x14ac:dyDescent="0.2">
      <c r="C1119" t="s">
        <v>2851</v>
      </c>
      <c r="G1119" s="14">
        <v>60.5</v>
      </c>
      <c r="H1119" s="133">
        <v>1.66</v>
      </c>
      <c r="I1119" s="133">
        <v>5.96</v>
      </c>
      <c r="J1119" s="133">
        <v>12.3</v>
      </c>
      <c r="K1119" s="135">
        <v>40684</v>
      </c>
      <c r="L1119" s="135" t="s">
        <v>674</v>
      </c>
      <c r="M1119" s="135" t="s">
        <v>2418</v>
      </c>
      <c r="N1119" s="135"/>
    </row>
    <row r="1120" spans="3:14" x14ac:dyDescent="0.2">
      <c r="C1120" t="s">
        <v>3834</v>
      </c>
      <c r="D1120">
        <v>17.63</v>
      </c>
      <c r="E1120">
        <v>22.3</v>
      </c>
      <c r="F1120">
        <v>25.4</v>
      </c>
      <c r="G1120" s="14">
        <v>130.69999999999999</v>
      </c>
      <c r="H1120" s="133">
        <v>3.44</v>
      </c>
      <c r="I1120" s="133">
        <v>14.47</v>
      </c>
      <c r="J1120" s="133">
        <v>7.17</v>
      </c>
      <c r="K1120" s="135">
        <v>40684</v>
      </c>
      <c r="L1120" s="135" t="s">
        <v>641</v>
      </c>
      <c r="M1120" s="135" t="s">
        <v>2420</v>
      </c>
      <c r="N1120" s="135"/>
    </row>
    <row r="1121" spans="3:14" x14ac:dyDescent="0.2">
      <c r="C1121" t="s">
        <v>2307</v>
      </c>
      <c r="G1121" s="14">
        <v>66.900000000000006</v>
      </c>
      <c r="H1121" s="133"/>
      <c r="I1121" s="133">
        <v>13.83</v>
      </c>
      <c r="J1121" s="133">
        <v>4.0199999999999996</v>
      </c>
      <c r="K1121" s="135">
        <v>40684</v>
      </c>
      <c r="L1121" s="135" t="s">
        <v>2308</v>
      </c>
      <c r="M1121" s="135" t="s">
        <v>1755</v>
      </c>
      <c r="N1121" s="135"/>
    </row>
    <row r="1122" spans="3:14" x14ac:dyDescent="0.2">
      <c r="C1122" t="s">
        <v>67</v>
      </c>
      <c r="G1122" s="14">
        <v>143.9</v>
      </c>
      <c r="H1122" s="133"/>
      <c r="I1122" s="133">
        <v>19.190000000000001</v>
      </c>
      <c r="J1122" s="133">
        <v>19.559999999999999</v>
      </c>
      <c r="K1122" s="135">
        <v>40684</v>
      </c>
      <c r="L1122" s="135" t="s">
        <v>68</v>
      </c>
      <c r="M1122" s="135" t="s">
        <v>2416</v>
      </c>
      <c r="N1122" s="135"/>
    </row>
    <row r="1123" spans="3:14" x14ac:dyDescent="0.2">
      <c r="C1123" t="s">
        <v>429</v>
      </c>
      <c r="G1123" s="14">
        <v>2.2000000000000002</v>
      </c>
      <c r="H1123" s="133"/>
      <c r="I1123" s="133">
        <v>0.09</v>
      </c>
      <c r="J1123" s="133">
        <v>280.41000000000003</v>
      </c>
      <c r="K1123" s="135">
        <v>40684</v>
      </c>
      <c r="L1123" s="135" t="s">
        <v>4149</v>
      </c>
      <c r="M1123" s="135" t="s">
        <v>659</v>
      </c>
      <c r="N1123" s="135"/>
    </row>
    <row r="1124" spans="3:14" x14ac:dyDescent="0.2">
      <c r="C1124" t="s">
        <v>2920</v>
      </c>
      <c r="D1124">
        <v>35.47</v>
      </c>
      <c r="E1124">
        <v>28.9</v>
      </c>
      <c r="F1124">
        <v>33.700000000000003</v>
      </c>
      <c r="G1124" s="14">
        <v>362.05</v>
      </c>
      <c r="H1124" s="133">
        <v>2.4900000000000002</v>
      </c>
      <c r="I1124" s="133">
        <v>10.84</v>
      </c>
      <c r="J1124" s="133">
        <v>21.22</v>
      </c>
      <c r="K1124" s="135">
        <v>40684</v>
      </c>
      <c r="L1124" s="135" t="s">
        <v>57</v>
      </c>
      <c r="M1124" s="135" t="s">
        <v>2419</v>
      </c>
      <c r="N1124" s="135"/>
    </row>
    <row r="1125" spans="3:14" x14ac:dyDescent="0.2">
      <c r="C1125" t="s">
        <v>5356</v>
      </c>
      <c r="G1125" s="14">
        <v>242.25</v>
      </c>
      <c r="H1125" s="133"/>
      <c r="I1125" s="133">
        <v>32.409999999999997</v>
      </c>
      <c r="J1125" s="133">
        <v>23.69</v>
      </c>
      <c r="K1125" s="135">
        <v>40684</v>
      </c>
      <c r="L1125" s="135" t="s">
        <v>4150</v>
      </c>
      <c r="M1125" s="135" t="s">
        <v>1429</v>
      </c>
      <c r="N1125" s="135"/>
    </row>
    <row r="1126" spans="3:14" x14ac:dyDescent="0.2">
      <c r="C1126" t="s">
        <v>2852</v>
      </c>
      <c r="G1126" s="14">
        <v>2393.8000000000002</v>
      </c>
      <c r="H1126" s="133">
        <v>0.42</v>
      </c>
      <c r="I1126" s="133">
        <v>19.510000000000002</v>
      </c>
      <c r="J1126" s="133">
        <v>20.04</v>
      </c>
      <c r="K1126" s="135">
        <v>40684</v>
      </c>
      <c r="L1126" s="135" t="s">
        <v>675</v>
      </c>
      <c r="M1126" s="135" t="s">
        <v>3180</v>
      </c>
      <c r="N1126" s="135"/>
    </row>
    <row r="1127" spans="3:14" x14ac:dyDescent="0.2">
      <c r="C1127" t="s">
        <v>4805</v>
      </c>
      <c r="G1127" s="14">
        <v>489.05</v>
      </c>
      <c r="H1127" s="133"/>
      <c r="I1127" s="133">
        <v>12.54</v>
      </c>
      <c r="J1127" s="133">
        <v>11.82</v>
      </c>
      <c r="K1127" s="135">
        <v>40684</v>
      </c>
      <c r="L1127" s="135" t="s">
        <v>2199</v>
      </c>
      <c r="M1127" s="135" t="s">
        <v>660</v>
      </c>
      <c r="N1127" s="135"/>
    </row>
    <row r="1128" spans="3:14" x14ac:dyDescent="0.2">
      <c r="C1128" t="s">
        <v>4151</v>
      </c>
      <c r="E1128">
        <v>13.7</v>
      </c>
      <c r="F1128">
        <v>19.100000000000001</v>
      </c>
      <c r="G1128" s="14">
        <v>103.2</v>
      </c>
      <c r="H1128" s="133"/>
      <c r="I1128" s="133">
        <v>48.77</v>
      </c>
      <c r="J1128" s="133">
        <v>11.39</v>
      </c>
      <c r="K1128" s="135">
        <v>40684</v>
      </c>
      <c r="L1128" s="135" t="s">
        <v>4153</v>
      </c>
      <c r="M1128" s="135" t="s">
        <v>2997</v>
      </c>
      <c r="N1128" s="135"/>
    </row>
    <row r="1129" spans="3:14" x14ac:dyDescent="0.2">
      <c r="C1129" t="s">
        <v>4154</v>
      </c>
      <c r="D1129">
        <v>82.21</v>
      </c>
      <c r="E1129">
        <v>80.63</v>
      </c>
      <c r="F1129">
        <v>95.85</v>
      </c>
      <c r="G1129" s="14">
        <v>1236.3499999999999</v>
      </c>
      <c r="H1129" s="133"/>
      <c r="I1129" s="133">
        <v>8.4700000000000006</v>
      </c>
      <c r="J1129" s="133">
        <v>30.28</v>
      </c>
      <c r="K1129" s="135">
        <v>40684</v>
      </c>
      <c r="L1129" s="135" t="s">
        <v>4155</v>
      </c>
      <c r="M1129" s="135" t="s">
        <v>1756</v>
      </c>
      <c r="N1129" s="135"/>
    </row>
    <row r="1130" spans="3:14" x14ac:dyDescent="0.2">
      <c r="C1130" t="s">
        <v>1544</v>
      </c>
      <c r="G1130" s="14">
        <v>349.05</v>
      </c>
      <c r="H1130" s="133"/>
      <c r="I1130" s="133">
        <v>20.12</v>
      </c>
      <c r="J1130" s="133">
        <v>5.3</v>
      </c>
      <c r="K1130" s="135">
        <v>40684</v>
      </c>
      <c r="L1130" s="135" t="s">
        <v>676</v>
      </c>
      <c r="M1130" s="135" t="s">
        <v>2417</v>
      </c>
      <c r="N1130" s="135"/>
    </row>
    <row r="1131" spans="3:14" x14ac:dyDescent="0.2">
      <c r="C1131" t="s">
        <v>1394</v>
      </c>
      <c r="G1131" s="14">
        <v>97.3</v>
      </c>
      <c r="H1131" s="133">
        <v>2.06</v>
      </c>
      <c r="I1131" s="133">
        <v>7.61</v>
      </c>
      <c r="J1131" s="133">
        <v>15.33</v>
      </c>
      <c r="K1131" s="135">
        <v>40684</v>
      </c>
      <c r="L1131" s="135" t="s">
        <v>4156</v>
      </c>
      <c r="M1131" s="135" t="s">
        <v>2416</v>
      </c>
      <c r="N1131" s="135" t="s">
        <v>178</v>
      </c>
    </row>
    <row r="1132" spans="3:14" x14ac:dyDescent="0.2">
      <c r="C1132" t="s">
        <v>580</v>
      </c>
      <c r="D1132">
        <v>24.78</v>
      </c>
      <c r="E1132">
        <v>28.6</v>
      </c>
      <c r="G1132" s="14">
        <v>168.15</v>
      </c>
      <c r="H1132" s="133">
        <v>2.68</v>
      </c>
      <c r="I1132" s="133">
        <v>12.55</v>
      </c>
      <c r="J1132" s="133">
        <v>6.84</v>
      </c>
      <c r="K1132" s="135">
        <v>40684</v>
      </c>
      <c r="L1132" s="135" t="s">
        <v>581</v>
      </c>
      <c r="M1132" s="135" t="s">
        <v>1754</v>
      </c>
      <c r="N1132" s="135"/>
    </row>
    <row r="1133" spans="3:14" x14ac:dyDescent="0.2">
      <c r="C1133" t="s">
        <v>1545</v>
      </c>
      <c r="G1133" s="14">
        <v>192.1</v>
      </c>
      <c r="H1133" s="133"/>
      <c r="I1133" s="133">
        <v>12.65</v>
      </c>
      <c r="J1133" s="133">
        <v>23.95</v>
      </c>
      <c r="K1133" s="135">
        <v>40684</v>
      </c>
      <c r="L1133" s="135" t="s">
        <v>3494</v>
      </c>
      <c r="M1133" s="135" t="s">
        <v>3180</v>
      </c>
      <c r="N1133" s="135"/>
    </row>
    <row r="1134" spans="3:14" x14ac:dyDescent="0.2">
      <c r="C1134" t="s">
        <v>1546</v>
      </c>
      <c r="G1134" s="14">
        <v>28.5</v>
      </c>
      <c r="H1134" s="133"/>
      <c r="I1134" s="133">
        <v>-14.72</v>
      </c>
      <c r="J1134" s="133">
        <v>0</v>
      </c>
      <c r="K1134" s="135">
        <v>40684</v>
      </c>
      <c r="L1134" s="135" t="s">
        <v>62</v>
      </c>
      <c r="M1134" s="135" t="s">
        <v>2417</v>
      </c>
      <c r="N1134" s="135"/>
    </row>
    <row r="1135" spans="3:14" x14ac:dyDescent="0.2">
      <c r="C1135" t="s">
        <v>4019</v>
      </c>
      <c r="D1135">
        <v>35.119999999999997</v>
      </c>
      <c r="E1135">
        <v>44.2</v>
      </c>
      <c r="F1135">
        <v>51.82</v>
      </c>
      <c r="G1135" s="14">
        <v>1175</v>
      </c>
      <c r="H1135" s="133"/>
      <c r="I1135" s="133">
        <v>37.75</v>
      </c>
      <c r="J1135" s="133">
        <v>30.42</v>
      </c>
      <c r="K1135" s="135">
        <v>40684</v>
      </c>
      <c r="L1135" s="135" t="s">
        <v>4157</v>
      </c>
      <c r="M1135" s="135" t="s">
        <v>1429</v>
      </c>
      <c r="N1135" s="135" t="s">
        <v>5436</v>
      </c>
    </row>
    <row r="1136" spans="3:14" x14ac:dyDescent="0.2">
      <c r="C1136" t="s">
        <v>4782</v>
      </c>
      <c r="G1136" s="14">
        <v>274.85000000000002</v>
      </c>
      <c r="H1136" s="133"/>
      <c r="K1136" s="135">
        <v>40684</v>
      </c>
      <c r="L1136" s="135" t="s">
        <v>3612</v>
      </c>
      <c r="M1136" s="135" t="s">
        <v>5121</v>
      </c>
      <c r="N1136" s="135"/>
    </row>
    <row r="1137" spans="3:14" x14ac:dyDescent="0.2">
      <c r="C1137" t="s">
        <v>3613</v>
      </c>
      <c r="G1137" s="14">
        <v>646.6</v>
      </c>
      <c r="H1137" s="133">
        <v>0.54</v>
      </c>
      <c r="I1137" s="133">
        <v>24.28</v>
      </c>
      <c r="J1137" s="133">
        <v>10.98</v>
      </c>
      <c r="K1137" s="135">
        <v>40684</v>
      </c>
      <c r="L1137" s="135" t="s">
        <v>2267</v>
      </c>
      <c r="M1137" s="135" t="s">
        <v>1429</v>
      </c>
      <c r="N1137" s="135"/>
    </row>
    <row r="1138" spans="3:14" x14ac:dyDescent="0.2">
      <c r="C1138" t="s">
        <v>2320</v>
      </c>
      <c r="D1138">
        <v>38.99</v>
      </c>
      <c r="E1138">
        <v>136.55000000000001</v>
      </c>
      <c r="F1138">
        <v>154.6</v>
      </c>
      <c r="G1138" s="14">
        <v>1168.6500000000001</v>
      </c>
      <c r="H1138" s="133">
        <v>1.28</v>
      </c>
      <c r="I1138" s="133">
        <v>9.61</v>
      </c>
      <c r="J1138" s="133">
        <v>33.03</v>
      </c>
      <c r="K1138" s="135">
        <v>40684</v>
      </c>
      <c r="L1138" s="135" t="s">
        <v>4158</v>
      </c>
      <c r="M1138" s="135" t="s">
        <v>2418</v>
      </c>
      <c r="N1138" s="135"/>
    </row>
    <row r="1139" spans="3:14" x14ac:dyDescent="0.2">
      <c r="C1139" t="s">
        <v>4806</v>
      </c>
      <c r="G1139" s="14">
        <v>6.95</v>
      </c>
      <c r="H1139" s="133"/>
      <c r="I1139" s="133">
        <v>1.52</v>
      </c>
      <c r="J1139" s="133">
        <v>0</v>
      </c>
      <c r="K1139" s="135">
        <v>40684</v>
      </c>
      <c r="L1139" s="135" t="s">
        <v>63</v>
      </c>
      <c r="M1139" s="135" t="s">
        <v>1429</v>
      </c>
      <c r="N1139" s="135"/>
    </row>
    <row r="1140" spans="3:14" x14ac:dyDescent="0.2">
      <c r="C1140" t="s">
        <v>1547</v>
      </c>
      <c r="G1140" s="14">
        <v>17.5</v>
      </c>
      <c r="H1140" s="133"/>
      <c r="K1140" s="135">
        <v>40684</v>
      </c>
      <c r="L1140" s="135" t="s">
        <v>64</v>
      </c>
      <c r="M1140" s="135" t="s">
        <v>2944</v>
      </c>
      <c r="N1140" s="135"/>
    </row>
    <row r="1141" spans="3:14" x14ac:dyDescent="0.2">
      <c r="C1141" t="s">
        <v>3835</v>
      </c>
      <c r="D1141">
        <v>7.66</v>
      </c>
      <c r="E1141">
        <v>9.1999999999999993</v>
      </c>
      <c r="F1141">
        <v>11.56</v>
      </c>
      <c r="G1141" s="14">
        <v>26.05</v>
      </c>
      <c r="H1141" s="133">
        <v>3.45</v>
      </c>
      <c r="I1141" s="133">
        <v>16.989999999999998</v>
      </c>
      <c r="J1141" s="133">
        <v>3.57</v>
      </c>
      <c r="K1141" s="135">
        <v>40684</v>
      </c>
      <c r="L1141" s="135" t="s">
        <v>4141</v>
      </c>
      <c r="M1141" s="135" t="s">
        <v>3180</v>
      </c>
      <c r="N1141" s="135"/>
    </row>
    <row r="1142" spans="3:14" x14ac:dyDescent="0.2">
      <c r="C1142" t="s">
        <v>1548</v>
      </c>
      <c r="G1142" s="14">
        <v>14.25</v>
      </c>
      <c r="H1142" s="133"/>
      <c r="I1142" s="133">
        <v>2.2200000000000002</v>
      </c>
      <c r="J1142" s="133">
        <v>26.48</v>
      </c>
      <c r="K1142" s="135">
        <v>40684</v>
      </c>
      <c r="L1142" s="135" t="s">
        <v>65</v>
      </c>
      <c r="M1142" s="135" t="s">
        <v>2994</v>
      </c>
      <c r="N1142" s="135"/>
    </row>
    <row r="1143" spans="3:14" x14ac:dyDescent="0.2">
      <c r="C1143" t="s">
        <v>4159</v>
      </c>
      <c r="E1143">
        <v>31.58</v>
      </c>
      <c r="F1143">
        <v>37.99</v>
      </c>
      <c r="G1143" s="14">
        <v>582</v>
      </c>
      <c r="H1143" s="133"/>
      <c r="I1143" s="133">
        <v>24.61</v>
      </c>
      <c r="J1143" s="133">
        <v>18.13</v>
      </c>
      <c r="K1143" s="135">
        <v>40684</v>
      </c>
      <c r="L1143" s="135" t="s">
        <v>1079</v>
      </c>
      <c r="M1143" s="135" t="s">
        <v>2419</v>
      </c>
      <c r="N1143" s="135"/>
    </row>
    <row r="1144" spans="3:14" x14ac:dyDescent="0.2">
      <c r="C1144" t="s">
        <v>2268</v>
      </c>
      <c r="G1144" s="14">
        <v>49.55</v>
      </c>
      <c r="H1144" s="133">
        <v>0.76</v>
      </c>
      <c r="I1144" s="133">
        <v>6.62</v>
      </c>
      <c r="J1144" s="133">
        <v>25.29</v>
      </c>
      <c r="K1144" s="135">
        <v>40684</v>
      </c>
      <c r="L1144" s="135" t="s">
        <v>2270</v>
      </c>
      <c r="M1144" s="135"/>
      <c r="N1144" s="135"/>
    </row>
    <row r="1145" spans="3:14" x14ac:dyDescent="0.2">
      <c r="C1145" t="s">
        <v>2926</v>
      </c>
      <c r="D1145">
        <v>46.72</v>
      </c>
      <c r="E1145">
        <v>67.430000000000007</v>
      </c>
      <c r="F1145">
        <v>79.47</v>
      </c>
      <c r="G1145" s="14">
        <v>498.35</v>
      </c>
      <c r="H1145" s="133"/>
      <c r="I1145" s="133">
        <v>22.64</v>
      </c>
      <c r="J1145" s="133">
        <v>16.03</v>
      </c>
      <c r="K1145" s="135">
        <v>40684</v>
      </c>
      <c r="L1145" s="135" t="s">
        <v>93</v>
      </c>
      <c r="M1145" s="135" t="s">
        <v>3180</v>
      </c>
      <c r="N1145" s="135"/>
    </row>
    <row r="1146" spans="3:14" x14ac:dyDescent="0.2">
      <c r="C1146" t="s">
        <v>2271</v>
      </c>
      <c r="G1146" s="14">
        <v>56.55</v>
      </c>
      <c r="H1146" s="133">
        <v>4.42</v>
      </c>
      <c r="I1146" s="133">
        <v>23.89</v>
      </c>
      <c r="J1146" s="133">
        <v>19</v>
      </c>
      <c r="K1146" s="135">
        <v>40684</v>
      </c>
      <c r="L1146" s="135" t="s">
        <v>2272</v>
      </c>
      <c r="M1146" s="135" t="s">
        <v>2415</v>
      </c>
      <c r="N1146" s="135"/>
    </row>
    <row r="1147" spans="3:14" x14ac:dyDescent="0.2">
      <c r="C1147" t="s">
        <v>2273</v>
      </c>
      <c r="G1147" s="14">
        <v>63.8</v>
      </c>
      <c r="H1147" s="133">
        <v>0.63</v>
      </c>
      <c r="I1147" s="133">
        <v>13.95</v>
      </c>
      <c r="J1147" s="133">
        <v>19.54</v>
      </c>
      <c r="K1147" s="135">
        <v>40684</v>
      </c>
      <c r="L1147" s="135" t="s">
        <v>0</v>
      </c>
      <c r="M1147" s="135" t="s">
        <v>2942</v>
      </c>
      <c r="N1147" s="135"/>
    </row>
    <row r="1148" spans="3:14" x14ac:dyDescent="0.2">
      <c r="C1148" t="s">
        <v>69</v>
      </c>
      <c r="G1148" s="14">
        <v>8.8000000000000007</v>
      </c>
      <c r="H1148" s="133"/>
      <c r="I1148" s="133">
        <v>-8.5</v>
      </c>
      <c r="J1148" s="133">
        <v>76.64</v>
      </c>
      <c r="K1148" s="135">
        <v>40684</v>
      </c>
      <c r="L1148" s="135" t="s">
        <v>5122</v>
      </c>
      <c r="M1148" s="135" t="s">
        <v>2416</v>
      </c>
      <c r="N1148" s="135"/>
    </row>
    <row r="1149" spans="3:14" x14ac:dyDescent="0.2">
      <c r="C1149" t="s">
        <v>2309</v>
      </c>
      <c r="G1149" s="14">
        <v>62.05</v>
      </c>
      <c r="H1149" s="133"/>
      <c r="I1149" s="133">
        <v>15.24</v>
      </c>
      <c r="J1149" s="133">
        <v>12.46</v>
      </c>
      <c r="K1149" s="135">
        <v>40684</v>
      </c>
      <c r="L1149" s="135" t="s">
        <v>2310</v>
      </c>
      <c r="M1149" s="135" t="s">
        <v>2417</v>
      </c>
      <c r="N1149" s="135"/>
    </row>
    <row r="1150" spans="3:14" x14ac:dyDescent="0.2">
      <c r="C1150" t="s">
        <v>2319</v>
      </c>
      <c r="D1150">
        <v>-24.92</v>
      </c>
      <c r="E1150">
        <v>67.599999999999994</v>
      </c>
      <c r="F1150">
        <v>75.099999999999994</v>
      </c>
      <c r="G1150" s="14">
        <v>579.54999999999995</v>
      </c>
      <c r="H1150" s="133">
        <v>1.38</v>
      </c>
      <c r="I1150" s="133">
        <v>11</v>
      </c>
      <c r="J1150" s="133">
        <v>10.99</v>
      </c>
      <c r="K1150" s="135">
        <v>40684</v>
      </c>
      <c r="L1150" s="135" t="s">
        <v>1080</v>
      </c>
      <c r="M1150" s="135" t="s">
        <v>2997</v>
      </c>
      <c r="N1150" s="135" t="s">
        <v>5437</v>
      </c>
    </row>
    <row r="1151" spans="3:14" x14ac:dyDescent="0.2">
      <c r="C1151" t="s">
        <v>3836</v>
      </c>
      <c r="D1151">
        <v>56.39</v>
      </c>
      <c r="E1151">
        <v>93.4</v>
      </c>
      <c r="F1151">
        <v>118.7</v>
      </c>
      <c r="G1151" s="14">
        <v>4140.8999999999996</v>
      </c>
      <c r="H1151" s="133"/>
      <c r="I1151" s="133">
        <v>35.39</v>
      </c>
      <c r="J1151" s="133">
        <v>42.68</v>
      </c>
      <c r="K1151" s="135">
        <v>40684</v>
      </c>
      <c r="L1151" s="135" t="s">
        <v>94</v>
      </c>
      <c r="M1151" s="135" t="s">
        <v>2416</v>
      </c>
      <c r="N1151" s="135"/>
    </row>
    <row r="1152" spans="3:14" x14ac:dyDescent="0.2">
      <c r="C1152" t="s">
        <v>1549</v>
      </c>
      <c r="G1152" s="14">
        <v>20</v>
      </c>
      <c r="H1152" s="133"/>
      <c r="I1152" s="133">
        <v>3.46</v>
      </c>
      <c r="J1152" s="133">
        <v>0</v>
      </c>
      <c r="K1152" s="135">
        <v>40684</v>
      </c>
      <c r="L1152" s="135" t="s">
        <v>2263</v>
      </c>
      <c r="M1152" s="135" t="s">
        <v>659</v>
      </c>
      <c r="N1152" s="135"/>
    </row>
    <row r="1153" spans="3:14" x14ac:dyDescent="0.2">
      <c r="C1153" t="s">
        <v>4520</v>
      </c>
      <c r="G1153" s="14">
        <v>5.45</v>
      </c>
      <c r="H1153" s="133"/>
      <c r="I1153" s="133">
        <v>4.5599999999999996</v>
      </c>
      <c r="J1153" s="133">
        <v>9.2899999999999991</v>
      </c>
      <c r="K1153" s="135">
        <v>40684</v>
      </c>
      <c r="L1153" s="135" t="s">
        <v>410</v>
      </c>
      <c r="M1153" s="135" t="s">
        <v>659</v>
      </c>
      <c r="N1153" s="135"/>
    </row>
    <row r="1154" spans="3:14" x14ac:dyDescent="0.2">
      <c r="C1154" t="s">
        <v>3837</v>
      </c>
      <c r="D1154">
        <v>27.32</v>
      </c>
      <c r="E1154">
        <v>34.799999999999997</v>
      </c>
      <c r="F1154">
        <v>42.2</v>
      </c>
      <c r="G1154" s="14">
        <v>623.75</v>
      </c>
      <c r="H1154" s="133"/>
      <c r="K1154" s="135">
        <v>40684</v>
      </c>
      <c r="L1154" s="135" t="s">
        <v>1154</v>
      </c>
      <c r="M1154" s="135" t="s">
        <v>659</v>
      </c>
      <c r="N1154" s="135"/>
    </row>
    <row r="1155" spans="3:14" x14ac:dyDescent="0.2">
      <c r="C1155" t="s">
        <v>70</v>
      </c>
      <c r="G1155" s="14">
        <v>234.9</v>
      </c>
      <c r="H1155" s="133"/>
      <c r="I1155" s="133">
        <v>13.59</v>
      </c>
      <c r="J1155" s="133">
        <v>18.309999999999999</v>
      </c>
      <c r="K1155" s="135">
        <v>40684</v>
      </c>
      <c r="L1155" s="135" t="s">
        <v>3516</v>
      </c>
      <c r="M1155" s="135" t="s">
        <v>1758</v>
      </c>
      <c r="N1155" s="135"/>
    </row>
    <row r="1156" spans="3:14" x14ac:dyDescent="0.2">
      <c r="C1156" t="s">
        <v>3838</v>
      </c>
      <c r="D1156">
        <v>6.33</v>
      </c>
      <c r="E1156">
        <v>7.5</v>
      </c>
      <c r="F1156">
        <v>9.1999999999999993</v>
      </c>
      <c r="G1156" s="14">
        <v>91.7</v>
      </c>
      <c r="H1156" s="133">
        <v>0.88</v>
      </c>
      <c r="I1156" s="133">
        <v>15.24</v>
      </c>
      <c r="J1156" s="133">
        <v>15.24</v>
      </c>
      <c r="K1156" s="135">
        <v>40684</v>
      </c>
      <c r="L1156" s="135" t="s">
        <v>3183</v>
      </c>
      <c r="M1156" s="135" t="s">
        <v>662</v>
      </c>
      <c r="N1156" s="135"/>
    </row>
    <row r="1157" spans="3:14" x14ac:dyDescent="0.2">
      <c r="C1157" t="s">
        <v>1</v>
      </c>
      <c r="G1157" s="14">
        <v>241.5</v>
      </c>
      <c r="H1157" s="133"/>
      <c r="I1157" s="133">
        <v>0.05</v>
      </c>
      <c r="J1157" s="133">
        <v>12307.7</v>
      </c>
      <c r="K1157" s="135">
        <v>40684</v>
      </c>
      <c r="L1157" s="135" t="s">
        <v>4445</v>
      </c>
      <c r="M1157" s="135" t="s">
        <v>1429</v>
      </c>
      <c r="N1157" s="135"/>
    </row>
    <row r="1158" spans="3:14" x14ac:dyDescent="0.2">
      <c r="C1158" t="s">
        <v>4521</v>
      </c>
      <c r="G1158" s="14">
        <v>4.25</v>
      </c>
      <c r="H1158" s="133"/>
      <c r="I1158" s="133">
        <v>-6.59</v>
      </c>
      <c r="J1158" s="133">
        <v>0</v>
      </c>
      <c r="K1158" s="135">
        <v>40684</v>
      </c>
      <c r="L1158" s="135" t="s">
        <v>411</v>
      </c>
      <c r="M1158" s="135" t="s">
        <v>659</v>
      </c>
      <c r="N1158" s="135"/>
    </row>
    <row r="1159" spans="3:14" x14ac:dyDescent="0.2">
      <c r="C1159" t="s">
        <v>71</v>
      </c>
      <c r="G1159" s="14">
        <v>19.149999999999999</v>
      </c>
      <c r="H1159" s="133"/>
      <c r="I1159" s="133">
        <v>-72.75</v>
      </c>
      <c r="J1159" s="133">
        <v>0</v>
      </c>
      <c r="K1159" s="135">
        <v>40684</v>
      </c>
      <c r="L1159" s="135" t="s">
        <v>72</v>
      </c>
      <c r="M1159" s="135" t="s">
        <v>1429</v>
      </c>
      <c r="N1159" s="135"/>
    </row>
    <row r="1160" spans="3:14" x14ac:dyDescent="0.2">
      <c r="C1160" t="s">
        <v>1081</v>
      </c>
      <c r="G1160" s="14">
        <v>1014.65</v>
      </c>
      <c r="H1160" s="133">
        <v>0.64</v>
      </c>
      <c r="I1160" s="133">
        <v>4.1900000000000004</v>
      </c>
      <c r="J1160" s="133">
        <v>73.45</v>
      </c>
      <c r="K1160" s="135">
        <v>40684</v>
      </c>
      <c r="L1160" s="135" t="s">
        <v>1082</v>
      </c>
      <c r="M1160" s="135" t="s">
        <v>2994</v>
      </c>
      <c r="N1160" s="135"/>
    </row>
    <row r="1161" spans="3:14" x14ac:dyDescent="0.2">
      <c r="C1161" t="s">
        <v>2927</v>
      </c>
      <c r="D1161">
        <v>42.46</v>
      </c>
      <c r="E1161">
        <v>25.2</v>
      </c>
      <c r="F1161">
        <v>57.4</v>
      </c>
      <c r="G1161" s="14">
        <v>397.4</v>
      </c>
      <c r="H1161" s="133"/>
      <c r="I1161" s="133">
        <v>28.89</v>
      </c>
      <c r="J1161" s="133">
        <v>525.44000000000005</v>
      </c>
      <c r="K1161" s="135">
        <v>40684</v>
      </c>
      <c r="L1161" s="135" t="s">
        <v>3184</v>
      </c>
      <c r="M1161" s="135" t="s">
        <v>3180</v>
      </c>
      <c r="N1161" s="135"/>
    </row>
    <row r="1162" spans="3:14" x14ac:dyDescent="0.2">
      <c r="C1162" t="s">
        <v>3843</v>
      </c>
      <c r="G1162" s="14">
        <v>37.299999999999997</v>
      </c>
      <c r="H1162" s="133"/>
      <c r="I1162" s="133">
        <v>7.21</v>
      </c>
      <c r="J1162" s="133">
        <v>9.76</v>
      </c>
      <c r="K1162" s="135">
        <v>40684</v>
      </c>
      <c r="L1162" s="135" t="s">
        <v>3844</v>
      </c>
      <c r="M1162" s="135" t="s">
        <v>2419</v>
      </c>
      <c r="N1162" s="135"/>
    </row>
    <row r="1163" spans="3:14" x14ac:dyDescent="0.2">
      <c r="C1163" t="s">
        <v>3839</v>
      </c>
      <c r="D1163">
        <v>5.26</v>
      </c>
      <c r="E1163">
        <v>7.12</v>
      </c>
      <c r="F1163">
        <v>7.44</v>
      </c>
      <c r="G1163" s="14">
        <v>36.049999999999997</v>
      </c>
      <c r="H1163" s="133">
        <v>2.08</v>
      </c>
      <c r="I1163" s="133">
        <v>4.93</v>
      </c>
      <c r="J1163" s="133">
        <v>10.25</v>
      </c>
      <c r="K1163" s="135">
        <v>40684</v>
      </c>
      <c r="L1163" s="135" t="s">
        <v>254</v>
      </c>
      <c r="M1163" s="135" t="s">
        <v>2427</v>
      </c>
      <c r="N1163" s="135"/>
    </row>
    <row r="1164" spans="3:14" x14ac:dyDescent="0.2">
      <c r="C1164" t="s">
        <v>3141</v>
      </c>
      <c r="G1164" s="14">
        <v>15.8</v>
      </c>
      <c r="H1164" s="133"/>
      <c r="I1164" s="133">
        <v>24.02</v>
      </c>
      <c r="J1164" s="133">
        <v>6.36</v>
      </c>
      <c r="K1164" s="135">
        <v>40684</v>
      </c>
      <c r="L1164" s="135" t="s">
        <v>3142</v>
      </c>
      <c r="M1164" s="135" t="s">
        <v>1429</v>
      </c>
      <c r="N1164" s="135"/>
    </row>
    <row r="1165" spans="3:14" x14ac:dyDescent="0.2">
      <c r="C1165" t="s">
        <v>73</v>
      </c>
      <c r="G1165" s="14">
        <v>2.73</v>
      </c>
      <c r="H1165" s="133"/>
      <c r="K1165" s="135">
        <v>40684</v>
      </c>
      <c r="L1165" s="135" t="s">
        <v>848</v>
      </c>
      <c r="M1165" s="135" t="s">
        <v>661</v>
      </c>
      <c r="N1165" s="135"/>
    </row>
    <row r="1166" spans="3:14" x14ac:dyDescent="0.2">
      <c r="C1166" t="s">
        <v>3177</v>
      </c>
      <c r="G1166" s="14">
        <v>426.85</v>
      </c>
      <c r="H1166" s="133">
        <v>0.82</v>
      </c>
      <c r="I1166" s="133">
        <v>15.29</v>
      </c>
      <c r="J1166" s="133">
        <v>36.21</v>
      </c>
      <c r="K1166" s="135">
        <v>40684</v>
      </c>
      <c r="L1166" s="135" t="s">
        <v>4202</v>
      </c>
      <c r="M1166" s="135" t="s">
        <v>659</v>
      </c>
      <c r="N1166" s="135"/>
    </row>
    <row r="1167" spans="3:14" x14ac:dyDescent="0.2">
      <c r="C1167" t="s">
        <v>3840</v>
      </c>
      <c r="E1167">
        <v>8.02</v>
      </c>
      <c r="F1167">
        <v>10.1</v>
      </c>
      <c r="G1167" s="14">
        <v>133.44999999999999</v>
      </c>
      <c r="H1167" s="133"/>
      <c r="I1167" s="133">
        <v>16.07</v>
      </c>
      <c r="J1167" s="133">
        <v>14.58</v>
      </c>
      <c r="K1167" s="135">
        <v>40684</v>
      </c>
      <c r="L1167" s="135" t="s">
        <v>255</v>
      </c>
      <c r="M1167" s="135" t="s">
        <v>2418</v>
      </c>
      <c r="N1167" s="135"/>
    </row>
    <row r="1168" spans="3:14" x14ac:dyDescent="0.2">
      <c r="C1168" t="s">
        <v>4807</v>
      </c>
      <c r="G1168" s="14">
        <v>69.25</v>
      </c>
      <c r="H1168" s="133"/>
      <c r="K1168" s="135">
        <v>40684</v>
      </c>
      <c r="L1168" s="135" t="s">
        <v>256</v>
      </c>
      <c r="M1168" s="135" t="s">
        <v>2418</v>
      </c>
      <c r="N1168" s="135"/>
    </row>
    <row r="1169" spans="3:14" x14ac:dyDescent="0.2">
      <c r="C1169" t="s">
        <v>1083</v>
      </c>
      <c r="D1169">
        <v>16.96</v>
      </c>
      <c r="E1169">
        <v>20.76</v>
      </c>
      <c r="F1169">
        <v>23.75</v>
      </c>
      <c r="G1169" s="14">
        <v>156</v>
      </c>
      <c r="H1169" s="133"/>
      <c r="I1169" s="133">
        <v>24.93</v>
      </c>
      <c r="J1169" s="133">
        <v>7.29</v>
      </c>
      <c r="K1169" s="135">
        <v>40684</v>
      </c>
      <c r="L1169" s="135" t="s">
        <v>4062</v>
      </c>
      <c r="M1169" s="135" t="s">
        <v>1429</v>
      </c>
      <c r="N1169" s="135"/>
    </row>
    <row r="1170" spans="3:14" x14ac:dyDescent="0.2">
      <c r="C1170" t="s">
        <v>3178</v>
      </c>
      <c r="G1170" s="14">
        <v>47.4</v>
      </c>
      <c r="H1170" s="133"/>
      <c r="I1170" s="133">
        <v>15.03</v>
      </c>
      <c r="J1170" s="133">
        <v>7.85</v>
      </c>
      <c r="K1170" s="135">
        <v>40684</v>
      </c>
      <c r="L1170" s="135" t="s">
        <v>670</v>
      </c>
      <c r="M1170" s="135" t="s">
        <v>2997</v>
      </c>
      <c r="N1170" s="135"/>
    </row>
    <row r="1171" spans="3:14" x14ac:dyDescent="0.2">
      <c r="C1171" t="s">
        <v>849</v>
      </c>
      <c r="G1171" s="14">
        <v>6</v>
      </c>
      <c r="H1171" s="133"/>
      <c r="I1171" s="133">
        <v>0</v>
      </c>
      <c r="J1171" s="133">
        <v>0</v>
      </c>
      <c r="K1171" s="135">
        <v>40684</v>
      </c>
      <c r="L1171" s="135" t="s">
        <v>3907</v>
      </c>
      <c r="M1171" s="135" t="s">
        <v>2419</v>
      </c>
      <c r="N1171" s="135"/>
    </row>
    <row r="1172" spans="3:14" x14ac:dyDescent="0.2">
      <c r="C1172" t="s">
        <v>114</v>
      </c>
      <c r="D1172">
        <v>-8.85</v>
      </c>
      <c r="E1172">
        <v>-1.9</v>
      </c>
      <c r="F1172">
        <v>1.76</v>
      </c>
      <c r="G1172" s="14">
        <v>77.95</v>
      </c>
      <c r="H1172" s="133"/>
      <c r="I1172" s="133">
        <v>-2.4</v>
      </c>
      <c r="J1172" s="133">
        <v>0</v>
      </c>
      <c r="K1172" s="135">
        <v>40684</v>
      </c>
      <c r="L1172" s="135" t="s">
        <v>2091</v>
      </c>
      <c r="M1172" s="135" t="s">
        <v>2944</v>
      </c>
      <c r="N1172" s="135"/>
    </row>
    <row r="1173" spans="3:14" x14ac:dyDescent="0.2">
      <c r="C1173" t="s">
        <v>827</v>
      </c>
      <c r="G1173" s="14">
        <v>23.55</v>
      </c>
      <c r="H1173" s="133"/>
      <c r="I1173" s="133">
        <v>-12.75</v>
      </c>
      <c r="J1173" s="133">
        <v>0</v>
      </c>
      <c r="K1173" s="135">
        <v>40684</v>
      </c>
      <c r="L1173" s="135" t="s">
        <v>671</v>
      </c>
      <c r="M1173" s="135" t="s">
        <v>1429</v>
      </c>
      <c r="N1173" s="135"/>
    </row>
    <row r="1174" spans="3:14" x14ac:dyDescent="0.2">
      <c r="C1174" t="s">
        <v>4063</v>
      </c>
      <c r="D1174">
        <v>1.41</v>
      </c>
      <c r="E1174">
        <v>4.4000000000000004</v>
      </c>
      <c r="F1174">
        <v>5.8</v>
      </c>
      <c r="G1174" s="14">
        <v>53.5</v>
      </c>
      <c r="H1174" s="133"/>
      <c r="I1174" s="133">
        <v>14.45</v>
      </c>
      <c r="J1174" s="133">
        <v>13.2</v>
      </c>
      <c r="K1174" s="135">
        <v>40684</v>
      </c>
      <c r="L1174" s="135" t="s">
        <v>4064</v>
      </c>
      <c r="M1174" s="135" t="s">
        <v>2418</v>
      </c>
      <c r="N1174" s="135"/>
    </row>
    <row r="1175" spans="3:14" x14ac:dyDescent="0.2">
      <c r="C1175" t="s">
        <v>828</v>
      </c>
      <c r="G1175" s="14">
        <v>59.85</v>
      </c>
      <c r="H1175" s="133">
        <v>1.26</v>
      </c>
      <c r="I1175" s="133">
        <v>6.71</v>
      </c>
      <c r="J1175" s="133">
        <v>11.14</v>
      </c>
      <c r="K1175" s="135">
        <v>40684</v>
      </c>
      <c r="L1175" s="135" t="s">
        <v>672</v>
      </c>
      <c r="M1175" s="135" t="s">
        <v>2944</v>
      </c>
      <c r="N1175" s="135"/>
    </row>
    <row r="1176" spans="3:14" x14ac:dyDescent="0.2">
      <c r="C1176" t="s">
        <v>3841</v>
      </c>
      <c r="G1176" s="14">
        <v>96.05</v>
      </c>
      <c r="H1176" s="133"/>
      <c r="I1176" s="133">
        <v>28.02</v>
      </c>
      <c r="J1176" s="133">
        <v>6.63</v>
      </c>
      <c r="K1176" s="135">
        <v>40684</v>
      </c>
      <c r="L1176" s="135" t="s">
        <v>257</v>
      </c>
      <c r="M1176" s="135" t="s">
        <v>660</v>
      </c>
      <c r="N1176" s="135"/>
    </row>
    <row r="1177" spans="3:14" x14ac:dyDescent="0.2">
      <c r="C1177" t="s">
        <v>829</v>
      </c>
      <c r="G1177" s="14">
        <v>14.95</v>
      </c>
      <c r="H1177" s="133"/>
      <c r="I1177" s="133">
        <v>-24.45</v>
      </c>
      <c r="J1177" s="133">
        <v>0</v>
      </c>
      <c r="K1177" s="135">
        <v>40684</v>
      </c>
      <c r="L1177" s="135" t="s">
        <v>2066</v>
      </c>
      <c r="M1177" s="135" t="s">
        <v>2427</v>
      </c>
      <c r="N1177" s="135"/>
    </row>
    <row r="1178" spans="3:14" x14ac:dyDescent="0.2">
      <c r="C1178" t="s">
        <v>1047</v>
      </c>
      <c r="D1178">
        <v>87.79</v>
      </c>
      <c r="E1178">
        <v>52.6</v>
      </c>
      <c r="F1178">
        <v>64.5</v>
      </c>
      <c r="G1178" s="14">
        <v>1033.9000000000001</v>
      </c>
      <c r="H1178" s="133"/>
      <c r="I1178" s="133">
        <v>23.27</v>
      </c>
      <c r="J1178" s="133">
        <v>20.100000000000001</v>
      </c>
      <c r="K1178" s="135">
        <v>40684</v>
      </c>
      <c r="L1178" s="135" t="s">
        <v>668</v>
      </c>
      <c r="M1178" s="135" t="s">
        <v>2995</v>
      </c>
      <c r="N1178" s="135" t="s">
        <v>1125</v>
      </c>
    </row>
    <row r="1179" spans="3:14" x14ac:dyDescent="0.2">
      <c r="C1179" t="s">
        <v>3199</v>
      </c>
      <c r="G1179" s="14">
        <v>147.30000000000001</v>
      </c>
      <c r="H1179" s="133"/>
      <c r="I1179" s="133">
        <v>29.2</v>
      </c>
      <c r="J1179" s="133">
        <v>3.65</v>
      </c>
      <c r="K1179" s="135">
        <v>40684</v>
      </c>
      <c r="L1179" s="135" t="s">
        <v>124</v>
      </c>
      <c r="M1179" s="135" t="s">
        <v>2946</v>
      </c>
      <c r="N1179" s="135"/>
    </row>
    <row r="1180" spans="3:14" x14ac:dyDescent="0.2">
      <c r="C1180" t="s">
        <v>3842</v>
      </c>
      <c r="D1180">
        <v>41.08</v>
      </c>
      <c r="E1180">
        <v>42.37</v>
      </c>
      <c r="F1180">
        <v>55.7</v>
      </c>
      <c r="G1180" s="14">
        <v>318.3</v>
      </c>
      <c r="H1180" s="133"/>
      <c r="I1180" s="133">
        <v>23.56</v>
      </c>
      <c r="J1180" s="133">
        <v>9.73</v>
      </c>
      <c r="K1180" s="135">
        <v>40684</v>
      </c>
      <c r="L1180" s="135" t="s">
        <v>2067</v>
      </c>
      <c r="M1180" s="135" t="s">
        <v>660</v>
      </c>
      <c r="N1180" s="135"/>
    </row>
    <row r="1181" spans="3:14" x14ac:dyDescent="0.2">
      <c r="C1181" t="s">
        <v>4808</v>
      </c>
      <c r="G1181" s="14">
        <v>179.2</v>
      </c>
      <c r="H1181" s="133"/>
      <c r="I1181" s="133">
        <v>-1.97</v>
      </c>
      <c r="J1181" s="133">
        <v>29.6</v>
      </c>
      <c r="K1181" s="135">
        <v>40684</v>
      </c>
      <c r="L1181" s="135" t="s">
        <v>4243</v>
      </c>
      <c r="M1181" s="135" t="s">
        <v>661</v>
      </c>
      <c r="N1181" s="135"/>
    </row>
    <row r="1182" spans="3:14" x14ac:dyDescent="0.2">
      <c r="C1182" t="s">
        <v>1268</v>
      </c>
      <c r="G1182" s="14">
        <v>66.8</v>
      </c>
      <c r="H1182" s="133"/>
      <c r="I1182" s="133">
        <v>8.3000000000000007</v>
      </c>
      <c r="J1182" s="133">
        <v>8.49</v>
      </c>
      <c r="K1182" s="135">
        <v>40684</v>
      </c>
      <c r="L1182" s="135" t="s">
        <v>4244</v>
      </c>
      <c r="M1182" s="135" t="s">
        <v>1763</v>
      </c>
      <c r="N1182" s="135"/>
    </row>
    <row r="1183" spans="3:14" x14ac:dyDescent="0.2">
      <c r="C1183" t="s">
        <v>4446</v>
      </c>
      <c r="G1183" s="14">
        <v>63.05</v>
      </c>
      <c r="H1183" s="133">
        <v>1.58</v>
      </c>
      <c r="I1183" s="133">
        <v>15.06</v>
      </c>
      <c r="J1183" s="133">
        <v>5.5</v>
      </c>
      <c r="K1183" s="135">
        <v>40684</v>
      </c>
      <c r="L1183" s="135" t="s">
        <v>3709</v>
      </c>
      <c r="M1183" s="135" t="s">
        <v>5141</v>
      </c>
      <c r="N1183" s="135"/>
    </row>
    <row r="1184" spans="3:14" x14ac:dyDescent="0.2">
      <c r="C1184" t="s">
        <v>1269</v>
      </c>
      <c r="E1184">
        <v>13.4</v>
      </c>
      <c r="F1184">
        <v>17.2</v>
      </c>
      <c r="G1184" s="14">
        <v>170.45</v>
      </c>
      <c r="H1184" s="133"/>
      <c r="K1184" s="135">
        <v>40684</v>
      </c>
      <c r="L1184" s="135" t="s">
        <v>2817</v>
      </c>
      <c r="M1184" s="135" t="s">
        <v>659</v>
      </c>
      <c r="N1184" s="135"/>
    </row>
    <row r="1185" spans="3:14" x14ac:dyDescent="0.2">
      <c r="C1185" t="s">
        <v>947</v>
      </c>
      <c r="D1185">
        <v>2.91</v>
      </c>
      <c r="E1185">
        <v>2.91</v>
      </c>
      <c r="F1185">
        <v>4.17</v>
      </c>
      <c r="G1185" s="14">
        <v>33.85</v>
      </c>
      <c r="H1185" s="133">
        <v>0.59</v>
      </c>
      <c r="I1185" s="133">
        <v>6.59</v>
      </c>
      <c r="J1185" s="133">
        <v>16.32</v>
      </c>
      <c r="K1185" s="135">
        <v>40684</v>
      </c>
      <c r="L1185" s="135" t="s">
        <v>2818</v>
      </c>
      <c r="M1185" s="135" t="s">
        <v>1755</v>
      </c>
      <c r="N1185" s="135"/>
    </row>
    <row r="1186" spans="3:14" x14ac:dyDescent="0.2">
      <c r="C1186" t="s">
        <v>830</v>
      </c>
      <c r="G1186" s="14">
        <v>55</v>
      </c>
      <c r="H1186" s="133"/>
      <c r="I1186" s="133">
        <v>-43.63</v>
      </c>
      <c r="J1186" s="133">
        <v>0</v>
      </c>
      <c r="K1186" s="135">
        <v>40684</v>
      </c>
      <c r="L1186" s="135" t="s">
        <v>2068</v>
      </c>
      <c r="M1186" s="135" t="s">
        <v>2427</v>
      </c>
      <c r="N1186" s="135"/>
    </row>
    <row r="1187" spans="3:14" x14ac:dyDescent="0.2">
      <c r="C1187" t="s">
        <v>831</v>
      </c>
      <c r="G1187" s="14">
        <v>57.05</v>
      </c>
      <c r="H1187" s="133"/>
      <c r="I1187" s="133">
        <v>2.1800000000000002</v>
      </c>
      <c r="J1187" s="133">
        <v>17.420000000000002</v>
      </c>
      <c r="K1187" s="135">
        <v>40684</v>
      </c>
      <c r="L1187" s="135" t="s">
        <v>2069</v>
      </c>
      <c r="M1187" s="135" t="s">
        <v>3180</v>
      </c>
      <c r="N1187" s="135"/>
    </row>
    <row r="1188" spans="3:14" x14ac:dyDescent="0.2">
      <c r="C1188" t="s">
        <v>3710</v>
      </c>
      <c r="G1188" s="14">
        <v>313.10000000000002</v>
      </c>
      <c r="H1188" s="133">
        <v>0.67</v>
      </c>
      <c r="I1188" s="133">
        <v>6.96</v>
      </c>
      <c r="J1188" s="133">
        <v>34.18</v>
      </c>
      <c r="K1188" s="135">
        <v>40684</v>
      </c>
      <c r="L1188" s="135" t="s">
        <v>3711</v>
      </c>
      <c r="M1188" s="135" t="s">
        <v>661</v>
      </c>
      <c r="N1188" s="135"/>
    </row>
    <row r="1189" spans="3:14" x14ac:dyDescent="0.2">
      <c r="C1189" t="s">
        <v>582</v>
      </c>
      <c r="D1189">
        <v>64.31</v>
      </c>
      <c r="E1189">
        <v>79</v>
      </c>
      <c r="F1189">
        <v>98.4</v>
      </c>
      <c r="G1189" s="14">
        <v>1220.9000000000001</v>
      </c>
      <c r="H1189" s="133">
        <v>1.1499999999999999</v>
      </c>
      <c r="I1189" s="133">
        <v>17.87</v>
      </c>
      <c r="J1189" s="133">
        <v>14.82</v>
      </c>
      <c r="K1189" s="135">
        <v>40684</v>
      </c>
      <c r="L1189" s="135" t="s">
        <v>2070</v>
      </c>
      <c r="M1189" s="135" t="s">
        <v>660</v>
      </c>
      <c r="N1189" s="135"/>
    </row>
    <row r="1190" spans="3:14" x14ac:dyDescent="0.2">
      <c r="C1190" t="s">
        <v>832</v>
      </c>
      <c r="G1190" s="14">
        <v>110.05</v>
      </c>
      <c r="H1190" s="133"/>
      <c r="I1190" s="133">
        <v>14.33</v>
      </c>
      <c r="J1190" s="133">
        <v>13.17</v>
      </c>
      <c r="K1190" s="135">
        <v>40684</v>
      </c>
      <c r="L1190" s="135" t="s">
        <v>2071</v>
      </c>
      <c r="M1190" s="135" t="s">
        <v>2997</v>
      </c>
      <c r="N1190" s="135"/>
    </row>
    <row r="1191" spans="3:14" x14ac:dyDescent="0.2">
      <c r="C1191" t="s">
        <v>1395</v>
      </c>
      <c r="D1191">
        <v>13.07</v>
      </c>
      <c r="E1191">
        <v>35.5</v>
      </c>
      <c r="F1191">
        <v>49.1</v>
      </c>
      <c r="G1191" s="14">
        <v>645.54999999999995</v>
      </c>
      <c r="H1191" s="133"/>
      <c r="I1191" s="133">
        <v>5.62</v>
      </c>
      <c r="J1191" s="133">
        <v>44.42</v>
      </c>
      <c r="K1191" s="135">
        <v>40684</v>
      </c>
      <c r="L1191" s="135" t="s">
        <v>779</v>
      </c>
      <c r="M1191" s="135" t="s">
        <v>2944</v>
      </c>
      <c r="N1191" s="135"/>
    </row>
    <row r="1192" spans="3:14" x14ac:dyDescent="0.2">
      <c r="C1192" t="s">
        <v>833</v>
      </c>
      <c r="G1192" s="14">
        <v>22.6</v>
      </c>
      <c r="H1192" s="133"/>
      <c r="K1192" s="135">
        <v>40684</v>
      </c>
      <c r="L1192" s="135" t="s">
        <v>2072</v>
      </c>
      <c r="M1192" s="135" t="s">
        <v>2997</v>
      </c>
      <c r="N1192" s="135"/>
    </row>
    <row r="1193" spans="3:14" x14ac:dyDescent="0.2">
      <c r="C1193" t="s">
        <v>949</v>
      </c>
      <c r="D1193">
        <v>26.58</v>
      </c>
      <c r="E1193">
        <v>21.5</v>
      </c>
      <c r="F1193">
        <v>26.88</v>
      </c>
      <c r="G1193" s="14">
        <v>167.8</v>
      </c>
      <c r="H1193" s="133"/>
      <c r="I1193" s="133">
        <v>11.97</v>
      </c>
      <c r="J1193" s="133">
        <v>9.56</v>
      </c>
      <c r="K1193" s="135">
        <v>40684</v>
      </c>
      <c r="L1193" s="135" t="s">
        <v>2819</v>
      </c>
      <c r="M1193" s="135" t="s">
        <v>1765</v>
      </c>
      <c r="N1193" s="135"/>
    </row>
    <row r="1194" spans="3:14" x14ac:dyDescent="0.2">
      <c r="C1194" t="s">
        <v>834</v>
      </c>
      <c r="G1194" s="14">
        <v>47.95</v>
      </c>
      <c r="H1194" s="133"/>
      <c r="I1194" s="133">
        <v>10.24</v>
      </c>
      <c r="J1194" s="133">
        <v>3.09</v>
      </c>
      <c r="K1194" s="135">
        <v>40684</v>
      </c>
      <c r="L1194" s="135" t="s">
        <v>2073</v>
      </c>
      <c r="M1194" s="135" t="s">
        <v>2994</v>
      </c>
      <c r="N1194" s="135"/>
    </row>
    <row r="1195" spans="3:14" x14ac:dyDescent="0.2">
      <c r="C1195" t="s">
        <v>835</v>
      </c>
      <c r="G1195" s="14">
        <v>64.05</v>
      </c>
      <c r="H1195" s="133"/>
      <c r="I1195" s="133">
        <v>9.66</v>
      </c>
      <c r="J1195" s="133">
        <v>3.91</v>
      </c>
      <c r="K1195" s="135">
        <v>40684</v>
      </c>
      <c r="L1195" s="135" t="s">
        <v>1973</v>
      </c>
      <c r="M1195" s="135" t="s">
        <v>2994</v>
      </c>
      <c r="N1195" s="135"/>
    </row>
    <row r="1196" spans="3:14" x14ac:dyDescent="0.2">
      <c r="C1196" t="s">
        <v>1396</v>
      </c>
      <c r="D1196">
        <v>0.37</v>
      </c>
      <c r="E1196">
        <v>0.65</v>
      </c>
      <c r="F1196">
        <v>-10.199999999999999</v>
      </c>
      <c r="G1196" s="14">
        <v>27.75</v>
      </c>
      <c r="H1196" s="133">
        <v>2.89</v>
      </c>
      <c r="I1196" s="133">
        <v>-27.52</v>
      </c>
      <c r="J1196" s="133">
        <v>33.04</v>
      </c>
      <c r="K1196" s="135">
        <v>40684</v>
      </c>
      <c r="L1196" s="135" t="s">
        <v>780</v>
      </c>
      <c r="M1196" s="135" t="s">
        <v>2993</v>
      </c>
      <c r="N1196" s="135"/>
    </row>
    <row r="1197" spans="3:14" x14ac:dyDescent="0.2">
      <c r="C1197" t="s">
        <v>836</v>
      </c>
      <c r="G1197" s="14">
        <v>428</v>
      </c>
      <c r="H1197" s="133"/>
      <c r="K1197" s="135">
        <v>40684</v>
      </c>
      <c r="L1197" s="135" t="s">
        <v>1974</v>
      </c>
      <c r="M1197" s="135" t="s">
        <v>2994</v>
      </c>
      <c r="N1197" s="135"/>
    </row>
    <row r="1198" spans="3:14" x14ac:dyDescent="0.2">
      <c r="C1198" t="s">
        <v>837</v>
      </c>
      <c r="G1198" s="14">
        <v>228.2</v>
      </c>
      <c r="H1198" s="133"/>
      <c r="I1198" s="133">
        <v>2.0099999999999998</v>
      </c>
      <c r="J1198" s="133">
        <v>8.86</v>
      </c>
      <c r="K1198" s="135">
        <v>40684</v>
      </c>
      <c r="L1198" s="135" t="s">
        <v>2513</v>
      </c>
      <c r="M1198" s="135" t="s">
        <v>2417</v>
      </c>
      <c r="N1198" s="135"/>
    </row>
    <row r="1199" spans="3:14" x14ac:dyDescent="0.2">
      <c r="C1199" t="s">
        <v>125</v>
      </c>
      <c r="G1199" s="14">
        <v>2.4</v>
      </c>
      <c r="H1199" s="133"/>
      <c r="I1199" s="133">
        <v>-4.62</v>
      </c>
      <c r="J1199" s="133">
        <v>0</v>
      </c>
      <c r="K1199" s="135">
        <v>40684</v>
      </c>
      <c r="L1199" s="135" t="s">
        <v>5238</v>
      </c>
      <c r="M1199" s="135" t="s">
        <v>660</v>
      </c>
      <c r="N1199" s="135"/>
    </row>
    <row r="1200" spans="3:14" x14ac:dyDescent="0.2">
      <c r="C1200" t="s">
        <v>5239</v>
      </c>
      <c r="G1200" s="14">
        <v>9.67</v>
      </c>
      <c r="H1200" s="133"/>
      <c r="I1200" s="133">
        <v>-9.07</v>
      </c>
      <c r="J1200" s="133">
        <v>0</v>
      </c>
      <c r="K1200" s="135">
        <v>40684</v>
      </c>
      <c r="L1200" s="135" t="s">
        <v>5240</v>
      </c>
      <c r="M1200" s="135" t="s">
        <v>2425</v>
      </c>
      <c r="N1200" s="135"/>
    </row>
    <row r="1201" spans="3:14" x14ac:dyDescent="0.2">
      <c r="C1201" t="s">
        <v>838</v>
      </c>
      <c r="G1201" s="14">
        <v>200.35</v>
      </c>
      <c r="H1201" s="133"/>
      <c r="I1201" s="133">
        <v>23.25</v>
      </c>
      <c r="J1201" s="133">
        <v>3.73</v>
      </c>
      <c r="K1201" s="135">
        <v>40684</v>
      </c>
      <c r="L1201" s="135" t="s">
        <v>4552</v>
      </c>
      <c r="M1201" s="135" t="s">
        <v>659</v>
      </c>
      <c r="N1201" s="135"/>
    </row>
    <row r="1202" spans="3:14" x14ac:dyDescent="0.2">
      <c r="C1202" t="s">
        <v>839</v>
      </c>
      <c r="G1202" s="14">
        <v>2</v>
      </c>
      <c r="H1202" s="133"/>
      <c r="I1202" s="133">
        <v>0</v>
      </c>
      <c r="J1202" s="133">
        <v>0</v>
      </c>
      <c r="K1202" s="135">
        <v>40684</v>
      </c>
      <c r="L1202" s="135" t="s">
        <v>5284</v>
      </c>
      <c r="M1202" s="135" t="s">
        <v>2427</v>
      </c>
      <c r="N1202" s="135"/>
    </row>
    <row r="1203" spans="3:14" x14ac:dyDescent="0.2">
      <c r="C1203" t="s">
        <v>5241</v>
      </c>
      <c r="G1203" s="14">
        <v>20.25</v>
      </c>
      <c r="H1203" s="133"/>
      <c r="I1203" s="133">
        <v>1.02</v>
      </c>
      <c r="J1203" s="133">
        <v>4.54</v>
      </c>
      <c r="K1203" s="135">
        <v>40684</v>
      </c>
      <c r="L1203" s="135" t="s">
        <v>3517</v>
      </c>
      <c r="M1203" s="135" t="s">
        <v>2416</v>
      </c>
      <c r="N1203" s="135"/>
    </row>
    <row r="1204" spans="3:14" x14ac:dyDescent="0.2">
      <c r="C1204" t="s">
        <v>5242</v>
      </c>
      <c r="G1204" s="14">
        <v>186.3</v>
      </c>
      <c r="H1204" s="133"/>
      <c r="I1204" s="133">
        <v>6.66</v>
      </c>
      <c r="J1204" s="133">
        <v>7.42</v>
      </c>
      <c r="K1204" s="135">
        <v>40684</v>
      </c>
      <c r="L1204" s="135" t="s">
        <v>3518</v>
      </c>
      <c r="M1204" s="135" t="s">
        <v>2428</v>
      </c>
      <c r="N1204" s="135"/>
    </row>
    <row r="1205" spans="3:14" x14ac:dyDescent="0.2">
      <c r="C1205" t="s">
        <v>950</v>
      </c>
      <c r="D1205">
        <v>11.7</v>
      </c>
      <c r="E1205">
        <v>14.4</v>
      </c>
      <c r="F1205">
        <v>16.2</v>
      </c>
      <c r="G1205" s="14">
        <v>69.8</v>
      </c>
      <c r="H1205" s="133"/>
      <c r="I1205" s="133">
        <v>16.829999999999998</v>
      </c>
      <c r="J1205" s="133">
        <v>6.29</v>
      </c>
      <c r="K1205" s="135">
        <v>40684</v>
      </c>
      <c r="L1205" s="135" t="s">
        <v>2491</v>
      </c>
      <c r="M1205" s="135" t="s">
        <v>660</v>
      </c>
      <c r="N1205" s="135"/>
    </row>
    <row r="1206" spans="3:14" x14ac:dyDescent="0.2">
      <c r="C1206" t="s">
        <v>951</v>
      </c>
      <c r="E1206">
        <v>1.5</v>
      </c>
      <c r="G1206" s="14">
        <v>21.55</v>
      </c>
      <c r="H1206" s="133"/>
      <c r="I1206" s="133">
        <v>1.61</v>
      </c>
      <c r="J1206" s="133">
        <v>0</v>
      </c>
      <c r="K1206" s="135">
        <v>40684</v>
      </c>
      <c r="L1206" s="135" t="s">
        <v>2492</v>
      </c>
      <c r="M1206" s="135" t="s">
        <v>659</v>
      </c>
      <c r="N1206" s="135"/>
    </row>
    <row r="1207" spans="3:14" x14ac:dyDescent="0.2">
      <c r="C1207" t="s">
        <v>5243</v>
      </c>
      <c r="G1207" s="14">
        <v>1.82</v>
      </c>
      <c r="H1207" s="133"/>
      <c r="I1207" s="133">
        <v>0.86</v>
      </c>
      <c r="J1207" s="133">
        <v>69.900000000000006</v>
      </c>
      <c r="K1207" s="135">
        <v>40684</v>
      </c>
      <c r="L1207" s="135" t="s">
        <v>5158</v>
      </c>
      <c r="M1207" s="135" t="s">
        <v>2944</v>
      </c>
      <c r="N1207" s="135"/>
    </row>
    <row r="1208" spans="3:14" x14ac:dyDescent="0.2">
      <c r="C1208" t="s">
        <v>840</v>
      </c>
      <c r="G1208" s="14">
        <v>8.5</v>
      </c>
      <c r="H1208" s="133"/>
      <c r="I1208" s="133">
        <v>-2.86</v>
      </c>
      <c r="J1208" s="133">
        <v>0</v>
      </c>
      <c r="K1208" s="135">
        <v>40684</v>
      </c>
      <c r="L1208" s="135" t="s">
        <v>5285</v>
      </c>
      <c r="M1208" s="135" t="s">
        <v>659</v>
      </c>
      <c r="N1208" s="135"/>
    </row>
    <row r="1209" spans="3:14" x14ac:dyDescent="0.2">
      <c r="C1209" t="s">
        <v>2928</v>
      </c>
      <c r="D1209">
        <v>4.3099999999999996</v>
      </c>
      <c r="E1209">
        <v>4.25</v>
      </c>
      <c r="F1209">
        <v>11.35</v>
      </c>
      <c r="G1209" s="14">
        <v>58</v>
      </c>
      <c r="H1209" s="133">
        <v>1.72</v>
      </c>
      <c r="I1209" s="133">
        <v>13.42</v>
      </c>
      <c r="J1209" s="133">
        <v>13.46</v>
      </c>
      <c r="K1209" s="135">
        <v>40684</v>
      </c>
      <c r="L1209" s="135" t="s">
        <v>2493</v>
      </c>
      <c r="M1209" s="135" t="s">
        <v>2997</v>
      </c>
      <c r="N1209" s="135"/>
    </row>
    <row r="1210" spans="3:14" x14ac:dyDescent="0.2">
      <c r="C1210" t="s">
        <v>841</v>
      </c>
      <c r="G1210" s="14">
        <v>12.85</v>
      </c>
      <c r="H1210" s="133"/>
      <c r="I1210" s="133">
        <v>-67.34</v>
      </c>
      <c r="J1210" s="133">
        <v>0</v>
      </c>
      <c r="K1210" s="135">
        <v>40684</v>
      </c>
      <c r="L1210" s="135" t="s">
        <v>5060</v>
      </c>
      <c r="M1210" s="135" t="s">
        <v>1429</v>
      </c>
      <c r="N1210" s="135"/>
    </row>
    <row r="1211" spans="3:14" x14ac:dyDescent="0.2">
      <c r="C1211" t="s">
        <v>5159</v>
      </c>
      <c r="G1211" s="14">
        <v>2.74</v>
      </c>
      <c r="H1211" s="133"/>
      <c r="K1211" s="135">
        <v>40684</v>
      </c>
      <c r="L1211" s="135" t="s">
        <v>5160</v>
      </c>
      <c r="M1211" s="135" t="s">
        <v>1755</v>
      </c>
      <c r="N1211" s="135"/>
    </row>
    <row r="1212" spans="3:14" x14ac:dyDescent="0.2">
      <c r="C1212" t="s">
        <v>5329</v>
      </c>
      <c r="D1212">
        <v>9.3000000000000007</v>
      </c>
      <c r="E1212">
        <v>11.3</v>
      </c>
      <c r="F1212">
        <v>13.31</v>
      </c>
      <c r="G1212" s="14">
        <v>161.69999999999999</v>
      </c>
      <c r="H1212" s="133"/>
      <c r="I1212" s="133">
        <v>29.5</v>
      </c>
      <c r="J1212" s="133">
        <v>15.2</v>
      </c>
      <c r="K1212" s="135">
        <v>40684</v>
      </c>
      <c r="L1212" s="135" t="s">
        <v>2494</v>
      </c>
      <c r="M1212" s="135" t="s">
        <v>1758</v>
      </c>
      <c r="N1212" s="135"/>
    </row>
    <row r="1213" spans="3:14" x14ac:dyDescent="0.2">
      <c r="C1213" t="s">
        <v>3712</v>
      </c>
      <c r="G1213" s="14">
        <v>518.70000000000005</v>
      </c>
      <c r="H1213" s="133">
        <v>2.42</v>
      </c>
      <c r="I1213" s="133">
        <v>24.83</v>
      </c>
      <c r="J1213" s="133">
        <v>6.34</v>
      </c>
      <c r="K1213" s="135">
        <v>40684</v>
      </c>
      <c r="L1213" s="135" t="s">
        <v>623</v>
      </c>
      <c r="M1213" s="135" t="s">
        <v>1756</v>
      </c>
      <c r="N1213" s="135"/>
    </row>
    <row r="1214" spans="3:14" x14ac:dyDescent="0.2">
      <c r="C1214" t="s">
        <v>781</v>
      </c>
      <c r="D1214">
        <v>-13.31</v>
      </c>
      <c r="E1214">
        <v>-26.55</v>
      </c>
      <c r="F1214">
        <v>-21.6</v>
      </c>
      <c r="H1214" s="133"/>
      <c r="I1214" s="133">
        <v>-0.84</v>
      </c>
      <c r="J1214" s="133">
        <v>12.65</v>
      </c>
      <c r="K1214" s="135">
        <v>40684</v>
      </c>
      <c r="L1214" s="135" t="s">
        <v>1788</v>
      </c>
      <c r="M1214" s="135" t="s">
        <v>1754</v>
      </c>
      <c r="N1214" s="135"/>
    </row>
    <row r="1215" spans="3:14" x14ac:dyDescent="0.2">
      <c r="C1215" t="s">
        <v>553</v>
      </c>
      <c r="G1215" s="14">
        <v>874.5</v>
      </c>
      <c r="H1215" s="133"/>
      <c r="I1215" s="133">
        <v>20.83</v>
      </c>
      <c r="J1215" s="133">
        <v>14.2</v>
      </c>
      <c r="K1215" s="135">
        <v>40684</v>
      </c>
      <c r="L1215" s="135" t="s">
        <v>2951</v>
      </c>
      <c r="M1215" s="135" t="s">
        <v>2416</v>
      </c>
      <c r="N1215" s="135"/>
    </row>
    <row r="1216" spans="3:14" x14ac:dyDescent="0.2">
      <c r="C1216" t="s">
        <v>842</v>
      </c>
      <c r="H1216" s="133"/>
      <c r="I1216" s="133">
        <v>-3.23</v>
      </c>
      <c r="J1216" s="133">
        <v>75.38</v>
      </c>
      <c r="K1216" s="135">
        <v>40684</v>
      </c>
      <c r="L1216" s="135" t="s">
        <v>5061</v>
      </c>
      <c r="M1216" s="135" t="s">
        <v>2994</v>
      </c>
      <c r="N1216" s="135"/>
    </row>
    <row r="1217" spans="3:14" x14ac:dyDescent="0.2">
      <c r="C1217" t="s">
        <v>843</v>
      </c>
      <c r="G1217" s="14">
        <v>29.35</v>
      </c>
      <c r="H1217" s="133"/>
      <c r="I1217" s="133">
        <v>-3.23</v>
      </c>
      <c r="J1217" s="133">
        <v>75.38</v>
      </c>
      <c r="K1217" s="135">
        <v>40684</v>
      </c>
      <c r="L1217" s="135" t="s">
        <v>5062</v>
      </c>
      <c r="M1217" s="135" t="s">
        <v>1429</v>
      </c>
      <c r="N1217" s="135"/>
    </row>
    <row r="1218" spans="3:14" x14ac:dyDescent="0.2">
      <c r="C1218" t="s">
        <v>844</v>
      </c>
      <c r="G1218" s="14">
        <v>17.399999999999999</v>
      </c>
      <c r="H1218" s="133"/>
      <c r="I1218" s="133">
        <v>-58.92</v>
      </c>
      <c r="J1218" s="133">
        <v>0</v>
      </c>
      <c r="K1218" s="135">
        <v>40684</v>
      </c>
      <c r="L1218" s="135" t="s">
        <v>5063</v>
      </c>
      <c r="M1218" s="135" t="s">
        <v>2418</v>
      </c>
      <c r="N1218" s="135"/>
    </row>
    <row r="1219" spans="3:14" x14ac:dyDescent="0.2">
      <c r="C1219" t="s">
        <v>952</v>
      </c>
      <c r="D1219">
        <v>18.62</v>
      </c>
      <c r="E1219">
        <v>26.1</v>
      </c>
      <c r="F1219">
        <v>33.5</v>
      </c>
      <c r="G1219" s="14">
        <v>320.8</v>
      </c>
      <c r="H1219" s="133"/>
      <c r="I1219" s="133">
        <v>10.9</v>
      </c>
      <c r="J1219" s="133">
        <v>12.25</v>
      </c>
      <c r="K1219" s="135">
        <v>40684</v>
      </c>
      <c r="L1219" s="135" t="s">
        <v>2514</v>
      </c>
      <c r="M1219" s="135" t="s">
        <v>660</v>
      </c>
      <c r="N1219" s="135"/>
    </row>
    <row r="1220" spans="3:14" x14ac:dyDescent="0.2">
      <c r="C1220" t="s">
        <v>624</v>
      </c>
      <c r="G1220" s="14">
        <v>1302</v>
      </c>
      <c r="H1220" s="133"/>
      <c r="I1220" s="133">
        <v>-26.1</v>
      </c>
      <c r="J1220" s="133">
        <v>45.76</v>
      </c>
      <c r="K1220" s="135">
        <v>40684</v>
      </c>
      <c r="L1220" s="135" t="s">
        <v>625</v>
      </c>
      <c r="M1220" s="135" t="s">
        <v>660</v>
      </c>
      <c r="N1220" s="135"/>
    </row>
    <row r="1221" spans="3:14" x14ac:dyDescent="0.2">
      <c r="C1221" t="s">
        <v>626</v>
      </c>
      <c r="G1221" s="14">
        <v>122.15</v>
      </c>
      <c r="H1221" s="133">
        <v>0.82</v>
      </c>
      <c r="I1221" s="133">
        <v>8.08</v>
      </c>
      <c r="J1221" s="133">
        <v>20.91</v>
      </c>
      <c r="K1221" s="135">
        <v>40684</v>
      </c>
      <c r="L1221" s="135" t="s">
        <v>341</v>
      </c>
      <c r="M1221" s="135" t="s">
        <v>3180</v>
      </c>
      <c r="N1221" s="135"/>
    </row>
    <row r="1222" spans="3:14" x14ac:dyDescent="0.2">
      <c r="C1222" t="s">
        <v>845</v>
      </c>
      <c r="G1222" s="14">
        <v>63.2</v>
      </c>
      <c r="H1222" s="133"/>
      <c r="I1222" s="133">
        <v>-9.1</v>
      </c>
      <c r="J1222" s="133">
        <v>0</v>
      </c>
      <c r="K1222" s="135">
        <v>40684</v>
      </c>
      <c r="L1222" s="135" t="s">
        <v>5064</v>
      </c>
      <c r="M1222" s="135" t="s">
        <v>1756</v>
      </c>
      <c r="N1222" s="135"/>
    </row>
    <row r="1223" spans="3:14" x14ac:dyDescent="0.2">
      <c r="C1223" t="s">
        <v>2952</v>
      </c>
      <c r="D1223">
        <v>25.18</v>
      </c>
      <c r="E1223">
        <v>30.3</v>
      </c>
      <c r="F1223">
        <v>32.9</v>
      </c>
      <c r="G1223" s="14">
        <v>174.7</v>
      </c>
      <c r="H1223" s="133">
        <v>1.1399999999999999</v>
      </c>
      <c r="I1223" s="133">
        <v>21.22</v>
      </c>
      <c r="J1223" s="133">
        <v>6.62</v>
      </c>
      <c r="K1223" s="135">
        <v>40684</v>
      </c>
      <c r="L1223" s="135" t="s">
        <v>2102</v>
      </c>
      <c r="M1223" s="135" t="s">
        <v>2997</v>
      </c>
      <c r="N1223" s="135"/>
    </row>
    <row r="1224" spans="3:14" x14ac:dyDescent="0.2">
      <c r="C1224" t="s">
        <v>2103</v>
      </c>
      <c r="D1224">
        <v>22</v>
      </c>
      <c r="E1224">
        <v>17.93</v>
      </c>
      <c r="F1224">
        <v>21.28</v>
      </c>
      <c r="G1224" s="14">
        <v>48.35</v>
      </c>
      <c r="H1224" s="133">
        <v>2.0699999999999998</v>
      </c>
      <c r="I1224" s="133">
        <v>11.07</v>
      </c>
      <c r="J1224" s="133">
        <v>3.74</v>
      </c>
      <c r="K1224" s="135">
        <v>40684</v>
      </c>
      <c r="L1224" s="135" t="s">
        <v>2104</v>
      </c>
      <c r="M1224" s="135" t="s">
        <v>2994</v>
      </c>
      <c r="N1224" s="135"/>
    </row>
    <row r="1225" spans="3:14" x14ac:dyDescent="0.2">
      <c r="C1225" t="s">
        <v>846</v>
      </c>
      <c r="G1225" s="14">
        <v>15.2</v>
      </c>
      <c r="H1225" s="133"/>
      <c r="I1225" s="133">
        <v>13.86</v>
      </c>
      <c r="J1225" s="133">
        <v>5.04</v>
      </c>
      <c r="K1225" s="135">
        <v>40684</v>
      </c>
      <c r="L1225" s="135" t="s">
        <v>5236</v>
      </c>
      <c r="M1225" s="135" t="s">
        <v>2994</v>
      </c>
      <c r="N1225" s="135"/>
    </row>
    <row r="1226" spans="3:14" x14ac:dyDescent="0.2">
      <c r="C1226" t="s">
        <v>5161</v>
      </c>
      <c r="G1226" s="14">
        <v>2.5</v>
      </c>
      <c r="H1226" s="133"/>
      <c r="I1226" s="133">
        <v>-18.12</v>
      </c>
      <c r="J1226" s="133">
        <v>0</v>
      </c>
      <c r="K1226" s="135">
        <v>40684</v>
      </c>
      <c r="L1226" s="135" t="s">
        <v>4560</v>
      </c>
      <c r="M1226" s="135" t="s">
        <v>2196</v>
      </c>
      <c r="N1226" s="135"/>
    </row>
    <row r="1227" spans="3:14" x14ac:dyDescent="0.2">
      <c r="C1227" t="s">
        <v>847</v>
      </c>
      <c r="G1227" s="14">
        <v>602.6</v>
      </c>
      <c r="H1227" s="133"/>
      <c r="I1227" s="133">
        <v>25.26</v>
      </c>
      <c r="J1227" s="133">
        <v>7.75</v>
      </c>
      <c r="K1227" s="135">
        <v>40684</v>
      </c>
      <c r="L1227" s="135" t="s">
        <v>5237</v>
      </c>
      <c r="M1227" s="135" t="s">
        <v>2416</v>
      </c>
      <c r="N1227" s="135"/>
    </row>
    <row r="1228" spans="3:14" x14ac:dyDescent="0.2">
      <c r="C1228" t="s">
        <v>2815</v>
      </c>
      <c r="G1228" s="14">
        <v>238.8</v>
      </c>
      <c r="H1228" s="133"/>
      <c r="I1228" s="133">
        <v>34.58</v>
      </c>
      <c r="J1228" s="133">
        <v>18.21</v>
      </c>
      <c r="K1228" s="135">
        <v>40684</v>
      </c>
      <c r="L1228" s="135" t="s">
        <v>2816</v>
      </c>
      <c r="M1228" s="135" t="s">
        <v>2416</v>
      </c>
      <c r="N1228" s="135"/>
    </row>
    <row r="1229" spans="3:14" x14ac:dyDescent="0.2">
      <c r="C1229" t="s">
        <v>2197</v>
      </c>
      <c r="G1229" s="14">
        <v>7.57</v>
      </c>
      <c r="H1229" s="133"/>
      <c r="K1229" s="135">
        <v>40684</v>
      </c>
      <c r="L1229" s="135" t="s">
        <v>2198</v>
      </c>
      <c r="M1229" s="135" t="s">
        <v>2427</v>
      </c>
      <c r="N1229" s="135"/>
    </row>
    <row r="1230" spans="3:14" x14ac:dyDescent="0.2">
      <c r="C1230" t="s">
        <v>3015</v>
      </c>
      <c r="G1230" s="14">
        <v>5</v>
      </c>
      <c r="H1230" s="133"/>
      <c r="I1230" s="133">
        <v>-23.66</v>
      </c>
      <c r="J1230" s="133">
        <v>47.79</v>
      </c>
      <c r="K1230" s="135">
        <v>40684</v>
      </c>
      <c r="L1230" s="135" t="s">
        <v>5139</v>
      </c>
      <c r="M1230" s="135" t="s">
        <v>2994</v>
      </c>
      <c r="N1230" s="135"/>
    </row>
    <row r="1231" spans="3:14" x14ac:dyDescent="0.2">
      <c r="C1231" t="s">
        <v>3422</v>
      </c>
      <c r="D1231">
        <v>18.75</v>
      </c>
      <c r="E1231">
        <v>21.71</v>
      </c>
      <c r="F1231">
        <v>24.21</v>
      </c>
      <c r="G1231" s="14">
        <v>447.35</v>
      </c>
      <c r="H1231" s="133"/>
      <c r="I1231" s="133">
        <v>25.19</v>
      </c>
      <c r="J1231" s="133">
        <v>22.61</v>
      </c>
      <c r="K1231" s="135">
        <v>40684</v>
      </c>
      <c r="L1231" s="135" t="s">
        <v>2105</v>
      </c>
      <c r="M1231" s="135" t="s">
        <v>1429</v>
      </c>
      <c r="N1231" s="135" t="s">
        <v>5438</v>
      </c>
    </row>
    <row r="1232" spans="3:14" x14ac:dyDescent="0.2">
      <c r="C1232" t="s">
        <v>3016</v>
      </c>
      <c r="G1232" s="14">
        <v>8.8000000000000007</v>
      </c>
      <c r="H1232" s="133"/>
      <c r="I1232" s="133">
        <v>0</v>
      </c>
      <c r="J1232" s="133">
        <v>0</v>
      </c>
      <c r="K1232" s="135">
        <v>40684</v>
      </c>
      <c r="L1232" s="135" t="s">
        <v>5140</v>
      </c>
      <c r="M1232" s="135" t="s">
        <v>2944</v>
      </c>
      <c r="N1232" s="135"/>
    </row>
    <row r="1233" spans="3:14" x14ac:dyDescent="0.2">
      <c r="C1233" t="s">
        <v>1397</v>
      </c>
      <c r="G1233" s="14">
        <v>356.75</v>
      </c>
      <c r="H1233" s="133"/>
      <c r="I1233" s="133">
        <v>0</v>
      </c>
      <c r="J1233" s="133">
        <v>0</v>
      </c>
      <c r="K1233" s="135">
        <v>40684</v>
      </c>
      <c r="L1233" s="135" t="s">
        <v>2106</v>
      </c>
      <c r="M1233" s="135" t="s">
        <v>659</v>
      </c>
      <c r="N1233" s="135"/>
    </row>
    <row r="1234" spans="3:14" x14ac:dyDescent="0.2">
      <c r="C1234" t="s">
        <v>953</v>
      </c>
      <c r="G1234" s="14">
        <v>22.35</v>
      </c>
      <c r="H1234" s="133"/>
      <c r="I1234" s="133">
        <v>-18.18</v>
      </c>
      <c r="J1234" s="133">
        <v>0</v>
      </c>
      <c r="K1234" s="135">
        <v>40684</v>
      </c>
      <c r="L1234" s="135" t="s">
        <v>2515</v>
      </c>
      <c r="M1234" s="135" t="s">
        <v>1756</v>
      </c>
      <c r="N1234" s="135"/>
    </row>
    <row r="1235" spans="3:14" x14ac:dyDescent="0.2">
      <c r="C1235" t="s">
        <v>4809</v>
      </c>
      <c r="G1235" s="14">
        <v>880.85</v>
      </c>
      <c r="H1235" s="133"/>
      <c r="I1235" s="133">
        <v>20.75</v>
      </c>
      <c r="J1235" s="133">
        <v>12.02</v>
      </c>
      <c r="K1235" s="135">
        <v>40684</v>
      </c>
      <c r="L1235" s="135" t="s">
        <v>1467</v>
      </c>
      <c r="M1235" s="135" t="s">
        <v>659</v>
      </c>
      <c r="N1235" s="135"/>
    </row>
    <row r="1236" spans="3:14" x14ac:dyDescent="0.2">
      <c r="C1236" t="s">
        <v>3017</v>
      </c>
      <c r="G1236" s="14">
        <v>75.25</v>
      </c>
      <c r="H1236" s="133"/>
      <c r="K1236" s="135">
        <v>40684</v>
      </c>
      <c r="L1236" s="135" t="s">
        <v>116</v>
      </c>
      <c r="M1236" s="135" t="s">
        <v>2418</v>
      </c>
      <c r="N1236" s="135"/>
    </row>
    <row r="1237" spans="3:14" x14ac:dyDescent="0.2">
      <c r="C1237" t="s">
        <v>106</v>
      </c>
      <c r="D1237">
        <v>14.87</v>
      </c>
      <c r="E1237">
        <v>20.2</v>
      </c>
      <c r="F1237">
        <v>26.66</v>
      </c>
      <c r="G1237" s="14">
        <v>280.5</v>
      </c>
      <c r="H1237" s="133"/>
      <c r="I1237" s="133">
        <v>15.48</v>
      </c>
      <c r="J1237" s="133">
        <v>13.39</v>
      </c>
      <c r="K1237" s="135">
        <v>40684</v>
      </c>
      <c r="L1237" s="135" t="s">
        <v>2516</v>
      </c>
      <c r="M1237" s="135" t="s">
        <v>660</v>
      </c>
      <c r="N1237" s="135"/>
    </row>
    <row r="1238" spans="3:14" x14ac:dyDescent="0.2">
      <c r="C1238" t="s">
        <v>3018</v>
      </c>
      <c r="G1238" s="14">
        <v>7.5</v>
      </c>
      <c r="H1238" s="133"/>
      <c r="I1238" s="133">
        <v>23.06</v>
      </c>
      <c r="J1238" s="133">
        <v>6.79</v>
      </c>
      <c r="K1238" s="135">
        <v>40684</v>
      </c>
      <c r="L1238" s="135" t="s">
        <v>4399</v>
      </c>
      <c r="M1238" s="135" t="s">
        <v>3180</v>
      </c>
      <c r="N1238" s="135"/>
    </row>
    <row r="1239" spans="3:14" x14ac:dyDescent="0.2">
      <c r="C1239" t="s">
        <v>3019</v>
      </c>
      <c r="G1239" s="14">
        <v>2044.75</v>
      </c>
      <c r="H1239" s="133"/>
      <c r="I1239" s="133">
        <v>2.59</v>
      </c>
      <c r="J1239" s="133">
        <v>118.86</v>
      </c>
      <c r="K1239" s="135">
        <v>40684</v>
      </c>
      <c r="L1239" s="135" t="s">
        <v>4400</v>
      </c>
      <c r="M1239" s="135" t="s">
        <v>659</v>
      </c>
      <c r="N1239" s="135"/>
    </row>
    <row r="1240" spans="3:14" x14ac:dyDescent="0.2">
      <c r="C1240" t="s">
        <v>4810</v>
      </c>
      <c r="G1240" s="14">
        <v>10.75</v>
      </c>
      <c r="H1240" s="133"/>
      <c r="I1240" s="133">
        <v>27.71</v>
      </c>
      <c r="J1240" s="133">
        <v>5.88</v>
      </c>
      <c r="K1240" s="135">
        <v>40684</v>
      </c>
      <c r="L1240" s="135" t="s">
        <v>2517</v>
      </c>
      <c r="M1240" s="135" t="s">
        <v>2944</v>
      </c>
      <c r="N1240" s="135"/>
    </row>
    <row r="1241" spans="3:14" x14ac:dyDescent="0.2">
      <c r="C1241" t="s">
        <v>1398</v>
      </c>
      <c r="E1241">
        <v>5.2</v>
      </c>
      <c r="F1241">
        <v>6.42</v>
      </c>
      <c r="G1241" s="14">
        <v>132.75</v>
      </c>
      <c r="H1241" s="133"/>
      <c r="I1241" s="133">
        <v>19.149999999999999</v>
      </c>
      <c r="J1241" s="133">
        <v>22.41</v>
      </c>
      <c r="K1241" s="135">
        <v>40684</v>
      </c>
      <c r="L1241" s="135" t="s">
        <v>2107</v>
      </c>
      <c r="M1241" s="135" t="s">
        <v>2944</v>
      </c>
      <c r="N1241" s="135"/>
    </row>
    <row r="1242" spans="3:14" x14ac:dyDescent="0.2">
      <c r="C1242" t="s">
        <v>4857</v>
      </c>
      <c r="G1242" s="14">
        <v>19.149999999999999</v>
      </c>
      <c r="H1242" s="133"/>
      <c r="I1242" s="133">
        <v>4.24</v>
      </c>
      <c r="J1242" s="133">
        <v>13.7</v>
      </c>
      <c r="K1242" s="135">
        <v>40684</v>
      </c>
      <c r="L1242" s="135" t="s">
        <v>4720</v>
      </c>
      <c r="M1242" s="135" t="s">
        <v>1429</v>
      </c>
      <c r="N1242" s="135"/>
    </row>
    <row r="1243" spans="3:14" x14ac:dyDescent="0.2">
      <c r="C1243" t="s">
        <v>3020</v>
      </c>
      <c r="G1243" s="14">
        <v>52</v>
      </c>
      <c r="H1243" s="133"/>
      <c r="K1243" s="135">
        <v>40684</v>
      </c>
      <c r="L1243" s="135" t="s">
        <v>4721</v>
      </c>
      <c r="M1243" s="135" t="s">
        <v>2994</v>
      </c>
      <c r="N1243" s="135"/>
    </row>
    <row r="1244" spans="3:14" x14ac:dyDescent="0.2">
      <c r="C1244" t="s">
        <v>3021</v>
      </c>
      <c r="G1244" s="14">
        <v>25.75</v>
      </c>
      <c r="H1244" s="133"/>
      <c r="I1244" s="133">
        <v>13.25</v>
      </c>
      <c r="J1244" s="133">
        <v>5.34</v>
      </c>
      <c r="K1244" s="135">
        <v>40684</v>
      </c>
      <c r="L1244" s="135" t="s">
        <v>4722</v>
      </c>
      <c r="M1244" s="135" t="s">
        <v>2994</v>
      </c>
      <c r="N1244" s="135"/>
    </row>
    <row r="1245" spans="3:14" x14ac:dyDescent="0.2">
      <c r="C1245" t="s">
        <v>3022</v>
      </c>
      <c r="G1245" s="14">
        <v>41</v>
      </c>
      <c r="H1245" s="133">
        <v>2.69</v>
      </c>
      <c r="I1245" s="133">
        <v>19.09</v>
      </c>
      <c r="J1245" s="133">
        <v>10.14</v>
      </c>
      <c r="K1245" s="135">
        <v>40684</v>
      </c>
      <c r="L1245" s="135" t="s">
        <v>1743</v>
      </c>
      <c r="M1245" s="135" t="s">
        <v>2418</v>
      </c>
      <c r="N1245" s="135"/>
    </row>
    <row r="1246" spans="3:14" x14ac:dyDescent="0.2">
      <c r="C1246" t="s">
        <v>2108</v>
      </c>
      <c r="G1246" s="14">
        <v>38.6</v>
      </c>
      <c r="H1246" s="133"/>
      <c r="I1246" s="133">
        <v>6.85</v>
      </c>
      <c r="J1246" s="133">
        <v>3.38</v>
      </c>
      <c r="K1246" s="135">
        <v>40684</v>
      </c>
      <c r="L1246" s="135" t="s">
        <v>1744</v>
      </c>
      <c r="M1246" s="135" t="s">
        <v>2428</v>
      </c>
      <c r="N1246" s="135"/>
    </row>
    <row r="1247" spans="3:14" x14ac:dyDescent="0.2">
      <c r="C1247" t="s">
        <v>3023</v>
      </c>
      <c r="G1247" s="14">
        <v>363.4</v>
      </c>
      <c r="H1247" s="133"/>
      <c r="I1247" s="133">
        <v>14.6</v>
      </c>
      <c r="J1247" s="133">
        <v>21.16</v>
      </c>
      <c r="K1247" s="135">
        <v>40684</v>
      </c>
      <c r="L1247" s="135" t="s">
        <v>4841</v>
      </c>
      <c r="M1247" s="135" t="s">
        <v>2994</v>
      </c>
      <c r="N1247" s="135"/>
    </row>
    <row r="1248" spans="3:14" x14ac:dyDescent="0.2">
      <c r="C1248" t="s">
        <v>4811</v>
      </c>
      <c r="G1248" s="14">
        <v>636.15</v>
      </c>
      <c r="H1248" s="133"/>
      <c r="I1248" s="133">
        <v>16.850000000000001</v>
      </c>
      <c r="J1248" s="133">
        <v>11.25</v>
      </c>
      <c r="K1248" s="135">
        <v>40684</v>
      </c>
      <c r="L1248" s="135" t="s">
        <v>2518</v>
      </c>
      <c r="M1248" s="135" t="s">
        <v>1759</v>
      </c>
      <c r="N1248" s="135"/>
    </row>
    <row r="1252" spans="3:9" x14ac:dyDescent="0.2">
      <c r="C1252" s="85" t="s">
        <v>555</v>
      </c>
      <c r="D1252" s="85" t="s">
        <v>556</v>
      </c>
      <c r="E1252" s="85" t="s">
        <v>2298</v>
      </c>
      <c r="F1252" s="85" t="s">
        <v>1426</v>
      </c>
      <c r="G1252" s="85" t="s">
        <v>1427</v>
      </c>
      <c r="H1252" s="85" t="s">
        <v>1428</v>
      </c>
      <c r="I1252" s="141" t="s">
        <v>2110</v>
      </c>
    </row>
    <row r="1253" spans="3:9" x14ac:dyDescent="0.2">
      <c r="C1253" t="s">
        <v>3863</v>
      </c>
      <c r="D1253" t="s">
        <v>3864</v>
      </c>
      <c r="F1253" t="s">
        <v>1970</v>
      </c>
      <c r="G1253" s="14">
        <v>21.62</v>
      </c>
      <c r="H1253" t="s">
        <v>3514</v>
      </c>
      <c r="I1253" s="259">
        <v>40684</v>
      </c>
    </row>
    <row r="1254" spans="3:9" x14ac:dyDescent="0.2">
      <c r="C1254" t="s">
        <v>5153</v>
      </c>
      <c r="D1254" t="s">
        <v>5154</v>
      </c>
      <c r="F1254" t="s">
        <v>1970</v>
      </c>
      <c r="G1254" s="14">
        <v>25.47</v>
      </c>
      <c r="H1254" t="s">
        <v>2871</v>
      </c>
      <c r="I1254" s="259">
        <v>40684</v>
      </c>
    </row>
    <row r="1255" spans="3:9" x14ac:dyDescent="0.2">
      <c r="C1255" t="s">
        <v>2841</v>
      </c>
      <c r="D1255" t="s">
        <v>3865</v>
      </c>
      <c r="F1255" t="s">
        <v>1970</v>
      </c>
      <c r="G1255" s="14">
        <v>16.175000000000001</v>
      </c>
      <c r="H1255" t="s">
        <v>1049</v>
      </c>
      <c r="I1255" s="259">
        <v>40684</v>
      </c>
    </row>
    <row r="1256" spans="3:9" x14ac:dyDescent="0.2">
      <c r="C1256" t="s">
        <v>4779</v>
      </c>
      <c r="D1256" t="s">
        <v>850</v>
      </c>
      <c r="G1256" s="14">
        <v>267.64519999999999</v>
      </c>
      <c r="H1256" t="s">
        <v>4553</v>
      </c>
      <c r="I1256" s="259">
        <v>40684</v>
      </c>
    </row>
    <row r="1257" spans="3:9" x14ac:dyDescent="0.2">
      <c r="C1257" t="s">
        <v>2842</v>
      </c>
      <c r="D1257" t="s">
        <v>3866</v>
      </c>
      <c r="F1257" t="s">
        <v>1970</v>
      </c>
      <c r="G1257" s="14">
        <v>28.652000000000001</v>
      </c>
      <c r="H1257" t="s">
        <v>4554</v>
      </c>
      <c r="I1257" s="259">
        <v>40684</v>
      </c>
    </row>
    <row r="1258" spans="3:9" x14ac:dyDescent="0.2">
      <c r="C1258" t="s">
        <v>2843</v>
      </c>
      <c r="D1258" t="s">
        <v>3867</v>
      </c>
      <c r="E1258" t="s">
        <v>4555</v>
      </c>
      <c r="F1258" t="s">
        <v>1970</v>
      </c>
      <c r="G1258" s="14">
        <v>48.6</v>
      </c>
      <c r="H1258" t="s">
        <v>2501</v>
      </c>
      <c r="I1258" s="259">
        <v>40684</v>
      </c>
    </row>
    <row r="1259" spans="3:9" x14ac:dyDescent="0.2">
      <c r="C1259" t="s">
        <v>3868</v>
      </c>
      <c r="D1259" t="s">
        <v>118</v>
      </c>
      <c r="E1259" t="s">
        <v>4555</v>
      </c>
      <c r="F1259" t="s">
        <v>4556</v>
      </c>
      <c r="G1259" s="14">
        <v>67.86</v>
      </c>
      <c r="H1259" t="s">
        <v>2501</v>
      </c>
      <c r="I1259" s="259">
        <v>40684</v>
      </c>
    </row>
    <row r="1260" spans="3:9" x14ac:dyDescent="0.2">
      <c r="C1260" t="s">
        <v>2844</v>
      </c>
      <c r="D1260" t="s">
        <v>3869</v>
      </c>
      <c r="F1260" t="s">
        <v>1970</v>
      </c>
      <c r="G1260" s="14">
        <v>13.234400000000001</v>
      </c>
      <c r="H1260" t="s">
        <v>5219</v>
      </c>
      <c r="I1260" s="259">
        <v>40684</v>
      </c>
    </row>
    <row r="1261" spans="3:9" x14ac:dyDescent="0.2">
      <c r="C1261" t="s">
        <v>4778</v>
      </c>
      <c r="D1261" t="s">
        <v>3870</v>
      </c>
      <c r="G1261" s="14">
        <v>109.58199999999999</v>
      </c>
      <c r="H1261" t="s">
        <v>373</v>
      </c>
      <c r="I1261" s="259">
        <v>40684</v>
      </c>
    </row>
    <row r="1262" spans="3:9" x14ac:dyDescent="0.2">
      <c r="C1262" t="s">
        <v>4206</v>
      </c>
      <c r="D1262" t="s">
        <v>3871</v>
      </c>
      <c r="F1262" t="s">
        <v>1970</v>
      </c>
      <c r="G1262" s="14">
        <v>10.2645</v>
      </c>
      <c r="H1262" t="s">
        <v>1408</v>
      </c>
      <c r="I1262" s="259">
        <v>40684</v>
      </c>
    </row>
    <row r="1263" spans="3:9" x14ac:dyDescent="0.2">
      <c r="C1263" t="s">
        <v>369</v>
      </c>
      <c r="D1263" t="s">
        <v>3872</v>
      </c>
      <c r="F1263" t="s">
        <v>693</v>
      </c>
      <c r="G1263" s="14">
        <v>21.94</v>
      </c>
      <c r="H1263" t="s">
        <v>363</v>
      </c>
      <c r="I1263" s="259">
        <v>40684</v>
      </c>
    </row>
    <row r="1264" spans="3:9" x14ac:dyDescent="0.2">
      <c r="C1264" t="s">
        <v>370</v>
      </c>
      <c r="D1264" t="s">
        <v>3873</v>
      </c>
      <c r="E1264" t="s">
        <v>4142</v>
      </c>
      <c r="G1264" s="14">
        <v>30.3032</v>
      </c>
      <c r="H1264" t="s">
        <v>1490</v>
      </c>
      <c r="I1264" s="259">
        <v>40684</v>
      </c>
    </row>
    <row r="1265" spans="3:9" x14ac:dyDescent="0.2">
      <c r="C1265" t="s">
        <v>371</v>
      </c>
      <c r="D1265" t="s">
        <v>1568</v>
      </c>
      <c r="F1265" t="s">
        <v>693</v>
      </c>
      <c r="G1265" s="14">
        <v>11.822699999999999</v>
      </c>
      <c r="H1265" t="s">
        <v>1515</v>
      </c>
      <c r="I1265" s="259">
        <v>40684</v>
      </c>
    </row>
    <row r="1266" spans="3:9" x14ac:dyDescent="0.2">
      <c r="C1266" t="s">
        <v>372</v>
      </c>
      <c r="D1266" t="s">
        <v>3874</v>
      </c>
      <c r="F1266" t="s">
        <v>1970</v>
      </c>
      <c r="G1266" s="14">
        <v>38.6</v>
      </c>
      <c r="H1266" t="s">
        <v>362</v>
      </c>
      <c r="I1266" s="259">
        <v>40684</v>
      </c>
    </row>
  </sheetData>
  <dataConsolidate/>
  <phoneticPr fontId="2" type="noConversion"/>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Z64"/>
  <sheetViews>
    <sheetView topLeftCell="A4" workbookViewId="0">
      <selection activeCell="B5" sqref="B5"/>
    </sheetView>
  </sheetViews>
  <sheetFormatPr defaultRowHeight="12.75" x14ac:dyDescent="0.2"/>
  <cols>
    <col min="2" max="2" width="9.5703125" customWidth="1"/>
    <col min="3" max="3" width="34" bestFit="1" customWidth="1"/>
    <col min="4" max="4" width="7.28515625" customWidth="1"/>
    <col min="5" max="5" width="6.85546875" customWidth="1"/>
    <col min="6" max="6" width="12" customWidth="1"/>
    <col min="7" max="7" width="7.42578125" customWidth="1"/>
    <col min="8" max="8" width="7.28515625" customWidth="1"/>
    <col min="9" max="9" width="12.85546875" customWidth="1"/>
    <col min="10" max="10" width="15.85546875" customWidth="1"/>
    <col min="11" max="11" width="15.42578125" customWidth="1"/>
    <col min="12" max="12" width="9.42578125" customWidth="1"/>
    <col min="13" max="13" width="7" customWidth="1"/>
    <col min="14" max="14" width="13.140625" customWidth="1"/>
    <col min="15" max="15" width="8" customWidth="1"/>
    <col min="16" max="16" width="7" bestFit="1" customWidth="1"/>
    <col min="17" max="17" width="7" customWidth="1"/>
    <col min="18" max="18" width="8.28515625" customWidth="1"/>
    <col min="19" max="19" width="13" customWidth="1"/>
    <col min="20" max="20" width="17" customWidth="1"/>
    <col min="21" max="21" width="12.85546875" customWidth="1"/>
    <col min="22" max="22" width="9.85546875" customWidth="1"/>
    <col min="23" max="23" width="10" customWidth="1"/>
    <col min="24" max="24" width="13.5703125" customWidth="1"/>
    <col min="25" max="25" width="12" customWidth="1"/>
    <col min="26" max="26" width="14.42578125" customWidth="1"/>
  </cols>
  <sheetData>
    <row r="7" spans="2:26" x14ac:dyDescent="0.2">
      <c r="B7" t="s">
        <v>2118</v>
      </c>
      <c r="C7" t="s">
        <v>3413</v>
      </c>
      <c r="D7" t="s">
        <v>2934</v>
      </c>
      <c r="E7" t="s">
        <v>3173</v>
      </c>
      <c r="F7" t="s">
        <v>5399</v>
      </c>
      <c r="G7" t="s">
        <v>5400</v>
      </c>
      <c r="H7" t="s">
        <v>5401</v>
      </c>
      <c r="I7" t="s">
        <v>2109</v>
      </c>
      <c r="J7" t="s">
        <v>4839</v>
      </c>
      <c r="K7" t="s">
        <v>5402</v>
      </c>
      <c r="L7" t="s">
        <v>5403</v>
      </c>
      <c r="M7" t="s">
        <v>1822</v>
      </c>
      <c r="N7" t="s">
        <v>5107</v>
      </c>
      <c r="O7" t="s">
        <v>1465</v>
      </c>
      <c r="P7" t="s">
        <v>5404</v>
      </c>
      <c r="Q7" t="s">
        <v>5405</v>
      </c>
      <c r="R7" t="s">
        <v>5406</v>
      </c>
      <c r="S7" t="s">
        <v>5407</v>
      </c>
      <c r="T7" t="s">
        <v>566</v>
      </c>
      <c r="U7" t="s">
        <v>565</v>
      </c>
      <c r="V7" t="s">
        <v>4719</v>
      </c>
      <c r="W7" t="s">
        <v>5408</v>
      </c>
      <c r="X7" t="s">
        <v>3294</v>
      </c>
      <c r="Y7" t="s">
        <v>3600</v>
      </c>
      <c r="Z7" t="s">
        <v>2110</v>
      </c>
    </row>
    <row r="8" spans="2:26" x14ac:dyDescent="0.2">
      <c r="B8" t="s">
        <v>4368</v>
      </c>
      <c r="C8" t="s">
        <v>4369</v>
      </c>
      <c r="D8">
        <v>1.41</v>
      </c>
      <c r="E8">
        <v>-2.56</v>
      </c>
      <c r="I8">
        <v>3.28</v>
      </c>
      <c r="J8">
        <v>0</v>
      </c>
      <c r="K8">
        <v>0</v>
      </c>
      <c r="N8">
        <v>0</v>
      </c>
      <c r="O8">
        <v>0.43</v>
      </c>
      <c r="P8">
        <v>0.12</v>
      </c>
      <c r="Q8">
        <v>0</v>
      </c>
      <c r="R8">
        <v>0</v>
      </c>
      <c r="T8">
        <v>3.7</v>
      </c>
      <c r="U8">
        <v>3.13</v>
      </c>
      <c r="V8">
        <v>4</v>
      </c>
      <c r="W8">
        <v>1</v>
      </c>
      <c r="X8">
        <v>-0.38432122370936905</v>
      </c>
      <c r="Y8">
        <v>4.0932501896884597E-2</v>
      </c>
      <c r="Z8" s="135">
        <v>40658</v>
      </c>
    </row>
    <row r="9" spans="2:26" x14ac:dyDescent="0.2">
      <c r="B9" t="s">
        <v>4414</v>
      </c>
      <c r="C9" t="s">
        <v>4415</v>
      </c>
      <c r="D9">
        <v>1.04</v>
      </c>
      <c r="E9">
        <v>-7.13</v>
      </c>
      <c r="I9">
        <v>10.95</v>
      </c>
      <c r="J9">
        <v>3.2</v>
      </c>
      <c r="K9">
        <v>0.35</v>
      </c>
      <c r="N9">
        <v>8.5500000000000007</v>
      </c>
      <c r="O9">
        <v>2.95</v>
      </c>
      <c r="P9">
        <v>0.06</v>
      </c>
      <c r="Q9">
        <v>1.74</v>
      </c>
      <c r="R9">
        <v>0</v>
      </c>
      <c r="T9">
        <v>3.3</v>
      </c>
      <c r="U9">
        <v>9.25</v>
      </c>
      <c r="V9">
        <v>12</v>
      </c>
      <c r="X9">
        <v>0.52785515320334275</v>
      </c>
      <c r="Y9">
        <v>3.242804164015127E-2</v>
      </c>
      <c r="Z9" s="135">
        <v>40658</v>
      </c>
    </row>
    <row r="10" spans="2:26" x14ac:dyDescent="0.2">
      <c r="B10" t="s">
        <v>4432</v>
      </c>
      <c r="C10" t="s">
        <v>4433</v>
      </c>
      <c r="D10">
        <v>0.73</v>
      </c>
      <c r="E10">
        <v>0.41</v>
      </c>
      <c r="I10">
        <v>5.39</v>
      </c>
      <c r="J10">
        <v>1.5</v>
      </c>
      <c r="K10">
        <v>0.08</v>
      </c>
      <c r="N10">
        <v>67.38</v>
      </c>
      <c r="O10">
        <v>0</v>
      </c>
      <c r="P10">
        <v>1.21</v>
      </c>
      <c r="Q10">
        <v>1.07</v>
      </c>
      <c r="R10">
        <v>0</v>
      </c>
      <c r="T10">
        <v>3.2</v>
      </c>
      <c r="U10">
        <v>6</v>
      </c>
      <c r="V10">
        <v>18</v>
      </c>
      <c r="X10">
        <v>-0.22079772079772081</v>
      </c>
      <c r="Y10">
        <v>3.0640698488222397E-2</v>
      </c>
      <c r="Z10" s="135">
        <v>40658</v>
      </c>
    </row>
    <row r="11" spans="2:26" x14ac:dyDescent="0.2">
      <c r="B11" t="s">
        <v>281</v>
      </c>
      <c r="C11" t="s">
        <v>282</v>
      </c>
      <c r="D11">
        <v>1.01</v>
      </c>
      <c r="E11">
        <v>1.27</v>
      </c>
      <c r="I11">
        <v>24.14</v>
      </c>
      <c r="J11">
        <v>1.7</v>
      </c>
      <c r="K11">
        <v>0.4</v>
      </c>
      <c r="N11">
        <v>19.63</v>
      </c>
      <c r="O11">
        <v>2.09</v>
      </c>
      <c r="P11">
        <v>3.73</v>
      </c>
      <c r="Q11">
        <v>8.86</v>
      </c>
      <c r="R11">
        <v>0</v>
      </c>
      <c r="T11">
        <v>3.1</v>
      </c>
      <c r="U11">
        <v>25</v>
      </c>
      <c r="V11">
        <v>15</v>
      </c>
      <c r="X11">
        <v>0.68039078855547785</v>
      </c>
      <c r="Y11">
        <v>8.9420710473236936E-2</v>
      </c>
      <c r="Z11" s="135">
        <v>40658</v>
      </c>
    </row>
    <row r="12" spans="2:26" x14ac:dyDescent="0.2">
      <c r="B12" t="s">
        <v>4986</v>
      </c>
      <c r="C12" t="s">
        <v>4987</v>
      </c>
      <c r="D12">
        <v>1.72</v>
      </c>
      <c r="E12">
        <v>0.27</v>
      </c>
      <c r="I12">
        <v>17.09</v>
      </c>
      <c r="J12">
        <v>0</v>
      </c>
      <c r="K12">
        <v>0</v>
      </c>
      <c r="N12">
        <v>17.440000000000001</v>
      </c>
      <c r="O12">
        <v>2.48</v>
      </c>
      <c r="P12">
        <v>0.79</v>
      </c>
      <c r="Q12">
        <v>0</v>
      </c>
      <c r="R12">
        <v>0</v>
      </c>
      <c r="T12">
        <v>3</v>
      </c>
      <c r="U12">
        <v>17.25</v>
      </c>
      <c r="V12">
        <v>3</v>
      </c>
      <c r="X12">
        <v>0.21119773210489015</v>
      </c>
      <c r="Y12">
        <v>5.0296309506762032E-2</v>
      </c>
      <c r="Z12" s="135">
        <v>40658</v>
      </c>
    </row>
    <row r="13" spans="2:26" x14ac:dyDescent="0.2">
      <c r="B13" t="s">
        <v>1911</v>
      </c>
      <c r="D13">
        <v>0.31</v>
      </c>
      <c r="E13">
        <v>5.27</v>
      </c>
      <c r="I13">
        <v>76.14</v>
      </c>
      <c r="J13">
        <v>0</v>
      </c>
      <c r="K13">
        <v>0</v>
      </c>
      <c r="N13">
        <v>12.88</v>
      </c>
      <c r="O13">
        <v>1.38</v>
      </c>
      <c r="P13">
        <v>2.0499999999999998</v>
      </c>
      <c r="Q13">
        <v>2.1800000000000002</v>
      </c>
      <c r="R13">
        <v>0</v>
      </c>
      <c r="T13">
        <v>3</v>
      </c>
      <c r="U13">
        <v>73</v>
      </c>
      <c r="V13">
        <v>15</v>
      </c>
      <c r="X13">
        <v>0.27751598788286763</v>
      </c>
      <c r="Y13">
        <v>3.7813192142425622E-2</v>
      </c>
      <c r="Z13" s="135">
        <v>40658</v>
      </c>
    </row>
    <row r="14" spans="2:26" x14ac:dyDescent="0.2">
      <c r="B14" t="s">
        <v>301</v>
      </c>
      <c r="C14" t="s">
        <v>302</v>
      </c>
      <c r="D14">
        <v>1.43</v>
      </c>
      <c r="E14">
        <v>-1.45</v>
      </c>
      <c r="I14">
        <v>9.4499999999999993</v>
      </c>
      <c r="J14">
        <v>0</v>
      </c>
      <c r="K14">
        <v>0</v>
      </c>
      <c r="N14">
        <v>0</v>
      </c>
      <c r="O14">
        <v>0</v>
      </c>
      <c r="P14">
        <v>583.21</v>
      </c>
      <c r="Q14">
        <v>11.03</v>
      </c>
      <c r="R14">
        <v>0</v>
      </c>
      <c r="T14">
        <v>3</v>
      </c>
      <c r="U14">
        <v>9</v>
      </c>
      <c r="V14">
        <v>4</v>
      </c>
      <c r="W14">
        <v>1</v>
      </c>
      <c r="X14">
        <v>-1.7206477732793515E-2</v>
      </c>
      <c r="Y14">
        <v>3.0189800238847864E-2</v>
      </c>
      <c r="Z14" s="135">
        <v>40658</v>
      </c>
    </row>
    <row r="15" spans="2:26" x14ac:dyDescent="0.2">
      <c r="B15" t="s">
        <v>1942</v>
      </c>
      <c r="C15" t="s">
        <v>1943</v>
      </c>
      <c r="D15">
        <v>1.17</v>
      </c>
      <c r="E15">
        <v>2.5299999999999998</v>
      </c>
      <c r="I15">
        <v>37.159999999999997</v>
      </c>
      <c r="J15">
        <v>0</v>
      </c>
      <c r="K15">
        <v>0</v>
      </c>
      <c r="N15">
        <v>11.99</v>
      </c>
      <c r="O15">
        <v>1.26</v>
      </c>
      <c r="P15">
        <v>0.7</v>
      </c>
      <c r="Q15">
        <v>1.85</v>
      </c>
      <c r="R15">
        <v>0</v>
      </c>
      <c r="T15">
        <v>3</v>
      </c>
      <c r="U15">
        <v>35</v>
      </c>
      <c r="V15">
        <v>6</v>
      </c>
      <c r="W15">
        <v>1</v>
      </c>
      <c r="X15">
        <v>0.47965231133939173</v>
      </c>
      <c r="Y15">
        <v>5.7392910309951653E-2</v>
      </c>
      <c r="Z15" s="135">
        <v>40658</v>
      </c>
    </row>
    <row r="16" spans="2:26" x14ac:dyDescent="0.2">
      <c r="B16" t="s">
        <v>1703</v>
      </c>
      <c r="C16" t="s">
        <v>4955</v>
      </c>
      <c r="D16">
        <v>2.66</v>
      </c>
      <c r="E16">
        <v>-1.57</v>
      </c>
      <c r="I16">
        <v>8.73</v>
      </c>
      <c r="J16">
        <v>0</v>
      </c>
      <c r="K16">
        <v>0</v>
      </c>
      <c r="N16">
        <v>21.29</v>
      </c>
      <c r="O16">
        <v>1.87</v>
      </c>
      <c r="P16">
        <v>0.38</v>
      </c>
      <c r="Q16">
        <v>1.88</v>
      </c>
      <c r="R16">
        <v>0</v>
      </c>
      <c r="T16">
        <v>3</v>
      </c>
      <c r="U16">
        <v>9.5</v>
      </c>
      <c r="V16">
        <v>3</v>
      </c>
      <c r="X16">
        <v>2.2962112514351235E-2</v>
      </c>
      <c r="Y16">
        <v>4.7557717969447799E-2</v>
      </c>
      <c r="Z16" s="135">
        <v>40658</v>
      </c>
    </row>
    <row r="17" spans="2:26" x14ac:dyDescent="0.2">
      <c r="B17" t="s">
        <v>1117</v>
      </c>
      <c r="C17" t="s">
        <v>1118</v>
      </c>
      <c r="D17">
        <v>1.86</v>
      </c>
      <c r="E17">
        <v>-1.36</v>
      </c>
      <c r="I17">
        <v>6.38</v>
      </c>
      <c r="J17">
        <v>0</v>
      </c>
      <c r="K17">
        <v>0</v>
      </c>
      <c r="N17">
        <v>10.29</v>
      </c>
      <c r="O17">
        <v>17.89</v>
      </c>
      <c r="P17">
        <v>1.89</v>
      </c>
      <c r="Q17">
        <v>1.73</v>
      </c>
      <c r="R17">
        <v>0</v>
      </c>
      <c r="T17">
        <v>3</v>
      </c>
      <c r="U17">
        <v>6.5</v>
      </c>
      <c r="V17">
        <v>3</v>
      </c>
      <c r="W17">
        <v>1</v>
      </c>
      <c r="X17">
        <v>0.36681222707423572</v>
      </c>
      <c r="Y17">
        <v>3.5097049514387732E-2</v>
      </c>
      <c r="Z17" s="135">
        <v>40658</v>
      </c>
    </row>
    <row r="18" spans="2:26" x14ac:dyDescent="0.2">
      <c r="B18" t="s">
        <v>2973</v>
      </c>
      <c r="C18" t="s">
        <v>2974</v>
      </c>
      <c r="D18">
        <v>3.61</v>
      </c>
      <c r="E18">
        <v>-3.47</v>
      </c>
      <c r="I18">
        <v>3.77</v>
      </c>
      <c r="J18">
        <v>0</v>
      </c>
      <c r="K18">
        <v>0</v>
      </c>
      <c r="N18">
        <v>0</v>
      </c>
      <c r="O18">
        <v>-0.22</v>
      </c>
      <c r="P18">
        <v>7.0000000000000007E-2</v>
      </c>
      <c r="Q18">
        <v>0.5</v>
      </c>
      <c r="R18">
        <v>0</v>
      </c>
      <c r="T18">
        <v>3</v>
      </c>
      <c r="U18">
        <v>4.38</v>
      </c>
      <c r="V18">
        <v>2</v>
      </c>
      <c r="W18">
        <v>1</v>
      </c>
      <c r="X18">
        <v>-0.22560975609756095</v>
      </c>
      <c r="Y18">
        <v>3.7121208690119242E-2</v>
      </c>
      <c r="Z18" s="135">
        <v>40658</v>
      </c>
    </row>
    <row r="19" spans="2:26" x14ac:dyDescent="0.2">
      <c r="B19" t="s">
        <v>4222</v>
      </c>
      <c r="D19">
        <v>1.93</v>
      </c>
      <c r="E19">
        <v>-0.21</v>
      </c>
      <c r="I19">
        <v>12.44</v>
      </c>
      <c r="J19">
        <v>0</v>
      </c>
      <c r="K19">
        <v>0</v>
      </c>
      <c r="N19">
        <v>40.11</v>
      </c>
      <c r="O19">
        <v>-14.1</v>
      </c>
      <c r="P19">
        <v>3.29</v>
      </c>
      <c r="Q19">
        <v>1.52</v>
      </c>
      <c r="R19">
        <v>0</v>
      </c>
      <c r="T19">
        <v>3</v>
      </c>
      <c r="U19">
        <v>14</v>
      </c>
      <c r="V19">
        <v>3</v>
      </c>
      <c r="X19">
        <v>4.6166529266281835E-2</v>
      </c>
      <c r="Y19">
        <v>3.9563015703286096E-2</v>
      </c>
      <c r="Z19" s="135">
        <v>40658</v>
      </c>
    </row>
    <row r="20" spans="2:26" x14ac:dyDescent="0.2">
      <c r="B20" t="s">
        <v>4627</v>
      </c>
      <c r="C20" t="s">
        <v>4628</v>
      </c>
      <c r="D20">
        <v>1.83</v>
      </c>
      <c r="E20">
        <v>0.11</v>
      </c>
      <c r="I20">
        <v>5.42</v>
      </c>
      <c r="J20">
        <v>0</v>
      </c>
      <c r="K20">
        <v>0</v>
      </c>
      <c r="N20">
        <v>13.22</v>
      </c>
      <c r="O20">
        <v>0.38</v>
      </c>
      <c r="P20">
        <v>1.03</v>
      </c>
      <c r="Q20">
        <v>4.87</v>
      </c>
      <c r="R20">
        <v>0</v>
      </c>
      <c r="T20">
        <v>2.7</v>
      </c>
      <c r="U20">
        <v>6.5</v>
      </c>
      <c r="V20">
        <v>3</v>
      </c>
      <c r="X20">
        <v>-0.14040561622464903</v>
      </c>
      <c r="Y20">
        <v>3.6714085014630818E-2</v>
      </c>
      <c r="Z20" s="135">
        <v>40658</v>
      </c>
    </row>
    <row r="21" spans="2:26" x14ac:dyDescent="0.2">
      <c r="B21" t="s">
        <v>3381</v>
      </c>
      <c r="C21" t="s">
        <v>3382</v>
      </c>
      <c r="D21">
        <v>0</v>
      </c>
      <c r="E21">
        <v>-3.04</v>
      </c>
      <c r="I21">
        <v>26.39</v>
      </c>
      <c r="J21">
        <v>0</v>
      </c>
      <c r="K21">
        <v>0</v>
      </c>
      <c r="N21">
        <v>0</v>
      </c>
      <c r="O21">
        <v>-0.64</v>
      </c>
      <c r="P21">
        <v>21.84</v>
      </c>
      <c r="Q21">
        <v>12.25</v>
      </c>
      <c r="R21">
        <v>0</v>
      </c>
      <c r="T21">
        <v>2.7</v>
      </c>
      <c r="U21">
        <v>30</v>
      </c>
      <c r="V21">
        <v>5</v>
      </c>
      <c r="X21">
        <v>0.11277569704535984</v>
      </c>
      <c r="Y21">
        <v>3.4882942988493128E-2</v>
      </c>
      <c r="Z21" s="135">
        <v>40658</v>
      </c>
    </row>
    <row r="22" spans="2:26" x14ac:dyDescent="0.2">
      <c r="B22" t="s">
        <v>3263</v>
      </c>
      <c r="C22" t="s">
        <v>3264</v>
      </c>
      <c r="D22">
        <v>3.61</v>
      </c>
      <c r="E22">
        <v>1.1599999999999999</v>
      </c>
      <c r="I22">
        <v>10.17</v>
      </c>
      <c r="J22">
        <v>0</v>
      </c>
      <c r="K22">
        <v>0</v>
      </c>
      <c r="N22">
        <v>6.16</v>
      </c>
      <c r="O22">
        <v>0.36</v>
      </c>
      <c r="P22">
        <v>0.28999999999999998</v>
      </c>
      <c r="Q22">
        <v>0.83</v>
      </c>
      <c r="R22">
        <v>0</v>
      </c>
      <c r="T22">
        <v>2.7</v>
      </c>
      <c r="U22">
        <v>12.5</v>
      </c>
      <c r="V22">
        <v>12</v>
      </c>
      <c r="X22">
        <v>-0.3196558570483124</v>
      </c>
      <c r="Y22">
        <v>3.8219708971238317E-2</v>
      </c>
      <c r="Z22" s="135">
        <v>40658</v>
      </c>
    </row>
    <row r="23" spans="2:26" x14ac:dyDescent="0.2">
      <c r="B23" t="s">
        <v>2317</v>
      </c>
      <c r="D23">
        <v>1.69</v>
      </c>
      <c r="E23">
        <v>1.05</v>
      </c>
      <c r="I23">
        <v>5.85</v>
      </c>
      <c r="J23">
        <v>0</v>
      </c>
      <c r="K23">
        <v>0</v>
      </c>
      <c r="N23">
        <v>3.93</v>
      </c>
      <c r="O23">
        <v>0.28999999999999998</v>
      </c>
      <c r="P23">
        <v>1.32</v>
      </c>
      <c r="Q23">
        <v>1.28</v>
      </c>
      <c r="R23">
        <v>0</v>
      </c>
      <c r="T23">
        <v>2.7</v>
      </c>
      <c r="U23">
        <v>7.4</v>
      </c>
      <c r="V23">
        <v>2</v>
      </c>
      <c r="W23">
        <v>1</v>
      </c>
      <c r="X23">
        <v>-0.27503168567807351</v>
      </c>
      <c r="Y23">
        <v>3.4406171181702493E-2</v>
      </c>
      <c r="Z23" s="135">
        <v>40658</v>
      </c>
    </row>
    <row r="24" spans="2:26" x14ac:dyDescent="0.2">
      <c r="B24" t="s">
        <v>2159</v>
      </c>
      <c r="C24" t="s">
        <v>2160</v>
      </c>
      <c r="D24">
        <v>1.43</v>
      </c>
      <c r="E24">
        <v>0.22</v>
      </c>
      <c r="I24">
        <v>1.62</v>
      </c>
      <c r="J24">
        <v>0</v>
      </c>
      <c r="K24">
        <v>0</v>
      </c>
      <c r="N24">
        <v>6</v>
      </c>
      <c r="O24">
        <v>0.97</v>
      </c>
      <c r="P24">
        <v>0.42</v>
      </c>
      <c r="Q24">
        <v>0.3</v>
      </c>
      <c r="R24">
        <v>0</v>
      </c>
      <c r="T24">
        <v>2.7</v>
      </c>
      <c r="U24">
        <v>2.1</v>
      </c>
      <c r="V24">
        <v>2</v>
      </c>
      <c r="X24">
        <v>-0.29437229437229445</v>
      </c>
      <c r="Y24">
        <v>4.2899216641583776E-2</v>
      </c>
      <c r="Z24" s="135">
        <v>40658</v>
      </c>
    </row>
    <row r="25" spans="2:26" x14ac:dyDescent="0.2">
      <c r="B25" t="s">
        <v>3131</v>
      </c>
      <c r="C25" t="s">
        <v>3132</v>
      </c>
      <c r="D25">
        <v>0.38</v>
      </c>
      <c r="E25">
        <v>2.96</v>
      </c>
      <c r="I25">
        <v>251.67</v>
      </c>
      <c r="J25">
        <v>0</v>
      </c>
      <c r="K25">
        <v>0</v>
      </c>
      <c r="N25">
        <v>39.880000000000003</v>
      </c>
      <c r="O25">
        <v>1.89</v>
      </c>
      <c r="P25">
        <v>6.17</v>
      </c>
      <c r="Q25">
        <v>45.88</v>
      </c>
      <c r="R25">
        <v>0</v>
      </c>
      <c r="T25">
        <v>2.7</v>
      </c>
      <c r="U25">
        <v>222.5</v>
      </c>
      <c r="V25">
        <v>22</v>
      </c>
      <c r="X25">
        <v>0.32142295803426413</v>
      </c>
      <c r="Y25">
        <v>3.2055375764208659E-2</v>
      </c>
      <c r="Z25" s="135">
        <v>40658</v>
      </c>
    </row>
    <row r="26" spans="2:26" x14ac:dyDescent="0.2">
      <c r="B26" t="s">
        <v>2592</v>
      </c>
      <c r="C26" t="s">
        <v>2593</v>
      </c>
      <c r="D26">
        <v>3.03</v>
      </c>
      <c r="E26">
        <v>1.58</v>
      </c>
      <c r="I26">
        <v>6.43</v>
      </c>
      <c r="J26">
        <v>0</v>
      </c>
      <c r="K26">
        <v>0</v>
      </c>
      <c r="N26">
        <v>5.0599999999999996</v>
      </c>
      <c r="O26">
        <v>0.31</v>
      </c>
      <c r="P26">
        <v>0.56999999999999995</v>
      </c>
      <c r="Q26">
        <v>1.01</v>
      </c>
      <c r="R26">
        <v>0</v>
      </c>
      <c r="T26">
        <v>2.6</v>
      </c>
      <c r="U26">
        <v>8.75</v>
      </c>
      <c r="V26">
        <v>18</v>
      </c>
      <c r="X26">
        <v>-0.14054054054054055</v>
      </c>
      <c r="Y26">
        <v>3.3727257294588676E-2</v>
      </c>
      <c r="Z26" s="135">
        <v>40658</v>
      </c>
    </row>
    <row r="27" spans="2:26" x14ac:dyDescent="0.2">
      <c r="B27" t="s">
        <v>4566</v>
      </c>
      <c r="C27" t="s">
        <v>4567</v>
      </c>
      <c r="D27">
        <v>0.84</v>
      </c>
      <c r="E27">
        <v>-0.56999999999999995</v>
      </c>
      <c r="I27">
        <v>29.7</v>
      </c>
      <c r="J27">
        <v>0</v>
      </c>
      <c r="K27">
        <v>0</v>
      </c>
      <c r="N27">
        <v>60.6</v>
      </c>
      <c r="O27">
        <v>13.15</v>
      </c>
      <c r="P27">
        <v>1.47</v>
      </c>
      <c r="Q27">
        <v>3.55</v>
      </c>
      <c r="R27">
        <v>0</v>
      </c>
      <c r="T27">
        <v>2.6</v>
      </c>
      <c r="U27">
        <v>29.63</v>
      </c>
      <c r="V27">
        <v>14</v>
      </c>
      <c r="W27">
        <v>1</v>
      </c>
      <c r="X27">
        <v>0.30117852466171968</v>
      </c>
      <c r="Y27">
        <v>6.5689493949828967E-2</v>
      </c>
      <c r="Z27" s="135">
        <v>40658</v>
      </c>
    </row>
    <row r="28" spans="2:26" x14ac:dyDescent="0.2">
      <c r="B28" t="s">
        <v>1698</v>
      </c>
      <c r="C28" t="s">
        <v>1699</v>
      </c>
      <c r="D28">
        <v>1.37</v>
      </c>
      <c r="E28">
        <v>1.82</v>
      </c>
      <c r="I28">
        <v>43.94</v>
      </c>
      <c r="J28">
        <v>0</v>
      </c>
      <c r="K28">
        <v>0</v>
      </c>
      <c r="N28">
        <v>16.04</v>
      </c>
      <c r="O28">
        <v>1.34</v>
      </c>
      <c r="P28">
        <v>1.58</v>
      </c>
      <c r="Q28">
        <v>3.7</v>
      </c>
      <c r="R28">
        <v>0</v>
      </c>
      <c r="T28">
        <v>2.6</v>
      </c>
      <c r="U28">
        <v>43.5</v>
      </c>
      <c r="V28">
        <v>4</v>
      </c>
      <c r="W28">
        <v>1</v>
      </c>
      <c r="X28">
        <v>0.65215787532275915</v>
      </c>
      <c r="Y28">
        <v>4.1745929096785553E-2</v>
      </c>
      <c r="Z28" s="135">
        <v>40658</v>
      </c>
    </row>
    <row r="29" spans="2:26" x14ac:dyDescent="0.2">
      <c r="B29" t="s">
        <v>1498</v>
      </c>
      <c r="C29" t="s">
        <v>1499</v>
      </c>
      <c r="D29">
        <v>4.0199999999999996</v>
      </c>
      <c r="E29">
        <v>0.63</v>
      </c>
      <c r="I29">
        <v>8.57</v>
      </c>
      <c r="J29">
        <v>0</v>
      </c>
      <c r="K29">
        <v>0</v>
      </c>
      <c r="N29">
        <v>10.33</v>
      </c>
      <c r="O29">
        <v>0.91</v>
      </c>
      <c r="P29">
        <v>1.72</v>
      </c>
      <c r="Q29">
        <v>2.57</v>
      </c>
      <c r="R29">
        <v>0</v>
      </c>
      <c r="T29">
        <v>2.6</v>
      </c>
      <c r="U29">
        <v>9</v>
      </c>
      <c r="V29">
        <v>7</v>
      </c>
      <c r="X29">
        <v>0.20788043478260873</v>
      </c>
      <c r="Y29">
        <v>3.5084753153558808E-2</v>
      </c>
      <c r="Z29" s="135">
        <v>40658</v>
      </c>
    </row>
    <row r="30" spans="2:26" x14ac:dyDescent="0.2">
      <c r="B30" t="s">
        <v>5104</v>
      </c>
      <c r="D30">
        <v>1.31</v>
      </c>
      <c r="E30">
        <v>0.15</v>
      </c>
      <c r="I30">
        <v>11.71</v>
      </c>
      <c r="J30">
        <v>0</v>
      </c>
      <c r="K30">
        <v>0</v>
      </c>
      <c r="N30">
        <v>8.42</v>
      </c>
      <c r="O30">
        <v>0.68</v>
      </c>
      <c r="P30">
        <v>1.2</v>
      </c>
      <c r="Q30">
        <v>1.18</v>
      </c>
      <c r="R30">
        <v>0</v>
      </c>
      <c r="T30">
        <v>2.6</v>
      </c>
      <c r="U30">
        <v>15</v>
      </c>
      <c r="V30">
        <v>21</v>
      </c>
      <c r="X30">
        <v>7.7586206896551602E-3</v>
      </c>
      <c r="Y30">
        <v>3.2709950556132232E-2</v>
      </c>
      <c r="Z30" s="135">
        <v>40658</v>
      </c>
    </row>
    <row r="31" spans="2:26" x14ac:dyDescent="0.2">
      <c r="B31" t="s">
        <v>2960</v>
      </c>
      <c r="C31" t="s">
        <v>2961</v>
      </c>
      <c r="D31">
        <v>0.97</v>
      </c>
      <c r="E31">
        <v>0.48</v>
      </c>
      <c r="I31">
        <v>47.84</v>
      </c>
      <c r="J31">
        <v>0</v>
      </c>
      <c r="K31">
        <v>0</v>
      </c>
      <c r="N31">
        <v>22.05</v>
      </c>
      <c r="O31">
        <v>1.55</v>
      </c>
      <c r="P31">
        <v>3.78</v>
      </c>
      <c r="Q31">
        <v>4.0599999999999996</v>
      </c>
      <c r="R31">
        <v>0</v>
      </c>
      <c r="T31">
        <v>2.5</v>
      </c>
      <c r="U31">
        <v>52</v>
      </c>
      <c r="V31">
        <v>9</v>
      </c>
      <c r="X31">
        <v>0.21939030484757605</v>
      </c>
      <c r="Y31">
        <v>3.9859235489985927E-2</v>
      </c>
      <c r="Z31" s="135">
        <v>40658</v>
      </c>
    </row>
    <row r="32" spans="2:26" x14ac:dyDescent="0.2">
      <c r="B32" t="s">
        <v>4881</v>
      </c>
      <c r="C32" t="s">
        <v>4882</v>
      </c>
      <c r="D32">
        <v>2.75</v>
      </c>
      <c r="E32">
        <v>-0.67</v>
      </c>
      <c r="I32">
        <v>2.29</v>
      </c>
      <c r="J32">
        <v>0</v>
      </c>
      <c r="K32">
        <v>0</v>
      </c>
      <c r="N32">
        <v>9.14</v>
      </c>
      <c r="O32">
        <v>-0.66</v>
      </c>
      <c r="P32">
        <v>0.77</v>
      </c>
      <c r="Q32">
        <v>1.7</v>
      </c>
      <c r="R32">
        <v>0</v>
      </c>
      <c r="T32">
        <v>2.5</v>
      </c>
      <c r="U32">
        <v>3</v>
      </c>
      <c r="V32">
        <v>3</v>
      </c>
      <c r="X32">
        <v>-0.13821138211382109</v>
      </c>
      <c r="Y32">
        <v>3.200205071554009E-2</v>
      </c>
      <c r="Z32" s="135">
        <v>40658</v>
      </c>
    </row>
    <row r="33" spans="2:26" x14ac:dyDescent="0.2">
      <c r="B33" t="s">
        <v>1831</v>
      </c>
      <c r="C33" t="s">
        <v>1832</v>
      </c>
      <c r="D33">
        <v>2.08</v>
      </c>
      <c r="E33">
        <v>0.01</v>
      </c>
      <c r="I33">
        <v>30.62</v>
      </c>
      <c r="J33">
        <v>3.3</v>
      </c>
      <c r="K33">
        <v>1</v>
      </c>
      <c r="N33">
        <v>21.41</v>
      </c>
      <c r="O33">
        <v>0.41</v>
      </c>
      <c r="P33">
        <v>8.36</v>
      </c>
      <c r="Q33">
        <v>4.97</v>
      </c>
      <c r="R33">
        <v>0</v>
      </c>
      <c r="T33">
        <v>2.5</v>
      </c>
      <c r="U33">
        <v>25</v>
      </c>
      <c r="V33">
        <v>3</v>
      </c>
      <c r="X33">
        <v>0.82310469314079415</v>
      </c>
      <c r="Y33">
        <v>3.5571805765024292E-2</v>
      </c>
      <c r="Z33" s="135">
        <v>40658</v>
      </c>
    </row>
    <row r="34" spans="2:26" x14ac:dyDescent="0.2">
      <c r="B34" t="s">
        <v>1751</v>
      </c>
      <c r="C34" t="s">
        <v>1752</v>
      </c>
      <c r="D34">
        <v>2.6</v>
      </c>
      <c r="E34">
        <v>0.26</v>
      </c>
      <c r="I34">
        <v>10.92</v>
      </c>
      <c r="J34">
        <v>0</v>
      </c>
      <c r="K34">
        <v>0</v>
      </c>
      <c r="N34">
        <v>7.18</v>
      </c>
      <c r="O34">
        <v>0.8</v>
      </c>
      <c r="P34">
        <v>2.64</v>
      </c>
      <c r="Q34">
        <v>0.77</v>
      </c>
      <c r="T34">
        <v>2.5</v>
      </c>
      <c r="U34">
        <v>12</v>
      </c>
      <c r="V34">
        <v>3</v>
      </c>
      <c r="X34">
        <v>-0.11893203883495138</v>
      </c>
      <c r="Y34">
        <v>3.4585352891294663E-2</v>
      </c>
      <c r="Z34" s="135">
        <v>40658</v>
      </c>
    </row>
    <row r="35" spans="2:26" x14ac:dyDescent="0.2">
      <c r="B35" t="s">
        <v>3665</v>
      </c>
      <c r="C35" t="s">
        <v>3666</v>
      </c>
      <c r="D35">
        <v>2.4500000000000002</v>
      </c>
      <c r="E35">
        <v>-0.86</v>
      </c>
      <c r="I35">
        <v>10.63</v>
      </c>
      <c r="J35">
        <v>0</v>
      </c>
      <c r="K35">
        <v>0</v>
      </c>
      <c r="N35">
        <v>14.97</v>
      </c>
      <c r="O35">
        <v>6.88</v>
      </c>
      <c r="P35">
        <v>0.43</v>
      </c>
      <c r="Q35">
        <v>0.98</v>
      </c>
      <c r="R35">
        <v>0</v>
      </c>
      <c r="T35">
        <v>2.5</v>
      </c>
      <c r="U35">
        <v>11</v>
      </c>
      <c r="V35">
        <v>11</v>
      </c>
      <c r="X35">
        <v>8.2661290322580669E-2</v>
      </c>
      <c r="Y35">
        <v>3.5691634712654144E-2</v>
      </c>
      <c r="Z35" s="135">
        <v>40658</v>
      </c>
    </row>
    <row r="36" spans="2:26" x14ac:dyDescent="0.2">
      <c r="B36" t="s">
        <v>3323</v>
      </c>
      <c r="C36" t="s">
        <v>3324</v>
      </c>
      <c r="D36">
        <v>1.52</v>
      </c>
      <c r="E36">
        <v>0.43</v>
      </c>
      <c r="I36">
        <v>18.809999999999999</v>
      </c>
      <c r="J36">
        <v>0</v>
      </c>
      <c r="K36">
        <v>0</v>
      </c>
      <c r="N36">
        <v>14.7</v>
      </c>
      <c r="O36">
        <v>1.07</v>
      </c>
      <c r="P36">
        <v>3.09</v>
      </c>
      <c r="Q36">
        <v>3.43</v>
      </c>
      <c r="R36">
        <v>0</v>
      </c>
      <c r="T36">
        <v>2.5</v>
      </c>
      <c r="U36">
        <v>23</v>
      </c>
      <c r="V36">
        <v>26</v>
      </c>
      <c r="W36">
        <v>1</v>
      </c>
      <c r="X36">
        <v>-0.17358322177599289</v>
      </c>
      <c r="Y36">
        <v>3.5070876039155999E-2</v>
      </c>
      <c r="Z36" s="135">
        <v>40658</v>
      </c>
    </row>
    <row r="37" spans="2:26" x14ac:dyDescent="0.2">
      <c r="B37" t="s">
        <v>972</v>
      </c>
      <c r="C37" t="s">
        <v>973</v>
      </c>
      <c r="D37">
        <v>1.21</v>
      </c>
      <c r="E37">
        <v>-0.21</v>
      </c>
      <c r="I37">
        <v>27.64</v>
      </c>
      <c r="J37">
        <v>0</v>
      </c>
      <c r="K37">
        <v>0</v>
      </c>
      <c r="N37">
        <v>10.199999999999999</v>
      </c>
      <c r="O37">
        <v>0.55000000000000004</v>
      </c>
      <c r="P37">
        <v>0.19</v>
      </c>
      <c r="Q37">
        <v>1.21</v>
      </c>
      <c r="R37">
        <v>0</v>
      </c>
      <c r="T37">
        <v>2.5</v>
      </c>
      <c r="U37">
        <v>26</v>
      </c>
      <c r="V37">
        <v>11</v>
      </c>
      <c r="W37">
        <v>1</v>
      </c>
      <c r="X37">
        <v>0.47405029427501338</v>
      </c>
      <c r="Y37">
        <v>3.2017070266680221E-2</v>
      </c>
      <c r="Z37" s="135">
        <v>40658</v>
      </c>
    </row>
    <row r="38" spans="2:26" x14ac:dyDescent="0.2">
      <c r="B38" t="s">
        <v>5365</v>
      </c>
      <c r="C38" t="s">
        <v>5366</v>
      </c>
      <c r="D38">
        <v>0.67</v>
      </c>
      <c r="E38">
        <v>0.16</v>
      </c>
      <c r="I38">
        <v>5.6</v>
      </c>
      <c r="J38">
        <v>0</v>
      </c>
      <c r="K38">
        <v>0</v>
      </c>
      <c r="N38">
        <v>10.77</v>
      </c>
      <c r="O38">
        <v>2.08</v>
      </c>
      <c r="P38">
        <v>0.32</v>
      </c>
      <c r="Q38">
        <v>2.1</v>
      </c>
      <c r="R38">
        <v>0</v>
      </c>
      <c r="T38">
        <v>2.5</v>
      </c>
      <c r="U38">
        <v>7</v>
      </c>
      <c r="V38">
        <v>13</v>
      </c>
      <c r="X38">
        <v>-0.121405750798722</v>
      </c>
      <c r="Y38">
        <v>4.4051641460728971E-2</v>
      </c>
      <c r="Z38" s="135">
        <v>40658</v>
      </c>
    </row>
    <row r="39" spans="2:26" x14ac:dyDescent="0.2">
      <c r="B39" t="s">
        <v>2191</v>
      </c>
      <c r="C39" t="s">
        <v>2192</v>
      </c>
      <c r="D39">
        <v>4.3899999999999997</v>
      </c>
      <c r="E39">
        <v>-0.63</v>
      </c>
      <c r="I39">
        <v>3.49</v>
      </c>
      <c r="J39">
        <v>0</v>
      </c>
      <c r="K39">
        <v>0</v>
      </c>
      <c r="N39">
        <v>0</v>
      </c>
      <c r="O39">
        <v>-0.46</v>
      </c>
      <c r="P39">
        <v>0.2</v>
      </c>
      <c r="Q39">
        <v>0</v>
      </c>
      <c r="R39">
        <v>0</v>
      </c>
      <c r="T39">
        <v>2.5</v>
      </c>
      <c r="U39">
        <v>4.25</v>
      </c>
      <c r="V39">
        <v>2</v>
      </c>
      <c r="X39">
        <v>3.8461538461538429E-2</v>
      </c>
      <c r="Y39">
        <v>3.7950100080946368E-2</v>
      </c>
      <c r="Z39" s="135">
        <v>40658</v>
      </c>
    </row>
    <row r="40" spans="2:26" x14ac:dyDescent="0.2">
      <c r="B40" t="s">
        <v>1175</v>
      </c>
      <c r="C40" t="s">
        <v>1176</v>
      </c>
      <c r="D40">
        <v>1.51</v>
      </c>
      <c r="E40">
        <v>0.83</v>
      </c>
      <c r="I40">
        <v>41.03</v>
      </c>
      <c r="J40">
        <v>0</v>
      </c>
      <c r="K40">
        <v>0</v>
      </c>
      <c r="N40">
        <v>20.21</v>
      </c>
      <c r="O40">
        <v>11.21</v>
      </c>
      <c r="P40">
        <v>35.340000000000003</v>
      </c>
      <c r="Q40">
        <v>6.61</v>
      </c>
      <c r="R40">
        <v>0</v>
      </c>
      <c r="T40">
        <v>2.4</v>
      </c>
      <c r="U40">
        <v>54</v>
      </c>
      <c r="V40">
        <v>12</v>
      </c>
      <c r="W40">
        <v>1</v>
      </c>
      <c r="X40">
        <v>0.31308121512709242</v>
      </c>
      <c r="Y40">
        <v>3.2431414317223115E-2</v>
      </c>
      <c r="Z40" s="135">
        <v>40658</v>
      </c>
    </row>
    <row r="41" spans="2:26" x14ac:dyDescent="0.2">
      <c r="B41" t="s">
        <v>259</v>
      </c>
      <c r="C41" t="s">
        <v>260</v>
      </c>
      <c r="D41">
        <v>2.15</v>
      </c>
      <c r="E41">
        <v>-0.27</v>
      </c>
      <c r="I41">
        <v>17.78</v>
      </c>
      <c r="J41">
        <v>0</v>
      </c>
      <c r="K41">
        <v>0</v>
      </c>
      <c r="N41">
        <v>23.09</v>
      </c>
      <c r="O41">
        <v>2.2200000000000002</v>
      </c>
      <c r="P41">
        <v>2.5299999999999998</v>
      </c>
      <c r="Q41">
        <v>1.9</v>
      </c>
      <c r="R41">
        <v>0</v>
      </c>
      <c r="T41">
        <v>2.4</v>
      </c>
      <c r="U41">
        <v>24</v>
      </c>
      <c r="V41">
        <v>13</v>
      </c>
      <c r="X41">
        <v>-0.19882512426570265</v>
      </c>
      <c r="Y41">
        <v>3.8922247444794944E-2</v>
      </c>
      <c r="Z41" s="135">
        <v>40658</v>
      </c>
    </row>
    <row r="42" spans="2:26" x14ac:dyDescent="0.2">
      <c r="B42" t="s">
        <v>1296</v>
      </c>
      <c r="C42" t="s">
        <v>1297</v>
      </c>
      <c r="D42">
        <v>2.0099999999999998</v>
      </c>
      <c r="E42">
        <v>1.46</v>
      </c>
      <c r="I42">
        <v>24.38</v>
      </c>
      <c r="J42">
        <v>1.2</v>
      </c>
      <c r="K42">
        <v>0.28000000000000003</v>
      </c>
      <c r="N42">
        <v>11.89</v>
      </c>
      <c r="O42">
        <v>1.25</v>
      </c>
      <c r="P42">
        <v>1.95</v>
      </c>
      <c r="Q42">
        <v>2.44</v>
      </c>
      <c r="R42">
        <v>0</v>
      </c>
      <c r="T42">
        <v>2.4</v>
      </c>
      <c r="U42">
        <v>28</v>
      </c>
      <c r="V42">
        <v>15</v>
      </c>
      <c r="X42">
        <v>-9.1809523809523799E-2</v>
      </c>
      <c r="Y42">
        <v>3.0014836075104339E-2</v>
      </c>
      <c r="Z42" s="135">
        <v>40658</v>
      </c>
    </row>
    <row r="43" spans="2:26" x14ac:dyDescent="0.2">
      <c r="B43" t="s">
        <v>4928</v>
      </c>
      <c r="C43" t="s">
        <v>2214</v>
      </c>
      <c r="D43">
        <v>2.56</v>
      </c>
      <c r="E43">
        <v>1.81</v>
      </c>
      <c r="I43">
        <v>6.4</v>
      </c>
      <c r="J43">
        <v>0</v>
      </c>
      <c r="K43">
        <v>0</v>
      </c>
      <c r="N43">
        <v>4.78</v>
      </c>
      <c r="O43">
        <v>0.31</v>
      </c>
      <c r="P43">
        <v>0.41</v>
      </c>
      <c r="Q43">
        <v>0.6</v>
      </c>
      <c r="R43">
        <v>0</v>
      </c>
      <c r="T43">
        <v>2.4</v>
      </c>
      <c r="U43">
        <v>9.0500000000000007</v>
      </c>
      <c r="V43">
        <v>12</v>
      </c>
      <c r="X43">
        <v>-0.2804469273743016</v>
      </c>
      <c r="Y43">
        <v>3.1856650072569687E-2</v>
      </c>
      <c r="Z43" s="135">
        <v>40658</v>
      </c>
    </row>
    <row r="44" spans="2:26" x14ac:dyDescent="0.2">
      <c r="B44" t="s">
        <v>2152</v>
      </c>
      <c r="C44" t="s">
        <v>5205</v>
      </c>
      <c r="D44">
        <v>1.73</v>
      </c>
      <c r="E44">
        <v>-0.06</v>
      </c>
      <c r="I44">
        <v>35.799999999999997</v>
      </c>
      <c r="J44">
        <v>0</v>
      </c>
      <c r="K44">
        <v>0</v>
      </c>
      <c r="N44">
        <v>52.65</v>
      </c>
      <c r="O44">
        <v>2.08</v>
      </c>
      <c r="P44">
        <v>10.67</v>
      </c>
      <c r="Q44">
        <v>15.47</v>
      </c>
      <c r="R44">
        <v>0</v>
      </c>
      <c r="T44">
        <v>2.4</v>
      </c>
      <c r="U44">
        <v>33.5</v>
      </c>
      <c r="V44">
        <v>12</v>
      </c>
      <c r="W44">
        <v>1</v>
      </c>
      <c r="X44">
        <v>0.40806252570958446</v>
      </c>
      <c r="Y44">
        <v>3.9452886947111215E-2</v>
      </c>
      <c r="Z44" s="135">
        <v>40658</v>
      </c>
    </row>
    <row r="45" spans="2:26" x14ac:dyDescent="0.2">
      <c r="B45" t="s">
        <v>5009</v>
      </c>
      <c r="C45" t="s">
        <v>5010</v>
      </c>
      <c r="D45">
        <v>1.23</v>
      </c>
      <c r="E45">
        <v>-0.31</v>
      </c>
      <c r="I45">
        <v>138.41</v>
      </c>
      <c r="J45">
        <v>0</v>
      </c>
      <c r="K45">
        <v>0</v>
      </c>
      <c r="N45">
        <v>59.15</v>
      </c>
      <c r="O45">
        <v>4.38</v>
      </c>
      <c r="P45">
        <v>20.37</v>
      </c>
      <c r="Q45">
        <v>6.62</v>
      </c>
      <c r="R45">
        <v>0</v>
      </c>
      <c r="T45">
        <v>2.2999999999999998</v>
      </c>
      <c r="U45">
        <v>99.5</v>
      </c>
      <c r="V45">
        <v>20</v>
      </c>
      <c r="W45">
        <v>1</v>
      </c>
      <c r="X45">
        <v>0.64089283512146988</v>
      </c>
      <c r="Y45">
        <v>3.5548064699026216E-2</v>
      </c>
      <c r="Z45" s="135">
        <v>40658</v>
      </c>
    </row>
    <row r="46" spans="2:26" x14ac:dyDescent="0.2">
      <c r="B46" t="s">
        <v>2339</v>
      </c>
      <c r="C46" t="s">
        <v>2340</v>
      </c>
      <c r="D46">
        <v>0.96</v>
      </c>
      <c r="E46">
        <v>2.61</v>
      </c>
      <c r="I46">
        <v>8.2799999999999994</v>
      </c>
      <c r="J46">
        <v>0</v>
      </c>
      <c r="K46">
        <v>0</v>
      </c>
      <c r="N46">
        <v>4.3600000000000003</v>
      </c>
      <c r="O46">
        <v>2.2400000000000002</v>
      </c>
      <c r="P46">
        <v>0.11</v>
      </c>
      <c r="Q46">
        <v>15.66</v>
      </c>
      <c r="R46">
        <v>0</v>
      </c>
      <c r="T46">
        <v>2.2999999999999998</v>
      </c>
      <c r="U46">
        <v>12</v>
      </c>
      <c r="V46">
        <v>11</v>
      </c>
      <c r="W46">
        <v>1</v>
      </c>
      <c r="X46">
        <v>-0.18943170488534383</v>
      </c>
      <c r="Y46">
        <v>3.3579626950784411E-2</v>
      </c>
      <c r="Z46" s="135">
        <v>40658</v>
      </c>
    </row>
    <row r="47" spans="2:26" x14ac:dyDescent="0.2">
      <c r="B47" t="s">
        <v>2624</v>
      </c>
      <c r="C47" t="s">
        <v>2625</v>
      </c>
      <c r="D47">
        <v>1.25</v>
      </c>
      <c r="E47">
        <v>0.55000000000000004</v>
      </c>
      <c r="I47">
        <v>47.22</v>
      </c>
      <c r="J47">
        <v>0</v>
      </c>
      <c r="K47">
        <v>0</v>
      </c>
      <c r="N47">
        <v>41.79</v>
      </c>
      <c r="O47">
        <v>2.4500000000000002</v>
      </c>
      <c r="P47">
        <v>10.1</v>
      </c>
      <c r="Q47">
        <v>7.12</v>
      </c>
      <c r="R47">
        <v>0</v>
      </c>
      <c r="T47">
        <v>2.2999999999999998</v>
      </c>
      <c r="U47">
        <v>52</v>
      </c>
      <c r="V47">
        <v>23</v>
      </c>
      <c r="X47">
        <v>4.4327408382707989E-2</v>
      </c>
      <c r="Y47">
        <v>3.0993198695594741E-2</v>
      </c>
      <c r="Z47" s="135">
        <v>40658</v>
      </c>
    </row>
    <row r="48" spans="2:26" x14ac:dyDescent="0.2">
      <c r="B48" t="s">
        <v>1219</v>
      </c>
      <c r="C48" t="s">
        <v>1220</v>
      </c>
      <c r="D48">
        <v>0.76</v>
      </c>
      <c r="E48">
        <v>1.94</v>
      </c>
      <c r="I48">
        <v>62.67</v>
      </c>
      <c r="J48">
        <v>0.9</v>
      </c>
      <c r="K48">
        <v>0.6</v>
      </c>
      <c r="N48">
        <v>11.78</v>
      </c>
      <c r="O48">
        <v>2.09</v>
      </c>
      <c r="P48">
        <v>0.41</v>
      </c>
      <c r="Q48">
        <v>4.8600000000000003</v>
      </c>
      <c r="R48">
        <v>0</v>
      </c>
      <c r="T48">
        <v>2.2999999999999998</v>
      </c>
      <c r="U48">
        <v>67</v>
      </c>
      <c r="V48">
        <v>9</v>
      </c>
      <c r="X48">
        <v>0.50247933884297524</v>
      </c>
      <c r="Y48">
        <v>3.1729460345964813E-2</v>
      </c>
      <c r="Z48" s="135">
        <v>40658</v>
      </c>
    </row>
    <row r="49" spans="2:26" x14ac:dyDescent="0.2">
      <c r="B49" t="s">
        <v>4755</v>
      </c>
      <c r="C49" t="s">
        <v>4756</v>
      </c>
      <c r="D49">
        <v>3.58</v>
      </c>
      <c r="E49">
        <v>-0.27</v>
      </c>
      <c r="I49">
        <v>12.39</v>
      </c>
      <c r="J49">
        <v>0</v>
      </c>
      <c r="K49">
        <v>0</v>
      </c>
      <c r="N49">
        <v>17.96</v>
      </c>
      <c r="O49">
        <v>0</v>
      </c>
      <c r="P49">
        <v>4.43</v>
      </c>
      <c r="Q49">
        <v>5.57</v>
      </c>
      <c r="R49">
        <v>0</v>
      </c>
      <c r="T49">
        <v>2.2999999999999998</v>
      </c>
      <c r="U49">
        <v>14</v>
      </c>
      <c r="V49">
        <v>3</v>
      </c>
      <c r="W49">
        <v>1</v>
      </c>
      <c r="X49">
        <v>0.55247285886610376</v>
      </c>
      <c r="Y49">
        <v>4.1464431003711354E-2</v>
      </c>
      <c r="Z49" s="135">
        <v>40658</v>
      </c>
    </row>
    <row r="50" spans="2:26" x14ac:dyDescent="0.2">
      <c r="B50" t="s">
        <v>2157</v>
      </c>
      <c r="C50" t="s">
        <v>2158</v>
      </c>
      <c r="D50">
        <v>1.3</v>
      </c>
      <c r="E50">
        <v>0.4</v>
      </c>
      <c r="I50">
        <v>8.84</v>
      </c>
      <c r="J50">
        <v>0.4</v>
      </c>
      <c r="K50">
        <v>0.04</v>
      </c>
      <c r="N50">
        <v>9.11</v>
      </c>
      <c r="O50">
        <v>1.53</v>
      </c>
      <c r="P50">
        <v>0.08</v>
      </c>
      <c r="Q50">
        <v>0.89</v>
      </c>
      <c r="R50">
        <v>0</v>
      </c>
      <c r="T50">
        <v>2.2999999999999998</v>
      </c>
      <c r="U50">
        <v>12</v>
      </c>
      <c r="V50">
        <v>5</v>
      </c>
      <c r="X50">
        <v>-0.20017873100983025</v>
      </c>
      <c r="Y50">
        <v>4.0925959177707541E-2</v>
      </c>
      <c r="Z50" s="135">
        <v>40658</v>
      </c>
    </row>
    <row r="51" spans="2:26" x14ac:dyDescent="0.2">
      <c r="B51" t="s">
        <v>2311</v>
      </c>
      <c r="D51">
        <v>1.72</v>
      </c>
      <c r="E51">
        <v>1.75</v>
      </c>
      <c r="I51">
        <v>26.91</v>
      </c>
      <c r="J51">
        <v>0</v>
      </c>
      <c r="K51">
        <v>0</v>
      </c>
      <c r="N51">
        <v>12.57</v>
      </c>
      <c r="O51">
        <v>0.84</v>
      </c>
      <c r="P51">
        <v>1.84</v>
      </c>
      <c r="Q51">
        <v>2.66</v>
      </c>
      <c r="R51">
        <v>0</v>
      </c>
      <c r="T51">
        <v>2.2999999999999998</v>
      </c>
      <c r="U51">
        <v>27.5</v>
      </c>
      <c r="V51">
        <v>6</v>
      </c>
      <c r="X51">
        <v>0.29946262823644371</v>
      </c>
      <c r="Y51">
        <v>3.3041225705985035E-2</v>
      </c>
      <c r="Z51" s="135">
        <v>40658</v>
      </c>
    </row>
    <row r="52" spans="2:26" x14ac:dyDescent="0.2">
      <c r="B52" t="s">
        <v>2708</v>
      </c>
      <c r="C52" t="s">
        <v>2709</v>
      </c>
      <c r="D52">
        <v>3.9</v>
      </c>
      <c r="E52">
        <v>0.23</v>
      </c>
      <c r="I52">
        <v>11.21</v>
      </c>
      <c r="J52">
        <v>0</v>
      </c>
      <c r="K52">
        <v>0</v>
      </c>
      <c r="N52">
        <v>13.03</v>
      </c>
      <c r="O52">
        <v>2.25</v>
      </c>
      <c r="P52">
        <v>1.22</v>
      </c>
      <c r="Q52">
        <v>2.08</v>
      </c>
      <c r="R52">
        <v>0</v>
      </c>
      <c r="T52">
        <v>2.2999999999999998</v>
      </c>
      <c r="U52">
        <v>15.85</v>
      </c>
      <c r="V52">
        <v>6</v>
      </c>
      <c r="X52">
        <v>-0.13833075734157646</v>
      </c>
      <c r="Y52">
        <v>4.5224360564429633E-2</v>
      </c>
      <c r="Z52" s="135">
        <v>40658</v>
      </c>
    </row>
    <row r="53" spans="2:26" x14ac:dyDescent="0.2">
      <c r="B53" t="s">
        <v>3673</v>
      </c>
      <c r="C53" t="s">
        <v>3674</v>
      </c>
      <c r="D53">
        <v>2.86</v>
      </c>
      <c r="E53">
        <v>0.87</v>
      </c>
      <c r="I53">
        <v>10.29</v>
      </c>
      <c r="J53">
        <v>0</v>
      </c>
      <c r="K53">
        <v>0</v>
      </c>
      <c r="N53">
        <v>7.14</v>
      </c>
      <c r="O53">
        <v>0.54</v>
      </c>
      <c r="P53">
        <v>0.51</v>
      </c>
      <c r="Q53">
        <v>2.57</v>
      </c>
      <c r="R53">
        <v>0</v>
      </c>
      <c r="T53">
        <v>2.2999999999999998</v>
      </c>
      <c r="U53">
        <v>14.75</v>
      </c>
      <c r="V53">
        <v>4</v>
      </c>
      <c r="X53">
        <v>-0.17982099267697307</v>
      </c>
      <c r="Y53">
        <v>4.1432637636752763E-2</v>
      </c>
      <c r="Z53" s="135">
        <v>40658</v>
      </c>
    </row>
    <row r="54" spans="2:26" x14ac:dyDescent="0.2">
      <c r="B54" t="s">
        <v>3106</v>
      </c>
      <c r="C54" t="s">
        <v>3107</v>
      </c>
      <c r="D54">
        <v>1.55</v>
      </c>
      <c r="E54">
        <v>3.01</v>
      </c>
      <c r="I54">
        <v>30.68</v>
      </c>
      <c r="J54">
        <v>0</v>
      </c>
      <c r="K54">
        <v>0</v>
      </c>
      <c r="N54">
        <v>8.64</v>
      </c>
      <c r="O54">
        <v>0.83</v>
      </c>
      <c r="P54">
        <v>0.21</v>
      </c>
      <c r="Q54">
        <v>1.27</v>
      </c>
      <c r="R54">
        <v>0</v>
      </c>
      <c r="T54">
        <v>2.2999999999999998</v>
      </c>
      <c r="U54">
        <v>40.5</v>
      </c>
      <c r="V54">
        <v>16</v>
      </c>
      <c r="X54">
        <v>-0.14702612562534731</v>
      </c>
      <c r="Y54">
        <v>5.5313290411562438E-2</v>
      </c>
      <c r="Z54" s="135">
        <v>40658</v>
      </c>
    </row>
    <row r="55" spans="2:26" x14ac:dyDescent="0.2">
      <c r="B55" t="s">
        <v>751</v>
      </c>
      <c r="C55" t="s">
        <v>752</v>
      </c>
      <c r="D55">
        <v>1.75</v>
      </c>
      <c r="E55">
        <v>0.43</v>
      </c>
      <c r="I55">
        <v>10.33</v>
      </c>
      <c r="J55">
        <v>0</v>
      </c>
      <c r="K55">
        <v>0</v>
      </c>
      <c r="N55">
        <v>8.75</v>
      </c>
      <c r="O55">
        <v>0.78</v>
      </c>
      <c r="P55">
        <v>0.2</v>
      </c>
      <c r="Q55">
        <v>2.86</v>
      </c>
      <c r="R55">
        <v>0</v>
      </c>
      <c r="T55">
        <v>2.2999999999999998</v>
      </c>
      <c r="U55">
        <v>12.25</v>
      </c>
      <c r="V55">
        <v>10</v>
      </c>
      <c r="X55">
        <v>0.13333333333333319</v>
      </c>
      <c r="Y55">
        <v>4.6261318781295184E-2</v>
      </c>
      <c r="Z55" s="135">
        <v>40658</v>
      </c>
    </row>
    <row r="56" spans="2:26" x14ac:dyDescent="0.2">
      <c r="B56" t="s">
        <v>5214</v>
      </c>
      <c r="C56" t="s">
        <v>5215</v>
      </c>
      <c r="D56">
        <v>2.8</v>
      </c>
      <c r="E56">
        <v>-1.49</v>
      </c>
      <c r="I56">
        <v>12.63</v>
      </c>
      <c r="J56">
        <v>0</v>
      </c>
      <c r="K56">
        <v>0</v>
      </c>
      <c r="N56">
        <v>8.31</v>
      </c>
      <c r="O56">
        <v>0.61</v>
      </c>
      <c r="P56">
        <v>1.0900000000000001</v>
      </c>
      <c r="Q56">
        <v>0.5</v>
      </c>
      <c r="R56">
        <v>0</v>
      </c>
      <c r="T56">
        <v>2.2999999999999998</v>
      </c>
      <c r="U56">
        <v>17.5</v>
      </c>
      <c r="V56">
        <v>12</v>
      </c>
      <c r="X56">
        <v>-0.56688897606904665</v>
      </c>
      <c r="Y56">
        <v>5.328812286487055E-2</v>
      </c>
      <c r="Z56" s="135">
        <v>40658</v>
      </c>
    </row>
    <row r="57" spans="2:26" x14ac:dyDescent="0.2">
      <c r="B57" t="s">
        <v>4925</v>
      </c>
      <c r="C57" t="s">
        <v>4926</v>
      </c>
      <c r="D57">
        <v>0.92</v>
      </c>
      <c r="E57">
        <v>0.36</v>
      </c>
      <c r="I57">
        <v>30.08</v>
      </c>
      <c r="J57">
        <v>0.8</v>
      </c>
      <c r="K57">
        <v>0.24</v>
      </c>
      <c r="N57">
        <v>11.22</v>
      </c>
      <c r="O57">
        <v>-0.86</v>
      </c>
      <c r="P57">
        <v>0.55000000000000004</v>
      </c>
      <c r="Q57">
        <v>3.28</v>
      </c>
      <c r="R57">
        <v>0</v>
      </c>
      <c r="T57">
        <v>2.2000000000000002</v>
      </c>
      <c r="U57">
        <v>33</v>
      </c>
      <c r="V57">
        <v>8</v>
      </c>
      <c r="X57">
        <v>0.67452054794520544</v>
      </c>
      <c r="Y57">
        <v>3.6350047613977907E-2</v>
      </c>
      <c r="Z57" s="135">
        <v>40658</v>
      </c>
    </row>
    <row r="58" spans="2:26" x14ac:dyDescent="0.2">
      <c r="B58" t="s">
        <v>1879</v>
      </c>
      <c r="C58" t="s">
        <v>1880</v>
      </c>
      <c r="D58">
        <v>3.83</v>
      </c>
      <c r="E58">
        <v>-0.02</v>
      </c>
      <c r="I58">
        <v>7.29</v>
      </c>
      <c r="J58">
        <v>0</v>
      </c>
      <c r="K58">
        <v>0</v>
      </c>
      <c r="N58">
        <v>9</v>
      </c>
      <c r="O58">
        <v>1.01</v>
      </c>
      <c r="P58">
        <v>41.7</v>
      </c>
      <c r="Q58">
        <v>4.3099999999999996</v>
      </c>
      <c r="R58">
        <v>0</v>
      </c>
      <c r="T58">
        <v>2.2000000000000002</v>
      </c>
      <c r="U58">
        <v>8</v>
      </c>
      <c r="V58">
        <v>13</v>
      </c>
      <c r="W58">
        <v>1</v>
      </c>
      <c r="X58">
        <v>0.2188552188552188</v>
      </c>
      <c r="Y58">
        <v>3.3509362928085547E-2</v>
      </c>
      <c r="Z58" s="135">
        <v>40658</v>
      </c>
    </row>
    <row r="59" spans="2:26" x14ac:dyDescent="0.2">
      <c r="B59" t="s">
        <v>5235</v>
      </c>
      <c r="C59" t="s">
        <v>2967</v>
      </c>
      <c r="D59">
        <v>1.99</v>
      </c>
      <c r="E59">
        <v>0.52</v>
      </c>
      <c r="I59">
        <v>12.41</v>
      </c>
      <c r="J59">
        <v>0</v>
      </c>
      <c r="K59">
        <v>0</v>
      </c>
      <c r="N59">
        <v>22.56</v>
      </c>
      <c r="O59">
        <v>5.48</v>
      </c>
      <c r="P59">
        <v>5.37</v>
      </c>
      <c r="Q59">
        <v>3.25</v>
      </c>
      <c r="R59">
        <v>0</v>
      </c>
      <c r="T59">
        <v>2.2000000000000002</v>
      </c>
      <c r="U59">
        <v>14</v>
      </c>
      <c r="V59">
        <v>21</v>
      </c>
      <c r="X59">
        <v>0.677762982689747</v>
      </c>
      <c r="Y59">
        <v>3.2054700843306055E-2</v>
      </c>
      <c r="Z59" s="135">
        <v>40658</v>
      </c>
    </row>
    <row r="60" spans="2:26" x14ac:dyDescent="0.2">
      <c r="B60" t="s">
        <v>5373</v>
      </c>
      <c r="C60" t="s">
        <v>5374</v>
      </c>
      <c r="D60">
        <v>1.98</v>
      </c>
      <c r="E60">
        <v>1.17</v>
      </c>
      <c r="I60">
        <v>12.82</v>
      </c>
      <c r="J60">
        <v>0</v>
      </c>
      <c r="K60">
        <v>0</v>
      </c>
      <c r="N60">
        <v>11.87</v>
      </c>
      <c r="O60">
        <v>0.77</v>
      </c>
      <c r="P60">
        <v>2.36</v>
      </c>
      <c r="Q60">
        <v>2.46</v>
      </c>
      <c r="R60">
        <v>0</v>
      </c>
      <c r="T60">
        <v>2.2000000000000002</v>
      </c>
      <c r="U60">
        <v>14.5</v>
      </c>
      <c r="V60">
        <v>7</v>
      </c>
      <c r="X60">
        <v>-7.0854638422205907E-2</v>
      </c>
      <c r="Y60">
        <v>3.0641122129984322E-2</v>
      </c>
      <c r="Z60" s="135">
        <v>40658</v>
      </c>
    </row>
    <row r="61" spans="2:26" x14ac:dyDescent="0.2">
      <c r="B61" t="s">
        <v>4028</v>
      </c>
      <c r="C61" t="s">
        <v>4029</v>
      </c>
      <c r="D61">
        <v>2.5499999999999998</v>
      </c>
      <c r="E61">
        <v>0.06</v>
      </c>
      <c r="I61">
        <v>19.62</v>
      </c>
      <c r="J61">
        <v>0</v>
      </c>
      <c r="K61">
        <v>0</v>
      </c>
      <c r="N61">
        <v>17.21</v>
      </c>
      <c r="O61">
        <v>1.45</v>
      </c>
      <c r="P61">
        <v>2.8</v>
      </c>
      <c r="Q61">
        <v>4.66</v>
      </c>
      <c r="R61">
        <v>0</v>
      </c>
      <c r="T61">
        <v>2.2000000000000002</v>
      </c>
      <c r="U61">
        <v>24</v>
      </c>
      <c r="V61">
        <v>12</v>
      </c>
      <c r="X61">
        <v>0.21065375302663439</v>
      </c>
      <c r="Y61">
        <v>5.4573138116166216E-2</v>
      </c>
      <c r="Z61" s="135">
        <v>40658</v>
      </c>
    </row>
    <row r="62" spans="2:26" x14ac:dyDescent="0.2">
      <c r="B62" t="s">
        <v>1589</v>
      </c>
      <c r="D62">
        <v>1.22</v>
      </c>
      <c r="E62">
        <v>1.31</v>
      </c>
      <c r="I62">
        <v>14.34</v>
      </c>
      <c r="J62">
        <v>1.7</v>
      </c>
      <c r="K62">
        <v>0.24</v>
      </c>
      <c r="N62">
        <v>9.76</v>
      </c>
      <c r="O62">
        <v>0.4</v>
      </c>
      <c r="P62">
        <v>3.17</v>
      </c>
      <c r="Q62">
        <v>1.54</v>
      </c>
      <c r="R62">
        <v>0</v>
      </c>
      <c r="T62">
        <v>2.1</v>
      </c>
      <c r="U62">
        <v>19.260000000000002</v>
      </c>
      <c r="V62">
        <v>8</v>
      </c>
      <c r="X62">
        <v>-0.28429423459244535</v>
      </c>
      <c r="Y62">
        <v>3.8373399490552552E-2</v>
      </c>
      <c r="Z62" s="135">
        <v>40658</v>
      </c>
    </row>
    <row r="63" spans="2:26" x14ac:dyDescent="0.2">
      <c r="B63" t="s">
        <v>4647</v>
      </c>
      <c r="C63" t="s">
        <v>4648</v>
      </c>
      <c r="D63">
        <v>2.75</v>
      </c>
      <c r="E63">
        <v>-0.89</v>
      </c>
      <c r="I63">
        <v>16.23</v>
      </c>
      <c r="J63">
        <v>0</v>
      </c>
      <c r="K63">
        <v>0</v>
      </c>
      <c r="N63">
        <v>8.59</v>
      </c>
      <c r="O63">
        <v>0.79</v>
      </c>
      <c r="P63">
        <v>0.21</v>
      </c>
      <c r="Q63">
        <v>6.02</v>
      </c>
      <c r="R63">
        <v>0</v>
      </c>
      <c r="T63">
        <v>2.1</v>
      </c>
      <c r="U63">
        <v>18.5</v>
      </c>
      <c r="V63">
        <v>8</v>
      </c>
      <c r="X63">
        <v>0.36760925449871473</v>
      </c>
      <c r="Y63">
        <v>3.0140958907210524E-2</v>
      </c>
      <c r="Z63" s="135">
        <v>40658</v>
      </c>
    </row>
    <row r="64" spans="2:26" x14ac:dyDescent="0.2">
      <c r="B64" t="s">
        <v>2193</v>
      </c>
      <c r="C64" t="s">
        <v>782</v>
      </c>
      <c r="D64">
        <v>2.57</v>
      </c>
      <c r="E64">
        <v>2.9</v>
      </c>
      <c r="I64">
        <v>17.03</v>
      </c>
      <c r="J64">
        <v>1.1000000000000001</v>
      </c>
      <c r="K64">
        <v>0.18</v>
      </c>
      <c r="N64">
        <v>5.24</v>
      </c>
      <c r="O64">
        <v>0.57999999999999996</v>
      </c>
      <c r="P64">
        <v>1.87</v>
      </c>
      <c r="Q64">
        <v>0.83</v>
      </c>
      <c r="R64">
        <v>0</v>
      </c>
      <c r="T64">
        <v>2.1</v>
      </c>
      <c r="U64">
        <v>25</v>
      </c>
      <c r="V64">
        <v>5</v>
      </c>
      <c r="X64">
        <v>-5.6198347107437999E-2</v>
      </c>
      <c r="Y64">
        <v>3.8777087306810447E-2</v>
      </c>
      <c r="Z64" s="135">
        <v>40658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445"/>
  <sheetViews>
    <sheetView topLeftCell="A111" zoomScale="75" workbookViewId="0">
      <selection activeCell="A120" sqref="A120"/>
    </sheetView>
  </sheetViews>
  <sheetFormatPr defaultRowHeight="12.75" x14ac:dyDescent="0.2"/>
  <cols>
    <col min="2" max="2" width="8.5703125" customWidth="1"/>
    <col min="3" max="3" width="6.28515625" customWidth="1"/>
    <col min="4" max="4" width="12.5703125" bestFit="1" customWidth="1"/>
    <col min="5" max="5" width="16.28515625" customWidth="1"/>
    <col min="6" max="6" width="12.140625" bestFit="1" customWidth="1"/>
    <col min="8" max="8" width="13.85546875" customWidth="1"/>
    <col min="9" max="9" width="13.85546875" bestFit="1" customWidth="1"/>
    <col min="10" max="10" width="11.7109375" bestFit="1" customWidth="1"/>
    <col min="14" max="14" width="27.85546875" customWidth="1"/>
    <col min="15" max="15" width="24.42578125" customWidth="1"/>
    <col min="16" max="16" width="24.5703125" customWidth="1"/>
  </cols>
  <sheetData>
    <row r="2" spans="2:23" x14ac:dyDescent="0.2">
      <c r="B2" s="151" t="s">
        <v>1532</v>
      </c>
    </row>
    <row r="3" spans="2:23" x14ac:dyDescent="0.2">
      <c r="B3" s="14" t="s">
        <v>3965</v>
      </c>
    </row>
    <row r="4" spans="2:23" x14ac:dyDescent="0.2">
      <c r="B4" s="14" t="s">
        <v>3174</v>
      </c>
    </row>
    <row r="5" spans="2:23" x14ac:dyDescent="0.2">
      <c r="B5" s="14" t="s">
        <v>3170</v>
      </c>
    </row>
    <row r="6" spans="2:23" x14ac:dyDescent="0.2">
      <c r="B6" s="14" t="s">
        <v>5084</v>
      </c>
    </row>
    <row r="7" spans="2:23" x14ac:dyDescent="0.2">
      <c r="B7" s="14" t="s">
        <v>1768</v>
      </c>
    </row>
    <row r="8" spans="2:23" x14ac:dyDescent="0.2">
      <c r="B8" s="14" t="s">
        <v>3276</v>
      </c>
    </row>
    <row r="9" spans="2:23" x14ac:dyDescent="0.2">
      <c r="B9" s="14" t="s">
        <v>1306</v>
      </c>
    </row>
    <row r="10" spans="2:23" x14ac:dyDescent="0.2">
      <c r="B10" s="14" t="s">
        <v>642</v>
      </c>
    </row>
    <row r="11" spans="2:23" ht="13.5" thickBot="1" x14ac:dyDescent="0.25"/>
    <row r="12" spans="2:23" ht="36.75" customHeight="1" x14ac:dyDescent="0.2">
      <c r="B12" s="346" t="s">
        <v>3819</v>
      </c>
      <c r="C12" s="347"/>
      <c r="D12" s="348"/>
      <c r="E12" s="348"/>
      <c r="F12" s="348"/>
      <c r="G12" s="348"/>
      <c r="H12" s="348"/>
      <c r="N12" s="216" t="s">
        <v>2858</v>
      </c>
      <c r="O12" s="220"/>
      <c r="P12" s="69"/>
      <c r="Q12" s="69"/>
      <c r="R12" s="69"/>
      <c r="S12" s="69"/>
      <c r="T12" s="69"/>
      <c r="U12" s="69"/>
      <c r="V12" s="69"/>
      <c r="W12" s="69"/>
    </row>
    <row r="13" spans="2:23" ht="26.25" customHeight="1" x14ac:dyDescent="0.2">
      <c r="B13" s="349" t="s">
        <v>90</v>
      </c>
      <c r="C13" s="350"/>
      <c r="D13" s="351"/>
      <c r="E13" s="352"/>
      <c r="F13" s="353"/>
      <c r="G13" s="354"/>
      <c r="H13" s="352"/>
      <c r="I13" s="72"/>
      <c r="J13" s="4"/>
      <c r="K13" s="88"/>
      <c r="L13" s="4"/>
      <c r="N13" s="221" t="s">
        <v>2859</v>
      </c>
      <c r="O13" s="222" t="s">
        <v>327</v>
      </c>
      <c r="P13" s="69"/>
      <c r="Q13" s="69"/>
      <c r="R13" s="69"/>
      <c r="S13" s="69"/>
      <c r="T13" s="69"/>
      <c r="U13" s="69"/>
      <c r="V13" s="69"/>
      <c r="W13" s="69"/>
    </row>
    <row r="14" spans="2:23" ht="19.5" customHeight="1" x14ac:dyDescent="0.2">
      <c r="B14" s="349" t="s">
        <v>91</v>
      </c>
      <c r="C14" s="350"/>
      <c r="D14" s="355"/>
      <c r="E14" s="356"/>
      <c r="F14" s="356"/>
      <c r="G14" s="357"/>
      <c r="H14" s="358"/>
      <c r="I14" s="73"/>
      <c r="J14" s="63"/>
      <c r="K14" s="91"/>
      <c r="L14" s="94"/>
      <c r="N14" s="221" t="s">
        <v>526</v>
      </c>
      <c r="O14" s="222"/>
      <c r="P14" s="69"/>
      <c r="Q14" s="69"/>
      <c r="R14" s="69"/>
      <c r="S14" s="69"/>
      <c r="T14" s="69"/>
      <c r="U14" s="69"/>
      <c r="V14" s="69"/>
      <c r="W14" s="69"/>
    </row>
    <row r="15" spans="2:23" ht="23.25" customHeight="1" x14ac:dyDescent="0.2">
      <c r="B15" s="349" t="s">
        <v>5393</v>
      </c>
      <c r="C15" s="350"/>
      <c r="D15" s="355"/>
      <c r="E15" s="356"/>
      <c r="F15" s="356"/>
      <c r="G15" s="357"/>
      <c r="H15" s="358"/>
      <c r="I15" s="73"/>
      <c r="J15" s="63"/>
      <c r="K15" s="89"/>
      <c r="L15" s="94"/>
      <c r="N15" s="221" t="s">
        <v>2287</v>
      </c>
      <c r="O15" s="222"/>
      <c r="P15" s="69"/>
      <c r="Q15" s="69"/>
      <c r="R15" s="69"/>
      <c r="S15" s="69"/>
      <c r="T15" s="69"/>
      <c r="U15" s="69"/>
      <c r="V15" s="69"/>
      <c r="W15" s="69"/>
    </row>
    <row r="16" spans="2:23" ht="17.25" customHeight="1" x14ac:dyDescent="0.2">
      <c r="B16" s="349" t="s">
        <v>5149</v>
      </c>
      <c r="C16" s="350"/>
      <c r="D16" s="355"/>
      <c r="E16" s="356"/>
      <c r="F16" s="356"/>
      <c r="G16" s="357"/>
      <c r="H16" s="358"/>
      <c r="I16" s="73"/>
      <c r="J16" s="63"/>
      <c r="K16" s="89"/>
      <c r="L16" s="94"/>
      <c r="N16" s="221" t="s">
        <v>1048</v>
      </c>
      <c r="O16" s="222"/>
      <c r="P16" s="69"/>
      <c r="Q16" s="69"/>
      <c r="R16" s="69"/>
      <c r="S16" s="69"/>
      <c r="T16" s="69"/>
      <c r="U16" s="69"/>
      <c r="V16" s="69"/>
      <c r="W16" s="69"/>
    </row>
    <row r="17" spans="2:23" ht="14.25" customHeight="1" x14ac:dyDescent="0.2">
      <c r="B17" s="349" t="s">
        <v>5150</v>
      </c>
      <c r="C17" s="350"/>
      <c r="D17" s="355"/>
      <c r="E17" s="356"/>
      <c r="F17" s="356"/>
      <c r="G17" s="357"/>
      <c r="H17" s="358"/>
      <c r="I17" s="73"/>
      <c r="J17" s="63"/>
      <c r="K17" s="90"/>
      <c r="L17" s="94"/>
      <c r="N17" s="221" t="s">
        <v>1529</v>
      </c>
      <c r="O17" s="222"/>
      <c r="P17" s="69"/>
      <c r="Q17" s="69"/>
      <c r="R17" s="69"/>
      <c r="S17" s="69"/>
      <c r="T17" s="69"/>
      <c r="U17" s="69"/>
      <c r="V17" s="69"/>
      <c r="W17" s="69"/>
    </row>
    <row r="18" spans="2:23" ht="24" customHeight="1" thickBot="1" x14ac:dyDescent="0.25">
      <c r="B18" s="359" t="s">
        <v>5151</v>
      </c>
      <c r="C18" s="360"/>
      <c r="D18" s="355"/>
      <c r="E18" s="356"/>
      <c r="F18" s="356"/>
      <c r="G18" s="357"/>
      <c r="H18" s="358"/>
      <c r="I18" s="73"/>
      <c r="J18" s="63"/>
      <c r="K18" s="90"/>
      <c r="L18" s="94"/>
      <c r="N18" s="223" t="s">
        <v>1530</v>
      </c>
      <c r="O18" s="224" t="s">
        <v>2857</v>
      </c>
      <c r="P18" s="69"/>
      <c r="Q18" s="69"/>
      <c r="R18" s="69"/>
      <c r="S18" s="69"/>
      <c r="T18" s="69"/>
      <c r="U18" s="69"/>
      <c r="V18" s="69"/>
      <c r="W18" s="69"/>
    </row>
    <row r="19" spans="2:23" x14ac:dyDescent="0.2">
      <c r="B19" s="1"/>
      <c r="C19" s="16"/>
      <c r="D19" s="57"/>
      <c r="E19" s="1"/>
      <c r="F19" s="1"/>
      <c r="G19" s="20"/>
      <c r="H19" s="60"/>
      <c r="I19" s="73"/>
      <c r="J19" s="63"/>
      <c r="K19" s="90"/>
      <c r="L19" s="94"/>
      <c r="N19" s="69"/>
      <c r="O19" s="69"/>
      <c r="P19" s="69"/>
      <c r="Q19" s="69"/>
      <c r="R19" s="69"/>
      <c r="S19" s="69"/>
      <c r="T19" s="69"/>
      <c r="U19" s="69"/>
      <c r="V19" s="69"/>
      <c r="W19" s="69"/>
    </row>
    <row r="20" spans="2:23" ht="13.5" thickBot="1" x14ac:dyDescent="0.25">
      <c r="B20" s="106"/>
      <c r="C20" s="330"/>
      <c r="D20" s="331"/>
      <c r="E20" s="106"/>
      <c r="F20" s="106"/>
      <c r="G20" s="258"/>
      <c r="H20" s="332"/>
      <c r="I20" s="333"/>
      <c r="J20" s="334"/>
      <c r="K20" s="335"/>
      <c r="L20" s="336"/>
      <c r="O20" s="69"/>
      <c r="P20" s="69"/>
      <c r="Q20" s="69"/>
      <c r="R20" s="69"/>
      <c r="S20" s="69"/>
      <c r="T20" s="69"/>
      <c r="U20" s="69"/>
      <c r="V20" s="69"/>
      <c r="W20" s="69"/>
    </row>
    <row r="21" spans="2:23" x14ac:dyDescent="0.2">
      <c r="B21" s="346" t="s">
        <v>328</v>
      </c>
      <c r="C21" s="361"/>
      <c r="D21" s="362"/>
      <c r="E21" s="363"/>
      <c r="F21" s="363"/>
      <c r="G21" s="364"/>
      <c r="H21" s="365"/>
      <c r="I21" s="366"/>
      <c r="J21" s="367"/>
      <c r="K21" s="368"/>
      <c r="L21" s="369"/>
      <c r="O21" s="69"/>
      <c r="P21" s="69"/>
      <c r="Q21" s="69"/>
      <c r="R21" s="69"/>
      <c r="S21" s="69"/>
      <c r="T21" s="69"/>
      <c r="U21" s="69"/>
      <c r="V21" s="69"/>
      <c r="W21" s="69"/>
    </row>
    <row r="22" spans="2:23" x14ac:dyDescent="0.2">
      <c r="B22" s="370"/>
      <c r="C22" s="371"/>
      <c r="D22" s="355"/>
      <c r="E22" s="356"/>
      <c r="F22" s="356"/>
      <c r="G22" s="357"/>
      <c r="H22" s="358"/>
      <c r="I22" s="372"/>
      <c r="J22" s="373"/>
      <c r="K22" s="374"/>
      <c r="L22" s="375"/>
      <c r="O22" s="69"/>
      <c r="P22" s="69"/>
      <c r="Q22" s="69"/>
      <c r="R22" s="69"/>
      <c r="S22" s="69"/>
      <c r="T22" s="69"/>
      <c r="U22" s="69"/>
      <c r="V22" s="69"/>
      <c r="W22" s="69"/>
    </row>
    <row r="23" spans="2:23" x14ac:dyDescent="0.2">
      <c r="B23" s="376" t="s">
        <v>4328</v>
      </c>
      <c r="C23" s="377"/>
      <c r="D23" s="378"/>
      <c r="E23" s="356"/>
      <c r="F23" s="356"/>
      <c r="G23" s="357"/>
      <c r="H23" s="358"/>
      <c r="I23" s="372"/>
      <c r="J23" s="373"/>
      <c r="K23" s="374"/>
      <c r="L23" s="375"/>
      <c r="O23" s="69"/>
      <c r="P23" s="69"/>
      <c r="Q23" s="69"/>
      <c r="R23" s="69"/>
      <c r="S23" s="69"/>
      <c r="T23" s="69"/>
      <c r="U23" s="69"/>
      <c r="V23" s="69"/>
      <c r="W23" s="69"/>
    </row>
    <row r="24" spans="2:23" x14ac:dyDescent="0.2">
      <c r="B24" s="376" t="s">
        <v>4329</v>
      </c>
      <c r="C24" s="377"/>
      <c r="D24" s="378"/>
      <c r="E24" s="356"/>
      <c r="F24" s="356"/>
      <c r="G24" s="357"/>
      <c r="H24" s="358"/>
      <c r="I24" s="372"/>
      <c r="J24" s="373"/>
      <c r="K24" s="374"/>
      <c r="L24" s="375"/>
      <c r="O24" s="69"/>
      <c r="P24" s="69"/>
      <c r="Q24" s="69"/>
      <c r="R24" s="69"/>
      <c r="S24" s="69"/>
      <c r="T24" s="69"/>
      <c r="U24" s="69"/>
      <c r="V24" s="69"/>
      <c r="W24" s="69"/>
    </row>
    <row r="25" spans="2:23" x14ac:dyDescent="0.2">
      <c r="B25" s="376" t="s">
        <v>1487</v>
      </c>
      <c r="C25" s="377"/>
      <c r="D25" s="378"/>
      <c r="E25" s="356"/>
      <c r="F25" s="356"/>
      <c r="G25" s="357"/>
      <c r="H25" s="358"/>
      <c r="I25" s="372"/>
      <c r="J25" s="373"/>
      <c r="K25" s="374"/>
      <c r="L25" s="375"/>
      <c r="O25" s="69"/>
      <c r="P25" s="69"/>
      <c r="Q25" s="69"/>
      <c r="R25" s="69"/>
      <c r="S25" s="69"/>
      <c r="T25" s="69"/>
      <c r="U25" s="69"/>
      <c r="V25" s="69"/>
      <c r="W25" s="69"/>
    </row>
    <row r="26" spans="2:23" x14ac:dyDescent="0.2">
      <c r="B26" s="376" t="s">
        <v>5218</v>
      </c>
      <c r="C26" s="377"/>
      <c r="D26" s="378"/>
      <c r="E26" s="356"/>
      <c r="F26" s="356"/>
      <c r="G26" s="357"/>
      <c r="H26" s="358"/>
      <c r="I26" s="372"/>
      <c r="J26" s="379"/>
      <c r="K26" s="380"/>
      <c r="L26" s="375"/>
      <c r="O26" s="69"/>
      <c r="P26" s="69"/>
      <c r="Q26" s="69"/>
      <c r="R26" s="69"/>
      <c r="S26" s="69"/>
      <c r="T26" s="69"/>
      <c r="U26" s="69"/>
      <c r="V26" s="69"/>
      <c r="W26" s="69"/>
    </row>
    <row r="27" spans="2:23" x14ac:dyDescent="0.2">
      <c r="B27" s="376" t="s">
        <v>1556</v>
      </c>
      <c r="C27" s="377"/>
      <c r="D27" s="378"/>
      <c r="E27" s="356"/>
      <c r="F27" s="356"/>
      <c r="G27" s="357"/>
      <c r="H27" s="358"/>
      <c r="I27" s="372"/>
      <c r="J27" s="373"/>
      <c r="K27" s="374"/>
      <c r="L27" s="375"/>
      <c r="O27" s="69"/>
      <c r="P27" s="69"/>
      <c r="Q27" s="69"/>
      <c r="R27" s="69"/>
      <c r="S27" s="69"/>
      <c r="T27" s="69"/>
      <c r="U27" s="69"/>
      <c r="V27" s="69"/>
      <c r="W27" s="69"/>
    </row>
    <row r="28" spans="2:23" x14ac:dyDescent="0.2">
      <c r="B28" s="398" t="s">
        <v>4435</v>
      </c>
      <c r="C28" s="377"/>
      <c r="D28" s="378"/>
      <c r="E28" s="356"/>
      <c r="F28" s="356"/>
      <c r="G28" s="357"/>
      <c r="H28" s="358"/>
      <c r="I28" s="372"/>
      <c r="J28" s="373"/>
      <c r="K28" s="374"/>
      <c r="L28" s="375"/>
      <c r="O28" s="69"/>
      <c r="P28" s="69"/>
      <c r="Q28" s="69"/>
      <c r="R28" s="69"/>
      <c r="S28" s="69"/>
      <c r="T28" s="69"/>
      <c r="U28" s="69"/>
      <c r="V28" s="69"/>
      <c r="W28" s="69"/>
    </row>
    <row r="29" spans="2:23" x14ac:dyDescent="0.2">
      <c r="B29" s="376" t="s">
        <v>1925</v>
      </c>
      <c r="C29" s="377"/>
      <c r="D29" s="378"/>
      <c r="E29" s="356"/>
      <c r="F29" s="356"/>
      <c r="G29" s="381"/>
      <c r="H29" s="358"/>
      <c r="I29" s="372"/>
      <c r="J29" s="373"/>
      <c r="K29" s="382"/>
      <c r="L29" s="375"/>
      <c r="O29" s="69"/>
      <c r="P29" s="69"/>
      <c r="Q29" s="69"/>
      <c r="R29" s="69"/>
      <c r="S29" s="69"/>
      <c r="T29" s="69"/>
      <c r="U29" s="69"/>
      <c r="V29" s="69"/>
      <c r="W29" s="69"/>
    </row>
    <row r="30" spans="2:23" x14ac:dyDescent="0.2">
      <c r="B30" s="376" t="s">
        <v>2670</v>
      </c>
      <c r="C30" s="377"/>
      <c r="D30" s="378"/>
      <c r="E30" s="383"/>
      <c r="F30" s="383"/>
      <c r="G30" s="381"/>
      <c r="H30" s="358"/>
      <c r="I30" s="372"/>
      <c r="J30" s="373"/>
      <c r="K30" s="384"/>
      <c r="L30" s="375"/>
      <c r="O30" s="69"/>
      <c r="P30" s="69"/>
      <c r="Q30" s="69"/>
      <c r="R30" s="69"/>
      <c r="S30" s="69"/>
      <c r="T30" s="69"/>
      <c r="U30" s="69"/>
      <c r="V30" s="69"/>
      <c r="W30" s="69"/>
    </row>
    <row r="31" spans="2:23" x14ac:dyDescent="0.2">
      <c r="B31" s="376" t="s">
        <v>2671</v>
      </c>
      <c r="C31" s="377"/>
      <c r="D31" s="378"/>
      <c r="E31" s="385"/>
      <c r="F31" s="385"/>
      <c r="G31" s="381"/>
      <c r="H31" s="358"/>
      <c r="I31" s="372"/>
      <c r="J31" s="373"/>
      <c r="K31" s="386"/>
      <c r="L31" s="375"/>
    </row>
    <row r="32" spans="2:23" x14ac:dyDescent="0.2">
      <c r="B32" s="376" t="s">
        <v>3908</v>
      </c>
      <c r="C32" s="377"/>
      <c r="D32" s="378"/>
      <c r="E32" s="385"/>
      <c r="F32" s="385"/>
      <c r="G32" s="381"/>
      <c r="H32" s="358"/>
      <c r="I32" s="372"/>
      <c r="J32" s="379"/>
      <c r="K32" s="387"/>
      <c r="L32" s="375"/>
    </row>
    <row r="33" spans="2:14" x14ac:dyDescent="0.2">
      <c r="B33" s="376" t="s">
        <v>2194</v>
      </c>
      <c r="C33" s="377"/>
      <c r="D33" s="378"/>
      <c r="E33" s="385"/>
      <c r="F33" s="385"/>
      <c r="G33" s="381"/>
      <c r="H33" s="358"/>
      <c r="I33" s="372"/>
      <c r="J33" s="373"/>
      <c r="K33" s="387"/>
      <c r="L33" s="375"/>
    </row>
    <row r="34" spans="2:14" x14ac:dyDescent="0.2">
      <c r="B34" s="376" t="s">
        <v>2195</v>
      </c>
      <c r="C34" s="377"/>
      <c r="D34" s="378"/>
      <c r="E34" s="385"/>
      <c r="F34" s="385"/>
      <c r="G34" s="381"/>
      <c r="H34" s="358"/>
      <c r="I34" s="372"/>
      <c r="J34" s="373"/>
      <c r="K34" s="387"/>
      <c r="L34" s="375"/>
    </row>
    <row r="35" spans="2:14" x14ac:dyDescent="0.2">
      <c r="B35" s="376" t="s">
        <v>1628</v>
      </c>
      <c r="C35" s="377"/>
      <c r="D35" s="378"/>
      <c r="E35" s="385"/>
      <c r="F35" s="385"/>
      <c r="G35" s="381"/>
      <c r="H35" s="358"/>
      <c r="I35" s="372"/>
      <c r="J35" s="373"/>
      <c r="K35" s="387"/>
      <c r="L35" s="375"/>
    </row>
    <row r="36" spans="2:14" ht="13.5" thickBot="1" x14ac:dyDescent="0.25">
      <c r="B36" s="388" t="s">
        <v>2520</v>
      </c>
      <c r="C36" s="389"/>
      <c r="D36" s="390"/>
      <c r="E36" s="391"/>
      <c r="F36" s="391"/>
      <c r="G36" s="392"/>
      <c r="H36" s="393"/>
      <c r="I36" s="394"/>
      <c r="J36" s="395"/>
      <c r="K36" s="396"/>
      <c r="L36" s="397"/>
    </row>
    <row r="37" spans="2:14" x14ac:dyDescent="0.2">
      <c r="B37" s="183"/>
      <c r="C37" s="337"/>
      <c r="D37" s="338"/>
      <c r="E37" s="339"/>
      <c r="F37" s="339"/>
      <c r="G37" s="340"/>
      <c r="H37" s="341"/>
      <c r="I37" s="342"/>
      <c r="J37" s="343"/>
      <c r="K37" s="344"/>
      <c r="L37" s="345"/>
    </row>
    <row r="38" spans="2:14" ht="13.5" thickBot="1" x14ac:dyDescent="0.25">
      <c r="B38" s="1"/>
      <c r="C38" s="16"/>
      <c r="D38" s="57"/>
      <c r="E38" s="75"/>
      <c r="F38" s="75"/>
      <c r="G38" s="74"/>
      <c r="H38" s="60"/>
      <c r="I38" s="73"/>
      <c r="J38" s="63"/>
      <c r="K38" s="92"/>
      <c r="L38" s="95"/>
    </row>
    <row r="39" spans="2:14" x14ac:dyDescent="0.2">
      <c r="B39" s="1"/>
      <c r="C39" s="16"/>
      <c r="D39" s="57"/>
      <c r="E39" s="75"/>
      <c r="F39" s="75"/>
      <c r="G39" s="74"/>
      <c r="H39" s="60"/>
      <c r="I39" s="73"/>
      <c r="J39" s="63"/>
      <c r="K39" s="92"/>
      <c r="L39" s="95"/>
      <c r="N39" s="216" t="s">
        <v>3150</v>
      </c>
    </row>
    <row r="40" spans="2:14" x14ac:dyDescent="0.2">
      <c r="B40" s="1"/>
      <c r="C40" s="16"/>
      <c r="D40" s="57"/>
      <c r="E40" s="75"/>
      <c r="F40" s="75"/>
      <c r="G40" s="74"/>
      <c r="H40" s="60"/>
      <c r="I40" s="73"/>
      <c r="J40" s="63"/>
      <c r="K40" s="93"/>
      <c r="L40" s="95"/>
      <c r="N40" s="225"/>
    </row>
    <row r="41" spans="2:14" x14ac:dyDescent="0.2">
      <c r="B41" s="1"/>
      <c r="C41" s="16"/>
      <c r="D41" s="57"/>
      <c r="E41" s="75"/>
      <c r="F41" s="75"/>
      <c r="G41" s="74"/>
      <c r="H41" s="60"/>
      <c r="I41" s="73"/>
      <c r="J41" s="76"/>
      <c r="K41" s="93"/>
      <c r="L41" s="95"/>
      <c r="N41" s="226" t="s">
        <v>4328</v>
      </c>
    </row>
    <row r="42" spans="2:14" x14ac:dyDescent="0.2">
      <c r="B42" s="1"/>
      <c r="C42" s="16"/>
      <c r="D42" s="57"/>
      <c r="E42" s="75"/>
      <c r="F42" s="75"/>
      <c r="G42" s="74"/>
      <c r="H42" s="60"/>
      <c r="I42" s="73"/>
      <c r="J42" s="63"/>
      <c r="K42" s="92"/>
      <c r="L42" s="95"/>
      <c r="N42" s="226" t="s">
        <v>4329</v>
      </c>
    </row>
    <row r="43" spans="2:14" ht="13.5" thickBot="1" x14ac:dyDescent="0.25">
      <c r="B43" s="79"/>
      <c r="C43" s="80"/>
      <c r="D43" s="98"/>
      <c r="E43" s="81"/>
      <c r="F43" s="81"/>
      <c r="G43" s="82"/>
      <c r="H43" s="99"/>
      <c r="I43" s="83"/>
      <c r="J43" s="84"/>
      <c r="K43" s="100"/>
      <c r="L43" s="101"/>
      <c r="N43" s="226" t="s">
        <v>3151</v>
      </c>
    </row>
    <row r="44" spans="2:14" x14ac:dyDescent="0.2">
      <c r="N44" s="226" t="s">
        <v>5218</v>
      </c>
    </row>
    <row r="45" spans="2:14" x14ac:dyDescent="0.2">
      <c r="N45" s="226" t="s">
        <v>1556</v>
      </c>
    </row>
    <row r="46" spans="2:14" x14ac:dyDescent="0.2">
      <c r="B46" s="227" t="s">
        <v>1975</v>
      </c>
      <c r="N46" s="226" t="s">
        <v>3152</v>
      </c>
    </row>
    <row r="47" spans="2:14" ht="13.5" thickBot="1" x14ac:dyDescent="0.25">
      <c r="N47" s="226" t="s">
        <v>3153</v>
      </c>
    </row>
    <row r="48" spans="2:14" x14ac:dyDescent="0.2">
      <c r="B48" s="216" t="s">
        <v>680</v>
      </c>
      <c r="N48" s="226" t="s">
        <v>92</v>
      </c>
    </row>
    <row r="49" spans="2:15" x14ac:dyDescent="0.2">
      <c r="B49" t="s">
        <v>2892</v>
      </c>
      <c r="N49" s="226" t="s">
        <v>2991</v>
      </c>
    </row>
    <row r="50" spans="2:15" x14ac:dyDescent="0.2">
      <c r="B50" t="s">
        <v>4800</v>
      </c>
      <c r="C50" s="152"/>
      <c r="D50" s="152"/>
      <c r="E50" s="152"/>
      <c r="F50" s="152"/>
      <c r="H50" s="18"/>
      <c r="I50" s="18"/>
      <c r="J50" s="18"/>
      <c r="L50" s="70"/>
      <c r="M50" s="157"/>
      <c r="N50" s="226" t="s">
        <v>3908</v>
      </c>
      <c r="O50" s="26"/>
    </row>
    <row r="51" spans="2:15" x14ac:dyDescent="0.2">
      <c r="B51" t="s">
        <v>5132</v>
      </c>
      <c r="C51" s="159"/>
      <c r="D51" s="153"/>
      <c r="E51" s="153"/>
      <c r="F51" s="153"/>
      <c r="H51" s="18"/>
      <c r="I51" s="18"/>
      <c r="J51" s="18"/>
      <c r="L51" s="70"/>
      <c r="M51" s="157"/>
      <c r="N51" s="226" t="s">
        <v>2194</v>
      </c>
      <c r="O51" s="26"/>
    </row>
    <row r="52" spans="2:15" x14ac:dyDescent="0.2">
      <c r="B52" t="s">
        <v>2095</v>
      </c>
      <c r="C52" s="159"/>
      <c r="D52" s="153"/>
      <c r="E52" s="153"/>
      <c r="F52" s="153"/>
      <c r="H52" s="18"/>
      <c r="I52" s="18"/>
      <c r="J52" s="18"/>
      <c r="L52" s="70"/>
      <c r="M52" s="157"/>
      <c r="N52" s="226" t="s">
        <v>2992</v>
      </c>
      <c r="O52" s="26"/>
    </row>
    <row r="53" spans="2:15" x14ac:dyDescent="0.2">
      <c r="B53" t="s">
        <v>2096</v>
      </c>
      <c r="C53" s="159"/>
      <c r="D53" s="153"/>
      <c r="E53" s="153"/>
      <c r="F53" s="153"/>
      <c r="H53" s="18"/>
      <c r="I53" s="18"/>
      <c r="J53" s="18"/>
      <c r="L53" s="70"/>
      <c r="M53" s="157"/>
      <c r="N53" s="226" t="s">
        <v>2124</v>
      </c>
      <c r="O53" s="26"/>
    </row>
    <row r="54" spans="2:15" x14ac:dyDescent="0.2">
      <c r="B54" t="s">
        <v>2097</v>
      </c>
      <c r="C54" s="159"/>
      <c r="D54" s="153"/>
      <c r="E54" s="153"/>
      <c r="F54" s="153"/>
      <c r="H54" s="18"/>
      <c r="I54" s="18"/>
      <c r="J54" s="18"/>
      <c r="L54" s="70"/>
      <c r="M54" s="157"/>
      <c r="N54" s="226" t="s">
        <v>679</v>
      </c>
      <c r="O54" s="26"/>
    </row>
    <row r="55" spans="2:15" x14ac:dyDescent="0.2">
      <c r="C55" s="159"/>
      <c r="D55" s="153"/>
      <c r="E55" s="153"/>
      <c r="F55" s="153"/>
      <c r="H55" s="18"/>
      <c r="I55" s="18"/>
      <c r="J55" s="18"/>
      <c r="L55" s="70"/>
      <c r="M55" s="157"/>
      <c r="O55" s="26"/>
    </row>
    <row r="56" spans="2:15" ht="13.5" thickBot="1" x14ac:dyDescent="0.25">
      <c r="C56" s="159"/>
      <c r="D56" s="153"/>
      <c r="E56" s="153"/>
      <c r="F56" s="153"/>
      <c r="H56" s="18"/>
      <c r="I56" s="18"/>
      <c r="J56" s="18"/>
      <c r="L56" s="70"/>
      <c r="M56" s="157"/>
      <c r="O56" s="26"/>
    </row>
    <row r="57" spans="2:15" x14ac:dyDescent="0.2">
      <c r="B57" s="216" t="s">
        <v>1976</v>
      </c>
      <c r="C57" s="159"/>
      <c r="D57" s="153"/>
      <c r="E57" s="153"/>
      <c r="F57" s="153"/>
      <c r="H57" s="18"/>
      <c r="I57" s="18"/>
      <c r="J57" s="18"/>
      <c r="L57" s="70"/>
      <c r="M57" s="157"/>
      <c r="O57" s="26"/>
    </row>
    <row r="58" spans="2:15" x14ac:dyDescent="0.2">
      <c r="B58" t="s">
        <v>4114</v>
      </c>
      <c r="C58" s="159"/>
      <c r="D58" s="153"/>
      <c r="E58" s="153"/>
      <c r="F58" s="153"/>
      <c r="H58" s="18"/>
      <c r="I58" s="18"/>
      <c r="J58" s="18"/>
      <c r="L58" s="70"/>
      <c r="M58" s="157"/>
      <c r="N58" s="228" t="s">
        <v>634</v>
      </c>
      <c r="O58" s="26"/>
    </row>
    <row r="59" spans="2:15" ht="13.5" thickBot="1" x14ac:dyDescent="0.25">
      <c r="B59" t="s">
        <v>1238</v>
      </c>
      <c r="C59" s="159"/>
      <c r="D59" s="153"/>
      <c r="E59" s="153"/>
      <c r="F59" s="153"/>
      <c r="H59" s="18"/>
      <c r="I59" s="18"/>
      <c r="J59" s="18"/>
      <c r="L59" s="70"/>
      <c r="M59" s="157"/>
      <c r="O59" s="26"/>
    </row>
    <row r="60" spans="2:15" x14ac:dyDescent="0.2">
      <c r="B60" t="s">
        <v>1239</v>
      </c>
      <c r="C60" s="159"/>
      <c r="D60" s="153"/>
      <c r="E60" s="153"/>
      <c r="F60" s="153"/>
      <c r="H60" s="18"/>
      <c r="I60" s="18"/>
      <c r="J60" s="18"/>
      <c r="L60" s="70"/>
      <c r="M60" s="157"/>
      <c r="N60" s="216" t="s">
        <v>3875</v>
      </c>
      <c r="O60" s="26"/>
    </row>
    <row r="61" spans="2:15" x14ac:dyDescent="0.2">
      <c r="B61" t="s">
        <v>1240</v>
      </c>
      <c r="C61" s="159"/>
      <c r="D61" s="153"/>
      <c r="E61" s="153"/>
      <c r="F61" s="153"/>
      <c r="H61" s="18"/>
      <c r="I61" s="18"/>
      <c r="J61" s="18"/>
      <c r="L61" s="70"/>
      <c r="M61" s="157"/>
      <c r="N61" t="s">
        <v>1557</v>
      </c>
      <c r="O61" s="26"/>
    </row>
    <row r="62" spans="2:15" x14ac:dyDescent="0.2">
      <c r="B62" t="s">
        <v>2009</v>
      </c>
      <c r="C62" s="159"/>
      <c r="D62" s="153"/>
      <c r="E62" s="154"/>
      <c r="F62" s="153"/>
      <c r="H62" s="18"/>
      <c r="I62" s="18"/>
      <c r="J62" s="18"/>
      <c r="L62" s="70"/>
      <c r="M62" s="157"/>
      <c r="N62" t="s">
        <v>3702</v>
      </c>
      <c r="O62" s="26"/>
    </row>
    <row r="63" spans="2:15" x14ac:dyDescent="0.2">
      <c r="B63" t="s">
        <v>5025</v>
      </c>
      <c r="C63" s="159"/>
      <c r="D63" s="153"/>
      <c r="E63" s="153"/>
      <c r="F63" s="153"/>
      <c r="H63" s="18"/>
      <c r="I63" s="18"/>
      <c r="J63" s="18"/>
      <c r="L63" s="70"/>
      <c r="M63" s="157"/>
      <c r="N63" t="s">
        <v>3703</v>
      </c>
      <c r="O63" s="26"/>
    </row>
    <row r="64" spans="2:15" x14ac:dyDescent="0.2">
      <c r="C64" s="159"/>
      <c r="D64" s="153"/>
      <c r="E64" s="153"/>
      <c r="F64" s="153"/>
      <c r="H64" s="18"/>
      <c r="I64" s="18"/>
      <c r="J64" s="18"/>
      <c r="L64" s="70"/>
      <c r="M64" s="157"/>
      <c r="N64" t="s">
        <v>2669</v>
      </c>
      <c r="O64" s="26"/>
    </row>
    <row r="65" spans="2:15" ht="13.5" thickBot="1" x14ac:dyDescent="0.25">
      <c r="C65" s="159"/>
      <c r="D65" s="153"/>
      <c r="E65" s="153"/>
      <c r="F65" s="153"/>
      <c r="H65" s="18"/>
      <c r="I65" s="18"/>
      <c r="J65" s="18"/>
      <c r="L65" s="70"/>
      <c r="M65" s="157"/>
      <c r="N65" t="s">
        <v>632</v>
      </c>
      <c r="O65" s="26"/>
    </row>
    <row r="66" spans="2:15" x14ac:dyDescent="0.2">
      <c r="B66" s="216" t="s">
        <v>5026</v>
      </c>
      <c r="C66" s="159"/>
      <c r="D66" s="153"/>
      <c r="E66" s="153"/>
      <c r="F66" s="153"/>
      <c r="H66" s="18"/>
      <c r="I66" s="18"/>
      <c r="J66" s="18"/>
      <c r="L66" s="70"/>
      <c r="M66" s="157"/>
      <c r="N66" t="s">
        <v>633</v>
      </c>
      <c r="O66" s="26"/>
    </row>
    <row r="67" spans="2:15" x14ac:dyDescent="0.2">
      <c r="B67" s="225"/>
      <c r="C67" s="159"/>
      <c r="D67" s="153"/>
      <c r="E67" s="153"/>
      <c r="F67" s="153"/>
      <c r="H67" s="18"/>
      <c r="I67" s="18"/>
      <c r="J67" s="18"/>
      <c r="L67" s="70"/>
      <c r="M67" s="157"/>
      <c r="O67" s="26"/>
    </row>
    <row r="68" spans="2:15" ht="13.5" thickBot="1" x14ac:dyDescent="0.25">
      <c r="B68" s="226" t="s">
        <v>2979</v>
      </c>
      <c r="C68" s="159"/>
      <c r="D68" s="153"/>
      <c r="E68" s="154"/>
      <c r="F68" s="153"/>
      <c r="H68" s="18"/>
      <c r="I68" s="18"/>
      <c r="J68" s="18"/>
      <c r="L68" s="70"/>
      <c r="M68" s="157"/>
      <c r="O68" s="26"/>
    </row>
    <row r="69" spans="2:15" x14ac:dyDescent="0.2">
      <c r="B69" s="226" t="s">
        <v>4329</v>
      </c>
      <c r="C69" s="159"/>
      <c r="D69" s="153"/>
      <c r="E69" s="153"/>
      <c r="F69" s="153"/>
      <c r="H69" s="18"/>
      <c r="I69" s="18"/>
      <c r="J69" s="18"/>
      <c r="L69" s="70"/>
      <c r="M69" s="157"/>
      <c r="N69" s="216" t="s">
        <v>635</v>
      </c>
      <c r="O69" s="26"/>
    </row>
    <row r="70" spans="2:15" x14ac:dyDescent="0.2">
      <c r="B70" s="226" t="s">
        <v>1487</v>
      </c>
      <c r="C70" s="159"/>
      <c r="D70" s="153"/>
      <c r="E70" s="153"/>
      <c r="F70" s="153"/>
      <c r="H70" s="18"/>
      <c r="I70" s="18"/>
      <c r="J70" s="18"/>
      <c r="L70" s="70"/>
      <c r="M70" s="157"/>
      <c r="N70" t="s">
        <v>658</v>
      </c>
      <c r="O70" s="26"/>
    </row>
    <row r="71" spans="2:15" x14ac:dyDescent="0.2">
      <c r="B71" s="226" t="s">
        <v>5218</v>
      </c>
      <c r="C71" s="159"/>
      <c r="D71" s="153"/>
      <c r="E71" s="153"/>
      <c r="F71" s="153"/>
      <c r="H71" s="18"/>
      <c r="I71" s="18"/>
      <c r="J71" s="18"/>
      <c r="L71" s="70"/>
      <c r="M71" s="157"/>
      <c r="N71" t="s">
        <v>943</v>
      </c>
      <c r="O71" s="26"/>
    </row>
    <row r="72" spans="2:15" x14ac:dyDescent="0.2">
      <c r="B72" s="226" t="s">
        <v>1556</v>
      </c>
      <c r="C72" s="159"/>
      <c r="D72" s="153"/>
      <c r="E72" s="153"/>
      <c r="F72" s="153"/>
      <c r="H72" s="18"/>
      <c r="I72" s="18"/>
      <c r="J72" s="18"/>
      <c r="L72" s="70"/>
      <c r="M72" s="157"/>
      <c r="N72" t="s">
        <v>2286</v>
      </c>
      <c r="O72" s="26"/>
    </row>
    <row r="73" spans="2:15" x14ac:dyDescent="0.2">
      <c r="B73" s="226" t="s">
        <v>552</v>
      </c>
      <c r="C73" s="159"/>
      <c r="D73" s="153"/>
      <c r="E73" s="153"/>
      <c r="F73" s="153"/>
      <c r="H73" s="18"/>
      <c r="I73" s="18"/>
      <c r="J73" s="18"/>
      <c r="L73" s="70"/>
      <c r="M73" s="157"/>
      <c r="N73" t="s">
        <v>4741</v>
      </c>
      <c r="O73" s="26"/>
    </row>
    <row r="74" spans="2:15" x14ac:dyDescent="0.2">
      <c r="B74" s="226" t="s">
        <v>3153</v>
      </c>
      <c r="C74" s="159"/>
      <c r="D74" s="153"/>
      <c r="E74" s="153"/>
      <c r="F74" s="153"/>
      <c r="H74" s="18"/>
      <c r="I74" s="18"/>
      <c r="J74" s="18"/>
      <c r="L74" s="70"/>
      <c r="M74" s="157"/>
      <c r="N74" t="s">
        <v>3876</v>
      </c>
      <c r="O74" s="26"/>
    </row>
    <row r="75" spans="2:15" x14ac:dyDescent="0.2">
      <c r="B75" s="226" t="s">
        <v>92</v>
      </c>
      <c r="C75" s="159"/>
      <c r="D75" s="153"/>
      <c r="E75" s="153"/>
      <c r="F75" s="153"/>
      <c r="H75" s="18"/>
      <c r="I75" s="18"/>
      <c r="J75" s="18"/>
      <c r="L75" s="70"/>
      <c r="M75" s="157"/>
      <c r="N75" t="s">
        <v>3877</v>
      </c>
      <c r="O75" s="26"/>
    </row>
    <row r="76" spans="2:15" x14ac:dyDescent="0.2">
      <c r="B76" s="226" t="s">
        <v>2249</v>
      </c>
      <c r="C76" s="159"/>
      <c r="D76" s="153"/>
      <c r="E76" s="154"/>
      <c r="F76" s="153"/>
      <c r="H76" s="18"/>
      <c r="I76" s="18"/>
      <c r="J76" s="18"/>
      <c r="L76" s="70"/>
      <c r="M76" s="157"/>
      <c r="N76" t="s">
        <v>5025</v>
      </c>
      <c r="O76" s="26"/>
    </row>
    <row r="77" spans="2:15" x14ac:dyDescent="0.2">
      <c r="B77" s="226" t="s">
        <v>3908</v>
      </c>
      <c r="C77" s="159"/>
      <c r="D77" s="153"/>
      <c r="E77" s="153"/>
      <c r="F77" s="153"/>
      <c r="H77" s="18"/>
      <c r="I77" s="18"/>
      <c r="J77" s="18"/>
      <c r="L77" s="70"/>
      <c r="M77" s="157"/>
      <c r="O77" s="26"/>
    </row>
    <row r="78" spans="2:15" ht="13.5" thickBot="1" x14ac:dyDescent="0.25">
      <c r="B78" s="226" t="s">
        <v>2194</v>
      </c>
      <c r="C78" s="159"/>
      <c r="D78" s="153"/>
      <c r="E78" s="154"/>
      <c r="F78" s="153"/>
      <c r="H78" s="18"/>
      <c r="I78" s="18"/>
      <c r="J78" s="18"/>
      <c r="L78" s="70"/>
      <c r="M78" s="157"/>
      <c r="O78" s="26"/>
    </row>
    <row r="79" spans="2:15" x14ac:dyDescent="0.2">
      <c r="B79" s="226" t="s">
        <v>2195</v>
      </c>
      <c r="C79" s="159"/>
      <c r="D79" s="153"/>
      <c r="E79" s="154"/>
      <c r="F79" s="153"/>
      <c r="H79" s="18"/>
      <c r="I79" s="18"/>
      <c r="J79" s="18"/>
      <c r="L79" s="70"/>
      <c r="M79" s="157"/>
      <c r="N79" s="216" t="s">
        <v>3878</v>
      </c>
      <c r="O79" s="26"/>
    </row>
    <row r="80" spans="2:15" x14ac:dyDescent="0.2">
      <c r="B80" s="226" t="s">
        <v>3515</v>
      </c>
      <c r="C80" s="159"/>
      <c r="D80" s="153"/>
      <c r="E80" s="153"/>
      <c r="F80" s="153"/>
      <c r="H80" s="18"/>
      <c r="I80" s="18"/>
      <c r="J80" s="18"/>
      <c r="L80" s="70"/>
      <c r="M80" s="157"/>
      <c r="N80" t="s">
        <v>3462</v>
      </c>
      <c r="O80" s="26"/>
    </row>
    <row r="81" spans="2:15" x14ac:dyDescent="0.2">
      <c r="B81" s="226" t="s">
        <v>4059</v>
      </c>
      <c r="C81" s="159"/>
      <c r="D81" s="153"/>
      <c r="E81" s="153"/>
      <c r="F81" s="153"/>
      <c r="H81" s="18"/>
      <c r="I81" s="18"/>
      <c r="J81" s="18"/>
      <c r="L81" s="70"/>
      <c r="M81" s="157"/>
      <c r="N81" t="s">
        <v>943</v>
      </c>
      <c r="O81" s="26"/>
    </row>
    <row r="82" spans="2:15" x14ac:dyDescent="0.2">
      <c r="C82" s="159"/>
      <c r="D82" s="153"/>
      <c r="E82" s="153"/>
      <c r="F82" s="153"/>
      <c r="H82" s="18"/>
      <c r="I82" s="18"/>
      <c r="J82" s="18"/>
      <c r="L82" s="70"/>
      <c r="M82" s="157"/>
      <c r="N82" t="s">
        <v>2286</v>
      </c>
      <c r="O82" s="26"/>
    </row>
    <row r="83" spans="2:15" ht="13.5" thickBot="1" x14ac:dyDescent="0.25">
      <c r="B83" s="180"/>
      <c r="C83" s="159"/>
      <c r="D83" s="153"/>
      <c r="E83" s="154"/>
      <c r="F83" s="153"/>
      <c r="H83" s="18"/>
      <c r="I83" s="18"/>
      <c r="J83" s="18"/>
      <c r="L83" s="70"/>
      <c r="M83" s="157"/>
      <c r="N83" t="s">
        <v>4741</v>
      </c>
      <c r="O83" s="26"/>
    </row>
    <row r="84" spans="2:15" x14ac:dyDescent="0.2">
      <c r="B84" s="216" t="s">
        <v>4060</v>
      </c>
      <c r="C84" s="159"/>
      <c r="D84" s="153"/>
      <c r="E84" s="153"/>
      <c r="F84" s="153"/>
      <c r="H84" s="18"/>
      <c r="I84" s="18"/>
      <c r="J84" s="18"/>
      <c r="L84" s="70"/>
      <c r="M84" s="157"/>
      <c r="N84" t="s">
        <v>3876</v>
      </c>
      <c r="O84" s="26"/>
    </row>
    <row r="85" spans="2:15" x14ac:dyDescent="0.2">
      <c r="B85" s="225"/>
      <c r="C85" s="159"/>
      <c r="D85" s="153"/>
      <c r="E85" s="154"/>
      <c r="F85" s="153"/>
      <c r="H85" s="18"/>
      <c r="I85" s="18"/>
      <c r="J85" s="18"/>
      <c r="L85" s="70"/>
      <c r="M85" s="157"/>
      <c r="N85" t="s">
        <v>3877</v>
      </c>
      <c r="O85" s="26"/>
    </row>
    <row r="86" spans="2:15" x14ac:dyDescent="0.2">
      <c r="B86" s="226" t="s">
        <v>2979</v>
      </c>
      <c r="C86" s="159"/>
      <c r="D86" s="153"/>
      <c r="E86" s="153"/>
      <c r="F86" s="153"/>
      <c r="H86" s="18"/>
      <c r="I86" s="18"/>
      <c r="J86" s="18"/>
      <c r="L86" s="70"/>
      <c r="M86" s="157"/>
      <c r="N86" t="s">
        <v>5025</v>
      </c>
      <c r="O86" s="26"/>
    </row>
    <row r="87" spans="2:15" x14ac:dyDescent="0.2">
      <c r="B87" s="226" t="s">
        <v>4329</v>
      </c>
      <c r="C87" s="159"/>
      <c r="D87" s="153"/>
      <c r="E87" s="153"/>
      <c r="F87" s="153"/>
      <c r="H87" s="18"/>
      <c r="I87" s="18"/>
      <c r="J87" s="18"/>
      <c r="L87" s="70"/>
      <c r="M87" s="157"/>
      <c r="O87" s="26"/>
    </row>
    <row r="88" spans="2:15" x14ac:dyDescent="0.2">
      <c r="B88" s="226" t="s">
        <v>3151</v>
      </c>
      <c r="C88" s="159"/>
      <c r="D88" s="153"/>
      <c r="E88" s="154"/>
      <c r="F88" s="153"/>
      <c r="H88" s="18"/>
      <c r="I88" s="18"/>
      <c r="J88" s="18"/>
      <c r="L88" s="70"/>
      <c r="M88" s="157"/>
      <c r="O88" s="26"/>
    </row>
    <row r="89" spans="2:15" ht="13.5" thickBot="1" x14ac:dyDescent="0.25">
      <c r="B89" s="226" t="s">
        <v>5218</v>
      </c>
      <c r="C89" s="159"/>
      <c r="D89" s="153"/>
      <c r="E89" s="154"/>
      <c r="F89" s="153"/>
      <c r="H89" s="18"/>
      <c r="I89" s="18"/>
      <c r="J89" s="18"/>
      <c r="L89" s="70"/>
      <c r="M89" s="157"/>
      <c r="O89" s="26"/>
    </row>
    <row r="90" spans="2:15" x14ac:dyDescent="0.2">
      <c r="B90" s="226" t="s">
        <v>1556</v>
      </c>
      <c r="C90" s="159"/>
      <c r="D90" s="153"/>
      <c r="E90" s="153"/>
      <c r="F90" s="153"/>
      <c r="H90" s="18"/>
      <c r="I90" s="18"/>
      <c r="J90" s="18"/>
      <c r="L90" s="70"/>
      <c r="M90" s="157"/>
      <c r="N90" s="216" t="s">
        <v>3463</v>
      </c>
      <c r="O90" s="26"/>
    </row>
    <row r="91" spans="2:15" x14ac:dyDescent="0.2">
      <c r="B91" s="226" t="s">
        <v>4061</v>
      </c>
      <c r="C91" s="159"/>
      <c r="D91" s="153"/>
      <c r="E91" s="153"/>
      <c r="F91" s="153"/>
      <c r="H91" s="18"/>
      <c r="I91" s="18"/>
      <c r="J91" s="18"/>
      <c r="L91" s="70"/>
      <c r="M91" s="157"/>
      <c r="N91" t="s">
        <v>3769</v>
      </c>
      <c r="O91" s="26"/>
    </row>
    <row r="92" spans="2:15" x14ac:dyDescent="0.2">
      <c r="B92" s="226" t="s">
        <v>1925</v>
      </c>
      <c r="C92" s="159"/>
      <c r="D92" s="153"/>
      <c r="E92" s="153"/>
      <c r="F92" s="153"/>
      <c r="H92" s="18"/>
      <c r="I92" s="18"/>
      <c r="J92" s="18"/>
      <c r="L92" s="70"/>
      <c r="M92" s="157"/>
      <c r="N92" t="s">
        <v>943</v>
      </c>
      <c r="O92" s="26"/>
    </row>
    <row r="93" spans="2:15" x14ac:dyDescent="0.2">
      <c r="B93" s="226" t="s">
        <v>4194</v>
      </c>
      <c r="C93" s="159"/>
      <c r="D93" s="153"/>
      <c r="E93" s="153"/>
      <c r="F93" s="153"/>
      <c r="H93" s="18"/>
      <c r="I93" s="18"/>
      <c r="J93" s="18"/>
      <c r="L93" s="70"/>
      <c r="M93" s="157"/>
      <c r="N93" t="s">
        <v>760</v>
      </c>
      <c r="O93" s="26"/>
    </row>
    <row r="94" spans="2:15" x14ac:dyDescent="0.2">
      <c r="B94" s="226" t="s">
        <v>1978</v>
      </c>
      <c r="C94" s="159"/>
      <c r="D94" s="153"/>
      <c r="E94" s="153"/>
      <c r="F94" s="153"/>
      <c r="H94" s="18"/>
      <c r="I94" s="18"/>
      <c r="J94" s="18"/>
      <c r="L94" s="70"/>
      <c r="M94" s="157"/>
      <c r="N94" t="s">
        <v>1600</v>
      </c>
      <c r="O94" s="26"/>
    </row>
    <row r="95" spans="2:15" x14ac:dyDescent="0.2">
      <c r="B95" s="226" t="s">
        <v>3908</v>
      </c>
      <c r="C95" s="159"/>
      <c r="D95" s="153"/>
      <c r="E95" s="154"/>
      <c r="F95" s="153"/>
      <c r="H95" s="18"/>
      <c r="I95" s="18"/>
      <c r="J95" s="18"/>
      <c r="L95" s="70"/>
      <c r="M95" s="157"/>
      <c r="N95" t="s">
        <v>851</v>
      </c>
      <c r="O95" s="26"/>
    </row>
    <row r="96" spans="2:15" x14ac:dyDescent="0.2">
      <c r="B96" s="226" t="s">
        <v>2194</v>
      </c>
      <c r="C96" s="159"/>
      <c r="D96" s="153"/>
      <c r="E96" s="153"/>
      <c r="F96" s="153"/>
      <c r="H96" s="18"/>
      <c r="I96" s="18"/>
      <c r="J96" s="18"/>
      <c r="L96" s="70"/>
      <c r="M96" s="157"/>
      <c r="N96" t="s">
        <v>2254</v>
      </c>
      <c r="O96" s="26"/>
    </row>
    <row r="97" spans="2:18" x14ac:dyDescent="0.2">
      <c r="B97" s="226" t="s">
        <v>2992</v>
      </c>
      <c r="C97" s="159"/>
      <c r="D97" s="153"/>
      <c r="E97" s="154"/>
      <c r="F97" s="153"/>
      <c r="H97" s="18"/>
      <c r="I97" s="18"/>
      <c r="J97" s="18"/>
      <c r="L97" s="70"/>
      <c r="M97" s="157"/>
      <c r="N97" t="s">
        <v>5025</v>
      </c>
      <c r="O97" s="26"/>
    </row>
    <row r="98" spans="2:18" x14ac:dyDescent="0.2">
      <c r="B98" s="226" t="s">
        <v>669</v>
      </c>
      <c r="C98" s="159"/>
      <c r="D98" s="153"/>
      <c r="E98" s="153"/>
      <c r="F98" s="153"/>
      <c r="H98" s="18"/>
      <c r="I98" s="18"/>
      <c r="J98" s="18"/>
      <c r="L98" s="70"/>
      <c r="M98" s="157"/>
      <c r="O98" s="26"/>
    </row>
    <row r="99" spans="2:18" x14ac:dyDescent="0.2">
      <c r="B99" s="226" t="s">
        <v>815</v>
      </c>
      <c r="C99" s="159"/>
      <c r="D99" s="153"/>
      <c r="E99" s="154"/>
      <c r="F99" s="153"/>
      <c r="H99" s="18"/>
      <c r="I99" s="18"/>
      <c r="J99" s="18"/>
      <c r="L99" s="70"/>
      <c r="M99" s="157"/>
      <c r="O99" s="26"/>
    </row>
    <row r="100" spans="2:18" x14ac:dyDescent="0.2">
      <c r="C100" s="159"/>
      <c r="D100" s="153"/>
      <c r="E100" s="153"/>
      <c r="F100" s="153"/>
      <c r="H100" s="18"/>
      <c r="I100" s="18"/>
      <c r="J100" s="18"/>
      <c r="L100" s="70"/>
      <c r="M100" s="157"/>
      <c r="O100" s="26"/>
    </row>
    <row r="101" spans="2:18" x14ac:dyDescent="0.2">
      <c r="C101" s="159"/>
      <c r="D101" s="153"/>
      <c r="E101" s="153"/>
      <c r="F101" s="153"/>
      <c r="H101" s="18"/>
      <c r="I101" s="18"/>
      <c r="J101" s="18"/>
      <c r="L101" s="70"/>
      <c r="M101" s="157"/>
      <c r="O101" s="26"/>
    </row>
    <row r="102" spans="2:18" x14ac:dyDescent="0.2">
      <c r="C102" s="326"/>
      <c r="D102" s="327"/>
      <c r="E102" s="327"/>
      <c r="F102" s="327"/>
      <c r="H102" s="18"/>
      <c r="I102" s="18"/>
      <c r="J102" s="18"/>
      <c r="L102" s="70"/>
      <c r="M102" s="157"/>
      <c r="O102" s="26"/>
    </row>
    <row r="103" spans="2:18" x14ac:dyDescent="0.2">
      <c r="H103" s="18"/>
      <c r="I103" s="18"/>
      <c r="J103" s="18"/>
      <c r="L103" s="70"/>
      <c r="M103" s="157"/>
      <c r="O103" s="26"/>
    </row>
    <row r="104" spans="2:18" ht="13.5" thickBot="1" x14ac:dyDescent="0.25">
      <c r="H104" s="18"/>
      <c r="I104" s="18"/>
      <c r="J104" s="18"/>
      <c r="L104" s="70"/>
      <c r="M104" s="157"/>
      <c r="O104" s="26"/>
    </row>
    <row r="105" spans="2:18" x14ac:dyDescent="0.2">
      <c r="H105" s="18"/>
      <c r="I105" s="18"/>
      <c r="J105" s="18"/>
      <c r="L105" s="70"/>
      <c r="M105" s="157"/>
      <c r="N105" s="597" t="s">
        <v>2255</v>
      </c>
      <c r="O105" s="598"/>
      <c r="P105" s="598"/>
      <c r="Q105" s="598"/>
      <c r="R105" s="599"/>
    </row>
    <row r="106" spans="2:18" x14ac:dyDescent="0.2">
      <c r="H106" s="18"/>
      <c r="I106" s="18"/>
      <c r="J106" s="18"/>
      <c r="L106" s="70"/>
      <c r="M106" s="157"/>
      <c r="N106" s="229" t="s">
        <v>578</v>
      </c>
      <c r="O106" s="230" t="s">
        <v>945</v>
      </c>
      <c r="P106" s="231" t="s">
        <v>326</v>
      </c>
      <c r="Q106" s="61"/>
      <c r="R106" s="218"/>
    </row>
    <row r="107" spans="2:18" x14ac:dyDescent="0.2">
      <c r="H107" s="18"/>
      <c r="I107" s="18"/>
      <c r="J107" s="18"/>
      <c r="L107" s="70"/>
      <c r="M107" s="157"/>
      <c r="N107" s="232"/>
      <c r="O107" s="233"/>
      <c r="P107" s="234"/>
      <c r="Q107" s="61"/>
      <c r="R107" s="218"/>
    </row>
    <row r="108" spans="2:18" ht="51" x14ac:dyDescent="0.2">
      <c r="C108" s="328"/>
      <c r="D108" s="329"/>
      <c r="E108" s="329"/>
      <c r="F108" s="329"/>
      <c r="H108" s="18"/>
      <c r="I108" s="18"/>
      <c r="J108" s="18"/>
      <c r="L108" s="70"/>
      <c r="M108" s="157"/>
      <c r="N108" s="235" t="s">
        <v>2873</v>
      </c>
      <c r="O108" s="236" t="s">
        <v>946</v>
      </c>
      <c r="P108" s="237" t="s">
        <v>82</v>
      </c>
      <c r="Q108" s="61"/>
      <c r="R108" s="218"/>
    </row>
    <row r="109" spans="2:18" x14ac:dyDescent="0.2">
      <c r="C109" s="159"/>
      <c r="D109" s="153"/>
      <c r="E109" s="153"/>
      <c r="F109" s="153"/>
      <c r="H109" s="18"/>
      <c r="I109" s="18"/>
      <c r="J109" s="18"/>
      <c r="L109" s="70"/>
      <c r="M109" s="157"/>
      <c r="N109" s="232"/>
      <c r="O109" s="233"/>
      <c r="P109" s="233"/>
      <c r="Q109" s="61"/>
      <c r="R109" s="218"/>
    </row>
    <row r="110" spans="2:18" ht="63.75" x14ac:dyDescent="0.2">
      <c r="C110" s="159"/>
      <c r="D110" s="153"/>
      <c r="E110" s="154"/>
      <c r="F110" s="153"/>
      <c r="H110" s="18"/>
      <c r="I110" s="18"/>
      <c r="J110" s="18"/>
      <c r="L110" s="70"/>
      <c r="M110" s="157"/>
      <c r="N110" s="232"/>
      <c r="O110" s="236" t="s">
        <v>1090</v>
      </c>
      <c r="P110" s="233"/>
      <c r="Q110" s="61"/>
      <c r="R110" s="218"/>
    </row>
    <row r="111" spans="2:18" ht="38.25" x14ac:dyDescent="0.2">
      <c r="C111" s="159"/>
      <c r="D111" s="153"/>
      <c r="E111" s="154"/>
      <c r="F111" s="153"/>
      <c r="H111" s="18"/>
      <c r="I111" s="18"/>
      <c r="J111" s="18"/>
      <c r="L111" s="70"/>
      <c r="M111" s="157"/>
      <c r="N111" s="235" t="s">
        <v>1433</v>
      </c>
      <c r="O111" s="233"/>
      <c r="P111" s="237" t="s">
        <v>82</v>
      </c>
      <c r="Q111" s="61"/>
      <c r="R111" s="218"/>
    </row>
    <row r="112" spans="2:18" ht="63.75" x14ac:dyDescent="0.2">
      <c r="C112" s="159"/>
      <c r="D112" s="153"/>
      <c r="E112" s="153"/>
      <c r="F112" s="153"/>
      <c r="H112" s="18"/>
      <c r="I112" s="18"/>
      <c r="J112" s="18"/>
      <c r="L112" s="70"/>
      <c r="M112" s="157"/>
      <c r="N112" s="232"/>
      <c r="O112" s="236" t="s">
        <v>285</v>
      </c>
      <c r="P112" s="233"/>
      <c r="Q112" s="61"/>
      <c r="R112" s="218"/>
    </row>
    <row r="113" spans="3:18" ht="63.75" x14ac:dyDescent="0.2">
      <c r="C113" s="159"/>
      <c r="D113" s="153"/>
      <c r="E113" s="154"/>
      <c r="F113" s="153"/>
      <c r="H113" s="18"/>
      <c r="I113" s="18"/>
      <c r="J113" s="18"/>
      <c r="L113" s="70"/>
      <c r="M113" s="157"/>
      <c r="N113" s="235" t="s">
        <v>944</v>
      </c>
      <c r="O113" s="236" t="s">
        <v>3169</v>
      </c>
      <c r="P113" s="233"/>
      <c r="Q113" s="61"/>
      <c r="R113" s="218"/>
    </row>
    <row r="114" spans="3:18" x14ac:dyDescent="0.2">
      <c r="C114" s="159"/>
      <c r="D114" s="153"/>
      <c r="E114" s="154"/>
      <c r="F114" s="153"/>
      <c r="H114" s="18"/>
      <c r="I114" s="18"/>
      <c r="J114" s="18"/>
      <c r="L114" s="70"/>
      <c r="M114" s="157"/>
      <c r="N114" s="235"/>
      <c r="O114" s="236"/>
      <c r="P114" s="237" t="s">
        <v>82</v>
      </c>
      <c r="Q114" s="61"/>
      <c r="R114" s="218"/>
    </row>
    <row r="115" spans="3:18" ht="51" x14ac:dyDescent="0.2">
      <c r="C115" s="159"/>
      <c r="D115" s="153"/>
      <c r="E115" s="154"/>
      <c r="F115" s="153"/>
      <c r="H115" s="18"/>
      <c r="I115" s="18"/>
      <c r="J115" s="18"/>
      <c r="L115" s="70"/>
      <c r="M115" s="157"/>
      <c r="N115" s="235" t="s">
        <v>944</v>
      </c>
      <c r="O115" s="236"/>
      <c r="P115" s="233"/>
      <c r="Q115" s="61"/>
      <c r="R115" s="218"/>
    </row>
    <row r="116" spans="3:18" x14ac:dyDescent="0.2">
      <c r="C116" s="159"/>
      <c r="D116" s="153"/>
      <c r="E116" s="153"/>
      <c r="F116" s="153"/>
      <c r="H116" s="18"/>
      <c r="I116" s="18"/>
      <c r="J116" s="18"/>
      <c r="L116" s="70"/>
      <c r="M116" s="157"/>
      <c r="N116" s="235"/>
      <c r="O116" s="236"/>
      <c r="P116" s="233"/>
      <c r="Q116" s="61"/>
      <c r="R116" s="218"/>
    </row>
    <row r="117" spans="3:18" x14ac:dyDescent="0.2">
      <c r="C117" s="159"/>
      <c r="D117" s="153"/>
      <c r="E117" s="153"/>
      <c r="F117" s="153"/>
      <c r="H117" s="18"/>
      <c r="I117" s="18"/>
      <c r="J117" s="18"/>
      <c r="L117" s="70"/>
      <c r="M117" s="157"/>
      <c r="N117" s="235"/>
      <c r="O117" s="236"/>
      <c r="P117" s="237"/>
      <c r="Q117" s="61"/>
      <c r="R117" s="218"/>
    </row>
    <row r="118" spans="3:18" x14ac:dyDescent="0.2">
      <c r="C118" s="159"/>
      <c r="D118" s="153"/>
      <c r="E118" s="153"/>
      <c r="F118" s="153"/>
      <c r="H118" s="18"/>
      <c r="I118" s="18"/>
      <c r="J118" s="18"/>
      <c r="L118" s="70"/>
      <c r="M118" s="157"/>
      <c r="N118" s="235"/>
      <c r="O118" s="236"/>
      <c r="P118" s="237"/>
      <c r="Q118" s="61"/>
      <c r="R118" s="218"/>
    </row>
    <row r="119" spans="3:18" ht="13.5" thickBot="1" x14ac:dyDescent="0.25">
      <c r="C119" s="159"/>
      <c r="D119" s="153"/>
      <c r="E119" s="153"/>
      <c r="F119" s="153"/>
      <c r="H119" s="18"/>
      <c r="I119" s="18"/>
      <c r="J119" s="18"/>
      <c r="L119" s="70"/>
      <c r="M119" s="157"/>
      <c r="N119" s="238"/>
      <c r="O119" s="239"/>
      <c r="P119" s="239" t="s">
        <v>83</v>
      </c>
      <c r="Q119" s="240"/>
      <c r="R119" s="219"/>
    </row>
    <row r="120" spans="3:18" x14ac:dyDescent="0.2">
      <c r="C120" s="159"/>
      <c r="D120" s="153"/>
      <c r="E120" s="153"/>
      <c r="F120" s="153"/>
      <c r="H120" s="18"/>
      <c r="I120" s="18"/>
      <c r="J120" s="18"/>
      <c r="L120" s="70"/>
      <c r="M120" s="157"/>
      <c r="O120" s="26"/>
    </row>
    <row r="121" spans="3:18" x14ac:dyDescent="0.2">
      <c r="C121" s="159"/>
      <c r="D121" s="153"/>
      <c r="E121" s="153"/>
      <c r="F121" s="153"/>
      <c r="H121" s="18"/>
      <c r="I121" s="18"/>
      <c r="J121" s="18"/>
      <c r="L121" s="70"/>
      <c r="M121" s="157"/>
      <c r="O121" s="26"/>
    </row>
    <row r="122" spans="3:18" x14ac:dyDescent="0.2">
      <c r="C122" s="159"/>
      <c r="D122" s="153"/>
      <c r="E122" s="153"/>
      <c r="F122" s="153"/>
      <c r="H122" s="18"/>
      <c r="I122" s="18"/>
      <c r="J122" s="18"/>
      <c r="L122" s="70"/>
      <c r="M122" s="157"/>
      <c r="O122" s="26"/>
    </row>
    <row r="123" spans="3:18" x14ac:dyDescent="0.2">
      <c r="C123" s="159"/>
      <c r="D123" s="153"/>
      <c r="E123" s="154"/>
      <c r="F123" s="153"/>
      <c r="H123" s="18"/>
      <c r="I123" s="18"/>
      <c r="J123" s="18"/>
      <c r="L123" s="70"/>
      <c r="M123" s="157"/>
      <c r="O123" s="26"/>
    </row>
    <row r="124" spans="3:18" x14ac:dyDescent="0.2">
      <c r="C124" s="159"/>
      <c r="D124" s="153"/>
      <c r="E124" s="154"/>
      <c r="F124" s="153"/>
      <c r="H124" s="18"/>
      <c r="I124" s="18"/>
      <c r="J124" s="18"/>
      <c r="L124" s="70"/>
      <c r="M124" s="157"/>
      <c r="O124" s="26"/>
    </row>
    <row r="125" spans="3:18" x14ac:dyDescent="0.2">
      <c r="C125" s="159"/>
      <c r="D125" s="153"/>
      <c r="E125" s="153"/>
      <c r="F125" s="153"/>
      <c r="H125" s="18"/>
      <c r="I125" s="18"/>
      <c r="J125" s="18"/>
      <c r="L125" s="70"/>
      <c r="M125" s="157"/>
      <c r="O125" s="26"/>
    </row>
    <row r="126" spans="3:18" x14ac:dyDescent="0.2">
      <c r="C126" s="159"/>
      <c r="D126" s="153"/>
      <c r="E126" s="154"/>
      <c r="F126" s="153"/>
      <c r="H126" s="18"/>
      <c r="I126" s="18"/>
      <c r="J126" s="18"/>
      <c r="L126" s="70"/>
      <c r="M126" s="157"/>
      <c r="O126" s="26"/>
    </row>
    <row r="127" spans="3:18" x14ac:dyDescent="0.2">
      <c r="C127" s="159"/>
      <c r="D127" s="153"/>
      <c r="E127" s="153"/>
      <c r="F127" s="153"/>
      <c r="H127" s="18"/>
      <c r="I127" s="18"/>
      <c r="J127" s="18"/>
      <c r="L127" s="70"/>
      <c r="M127" s="157"/>
      <c r="O127" s="26"/>
    </row>
    <row r="128" spans="3:18" x14ac:dyDescent="0.2">
      <c r="C128" s="159"/>
      <c r="D128" s="153"/>
      <c r="E128" s="153"/>
      <c r="F128" s="153"/>
      <c r="H128" s="18"/>
      <c r="I128" s="18"/>
      <c r="J128" s="18"/>
      <c r="L128" s="70"/>
      <c r="M128" s="157"/>
      <c r="O128" s="26"/>
    </row>
    <row r="129" spans="3:15" x14ac:dyDescent="0.2">
      <c r="C129" s="159"/>
      <c r="D129" s="153"/>
      <c r="E129" s="153"/>
      <c r="F129" s="153"/>
      <c r="H129" s="18"/>
      <c r="I129" s="18"/>
      <c r="J129" s="18"/>
      <c r="L129" s="70"/>
      <c r="M129" s="157"/>
      <c r="O129" s="26"/>
    </row>
    <row r="130" spans="3:15" x14ac:dyDescent="0.2">
      <c r="C130" s="159"/>
      <c r="D130" s="153"/>
      <c r="E130" s="153"/>
      <c r="F130" s="153"/>
      <c r="H130" s="18"/>
      <c r="I130" s="18"/>
      <c r="J130" s="18"/>
      <c r="L130" s="70"/>
      <c r="M130" s="157"/>
      <c r="O130" s="26"/>
    </row>
    <row r="131" spans="3:15" x14ac:dyDescent="0.2">
      <c r="C131" s="159"/>
      <c r="D131" s="153"/>
      <c r="E131" s="154"/>
      <c r="F131" s="153"/>
      <c r="H131" s="18"/>
      <c r="I131" s="18"/>
      <c r="J131" s="18"/>
      <c r="L131" s="70"/>
      <c r="M131" s="157"/>
      <c r="O131" s="26"/>
    </row>
    <row r="132" spans="3:15" x14ac:dyDescent="0.2">
      <c r="C132" s="159"/>
      <c r="D132" s="153"/>
      <c r="E132" s="153"/>
      <c r="F132" s="153"/>
      <c r="H132" s="18"/>
      <c r="I132" s="18"/>
      <c r="J132" s="18"/>
      <c r="L132" s="70"/>
      <c r="M132" s="157"/>
      <c r="O132" s="26"/>
    </row>
    <row r="133" spans="3:15" x14ac:dyDescent="0.2">
      <c r="C133" s="159"/>
      <c r="D133" s="153"/>
      <c r="E133" s="153"/>
      <c r="F133" s="153"/>
      <c r="H133" s="18"/>
      <c r="I133" s="18"/>
      <c r="J133" s="18"/>
      <c r="L133" s="70"/>
      <c r="M133" s="157"/>
      <c r="O133" s="26"/>
    </row>
    <row r="134" spans="3:15" x14ac:dyDescent="0.2">
      <c r="C134" s="159"/>
      <c r="D134" s="153"/>
      <c r="E134" s="153"/>
      <c r="F134" s="153"/>
      <c r="H134" s="18"/>
      <c r="I134" s="18"/>
      <c r="J134" s="18"/>
      <c r="L134" s="70"/>
      <c r="M134" s="157"/>
      <c r="O134" s="26"/>
    </row>
    <row r="135" spans="3:15" x14ac:dyDescent="0.2">
      <c r="C135" s="159"/>
      <c r="D135" s="153"/>
      <c r="E135" s="154"/>
      <c r="F135" s="153"/>
      <c r="H135" s="18"/>
      <c r="I135" s="18"/>
      <c r="J135" s="18"/>
      <c r="L135" s="70"/>
      <c r="M135" s="157"/>
      <c r="O135" s="26"/>
    </row>
    <row r="136" spans="3:15" x14ac:dyDescent="0.2">
      <c r="C136" s="159"/>
      <c r="D136" s="153"/>
      <c r="E136" s="153"/>
      <c r="F136" s="153"/>
      <c r="H136" s="18"/>
      <c r="I136" s="18"/>
      <c r="J136" s="18"/>
      <c r="L136" s="70"/>
      <c r="M136" s="157"/>
      <c r="O136" s="26"/>
    </row>
    <row r="137" spans="3:15" x14ac:dyDescent="0.2">
      <c r="C137" s="159"/>
      <c r="D137" s="153"/>
      <c r="E137" s="153"/>
      <c r="F137" s="153"/>
      <c r="H137" s="18"/>
      <c r="I137" s="18"/>
      <c r="J137" s="18"/>
      <c r="L137" s="70"/>
      <c r="M137" s="157"/>
      <c r="O137" s="26"/>
    </row>
    <row r="138" spans="3:15" x14ac:dyDescent="0.2">
      <c r="C138" s="159"/>
      <c r="D138" s="153"/>
      <c r="E138" s="153"/>
      <c r="F138" s="153"/>
      <c r="H138" s="18"/>
      <c r="I138" s="18"/>
      <c r="J138" s="18"/>
      <c r="L138" s="70"/>
      <c r="M138" s="157"/>
      <c r="O138" s="26"/>
    </row>
    <row r="139" spans="3:15" x14ac:dyDescent="0.2">
      <c r="C139" s="159"/>
      <c r="D139" s="153"/>
      <c r="E139" s="153"/>
      <c r="F139" s="153"/>
      <c r="H139" s="18"/>
      <c r="I139" s="18"/>
      <c r="J139" s="18"/>
      <c r="L139" s="70"/>
      <c r="M139" s="157"/>
      <c r="O139" s="26"/>
    </row>
    <row r="140" spans="3:15" x14ac:dyDescent="0.2">
      <c r="C140" s="159"/>
      <c r="D140" s="153"/>
      <c r="E140" s="154"/>
      <c r="F140" s="153"/>
      <c r="H140" s="18"/>
      <c r="I140" s="18"/>
      <c r="J140" s="18"/>
      <c r="L140" s="70"/>
      <c r="M140" s="157"/>
      <c r="O140" s="26"/>
    </row>
    <row r="141" spans="3:15" x14ac:dyDescent="0.2">
      <c r="C141" s="159"/>
      <c r="D141" s="153"/>
      <c r="E141" s="153"/>
      <c r="F141" s="153"/>
      <c r="H141" s="18"/>
      <c r="I141" s="18"/>
      <c r="J141" s="18"/>
      <c r="L141" s="70"/>
      <c r="M141" s="157"/>
      <c r="O141" s="26"/>
    </row>
    <row r="142" spans="3:15" x14ac:dyDescent="0.2">
      <c r="C142" s="159"/>
      <c r="D142" s="153"/>
      <c r="E142" s="154"/>
      <c r="F142" s="153"/>
      <c r="H142" s="18"/>
      <c r="I142" s="18"/>
      <c r="J142" s="18"/>
      <c r="L142" s="70"/>
      <c r="M142" s="157"/>
      <c r="O142" s="26"/>
    </row>
    <row r="143" spans="3:15" x14ac:dyDescent="0.2">
      <c r="C143" s="159"/>
      <c r="D143" s="153"/>
      <c r="E143" s="153"/>
      <c r="F143" s="153"/>
      <c r="H143" s="18"/>
      <c r="I143" s="18"/>
      <c r="J143" s="18"/>
      <c r="L143" s="70"/>
      <c r="M143" s="157"/>
      <c r="O143" s="26"/>
    </row>
    <row r="144" spans="3:15" x14ac:dyDescent="0.2">
      <c r="C144" s="159"/>
      <c r="D144" s="153"/>
      <c r="E144" s="153"/>
      <c r="F144" s="153"/>
      <c r="H144" s="18"/>
      <c r="I144" s="18"/>
      <c r="J144" s="18"/>
      <c r="L144" s="70"/>
      <c r="M144" s="157"/>
      <c r="O144" s="26"/>
    </row>
    <row r="145" spans="3:15" x14ac:dyDescent="0.2">
      <c r="C145" s="159"/>
      <c r="D145" s="153"/>
      <c r="E145" s="154"/>
      <c r="F145" s="153"/>
      <c r="H145" s="18"/>
      <c r="I145" s="18"/>
      <c r="J145" s="18"/>
      <c r="L145" s="70"/>
      <c r="M145" s="157"/>
      <c r="O145" s="26"/>
    </row>
    <row r="146" spans="3:15" x14ac:dyDescent="0.2">
      <c r="C146" s="159"/>
      <c r="D146" s="153"/>
      <c r="E146" s="154"/>
      <c r="F146" s="153"/>
      <c r="H146" s="18"/>
      <c r="I146" s="18"/>
      <c r="J146" s="18"/>
      <c r="L146" s="70"/>
      <c r="M146" s="157"/>
      <c r="O146" s="26"/>
    </row>
    <row r="147" spans="3:15" x14ac:dyDescent="0.2">
      <c r="C147" s="159"/>
      <c r="D147" s="153"/>
      <c r="E147" s="154"/>
      <c r="F147" s="153"/>
      <c r="H147" s="18"/>
      <c r="I147" s="18"/>
      <c r="J147" s="18"/>
      <c r="L147" s="70"/>
      <c r="M147" s="157"/>
      <c r="O147" s="26"/>
    </row>
    <row r="148" spans="3:15" x14ac:dyDescent="0.2">
      <c r="C148" s="159"/>
      <c r="D148" s="153"/>
      <c r="E148" s="153"/>
      <c r="F148" s="153"/>
      <c r="H148" s="18"/>
      <c r="I148" s="18"/>
      <c r="J148" s="18"/>
      <c r="L148" s="70"/>
      <c r="M148" s="157"/>
      <c r="O148" s="26"/>
    </row>
    <row r="149" spans="3:15" x14ac:dyDescent="0.2">
      <c r="C149" s="159"/>
      <c r="D149" s="153"/>
      <c r="E149" s="153"/>
      <c r="F149" s="153"/>
      <c r="H149" s="18"/>
      <c r="I149" s="18"/>
      <c r="J149" s="18"/>
      <c r="L149" s="70"/>
      <c r="M149" s="157"/>
      <c r="O149" s="26"/>
    </row>
    <row r="150" spans="3:15" x14ac:dyDescent="0.2">
      <c r="C150" s="159"/>
      <c r="D150" s="153"/>
      <c r="E150" s="154"/>
      <c r="F150" s="153"/>
      <c r="H150" s="18"/>
      <c r="I150" s="18"/>
      <c r="J150" s="18"/>
      <c r="L150" s="70"/>
      <c r="M150" s="157"/>
      <c r="O150" s="26"/>
    </row>
    <row r="151" spans="3:15" x14ac:dyDescent="0.2">
      <c r="C151" s="159"/>
      <c r="D151" s="153"/>
      <c r="E151" s="153"/>
      <c r="F151" s="153"/>
      <c r="H151" s="18"/>
      <c r="I151" s="18"/>
      <c r="J151" s="18"/>
      <c r="L151" s="70"/>
      <c r="M151" s="157"/>
      <c r="O151" s="26"/>
    </row>
    <row r="152" spans="3:15" x14ac:dyDescent="0.2">
      <c r="C152" s="159"/>
      <c r="D152" s="153"/>
      <c r="E152" s="154"/>
      <c r="F152" s="153"/>
      <c r="H152" s="18"/>
      <c r="I152" s="18"/>
      <c r="J152" s="18"/>
      <c r="L152" s="70"/>
      <c r="M152" s="157"/>
      <c r="O152" s="26"/>
    </row>
    <row r="153" spans="3:15" x14ac:dyDescent="0.2">
      <c r="C153" s="159"/>
      <c r="D153" s="153"/>
      <c r="E153" s="153"/>
      <c r="F153" s="153"/>
      <c r="H153" s="18"/>
      <c r="I153" s="18"/>
      <c r="J153" s="18"/>
      <c r="L153" s="70"/>
      <c r="M153" s="157"/>
      <c r="O153" s="26"/>
    </row>
    <row r="154" spans="3:15" x14ac:dyDescent="0.2">
      <c r="C154" s="159"/>
      <c r="D154" s="153"/>
      <c r="E154" s="154"/>
      <c r="F154" s="153"/>
      <c r="H154" s="18"/>
      <c r="I154" s="18"/>
      <c r="J154" s="18"/>
      <c r="L154" s="70"/>
      <c r="M154" s="157"/>
      <c r="O154" s="26"/>
    </row>
    <row r="155" spans="3:15" x14ac:dyDescent="0.2">
      <c r="C155" s="159"/>
      <c r="D155" s="153"/>
      <c r="E155" s="154"/>
      <c r="F155" s="153"/>
      <c r="H155" s="18"/>
      <c r="I155" s="18"/>
      <c r="J155" s="18"/>
      <c r="L155" s="70"/>
      <c r="M155" s="157"/>
      <c r="O155" s="26"/>
    </row>
    <row r="156" spans="3:15" x14ac:dyDescent="0.2">
      <c r="C156" s="159"/>
      <c r="D156" s="153"/>
      <c r="E156" s="153"/>
      <c r="F156" s="153"/>
      <c r="H156" s="18"/>
      <c r="I156" s="18"/>
      <c r="J156" s="18"/>
      <c r="L156" s="70"/>
      <c r="M156" s="157"/>
      <c r="O156" s="26"/>
    </row>
    <row r="157" spans="3:15" x14ac:dyDescent="0.2">
      <c r="C157" s="159"/>
      <c r="D157" s="153"/>
      <c r="E157" s="153"/>
      <c r="F157" s="153"/>
      <c r="H157" s="18"/>
      <c r="I157" s="18"/>
      <c r="J157" s="18"/>
      <c r="L157" s="70"/>
      <c r="M157" s="157"/>
      <c r="O157" s="26"/>
    </row>
    <row r="158" spans="3:15" x14ac:dyDescent="0.2">
      <c r="C158" s="159"/>
      <c r="D158" s="153"/>
      <c r="E158" s="154"/>
      <c r="F158" s="153"/>
      <c r="H158" s="18"/>
      <c r="I158" s="18"/>
      <c r="J158" s="18"/>
      <c r="L158" s="70"/>
      <c r="M158" s="157"/>
      <c r="O158" s="26"/>
    </row>
    <row r="159" spans="3:15" x14ac:dyDescent="0.2">
      <c r="C159" s="159"/>
      <c r="D159" s="153"/>
      <c r="E159" s="154"/>
      <c r="F159" s="153"/>
      <c r="H159" s="18"/>
      <c r="I159" s="18"/>
      <c r="J159" s="18"/>
      <c r="L159" s="70"/>
      <c r="M159" s="157"/>
      <c r="O159" s="26"/>
    </row>
    <row r="160" spans="3:15" x14ac:dyDescent="0.2">
      <c r="C160" s="159"/>
      <c r="D160" s="153"/>
      <c r="E160" s="153"/>
      <c r="F160" s="153"/>
      <c r="H160" s="18"/>
      <c r="I160" s="18"/>
      <c r="J160" s="18"/>
      <c r="L160" s="70"/>
      <c r="M160" s="157"/>
      <c r="O160" s="26"/>
    </row>
    <row r="161" spans="3:15" x14ac:dyDescent="0.2">
      <c r="C161" s="159"/>
      <c r="D161" s="153"/>
      <c r="E161" s="153"/>
      <c r="F161" s="153"/>
      <c r="H161" s="18"/>
      <c r="I161" s="18"/>
      <c r="J161" s="18"/>
      <c r="L161" s="70"/>
      <c r="M161" s="157"/>
      <c r="O161" s="26"/>
    </row>
    <row r="162" spans="3:15" x14ac:dyDescent="0.2">
      <c r="C162" s="159"/>
      <c r="D162" s="153"/>
      <c r="E162" s="153"/>
      <c r="F162" s="153"/>
      <c r="H162" s="18"/>
      <c r="I162" s="18"/>
      <c r="J162" s="18"/>
      <c r="L162" s="70"/>
      <c r="M162" s="157"/>
      <c r="O162" s="26"/>
    </row>
    <row r="163" spans="3:15" x14ac:dyDescent="0.2">
      <c r="C163" s="159"/>
      <c r="D163" s="153"/>
      <c r="E163" s="153"/>
      <c r="F163" s="153"/>
      <c r="H163" s="18"/>
      <c r="I163" s="18"/>
      <c r="J163" s="18"/>
      <c r="L163" s="70"/>
      <c r="M163" s="157"/>
      <c r="O163" s="26"/>
    </row>
    <row r="164" spans="3:15" x14ac:dyDescent="0.2">
      <c r="C164" s="159"/>
      <c r="D164" s="153"/>
      <c r="E164" s="154"/>
      <c r="F164" s="153"/>
      <c r="H164" s="18"/>
      <c r="I164" s="18"/>
      <c r="J164" s="18"/>
      <c r="L164" s="70"/>
      <c r="M164" s="157"/>
      <c r="O164" s="26"/>
    </row>
    <row r="165" spans="3:15" x14ac:dyDescent="0.2">
      <c r="C165" s="159"/>
      <c r="D165" s="153"/>
      <c r="E165" s="154"/>
      <c r="F165" s="153"/>
      <c r="H165" s="18"/>
      <c r="I165" s="18"/>
      <c r="J165" s="18"/>
      <c r="L165" s="70"/>
      <c r="M165" s="157"/>
      <c r="O165" s="26"/>
    </row>
    <row r="166" spans="3:15" x14ac:dyDescent="0.2">
      <c r="C166" s="159"/>
      <c r="D166" s="153"/>
      <c r="E166" s="154"/>
      <c r="F166" s="153"/>
      <c r="H166" s="18"/>
      <c r="I166" s="18"/>
      <c r="J166" s="18"/>
      <c r="L166" s="70"/>
      <c r="M166" s="157"/>
      <c r="O166" s="26"/>
    </row>
    <row r="167" spans="3:15" x14ac:dyDescent="0.2">
      <c r="C167" s="159"/>
      <c r="D167" s="153"/>
      <c r="E167" s="153"/>
      <c r="F167" s="153"/>
      <c r="H167" s="18"/>
      <c r="I167" s="18"/>
      <c r="J167" s="18"/>
      <c r="L167" s="70"/>
      <c r="M167" s="157"/>
      <c r="O167" s="26"/>
    </row>
    <row r="168" spans="3:15" x14ac:dyDescent="0.2">
      <c r="C168" s="159"/>
      <c r="D168" s="153"/>
      <c r="E168" s="153"/>
      <c r="F168" s="153"/>
      <c r="H168" s="18"/>
      <c r="I168" s="18"/>
      <c r="J168" s="18"/>
      <c r="L168" s="70"/>
      <c r="M168" s="157"/>
      <c r="O168" s="26"/>
    </row>
    <row r="169" spans="3:15" x14ac:dyDescent="0.2">
      <c r="C169" s="159"/>
      <c r="D169" s="153"/>
      <c r="E169" s="154"/>
      <c r="F169" s="153"/>
      <c r="H169" s="18"/>
      <c r="I169" s="18"/>
      <c r="J169" s="18"/>
      <c r="L169" s="70"/>
      <c r="M169" s="157"/>
      <c r="O169" s="26"/>
    </row>
    <row r="170" spans="3:15" x14ac:dyDescent="0.2">
      <c r="C170" s="159"/>
      <c r="D170" s="153"/>
      <c r="E170" s="153"/>
      <c r="F170" s="153"/>
      <c r="H170" s="18"/>
      <c r="I170" s="18"/>
      <c r="J170" s="18"/>
      <c r="L170" s="70"/>
      <c r="M170" s="157"/>
      <c r="O170" s="26"/>
    </row>
    <row r="171" spans="3:15" x14ac:dyDescent="0.2">
      <c r="C171" s="159"/>
      <c r="D171" s="153"/>
      <c r="E171" s="154"/>
      <c r="F171" s="153"/>
      <c r="H171" s="18"/>
      <c r="I171" s="18"/>
      <c r="J171" s="18"/>
      <c r="L171" s="70"/>
      <c r="M171" s="157"/>
      <c r="O171" s="26"/>
    </row>
    <row r="172" spans="3:15" x14ac:dyDescent="0.2">
      <c r="C172" s="159"/>
      <c r="D172" s="153"/>
      <c r="E172" s="153"/>
      <c r="F172" s="153"/>
      <c r="H172" s="18"/>
      <c r="I172" s="18"/>
      <c r="J172" s="18"/>
      <c r="L172" s="70"/>
      <c r="M172" s="157"/>
      <c r="O172" s="26"/>
    </row>
    <row r="173" spans="3:15" x14ac:dyDescent="0.2">
      <c r="C173" s="159"/>
      <c r="D173" s="153"/>
      <c r="E173" s="154"/>
      <c r="F173" s="153"/>
      <c r="H173" s="18"/>
      <c r="I173" s="18"/>
      <c r="J173" s="18"/>
      <c r="L173" s="70"/>
      <c r="M173" s="157"/>
      <c r="O173" s="26"/>
    </row>
    <row r="174" spans="3:15" x14ac:dyDescent="0.2">
      <c r="C174" s="159"/>
      <c r="D174" s="153"/>
      <c r="E174" s="154"/>
      <c r="F174" s="153"/>
      <c r="H174" s="18"/>
      <c r="I174" s="18"/>
      <c r="J174" s="18"/>
      <c r="L174" s="70"/>
      <c r="M174" s="157"/>
      <c r="O174" s="26"/>
    </row>
    <row r="175" spans="3:15" x14ac:dyDescent="0.2">
      <c r="C175" s="159"/>
      <c r="D175" s="153"/>
      <c r="E175" s="153"/>
      <c r="F175" s="153"/>
      <c r="H175" s="18"/>
      <c r="I175" s="18"/>
      <c r="J175" s="18"/>
      <c r="L175" s="70"/>
      <c r="M175" s="157"/>
      <c r="O175" s="26"/>
    </row>
    <row r="176" spans="3:15" x14ac:dyDescent="0.2">
      <c r="C176" s="159"/>
      <c r="D176" s="153"/>
      <c r="E176" s="154"/>
      <c r="F176" s="153"/>
      <c r="H176" s="18"/>
      <c r="I176" s="18"/>
      <c r="J176" s="18"/>
      <c r="L176" s="70"/>
      <c r="M176" s="157"/>
      <c r="O176" s="26"/>
    </row>
    <row r="177" spans="3:15" x14ac:dyDescent="0.2">
      <c r="C177" s="159"/>
      <c r="D177" s="153"/>
      <c r="E177" s="153"/>
      <c r="F177" s="153"/>
      <c r="H177" s="18"/>
      <c r="I177" s="18"/>
      <c r="J177" s="18"/>
      <c r="L177" s="70"/>
      <c r="M177" s="157"/>
      <c r="O177" s="26"/>
    </row>
    <row r="178" spans="3:15" x14ac:dyDescent="0.2">
      <c r="C178" s="159"/>
      <c r="D178" s="153"/>
      <c r="E178" s="153"/>
      <c r="F178" s="153"/>
      <c r="H178" s="18"/>
      <c r="I178" s="18"/>
      <c r="J178" s="18"/>
      <c r="L178" s="70"/>
      <c r="M178" s="157"/>
      <c r="O178" s="26"/>
    </row>
    <row r="179" spans="3:15" x14ac:dyDescent="0.2">
      <c r="C179" s="159"/>
      <c r="D179" s="153"/>
      <c r="E179" s="153"/>
      <c r="F179" s="153"/>
      <c r="H179" s="18"/>
      <c r="I179" s="18"/>
      <c r="J179" s="18"/>
      <c r="L179" s="70"/>
      <c r="M179" s="157"/>
      <c r="O179" s="26"/>
    </row>
    <row r="180" spans="3:15" x14ac:dyDescent="0.2">
      <c r="C180" s="159"/>
      <c r="D180" s="153"/>
      <c r="E180" s="153"/>
      <c r="F180" s="153"/>
      <c r="H180" s="18"/>
      <c r="I180" s="18"/>
      <c r="J180" s="18"/>
      <c r="L180" s="70"/>
      <c r="M180" s="157"/>
      <c r="O180" s="26"/>
    </row>
    <row r="181" spans="3:15" x14ac:dyDescent="0.2">
      <c r="C181" s="159"/>
      <c r="D181" s="153"/>
      <c r="E181" s="153"/>
      <c r="F181" s="153"/>
      <c r="H181" s="18"/>
      <c r="I181" s="18"/>
      <c r="J181" s="18"/>
      <c r="L181" s="70"/>
      <c r="M181" s="157"/>
      <c r="O181" s="26"/>
    </row>
    <row r="182" spans="3:15" x14ac:dyDescent="0.2">
      <c r="C182" s="159"/>
      <c r="D182" s="153"/>
      <c r="E182" s="153"/>
      <c r="F182" s="153"/>
      <c r="H182" s="18"/>
      <c r="I182" s="18"/>
      <c r="J182" s="18"/>
      <c r="L182" s="70"/>
      <c r="M182" s="157"/>
      <c r="O182" s="26"/>
    </row>
    <row r="183" spans="3:15" x14ac:dyDescent="0.2">
      <c r="C183" s="159"/>
      <c r="D183" s="153"/>
      <c r="E183" s="154"/>
      <c r="F183" s="153"/>
      <c r="H183" s="18"/>
      <c r="I183" s="18"/>
      <c r="J183" s="18"/>
      <c r="L183" s="70"/>
      <c r="M183" s="157"/>
      <c r="O183" s="26"/>
    </row>
    <row r="184" spans="3:15" x14ac:dyDescent="0.2">
      <c r="C184" s="159"/>
      <c r="D184" s="153"/>
      <c r="E184" s="153"/>
      <c r="F184" s="153"/>
      <c r="H184" s="18"/>
      <c r="I184" s="18"/>
      <c r="J184" s="18"/>
      <c r="L184" s="70"/>
      <c r="M184" s="157"/>
      <c r="O184" s="26"/>
    </row>
    <row r="185" spans="3:15" x14ac:dyDescent="0.2">
      <c r="C185" s="159"/>
      <c r="D185" s="153"/>
      <c r="E185" s="154"/>
      <c r="F185" s="153"/>
      <c r="H185" s="18"/>
      <c r="I185" s="18"/>
      <c r="J185" s="18"/>
      <c r="L185" s="70"/>
      <c r="M185" s="157"/>
      <c r="O185" s="26"/>
    </row>
    <row r="186" spans="3:15" x14ac:dyDescent="0.2">
      <c r="C186" s="159"/>
      <c r="D186" s="153"/>
      <c r="E186" s="153"/>
      <c r="F186" s="153"/>
      <c r="H186" s="18"/>
      <c r="I186" s="18"/>
      <c r="J186" s="18"/>
      <c r="L186" s="70"/>
      <c r="M186" s="157"/>
      <c r="O186" s="26"/>
    </row>
    <row r="187" spans="3:15" x14ac:dyDescent="0.2">
      <c r="C187" s="159"/>
      <c r="D187" s="153"/>
      <c r="E187" s="154"/>
      <c r="F187" s="153"/>
      <c r="H187" s="18"/>
      <c r="I187" s="18"/>
      <c r="J187" s="18"/>
      <c r="L187" s="70"/>
      <c r="M187" s="157"/>
      <c r="O187" s="26"/>
    </row>
    <row r="188" spans="3:15" x14ac:dyDescent="0.2">
      <c r="C188" s="159"/>
      <c r="D188" s="153"/>
      <c r="E188" s="154"/>
      <c r="F188" s="153"/>
      <c r="H188" s="18"/>
      <c r="I188" s="18"/>
      <c r="J188" s="18"/>
      <c r="L188" s="70"/>
      <c r="M188" s="157"/>
      <c r="O188" s="26"/>
    </row>
    <row r="189" spans="3:15" x14ac:dyDescent="0.2">
      <c r="C189" s="159"/>
      <c r="D189" s="153"/>
      <c r="E189" s="153"/>
      <c r="F189" s="153"/>
      <c r="H189" s="18"/>
      <c r="I189" s="18"/>
      <c r="J189" s="18"/>
      <c r="L189" s="70"/>
      <c r="M189" s="157"/>
      <c r="O189" s="26"/>
    </row>
    <row r="190" spans="3:15" x14ac:dyDescent="0.2">
      <c r="C190" s="159"/>
      <c r="D190" s="153"/>
      <c r="E190" s="153"/>
      <c r="F190" s="153"/>
      <c r="H190" s="18"/>
      <c r="I190" s="18"/>
      <c r="J190" s="18"/>
      <c r="L190" s="70"/>
      <c r="M190" s="157"/>
      <c r="O190" s="26"/>
    </row>
    <row r="191" spans="3:15" x14ac:dyDescent="0.2">
      <c r="C191" s="159"/>
      <c r="D191" s="153"/>
      <c r="E191" s="153"/>
      <c r="F191" s="153"/>
      <c r="H191" s="18"/>
      <c r="I191" s="18"/>
      <c r="J191" s="18"/>
      <c r="L191" s="70"/>
      <c r="M191" s="157"/>
      <c r="O191" s="26"/>
    </row>
    <row r="192" spans="3:15" x14ac:dyDescent="0.2">
      <c r="C192" s="159"/>
      <c r="D192" s="153"/>
      <c r="E192" s="153"/>
      <c r="F192" s="153"/>
      <c r="H192" s="18"/>
      <c r="I192" s="18"/>
      <c r="J192" s="18"/>
      <c r="L192" s="70"/>
      <c r="M192" s="157"/>
      <c r="O192" s="26"/>
    </row>
    <row r="193" spans="3:15" x14ac:dyDescent="0.2">
      <c r="C193" s="159"/>
      <c r="D193" s="153"/>
      <c r="E193" s="153"/>
      <c r="F193" s="153"/>
      <c r="H193" s="18"/>
      <c r="I193" s="18"/>
      <c r="J193" s="18"/>
      <c r="L193" s="70"/>
      <c r="M193" s="157"/>
      <c r="O193" s="26"/>
    </row>
    <row r="194" spans="3:15" x14ac:dyDescent="0.2">
      <c r="C194" s="159"/>
      <c r="D194" s="153"/>
      <c r="E194" s="153"/>
      <c r="F194" s="153"/>
      <c r="H194" s="18"/>
      <c r="I194" s="18"/>
      <c r="J194" s="18"/>
      <c r="L194" s="70"/>
      <c r="M194" s="157"/>
      <c r="O194" s="26"/>
    </row>
    <row r="195" spans="3:15" x14ac:dyDescent="0.2">
      <c r="C195" s="159"/>
      <c r="D195" s="153"/>
      <c r="E195" s="153"/>
      <c r="F195" s="153"/>
      <c r="H195" s="18"/>
      <c r="I195" s="18"/>
      <c r="J195" s="18"/>
      <c r="L195" s="70"/>
      <c r="M195" s="157"/>
      <c r="O195" s="26"/>
    </row>
    <row r="196" spans="3:15" x14ac:dyDescent="0.2">
      <c r="C196" s="159"/>
      <c r="D196" s="153"/>
      <c r="E196" s="153"/>
      <c r="F196" s="153"/>
      <c r="H196" s="18"/>
      <c r="I196" s="18"/>
      <c r="J196" s="18"/>
      <c r="L196" s="70"/>
      <c r="M196" s="157"/>
      <c r="O196" s="26"/>
    </row>
    <row r="197" spans="3:15" x14ac:dyDescent="0.2">
      <c r="C197" s="159"/>
      <c r="D197" s="153"/>
      <c r="E197" s="154"/>
      <c r="F197" s="153"/>
      <c r="H197" s="18"/>
      <c r="I197" s="18"/>
      <c r="J197" s="18"/>
      <c r="L197" s="70"/>
      <c r="M197" s="157"/>
      <c r="O197" s="26"/>
    </row>
    <row r="198" spans="3:15" x14ac:dyDescent="0.2">
      <c r="C198" s="159"/>
      <c r="D198" s="153"/>
      <c r="E198" s="153"/>
      <c r="F198" s="153"/>
      <c r="H198" s="18"/>
      <c r="I198" s="18"/>
      <c r="J198" s="18"/>
      <c r="L198" s="70"/>
      <c r="M198" s="157"/>
      <c r="O198" s="26"/>
    </row>
    <row r="199" spans="3:15" x14ac:dyDescent="0.2">
      <c r="C199" s="159"/>
      <c r="D199" s="153"/>
      <c r="E199" s="153"/>
      <c r="F199" s="153"/>
      <c r="H199" s="18"/>
      <c r="I199" s="18"/>
      <c r="J199" s="18"/>
      <c r="L199" s="70"/>
      <c r="M199" s="157"/>
      <c r="O199" s="26"/>
    </row>
    <row r="200" spans="3:15" x14ac:dyDescent="0.2">
      <c r="C200" s="159"/>
      <c r="D200" s="153"/>
      <c r="E200" s="153"/>
      <c r="F200" s="153"/>
      <c r="H200" s="18"/>
      <c r="I200" s="18"/>
      <c r="J200" s="18"/>
      <c r="L200" s="70"/>
      <c r="M200" s="157"/>
      <c r="O200" s="26"/>
    </row>
    <row r="201" spans="3:15" x14ac:dyDescent="0.2">
      <c r="C201" s="159"/>
      <c r="D201" s="153"/>
      <c r="E201" s="153"/>
      <c r="F201" s="153"/>
      <c r="H201" s="18"/>
      <c r="I201" s="18"/>
      <c r="J201" s="18"/>
      <c r="L201" s="70"/>
      <c r="M201" s="157"/>
      <c r="O201" s="26"/>
    </row>
    <row r="202" spans="3:15" x14ac:dyDescent="0.2">
      <c r="C202" s="159"/>
      <c r="D202" s="153"/>
      <c r="E202" s="154"/>
      <c r="F202" s="153"/>
      <c r="H202" s="18"/>
      <c r="I202" s="18"/>
      <c r="J202" s="18"/>
      <c r="L202" s="70"/>
      <c r="M202" s="157"/>
      <c r="O202" s="26"/>
    </row>
    <row r="203" spans="3:15" x14ac:dyDescent="0.2">
      <c r="C203" s="159"/>
      <c r="D203" s="153"/>
      <c r="E203" s="154"/>
      <c r="F203" s="153"/>
      <c r="H203" s="18"/>
      <c r="I203" s="18"/>
      <c r="J203" s="18"/>
      <c r="L203" s="70"/>
      <c r="M203" s="157"/>
      <c r="O203" s="26"/>
    </row>
    <row r="204" spans="3:15" x14ac:dyDescent="0.2">
      <c r="C204" s="159"/>
      <c r="D204" s="153"/>
      <c r="E204" s="153"/>
      <c r="F204" s="153"/>
      <c r="H204" s="18"/>
      <c r="I204" s="18"/>
      <c r="J204" s="18"/>
      <c r="L204" s="70"/>
      <c r="M204" s="157"/>
      <c r="O204" s="26"/>
    </row>
    <row r="205" spans="3:15" x14ac:dyDescent="0.2">
      <c r="C205" s="159"/>
      <c r="D205" s="153"/>
      <c r="E205" s="153"/>
      <c r="F205" s="153"/>
      <c r="H205" s="18"/>
      <c r="I205" s="18"/>
      <c r="J205" s="18"/>
      <c r="L205" s="70"/>
      <c r="M205" s="157"/>
      <c r="O205" s="26"/>
    </row>
    <row r="206" spans="3:15" x14ac:dyDescent="0.2">
      <c r="C206" s="159"/>
      <c r="D206" s="153"/>
      <c r="E206" s="153"/>
      <c r="F206" s="153"/>
      <c r="H206" s="18"/>
      <c r="I206" s="18"/>
      <c r="J206" s="18"/>
      <c r="L206" s="70"/>
      <c r="M206" s="157"/>
      <c r="O206" s="26"/>
    </row>
    <row r="207" spans="3:15" x14ac:dyDescent="0.2">
      <c r="C207" s="159"/>
      <c r="D207" s="153"/>
      <c r="E207" s="154"/>
      <c r="F207" s="153"/>
      <c r="H207" s="18"/>
      <c r="I207" s="18"/>
      <c r="J207" s="18"/>
      <c r="L207" s="70"/>
      <c r="M207" s="157"/>
      <c r="O207" s="26"/>
    </row>
    <row r="208" spans="3:15" x14ac:dyDescent="0.2">
      <c r="C208" s="159"/>
      <c r="D208" s="153"/>
      <c r="E208" s="153"/>
      <c r="F208" s="153"/>
      <c r="H208" s="18"/>
      <c r="I208" s="18"/>
      <c r="J208" s="18"/>
      <c r="L208" s="70"/>
      <c r="M208" s="157"/>
      <c r="O208" s="26"/>
    </row>
    <row r="209" spans="3:15" x14ac:dyDescent="0.2">
      <c r="C209" s="159"/>
      <c r="D209" s="153"/>
      <c r="E209" s="153"/>
      <c r="F209" s="153"/>
      <c r="H209" s="18"/>
      <c r="I209" s="18"/>
      <c r="J209" s="18"/>
      <c r="L209" s="70"/>
      <c r="M209" s="157"/>
      <c r="O209" s="26"/>
    </row>
    <row r="210" spans="3:15" x14ac:dyDescent="0.2">
      <c r="C210" s="159"/>
      <c r="D210" s="153"/>
      <c r="E210" s="153"/>
      <c r="F210" s="153"/>
      <c r="H210" s="18"/>
      <c r="I210" s="18"/>
      <c r="J210" s="18"/>
      <c r="L210" s="70"/>
      <c r="M210" s="157"/>
      <c r="O210" s="26"/>
    </row>
    <row r="211" spans="3:15" x14ac:dyDescent="0.2">
      <c r="C211" s="159"/>
      <c r="D211" s="153"/>
      <c r="E211" s="154"/>
      <c r="F211" s="153"/>
      <c r="H211" s="18"/>
      <c r="I211" s="18"/>
      <c r="J211" s="18"/>
      <c r="L211" s="70"/>
      <c r="M211" s="157"/>
      <c r="O211" s="26"/>
    </row>
    <row r="212" spans="3:15" x14ac:dyDescent="0.2">
      <c r="C212" s="159"/>
      <c r="D212" s="153"/>
      <c r="E212" s="154"/>
      <c r="F212" s="153"/>
      <c r="H212" s="18"/>
      <c r="I212" s="18"/>
      <c r="J212" s="18"/>
      <c r="L212" s="70"/>
      <c r="M212" s="157"/>
      <c r="O212" s="26"/>
    </row>
    <row r="213" spans="3:15" x14ac:dyDescent="0.2">
      <c r="C213" s="159"/>
      <c r="D213" s="153"/>
      <c r="E213" s="153"/>
      <c r="F213" s="153"/>
      <c r="H213" s="18"/>
      <c r="I213" s="18"/>
      <c r="J213" s="18"/>
      <c r="L213" s="70"/>
      <c r="M213" s="157"/>
      <c r="O213" s="26"/>
    </row>
    <row r="214" spans="3:15" x14ac:dyDescent="0.2">
      <c r="C214" s="159"/>
      <c r="D214" s="153"/>
      <c r="E214" s="154"/>
      <c r="F214" s="153"/>
      <c r="H214" s="18"/>
      <c r="I214" s="18"/>
      <c r="J214" s="18"/>
      <c r="L214" s="70"/>
      <c r="M214" s="157"/>
      <c r="O214" s="26"/>
    </row>
    <row r="215" spans="3:15" x14ac:dyDescent="0.2">
      <c r="C215" s="159"/>
      <c r="D215" s="153"/>
      <c r="E215" s="154"/>
      <c r="F215" s="153"/>
      <c r="H215" s="18"/>
      <c r="I215" s="18"/>
      <c r="J215" s="18"/>
      <c r="L215" s="70"/>
      <c r="M215" s="157"/>
      <c r="O215" s="26"/>
    </row>
    <row r="216" spans="3:15" x14ac:dyDescent="0.2">
      <c r="C216" s="159"/>
      <c r="D216" s="153"/>
      <c r="E216" s="154"/>
      <c r="F216" s="153"/>
      <c r="H216" s="18"/>
      <c r="I216" s="18"/>
      <c r="J216" s="18"/>
      <c r="L216" s="70"/>
      <c r="M216" s="157"/>
      <c r="O216" s="26"/>
    </row>
    <row r="217" spans="3:15" x14ac:dyDescent="0.2">
      <c r="C217" s="159"/>
      <c r="D217" s="153"/>
      <c r="E217" s="154"/>
      <c r="F217" s="153"/>
      <c r="H217" s="18"/>
      <c r="I217" s="18"/>
      <c r="J217" s="18"/>
      <c r="L217" s="70"/>
      <c r="M217" s="157"/>
      <c r="O217" s="26"/>
    </row>
    <row r="218" spans="3:15" x14ac:dyDescent="0.2">
      <c r="C218" s="159"/>
      <c r="D218" s="153"/>
      <c r="E218" s="153"/>
      <c r="F218" s="153"/>
      <c r="H218" s="18"/>
      <c r="I218" s="18"/>
      <c r="J218" s="18"/>
      <c r="L218" s="70"/>
      <c r="M218" s="157"/>
      <c r="O218" s="26"/>
    </row>
    <row r="219" spans="3:15" x14ac:dyDescent="0.2">
      <c r="C219" s="159"/>
      <c r="D219" s="153"/>
      <c r="E219" s="154"/>
      <c r="F219" s="153"/>
      <c r="H219" s="18"/>
      <c r="I219" s="18"/>
      <c r="J219" s="18"/>
      <c r="L219" s="70"/>
      <c r="M219" s="157"/>
      <c r="O219" s="26"/>
    </row>
    <row r="220" spans="3:15" x14ac:dyDescent="0.2">
      <c r="C220" s="159"/>
      <c r="D220" s="153"/>
      <c r="E220" s="153"/>
      <c r="F220" s="153"/>
      <c r="H220" s="18"/>
      <c r="I220" s="18"/>
      <c r="J220" s="18"/>
      <c r="L220" s="70"/>
      <c r="M220" s="157"/>
      <c r="O220" s="26"/>
    </row>
    <row r="221" spans="3:15" x14ac:dyDescent="0.2">
      <c r="C221" s="159"/>
      <c r="D221" s="153"/>
      <c r="E221" s="154"/>
      <c r="F221" s="153"/>
      <c r="H221" s="18"/>
      <c r="I221" s="18"/>
      <c r="J221" s="18"/>
      <c r="L221" s="70"/>
      <c r="M221" s="157"/>
      <c r="O221" s="26"/>
    </row>
    <row r="222" spans="3:15" x14ac:dyDescent="0.2">
      <c r="C222" s="159"/>
      <c r="D222" s="153"/>
      <c r="E222" s="154"/>
      <c r="F222" s="153"/>
      <c r="H222" s="18"/>
      <c r="I222" s="18"/>
      <c r="J222" s="18"/>
      <c r="L222" s="70"/>
      <c r="M222" s="157"/>
      <c r="O222" s="26"/>
    </row>
    <row r="223" spans="3:15" x14ac:dyDescent="0.2">
      <c r="C223" s="159"/>
      <c r="D223" s="153"/>
      <c r="E223" s="153"/>
      <c r="F223" s="153"/>
      <c r="H223" s="18"/>
      <c r="I223" s="18"/>
      <c r="J223" s="18"/>
      <c r="L223" s="70"/>
      <c r="M223" s="157"/>
      <c r="O223" s="26"/>
    </row>
    <row r="224" spans="3:15" x14ac:dyDescent="0.2">
      <c r="C224" s="159"/>
      <c r="D224" s="153"/>
      <c r="E224" s="154"/>
      <c r="F224" s="153"/>
      <c r="H224" s="18"/>
      <c r="I224" s="18"/>
      <c r="J224" s="18"/>
      <c r="L224" s="70"/>
      <c r="M224" s="157"/>
      <c r="O224" s="26"/>
    </row>
    <row r="225" spans="3:15" x14ac:dyDescent="0.2">
      <c r="C225" s="159"/>
      <c r="D225" s="153"/>
      <c r="E225" s="153"/>
      <c r="F225" s="153"/>
      <c r="H225" s="18"/>
      <c r="I225" s="18"/>
      <c r="J225" s="18"/>
      <c r="L225" s="70"/>
      <c r="M225" s="157"/>
      <c r="O225" s="26"/>
    </row>
    <row r="226" spans="3:15" x14ac:dyDescent="0.2">
      <c r="C226" s="159"/>
      <c r="D226" s="153"/>
      <c r="E226" s="153"/>
      <c r="F226" s="153"/>
      <c r="H226" s="18"/>
      <c r="I226" s="18"/>
      <c r="J226" s="18"/>
      <c r="L226" s="70"/>
      <c r="M226" s="157"/>
      <c r="O226" s="26"/>
    </row>
    <row r="227" spans="3:15" x14ac:dyDescent="0.2">
      <c r="C227" s="159"/>
      <c r="D227" s="153"/>
      <c r="E227" s="153"/>
      <c r="F227" s="153"/>
      <c r="H227" s="18"/>
      <c r="I227" s="18"/>
      <c r="J227" s="18"/>
      <c r="L227" s="70"/>
      <c r="M227" s="157"/>
      <c r="O227" s="26"/>
    </row>
    <row r="228" spans="3:15" x14ac:dyDescent="0.2">
      <c r="C228" s="159"/>
      <c r="D228" s="153"/>
      <c r="E228" s="153"/>
      <c r="F228" s="153"/>
      <c r="H228" s="18"/>
      <c r="I228" s="18"/>
      <c r="J228" s="18"/>
      <c r="L228" s="70"/>
      <c r="M228" s="157"/>
      <c r="O228" s="26"/>
    </row>
    <row r="229" spans="3:15" x14ac:dyDescent="0.2">
      <c r="C229" s="159"/>
      <c r="D229" s="153"/>
      <c r="E229" s="153"/>
      <c r="F229" s="153"/>
      <c r="H229" s="18"/>
      <c r="I229" s="18"/>
      <c r="J229" s="18"/>
      <c r="L229" s="70"/>
      <c r="M229" s="157"/>
      <c r="O229" s="26"/>
    </row>
    <row r="230" spans="3:15" x14ac:dyDescent="0.2">
      <c r="C230" s="159"/>
      <c r="D230" s="153"/>
      <c r="E230" s="154"/>
      <c r="F230" s="153"/>
      <c r="H230" s="18"/>
      <c r="I230" s="18"/>
      <c r="J230" s="18"/>
      <c r="L230" s="70"/>
      <c r="M230" s="157"/>
      <c r="O230" s="26"/>
    </row>
    <row r="231" spans="3:15" x14ac:dyDescent="0.2">
      <c r="C231" s="159"/>
      <c r="D231" s="153"/>
      <c r="E231" s="154"/>
      <c r="F231" s="153"/>
      <c r="H231" s="18"/>
      <c r="I231" s="18"/>
      <c r="J231" s="18"/>
      <c r="L231" s="70"/>
      <c r="M231" s="157"/>
      <c r="O231" s="26"/>
    </row>
    <row r="232" spans="3:15" x14ac:dyDescent="0.2">
      <c r="C232" s="159"/>
      <c r="D232" s="153"/>
      <c r="E232" s="154"/>
      <c r="F232" s="153"/>
      <c r="H232" s="18"/>
      <c r="I232" s="18"/>
      <c r="J232" s="18"/>
      <c r="L232" s="70"/>
      <c r="M232" s="157"/>
      <c r="O232" s="26"/>
    </row>
    <row r="233" spans="3:15" x14ac:dyDescent="0.2">
      <c r="C233" s="159"/>
      <c r="D233" s="153"/>
      <c r="E233" s="154"/>
      <c r="F233" s="153"/>
      <c r="H233" s="18"/>
      <c r="I233" s="18"/>
      <c r="J233" s="18"/>
      <c r="L233" s="70"/>
      <c r="M233" s="157"/>
      <c r="O233" s="26"/>
    </row>
    <row r="234" spans="3:15" x14ac:dyDescent="0.2">
      <c r="C234" s="159"/>
      <c r="D234" s="153"/>
      <c r="E234" s="153"/>
      <c r="F234" s="153"/>
      <c r="H234" s="18"/>
      <c r="I234" s="18"/>
      <c r="J234" s="18"/>
      <c r="L234" s="70"/>
      <c r="M234" s="157"/>
      <c r="O234" s="26"/>
    </row>
    <row r="235" spans="3:15" x14ac:dyDescent="0.2">
      <c r="C235" s="159"/>
      <c r="D235" s="153"/>
      <c r="E235" s="154"/>
      <c r="F235" s="153"/>
      <c r="H235" s="18"/>
      <c r="I235" s="18"/>
      <c r="J235" s="18"/>
      <c r="L235" s="70"/>
      <c r="M235" s="157"/>
      <c r="O235" s="26"/>
    </row>
    <row r="236" spans="3:15" x14ac:dyDescent="0.2">
      <c r="C236" s="159"/>
      <c r="D236" s="153"/>
      <c r="E236" s="154"/>
      <c r="F236" s="153"/>
      <c r="H236" s="18"/>
      <c r="I236" s="18"/>
      <c r="J236" s="18"/>
      <c r="L236" s="70"/>
      <c r="M236" s="157"/>
      <c r="O236" s="26"/>
    </row>
    <row r="237" spans="3:15" x14ac:dyDescent="0.2">
      <c r="C237" s="159"/>
      <c r="D237" s="153"/>
      <c r="E237" s="153"/>
      <c r="F237" s="153"/>
      <c r="H237" s="18"/>
      <c r="I237" s="18"/>
      <c r="J237" s="18"/>
      <c r="L237" s="70"/>
      <c r="M237" s="157"/>
      <c r="O237" s="26"/>
    </row>
    <row r="238" spans="3:15" x14ac:dyDescent="0.2">
      <c r="C238" s="159"/>
      <c r="D238" s="153"/>
      <c r="E238" s="153"/>
      <c r="F238" s="153"/>
      <c r="H238" s="18"/>
      <c r="I238" s="18"/>
      <c r="J238" s="18"/>
      <c r="L238" s="70"/>
      <c r="M238" s="157"/>
      <c r="O238" s="26"/>
    </row>
    <row r="239" spans="3:15" x14ac:dyDescent="0.2">
      <c r="C239" s="159"/>
      <c r="D239" s="153"/>
      <c r="E239" s="154"/>
      <c r="F239" s="153"/>
      <c r="H239" s="18"/>
      <c r="I239" s="18"/>
      <c r="J239" s="18"/>
      <c r="L239" s="70"/>
      <c r="M239" s="157"/>
      <c r="O239" s="26"/>
    </row>
    <row r="240" spans="3:15" x14ac:dyDescent="0.2">
      <c r="C240" s="159"/>
      <c r="D240" s="153"/>
      <c r="E240" s="153"/>
      <c r="F240" s="153"/>
      <c r="H240" s="18"/>
      <c r="I240" s="18"/>
      <c r="J240" s="18"/>
      <c r="L240" s="70"/>
      <c r="M240" s="157"/>
      <c r="O240" s="26"/>
    </row>
    <row r="241" spans="3:15" x14ac:dyDescent="0.2">
      <c r="C241" s="159"/>
      <c r="D241" s="153"/>
      <c r="E241" s="154"/>
      <c r="F241" s="153"/>
      <c r="H241" s="18"/>
      <c r="I241" s="18"/>
      <c r="J241" s="18"/>
      <c r="L241" s="70"/>
      <c r="M241" s="157"/>
      <c r="O241" s="26"/>
    </row>
    <row r="242" spans="3:15" x14ac:dyDescent="0.2">
      <c r="C242" s="159"/>
      <c r="D242" s="153"/>
      <c r="E242" s="154"/>
      <c r="F242" s="153"/>
      <c r="H242" s="18"/>
      <c r="I242" s="18"/>
      <c r="J242" s="18"/>
      <c r="L242" s="70"/>
      <c r="M242" s="157"/>
      <c r="O242" s="26"/>
    </row>
    <row r="243" spans="3:15" x14ac:dyDescent="0.2">
      <c r="C243" s="159"/>
      <c r="D243" s="153"/>
      <c r="E243" s="154"/>
      <c r="F243" s="153"/>
      <c r="H243" s="18"/>
      <c r="I243" s="18"/>
      <c r="J243" s="18"/>
      <c r="L243" s="70"/>
      <c r="M243" s="157"/>
      <c r="O243" s="26"/>
    </row>
    <row r="244" spans="3:15" x14ac:dyDescent="0.2">
      <c r="C244" s="159"/>
      <c r="D244" s="153"/>
      <c r="E244" s="153"/>
      <c r="F244" s="153"/>
      <c r="H244" s="18"/>
      <c r="I244" s="18"/>
      <c r="J244" s="18"/>
      <c r="L244" s="70"/>
      <c r="M244" s="157"/>
      <c r="O244" s="26"/>
    </row>
    <row r="245" spans="3:15" x14ac:dyDescent="0.2">
      <c r="C245" s="159"/>
      <c r="D245" s="153"/>
      <c r="E245" s="154"/>
      <c r="F245" s="153"/>
      <c r="H245" s="18"/>
      <c r="I245" s="18"/>
      <c r="J245" s="18"/>
      <c r="L245" s="70"/>
      <c r="M245" s="157"/>
      <c r="O245" s="26"/>
    </row>
    <row r="246" spans="3:15" x14ac:dyDescent="0.2">
      <c r="C246" s="159"/>
      <c r="D246" s="153"/>
      <c r="E246" s="153"/>
      <c r="F246" s="153"/>
      <c r="H246" s="18"/>
      <c r="I246" s="18"/>
      <c r="J246" s="18"/>
      <c r="L246" s="70"/>
      <c r="M246" s="157"/>
      <c r="O246" s="26"/>
    </row>
    <row r="247" spans="3:15" x14ac:dyDescent="0.2">
      <c r="C247" s="159"/>
      <c r="D247" s="153"/>
      <c r="E247" s="153"/>
      <c r="F247" s="153"/>
      <c r="H247" s="18"/>
      <c r="I247" s="18"/>
      <c r="J247" s="18"/>
      <c r="L247" s="70"/>
      <c r="M247" s="157"/>
      <c r="O247" s="26"/>
    </row>
    <row r="248" spans="3:15" x14ac:dyDescent="0.2">
      <c r="C248" s="159"/>
      <c r="D248" s="153"/>
      <c r="E248" s="153"/>
      <c r="F248" s="153"/>
      <c r="H248" s="18"/>
      <c r="I248" s="18"/>
      <c r="J248" s="18"/>
      <c r="L248" s="70"/>
      <c r="M248" s="157"/>
      <c r="O248" s="26"/>
    </row>
    <row r="249" spans="3:15" x14ac:dyDescent="0.2">
      <c r="C249" s="159"/>
      <c r="D249" s="153"/>
      <c r="E249" s="153"/>
      <c r="F249" s="153"/>
      <c r="H249" s="18"/>
      <c r="I249" s="18"/>
      <c r="J249" s="18"/>
      <c r="L249" s="70"/>
      <c r="M249" s="157"/>
      <c r="O249" s="26"/>
    </row>
    <row r="250" spans="3:15" x14ac:dyDescent="0.2">
      <c r="C250" s="159"/>
      <c r="D250" s="153"/>
      <c r="E250" s="153"/>
      <c r="F250" s="153"/>
      <c r="H250" s="18"/>
      <c r="I250" s="18"/>
      <c r="J250" s="18"/>
      <c r="L250" s="70"/>
      <c r="M250" s="157"/>
      <c r="O250" s="26"/>
    </row>
    <row r="251" spans="3:15" x14ac:dyDescent="0.2">
      <c r="C251" s="159"/>
      <c r="D251" s="153"/>
      <c r="E251" s="154"/>
      <c r="F251" s="153"/>
      <c r="H251" s="18"/>
      <c r="I251" s="18"/>
      <c r="J251" s="18"/>
      <c r="L251" s="70"/>
      <c r="M251" s="157"/>
      <c r="O251" s="26"/>
    </row>
    <row r="252" spans="3:15" x14ac:dyDescent="0.2">
      <c r="C252" s="159"/>
      <c r="D252" s="153"/>
      <c r="E252" s="154"/>
      <c r="F252" s="153"/>
      <c r="H252" s="18"/>
      <c r="I252" s="18"/>
      <c r="J252" s="18"/>
      <c r="L252" s="70"/>
      <c r="M252" s="157"/>
      <c r="O252" s="26"/>
    </row>
    <row r="253" spans="3:15" x14ac:dyDescent="0.2">
      <c r="C253" s="159"/>
      <c r="D253" s="153"/>
      <c r="E253" s="154"/>
      <c r="F253" s="153"/>
      <c r="H253" s="18"/>
      <c r="I253" s="18"/>
      <c r="J253" s="18"/>
      <c r="L253" s="70"/>
      <c r="M253" s="157"/>
      <c r="O253" s="26"/>
    </row>
    <row r="254" spans="3:15" x14ac:dyDescent="0.2">
      <c r="C254" s="159"/>
      <c r="D254" s="153"/>
      <c r="E254" s="153"/>
      <c r="F254" s="153"/>
      <c r="H254" s="18"/>
      <c r="I254" s="18"/>
      <c r="J254" s="18"/>
      <c r="L254" s="70"/>
      <c r="M254" s="157"/>
      <c r="O254" s="26"/>
    </row>
    <row r="255" spans="3:15" x14ac:dyDescent="0.2">
      <c r="C255" s="159"/>
      <c r="D255" s="153"/>
      <c r="E255" s="153"/>
      <c r="F255" s="153"/>
      <c r="H255" s="18"/>
      <c r="I255" s="18"/>
      <c r="J255" s="18"/>
      <c r="L255" s="70"/>
      <c r="M255" s="157"/>
      <c r="O255" s="26"/>
    </row>
    <row r="256" spans="3:15" x14ac:dyDescent="0.2">
      <c r="C256" s="159"/>
      <c r="D256" s="153"/>
      <c r="E256" s="154"/>
      <c r="F256" s="153"/>
      <c r="H256" s="18"/>
      <c r="I256" s="18"/>
      <c r="J256" s="18"/>
      <c r="L256" s="70"/>
      <c r="M256" s="157"/>
      <c r="O256" s="26"/>
    </row>
    <row r="257" spans="3:15" x14ac:dyDescent="0.2">
      <c r="C257" s="159"/>
      <c r="D257" s="153"/>
      <c r="E257" s="153"/>
      <c r="F257" s="153"/>
      <c r="H257" s="18"/>
      <c r="I257" s="18"/>
      <c r="J257" s="18"/>
      <c r="L257" s="70"/>
      <c r="M257" s="157"/>
      <c r="O257" s="26"/>
    </row>
    <row r="258" spans="3:15" x14ac:dyDescent="0.2">
      <c r="C258" s="159"/>
      <c r="D258" s="153"/>
      <c r="E258" s="154"/>
      <c r="F258" s="153"/>
      <c r="H258" s="18"/>
      <c r="I258" s="18"/>
      <c r="J258" s="18"/>
      <c r="L258" s="70"/>
      <c r="M258" s="157"/>
      <c r="O258" s="26"/>
    </row>
    <row r="259" spans="3:15" x14ac:dyDescent="0.2">
      <c r="C259" s="159"/>
      <c r="D259" s="153"/>
      <c r="E259" s="153"/>
      <c r="F259" s="153"/>
      <c r="H259" s="18"/>
      <c r="I259" s="18"/>
      <c r="J259" s="18"/>
      <c r="L259" s="70"/>
      <c r="M259" s="157"/>
      <c r="O259" s="26"/>
    </row>
    <row r="260" spans="3:15" x14ac:dyDescent="0.2">
      <c r="C260" s="159"/>
      <c r="D260" s="153"/>
      <c r="E260" s="153"/>
      <c r="F260" s="153"/>
      <c r="H260" s="18"/>
      <c r="I260" s="18"/>
      <c r="J260" s="18"/>
      <c r="L260" s="70"/>
      <c r="M260" s="157"/>
      <c r="O260" s="26"/>
    </row>
    <row r="261" spans="3:15" x14ac:dyDescent="0.2">
      <c r="C261" s="159"/>
      <c r="D261" s="153"/>
      <c r="E261" s="154"/>
      <c r="F261" s="153"/>
      <c r="H261" s="18"/>
      <c r="I261" s="18"/>
      <c r="J261" s="18"/>
      <c r="L261" s="70"/>
      <c r="M261" s="157"/>
      <c r="O261" s="26"/>
    </row>
    <row r="262" spans="3:15" x14ac:dyDescent="0.2">
      <c r="C262" s="159"/>
      <c r="D262" s="153"/>
      <c r="E262" s="154"/>
      <c r="F262" s="153"/>
      <c r="H262" s="18"/>
      <c r="I262" s="18"/>
      <c r="J262" s="18"/>
      <c r="L262" s="70"/>
      <c r="M262" s="157"/>
      <c r="O262" s="26"/>
    </row>
    <row r="263" spans="3:15" x14ac:dyDescent="0.2">
      <c r="C263" s="159"/>
      <c r="D263" s="153"/>
      <c r="E263" s="153"/>
      <c r="F263" s="153"/>
      <c r="H263" s="18"/>
      <c r="I263" s="18"/>
      <c r="J263" s="18"/>
      <c r="L263" s="70"/>
      <c r="M263" s="157"/>
      <c r="O263" s="26"/>
    </row>
    <row r="264" spans="3:15" x14ac:dyDescent="0.2">
      <c r="C264" s="159"/>
      <c r="D264" s="153"/>
      <c r="E264" s="153"/>
      <c r="F264" s="153"/>
      <c r="H264" s="18"/>
      <c r="I264" s="18"/>
      <c r="J264" s="18"/>
      <c r="L264" s="70"/>
      <c r="M264" s="157"/>
      <c r="O264" s="26"/>
    </row>
    <row r="265" spans="3:15" x14ac:dyDescent="0.2">
      <c r="C265" s="159"/>
      <c r="D265" s="153"/>
      <c r="E265" s="153"/>
      <c r="F265" s="153"/>
      <c r="H265" s="18"/>
      <c r="I265" s="18"/>
      <c r="J265" s="18"/>
      <c r="L265" s="70"/>
      <c r="M265" s="157"/>
      <c r="O265" s="26"/>
    </row>
    <row r="266" spans="3:15" x14ac:dyDescent="0.2">
      <c r="C266" s="159"/>
      <c r="D266" s="153"/>
      <c r="E266" s="153"/>
      <c r="F266" s="153"/>
      <c r="H266" s="18"/>
      <c r="I266" s="18"/>
      <c r="J266" s="18"/>
      <c r="L266" s="70"/>
      <c r="M266" s="157"/>
      <c r="O266" s="26"/>
    </row>
    <row r="267" spans="3:15" x14ac:dyDescent="0.2">
      <c r="C267" s="159"/>
      <c r="D267" s="153"/>
      <c r="E267" s="153"/>
      <c r="F267" s="153"/>
      <c r="H267" s="18"/>
      <c r="I267" s="18"/>
      <c r="J267" s="18"/>
      <c r="L267" s="70"/>
      <c r="M267" s="157"/>
      <c r="O267" s="26"/>
    </row>
    <row r="268" spans="3:15" x14ac:dyDescent="0.2">
      <c r="C268" s="159"/>
      <c r="D268" s="153"/>
      <c r="E268" s="153"/>
      <c r="F268" s="153"/>
      <c r="H268" s="18"/>
      <c r="I268" s="18"/>
      <c r="J268" s="18"/>
      <c r="L268" s="70"/>
      <c r="M268" s="157"/>
      <c r="O268" s="26"/>
    </row>
    <row r="269" spans="3:15" x14ac:dyDescent="0.2">
      <c r="C269" s="159"/>
      <c r="D269" s="153"/>
      <c r="E269" s="153"/>
      <c r="F269" s="153"/>
      <c r="H269" s="18"/>
      <c r="I269" s="18"/>
      <c r="J269" s="18"/>
      <c r="L269" s="70"/>
      <c r="M269" s="157"/>
      <c r="O269" s="26"/>
    </row>
    <row r="270" spans="3:15" x14ac:dyDescent="0.2">
      <c r="C270" s="159"/>
      <c r="D270" s="153"/>
      <c r="E270" s="154"/>
      <c r="F270" s="153"/>
      <c r="H270" s="18"/>
      <c r="I270" s="18"/>
      <c r="J270" s="18"/>
      <c r="L270" s="70"/>
      <c r="M270" s="157"/>
      <c r="O270" s="26"/>
    </row>
    <row r="271" spans="3:15" x14ac:dyDescent="0.2">
      <c r="C271" s="159"/>
      <c r="D271" s="153"/>
      <c r="E271" s="153"/>
      <c r="F271" s="153"/>
      <c r="H271" s="18"/>
      <c r="I271" s="18"/>
      <c r="J271" s="18"/>
      <c r="L271" s="70"/>
      <c r="M271" s="157"/>
      <c r="O271" s="26"/>
    </row>
    <row r="272" spans="3:15" x14ac:dyDescent="0.2">
      <c r="C272" s="159"/>
      <c r="D272" s="153"/>
      <c r="E272" s="153"/>
      <c r="F272" s="153"/>
      <c r="H272" s="18"/>
      <c r="I272" s="18"/>
      <c r="J272" s="18"/>
      <c r="L272" s="70"/>
      <c r="M272" s="157"/>
      <c r="O272" s="26"/>
    </row>
    <row r="273" spans="3:15" x14ac:dyDescent="0.2">
      <c r="C273" s="159"/>
      <c r="D273" s="153"/>
      <c r="E273" s="154"/>
      <c r="F273" s="153"/>
      <c r="H273" s="18"/>
      <c r="I273" s="18"/>
      <c r="J273" s="18"/>
      <c r="L273" s="70"/>
      <c r="M273" s="157"/>
      <c r="O273" s="26"/>
    </row>
    <row r="274" spans="3:15" x14ac:dyDescent="0.2">
      <c r="C274" s="159"/>
      <c r="D274" s="153"/>
      <c r="E274" s="154"/>
      <c r="F274" s="153"/>
      <c r="H274" s="18"/>
      <c r="I274" s="18"/>
      <c r="J274" s="18"/>
      <c r="L274" s="70"/>
      <c r="M274" s="157"/>
      <c r="O274" s="26"/>
    </row>
    <row r="275" spans="3:15" x14ac:dyDescent="0.2">
      <c r="C275" s="159"/>
      <c r="D275" s="153"/>
      <c r="E275" s="154"/>
      <c r="F275" s="153"/>
      <c r="H275" s="18"/>
      <c r="I275" s="18"/>
      <c r="J275" s="18"/>
      <c r="L275" s="70"/>
      <c r="M275" s="157"/>
      <c r="O275" s="26"/>
    </row>
    <row r="276" spans="3:15" x14ac:dyDescent="0.2">
      <c r="C276" s="159"/>
      <c r="D276" s="153"/>
      <c r="E276" s="154"/>
      <c r="F276" s="153"/>
      <c r="H276" s="18"/>
      <c r="I276" s="18"/>
      <c r="J276" s="18"/>
      <c r="L276" s="70"/>
      <c r="M276" s="157"/>
      <c r="O276" s="26"/>
    </row>
    <row r="277" spans="3:15" x14ac:dyDescent="0.2">
      <c r="C277" s="159"/>
      <c r="D277" s="153"/>
      <c r="E277" s="154"/>
      <c r="F277" s="153"/>
      <c r="H277" s="18"/>
      <c r="I277" s="18"/>
      <c r="J277" s="18"/>
      <c r="L277" s="70"/>
      <c r="M277" s="157"/>
      <c r="O277" s="26"/>
    </row>
    <row r="278" spans="3:15" x14ac:dyDescent="0.2">
      <c r="C278" s="159"/>
      <c r="D278" s="153"/>
      <c r="E278" s="154"/>
      <c r="F278" s="153"/>
      <c r="H278" s="18"/>
      <c r="I278" s="18"/>
      <c r="J278" s="18"/>
      <c r="L278" s="70"/>
      <c r="M278" s="157"/>
      <c r="O278" s="26"/>
    </row>
    <row r="279" spans="3:15" x14ac:dyDescent="0.2">
      <c r="C279" s="159"/>
      <c r="D279" s="153"/>
      <c r="E279" s="153"/>
      <c r="F279" s="153"/>
      <c r="H279" s="18"/>
      <c r="I279" s="18"/>
      <c r="J279" s="18"/>
      <c r="L279" s="70"/>
      <c r="M279" s="157"/>
      <c r="O279" s="26"/>
    </row>
    <row r="280" spans="3:15" x14ac:dyDescent="0.2">
      <c r="C280" s="159"/>
      <c r="D280" s="153"/>
      <c r="E280" s="153"/>
      <c r="F280" s="153"/>
      <c r="H280" s="18"/>
      <c r="I280" s="18"/>
      <c r="J280" s="18"/>
      <c r="L280" s="70"/>
      <c r="M280" s="157"/>
      <c r="O280" s="26"/>
    </row>
    <row r="281" spans="3:15" x14ac:dyDescent="0.2">
      <c r="C281" s="159"/>
      <c r="D281" s="153"/>
      <c r="E281" s="153"/>
      <c r="F281" s="153"/>
      <c r="H281" s="18"/>
      <c r="I281" s="18"/>
      <c r="J281" s="18"/>
      <c r="L281" s="70"/>
      <c r="M281" s="157"/>
      <c r="O281" s="26"/>
    </row>
    <row r="282" spans="3:15" x14ac:dyDescent="0.2">
      <c r="C282" s="159"/>
      <c r="D282" s="153"/>
      <c r="E282" s="153"/>
      <c r="F282" s="153"/>
      <c r="H282" s="18"/>
      <c r="I282" s="18"/>
      <c r="J282" s="18"/>
      <c r="L282" s="70"/>
      <c r="M282" s="157"/>
      <c r="O282" s="26"/>
    </row>
    <row r="283" spans="3:15" x14ac:dyDescent="0.2">
      <c r="C283" s="159"/>
      <c r="D283" s="153"/>
      <c r="E283" s="153"/>
      <c r="F283" s="153"/>
      <c r="H283" s="18"/>
      <c r="I283" s="18"/>
      <c r="J283" s="18"/>
      <c r="L283" s="70"/>
      <c r="M283" s="157"/>
      <c r="O283" s="26"/>
    </row>
    <row r="284" spans="3:15" x14ac:dyDescent="0.2">
      <c r="C284" s="159"/>
      <c r="D284" s="153"/>
      <c r="E284" s="153"/>
      <c r="F284" s="153"/>
      <c r="H284" s="18"/>
      <c r="I284" s="18"/>
      <c r="J284" s="18"/>
      <c r="L284" s="70"/>
      <c r="M284" s="157"/>
      <c r="O284" s="26"/>
    </row>
    <row r="285" spans="3:15" x14ac:dyDescent="0.2">
      <c r="C285" s="159"/>
      <c r="D285" s="153"/>
      <c r="E285" s="154"/>
      <c r="F285" s="153"/>
      <c r="H285" s="18"/>
      <c r="I285" s="18"/>
      <c r="J285" s="18"/>
      <c r="L285" s="70"/>
      <c r="M285" s="157"/>
      <c r="O285" s="26"/>
    </row>
    <row r="286" spans="3:15" x14ac:dyDescent="0.2">
      <c r="C286" s="159"/>
      <c r="D286" s="153"/>
      <c r="E286" s="153"/>
      <c r="F286" s="153"/>
      <c r="H286" s="18"/>
      <c r="I286" s="18"/>
      <c r="J286" s="18"/>
      <c r="L286" s="70"/>
      <c r="M286" s="157"/>
      <c r="O286" s="26"/>
    </row>
    <row r="287" spans="3:15" x14ac:dyDescent="0.2">
      <c r="C287" s="159"/>
      <c r="D287" s="153"/>
      <c r="E287" s="154"/>
      <c r="F287" s="153"/>
      <c r="H287" s="18"/>
      <c r="I287" s="18"/>
      <c r="J287" s="18"/>
      <c r="L287" s="70"/>
      <c r="M287" s="157"/>
      <c r="O287" s="26"/>
    </row>
    <row r="288" spans="3:15" x14ac:dyDescent="0.2">
      <c r="C288" s="159"/>
      <c r="D288" s="153"/>
      <c r="E288" s="153"/>
      <c r="F288" s="153"/>
      <c r="H288" s="18"/>
      <c r="I288" s="18"/>
      <c r="J288" s="18"/>
      <c r="L288" s="70"/>
      <c r="M288" s="157"/>
      <c r="O288" s="26"/>
    </row>
    <row r="289" spans="3:15" x14ac:dyDescent="0.2">
      <c r="C289" s="159"/>
      <c r="D289" s="153"/>
      <c r="E289" s="153"/>
      <c r="F289" s="153"/>
      <c r="H289" s="18"/>
      <c r="I289" s="18"/>
      <c r="J289" s="18"/>
      <c r="L289" s="70"/>
      <c r="M289" s="157"/>
      <c r="O289" s="26"/>
    </row>
    <row r="290" spans="3:15" x14ac:dyDescent="0.2">
      <c r="C290" s="159"/>
      <c r="D290" s="153"/>
      <c r="E290" s="154"/>
      <c r="F290" s="153"/>
      <c r="H290" s="18"/>
      <c r="I290" s="18"/>
      <c r="J290" s="18"/>
      <c r="L290" s="70"/>
      <c r="M290" s="157"/>
      <c r="O290" s="26"/>
    </row>
    <row r="291" spans="3:15" x14ac:dyDescent="0.2">
      <c r="C291" s="159"/>
      <c r="D291" s="153"/>
      <c r="E291" s="154"/>
      <c r="F291" s="153"/>
      <c r="H291" s="18"/>
      <c r="I291" s="18"/>
      <c r="J291" s="18"/>
      <c r="L291" s="70"/>
      <c r="M291" s="157"/>
      <c r="O291" s="26"/>
    </row>
    <row r="292" spans="3:15" x14ac:dyDescent="0.2">
      <c r="C292" s="159"/>
      <c r="D292" s="153"/>
      <c r="E292" s="153"/>
      <c r="F292" s="153"/>
      <c r="H292" s="18"/>
      <c r="I292" s="18"/>
      <c r="J292" s="18"/>
      <c r="L292" s="70"/>
      <c r="M292" s="157"/>
      <c r="O292" s="26"/>
    </row>
    <row r="293" spans="3:15" x14ac:dyDescent="0.2">
      <c r="C293" s="159"/>
      <c r="D293" s="153"/>
      <c r="E293" s="154"/>
      <c r="F293" s="153"/>
      <c r="H293" s="18"/>
      <c r="I293" s="18"/>
      <c r="J293" s="18"/>
      <c r="L293" s="70"/>
      <c r="M293" s="157"/>
      <c r="O293" s="26"/>
    </row>
    <row r="294" spans="3:15" x14ac:dyDescent="0.2">
      <c r="C294" s="159"/>
      <c r="D294" s="153"/>
      <c r="E294" s="153"/>
      <c r="F294" s="153"/>
      <c r="H294" s="18"/>
      <c r="I294" s="18"/>
      <c r="J294" s="18"/>
      <c r="L294" s="70"/>
      <c r="M294" s="157"/>
      <c r="O294" s="26"/>
    </row>
    <row r="295" spans="3:15" x14ac:dyDescent="0.2">
      <c r="C295" s="159"/>
      <c r="D295" s="153"/>
      <c r="E295" s="154"/>
      <c r="F295" s="153"/>
      <c r="H295" s="18"/>
      <c r="I295" s="18"/>
      <c r="J295" s="18"/>
      <c r="L295" s="70"/>
      <c r="M295" s="157"/>
      <c r="O295" s="26"/>
    </row>
    <row r="296" spans="3:15" x14ac:dyDescent="0.2">
      <c r="C296" s="159"/>
      <c r="D296" s="153"/>
      <c r="E296" s="154"/>
      <c r="F296" s="153"/>
      <c r="H296" s="18"/>
      <c r="I296" s="18"/>
      <c r="J296" s="18"/>
      <c r="L296" s="70"/>
      <c r="M296" s="157"/>
      <c r="O296" s="26"/>
    </row>
    <row r="297" spans="3:15" x14ac:dyDescent="0.2">
      <c r="C297" s="159"/>
      <c r="D297" s="153"/>
      <c r="E297" s="153"/>
      <c r="F297" s="153"/>
      <c r="H297" s="18"/>
      <c r="I297" s="18"/>
      <c r="J297" s="18"/>
      <c r="L297" s="70"/>
      <c r="M297" s="157"/>
      <c r="O297" s="26"/>
    </row>
    <row r="298" spans="3:15" x14ac:dyDescent="0.2">
      <c r="C298" s="159"/>
      <c r="D298" s="153"/>
      <c r="E298" s="154"/>
      <c r="F298" s="153"/>
      <c r="H298" s="18"/>
      <c r="I298" s="18"/>
      <c r="J298" s="18"/>
      <c r="L298" s="70"/>
      <c r="M298" s="157"/>
      <c r="O298" s="26"/>
    </row>
    <row r="299" spans="3:15" x14ac:dyDescent="0.2">
      <c r="C299" s="159"/>
      <c r="D299" s="153"/>
      <c r="E299" s="154"/>
      <c r="F299" s="153"/>
      <c r="H299" s="18"/>
      <c r="I299" s="18"/>
      <c r="J299" s="18"/>
      <c r="L299" s="70"/>
      <c r="M299" s="157"/>
      <c r="O299" s="26"/>
    </row>
    <row r="300" spans="3:15" x14ac:dyDescent="0.2">
      <c r="C300" s="159"/>
      <c r="D300" s="153"/>
      <c r="E300" s="153"/>
      <c r="F300" s="153"/>
      <c r="H300" s="18"/>
      <c r="I300" s="18"/>
      <c r="J300" s="18"/>
      <c r="L300" s="70"/>
      <c r="M300" s="157"/>
      <c r="O300" s="26"/>
    </row>
    <row r="301" spans="3:15" x14ac:dyDescent="0.2">
      <c r="C301" s="159"/>
      <c r="D301" s="153"/>
      <c r="E301" s="154"/>
      <c r="F301" s="153"/>
      <c r="H301" s="18"/>
      <c r="I301" s="18"/>
      <c r="J301" s="18"/>
      <c r="L301" s="70"/>
      <c r="M301" s="157"/>
      <c r="O301" s="26"/>
    </row>
    <row r="302" spans="3:15" x14ac:dyDescent="0.2">
      <c r="C302" s="159"/>
      <c r="D302" s="153"/>
      <c r="E302" s="153"/>
      <c r="F302" s="153"/>
      <c r="H302" s="18"/>
      <c r="I302" s="18"/>
      <c r="J302" s="18"/>
      <c r="L302" s="70"/>
      <c r="M302" s="157"/>
      <c r="O302" s="26"/>
    </row>
    <row r="303" spans="3:15" x14ac:dyDescent="0.2">
      <c r="C303" s="159"/>
      <c r="D303" s="153"/>
      <c r="E303" s="153"/>
      <c r="F303" s="153"/>
      <c r="H303" s="18"/>
      <c r="I303" s="18"/>
      <c r="J303" s="18"/>
      <c r="L303" s="70"/>
      <c r="M303" s="157"/>
      <c r="O303" s="26"/>
    </row>
    <row r="304" spans="3:15" x14ac:dyDescent="0.2">
      <c r="C304" s="159"/>
      <c r="D304" s="153"/>
      <c r="E304" s="153"/>
      <c r="F304" s="153"/>
      <c r="H304" s="18"/>
      <c r="I304" s="18"/>
      <c r="J304" s="18"/>
      <c r="L304" s="70"/>
      <c r="M304" s="157"/>
      <c r="O304" s="26"/>
    </row>
    <row r="305" spans="3:15" x14ac:dyDescent="0.2">
      <c r="C305" s="159"/>
      <c r="D305" s="153"/>
      <c r="E305" s="153"/>
      <c r="F305" s="153"/>
      <c r="H305" s="18"/>
      <c r="I305" s="18"/>
      <c r="J305" s="18"/>
      <c r="L305" s="70"/>
      <c r="M305" s="157"/>
      <c r="O305" s="26"/>
    </row>
    <row r="306" spans="3:15" x14ac:dyDescent="0.2">
      <c r="C306" s="159"/>
      <c r="D306" s="153"/>
      <c r="E306" s="153"/>
      <c r="F306" s="153"/>
      <c r="H306" s="18"/>
      <c r="I306" s="18"/>
      <c r="J306" s="18"/>
      <c r="L306" s="70"/>
      <c r="M306" s="157"/>
      <c r="O306" s="26"/>
    </row>
    <row r="307" spans="3:15" x14ac:dyDescent="0.2">
      <c r="C307" s="159"/>
      <c r="D307" s="153"/>
      <c r="E307" s="153"/>
      <c r="F307" s="153"/>
      <c r="H307" s="18"/>
      <c r="I307" s="18"/>
      <c r="J307" s="18"/>
      <c r="L307" s="70"/>
      <c r="M307" s="157"/>
      <c r="O307" s="26"/>
    </row>
    <row r="308" spans="3:15" x14ac:dyDescent="0.2">
      <c r="C308" s="159"/>
      <c r="D308" s="153"/>
      <c r="E308" s="154"/>
      <c r="F308" s="153"/>
      <c r="H308" s="18"/>
      <c r="I308" s="18"/>
      <c r="J308" s="18"/>
      <c r="L308" s="70"/>
      <c r="M308" s="157"/>
      <c r="O308" s="26"/>
    </row>
    <row r="309" spans="3:15" x14ac:dyDescent="0.2">
      <c r="C309" s="159"/>
      <c r="D309" s="153"/>
      <c r="E309" s="154"/>
      <c r="F309" s="153"/>
      <c r="H309" s="18"/>
      <c r="I309" s="18"/>
      <c r="J309" s="18"/>
      <c r="L309" s="70"/>
      <c r="M309" s="157"/>
      <c r="O309" s="26"/>
    </row>
    <row r="310" spans="3:15" x14ac:dyDescent="0.2">
      <c r="C310" s="159"/>
      <c r="D310" s="153"/>
      <c r="E310" s="154"/>
      <c r="F310" s="153"/>
      <c r="H310" s="18"/>
      <c r="I310" s="18"/>
      <c r="J310" s="18"/>
      <c r="L310" s="70"/>
      <c r="M310" s="157"/>
      <c r="O310" s="26"/>
    </row>
    <row r="311" spans="3:15" x14ac:dyDescent="0.2">
      <c r="C311" s="159"/>
      <c r="D311" s="153"/>
      <c r="E311" s="154"/>
      <c r="F311" s="153"/>
      <c r="H311" s="18"/>
      <c r="I311" s="18"/>
      <c r="J311" s="18"/>
      <c r="L311" s="70"/>
      <c r="M311" s="157"/>
      <c r="O311" s="26"/>
    </row>
    <row r="312" spans="3:15" x14ac:dyDescent="0.2">
      <c r="C312" s="159"/>
      <c r="D312" s="153"/>
      <c r="E312" s="153"/>
      <c r="F312" s="153"/>
      <c r="H312" s="18"/>
      <c r="I312" s="18"/>
      <c r="J312" s="18"/>
      <c r="L312" s="70"/>
      <c r="M312" s="157"/>
      <c r="O312" s="26"/>
    </row>
    <row r="313" spans="3:15" x14ac:dyDescent="0.2">
      <c r="C313" s="159"/>
      <c r="D313" s="153"/>
      <c r="E313" s="154"/>
      <c r="F313" s="153"/>
      <c r="H313" s="18"/>
      <c r="I313" s="18"/>
      <c r="J313" s="18"/>
      <c r="L313" s="70"/>
      <c r="M313" s="157"/>
      <c r="O313" s="26"/>
    </row>
    <row r="314" spans="3:15" x14ac:dyDescent="0.2">
      <c r="C314" s="159"/>
      <c r="D314" s="153"/>
      <c r="E314" s="154"/>
      <c r="F314" s="153"/>
      <c r="H314" s="18"/>
      <c r="I314" s="18"/>
      <c r="J314" s="18"/>
      <c r="L314" s="70"/>
      <c r="M314" s="157"/>
      <c r="O314" s="26"/>
    </row>
    <row r="315" spans="3:15" x14ac:dyDescent="0.2">
      <c r="C315" s="159"/>
      <c r="D315" s="153"/>
      <c r="E315" s="154"/>
      <c r="F315" s="153"/>
      <c r="H315" s="18"/>
      <c r="I315" s="18"/>
      <c r="J315" s="18"/>
      <c r="L315" s="70"/>
      <c r="M315" s="157"/>
      <c r="O315" s="26"/>
    </row>
    <row r="316" spans="3:15" x14ac:dyDescent="0.2">
      <c r="C316" s="159"/>
      <c r="D316" s="153"/>
      <c r="E316" s="154"/>
      <c r="F316" s="153"/>
      <c r="H316" s="18"/>
      <c r="I316" s="18"/>
      <c r="J316" s="18"/>
      <c r="L316" s="70"/>
      <c r="M316" s="157"/>
      <c r="O316" s="26"/>
    </row>
    <row r="317" spans="3:15" x14ac:dyDescent="0.2">
      <c r="C317" s="159"/>
      <c r="D317" s="153"/>
      <c r="E317" s="153"/>
      <c r="F317" s="153"/>
      <c r="H317" s="18"/>
      <c r="I317" s="18"/>
      <c r="J317" s="18"/>
      <c r="L317" s="70"/>
      <c r="M317" s="157"/>
      <c r="O317" s="26"/>
    </row>
    <row r="318" spans="3:15" x14ac:dyDescent="0.2">
      <c r="C318" s="159"/>
      <c r="D318" s="153"/>
      <c r="E318" s="153"/>
      <c r="F318" s="153"/>
      <c r="H318" s="18"/>
      <c r="I318" s="18"/>
      <c r="J318" s="18"/>
      <c r="L318" s="70"/>
      <c r="M318" s="157"/>
      <c r="O318" s="26"/>
    </row>
    <row r="319" spans="3:15" x14ac:dyDescent="0.2">
      <c r="C319" s="159"/>
      <c r="D319" s="153"/>
      <c r="E319" s="154"/>
      <c r="F319" s="153"/>
      <c r="H319" s="18"/>
      <c r="I319" s="18"/>
      <c r="J319" s="18"/>
      <c r="L319" s="70"/>
      <c r="M319" s="157"/>
      <c r="O319" s="26"/>
    </row>
    <row r="320" spans="3:15" x14ac:dyDescent="0.2">
      <c r="C320" s="159"/>
      <c r="D320" s="153"/>
      <c r="E320" s="153"/>
      <c r="F320" s="153"/>
      <c r="H320" s="18"/>
      <c r="I320" s="18"/>
      <c r="J320" s="18"/>
      <c r="L320" s="70"/>
      <c r="M320" s="157"/>
      <c r="O320" s="26"/>
    </row>
    <row r="321" spans="3:15" x14ac:dyDescent="0.2">
      <c r="C321" s="159"/>
      <c r="D321" s="153"/>
      <c r="E321" s="153"/>
      <c r="F321" s="153"/>
      <c r="H321" s="18"/>
      <c r="I321" s="18"/>
      <c r="J321" s="18"/>
      <c r="L321" s="70"/>
      <c r="M321" s="157"/>
      <c r="O321" s="26"/>
    </row>
    <row r="322" spans="3:15" x14ac:dyDescent="0.2">
      <c r="C322" s="159"/>
      <c r="D322" s="153"/>
      <c r="E322" s="153"/>
      <c r="F322" s="153"/>
      <c r="H322" s="18"/>
      <c r="I322" s="18"/>
      <c r="J322" s="18"/>
      <c r="L322" s="70"/>
      <c r="M322" s="157"/>
      <c r="O322" s="26"/>
    </row>
    <row r="323" spans="3:15" x14ac:dyDescent="0.2">
      <c r="C323" s="159"/>
      <c r="D323" s="153"/>
      <c r="E323" s="153"/>
      <c r="F323" s="153"/>
      <c r="H323" s="18"/>
      <c r="I323" s="18"/>
      <c r="J323" s="18"/>
      <c r="L323" s="70"/>
      <c r="M323" s="157"/>
      <c r="O323" s="26"/>
    </row>
    <row r="324" spans="3:15" x14ac:dyDescent="0.2">
      <c r="C324" s="159"/>
      <c r="D324" s="153"/>
      <c r="E324" s="153"/>
      <c r="F324" s="153"/>
      <c r="H324" s="18"/>
      <c r="I324" s="18"/>
      <c r="J324" s="18"/>
      <c r="L324" s="70"/>
      <c r="M324" s="157"/>
      <c r="O324" s="26"/>
    </row>
    <row r="325" spans="3:15" x14ac:dyDescent="0.2">
      <c r="C325" s="159"/>
      <c r="D325" s="153"/>
      <c r="E325" s="154"/>
      <c r="F325" s="153"/>
      <c r="H325" s="18"/>
      <c r="I325" s="18"/>
      <c r="J325" s="18"/>
      <c r="L325" s="70"/>
      <c r="M325" s="157"/>
      <c r="O325" s="26"/>
    </row>
    <row r="326" spans="3:15" x14ac:dyDescent="0.2">
      <c r="C326" s="159"/>
      <c r="D326" s="153"/>
      <c r="E326" s="154"/>
      <c r="F326" s="153"/>
      <c r="H326" s="18"/>
      <c r="I326" s="18"/>
      <c r="J326" s="18"/>
      <c r="L326" s="70"/>
      <c r="M326" s="157"/>
      <c r="O326" s="26"/>
    </row>
    <row r="327" spans="3:15" x14ac:dyDescent="0.2">
      <c r="C327" s="159"/>
      <c r="D327" s="153"/>
      <c r="E327" s="154"/>
      <c r="F327" s="153"/>
      <c r="H327" s="18"/>
      <c r="I327" s="18"/>
      <c r="J327" s="18"/>
      <c r="L327" s="70"/>
      <c r="M327" s="157"/>
      <c r="O327" s="26"/>
    </row>
    <row r="328" spans="3:15" x14ac:dyDescent="0.2">
      <c r="C328" s="159"/>
      <c r="D328" s="153"/>
      <c r="E328" s="153"/>
      <c r="F328" s="153"/>
      <c r="H328" s="18"/>
      <c r="I328" s="18"/>
      <c r="J328" s="18"/>
      <c r="L328" s="70"/>
      <c r="M328" s="157"/>
      <c r="O328" s="26"/>
    </row>
    <row r="329" spans="3:15" x14ac:dyDescent="0.2">
      <c r="C329" s="159"/>
      <c r="D329" s="153"/>
      <c r="E329" s="153"/>
      <c r="F329" s="153"/>
      <c r="H329" s="18"/>
      <c r="I329" s="18"/>
      <c r="J329" s="18"/>
      <c r="L329" s="70"/>
      <c r="M329" s="157"/>
      <c r="O329" s="26"/>
    </row>
    <row r="330" spans="3:15" x14ac:dyDescent="0.2">
      <c r="C330" s="159"/>
      <c r="D330" s="153"/>
      <c r="E330" s="154"/>
      <c r="F330" s="153"/>
      <c r="H330" s="18"/>
      <c r="I330" s="18"/>
      <c r="J330" s="18"/>
      <c r="L330" s="70"/>
      <c r="M330" s="157"/>
      <c r="O330" s="26"/>
    </row>
    <row r="331" spans="3:15" x14ac:dyDescent="0.2">
      <c r="C331" s="159"/>
      <c r="D331" s="153"/>
      <c r="E331" s="154"/>
      <c r="F331" s="153"/>
      <c r="H331" s="18"/>
      <c r="I331" s="18"/>
      <c r="J331" s="18"/>
      <c r="L331" s="70"/>
      <c r="M331" s="157"/>
      <c r="O331" s="26"/>
    </row>
    <row r="332" spans="3:15" x14ac:dyDescent="0.2">
      <c r="C332" s="159"/>
      <c r="D332" s="153"/>
      <c r="E332" s="154"/>
      <c r="F332" s="153"/>
      <c r="H332" s="18"/>
      <c r="I332" s="18"/>
      <c r="J332" s="18"/>
      <c r="L332" s="70"/>
      <c r="M332" s="157"/>
      <c r="O332" s="26"/>
    </row>
    <row r="333" spans="3:15" x14ac:dyDescent="0.2">
      <c r="C333" s="159"/>
      <c r="D333" s="153"/>
      <c r="E333" s="153"/>
      <c r="F333" s="153"/>
      <c r="H333" s="18"/>
      <c r="I333" s="18"/>
      <c r="J333" s="18"/>
      <c r="L333" s="70"/>
      <c r="M333" s="157"/>
      <c r="O333" s="26"/>
    </row>
    <row r="334" spans="3:15" x14ac:dyDescent="0.2">
      <c r="C334" s="159"/>
      <c r="D334" s="153"/>
      <c r="E334" s="154"/>
      <c r="F334" s="153"/>
      <c r="H334" s="18"/>
      <c r="I334" s="18"/>
      <c r="J334" s="18"/>
      <c r="L334" s="70"/>
      <c r="M334" s="157"/>
      <c r="O334" s="26"/>
    </row>
    <row r="335" spans="3:15" x14ac:dyDescent="0.2">
      <c r="C335" s="159"/>
      <c r="D335" s="153"/>
      <c r="E335" s="154"/>
      <c r="F335" s="153"/>
      <c r="H335" s="18"/>
      <c r="I335" s="18"/>
      <c r="J335" s="18"/>
      <c r="L335" s="70"/>
      <c r="M335" s="157"/>
      <c r="O335" s="26"/>
    </row>
    <row r="336" spans="3:15" x14ac:dyDescent="0.2">
      <c r="C336" s="159"/>
      <c r="D336" s="153"/>
      <c r="E336" s="153"/>
      <c r="F336" s="153"/>
      <c r="H336" s="18"/>
      <c r="I336" s="18"/>
      <c r="J336" s="18"/>
      <c r="L336" s="70"/>
      <c r="M336" s="157"/>
      <c r="O336" s="26"/>
    </row>
    <row r="337" spans="3:15" x14ac:dyDescent="0.2">
      <c r="C337" s="159"/>
      <c r="D337" s="153"/>
      <c r="E337" s="154"/>
      <c r="F337" s="153"/>
      <c r="H337" s="18"/>
      <c r="I337" s="18"/>
      <c r="J337" s="18"/>
      <c r="L337" s="70"/>
      <c r="M337" s="157"/>
      <c r="O337" s="26"/>
    </row>
    <row r="338" spans="3:15" x14ac:dyDescent="0.2">
      <c r="C338" s="159"/>
      <c r="D338" s="153"/>
      <c r="E338" s="154"/>
      <c r="F338" s="153"/>
      <c r="H338" s="18"/>
      <c r="I338" s="18"/>
      <c r="J338" s="18"/>
      <c r="L338" s="70"/>
      <c r="M338" s="157"/>
      <c r="O338" s="26"/>
    </row>
    <row r="339" spans="3:15" x14ac:dyDescent="0.2">
      <c r="C339" s="159"/>
      <c r="D339" s="153"/>
      <c r="E339" s="154"/>
      <c r="F339" s="153"/>
      <c r="H339" s="18"/>
      <c r="I339" s="18"/>
      <c r="J339" s="18"/>
      <c r="L339" s="70"/>
      <c r="M339" s="157"/>
      <c r="O339" s="26"/>
    </row>
    <row r="340" spans="3:15" x14ac:dyDescent="0.2">
      <c r="C340" s="159"/>
      <c r="D340" s="153"/>
      <c r="E340" s="154"/>
      <c r="F340" s="153"/>
      <c r="H340" s="18"/>
      <c r="I340" s="18"/>
      <c r="J340" s="18"/>
      <c r="L340" s="70"/>
      <c r="M340" s="157"/>
      <c r="O340" s="26"/>
    </row>
    <row r="341" spans="3:15" x14ac:dyDescent="0.2">
      <c r="C341" s="159"/>
      <c r="D341" s="153"/>
      <c r="E341" s="153"/>
      <c r="F341" s="153"/>
      <c r="H341" s="18"/>
      <c r="I341" s="18"/>
      <c r="J341" s="18"/>
      <c r="L341" s="70"/>
      <c r="M341" s="157"/>
      <c r="O341" s="26"/>
    </row>
    <row r="342" spans="3:15" x14ac:dyDescent="0.2">
      <c r="C342" s="159"/>
      <c r="D342" s="153"/>
      <c r="E342" s="153"/>
      <c r="F342" s="153"/>
      <c r="H342" s="18"/>
      <c r="I342" s="18"/>
      <c r="J342" s="18"/>
      <c r="L342" s="70"/>
      <c r="M342" s="157"/>
      <c r="O342" s="26"/>
    </row>
    <row r="343" spans="3:15" x14ac:dyDescent="0.2">
      <c r="C343" s="159"/>
      <c r="D343" s="153"/>
      <c r="E343" s="154"/>
      <c r="F343" s="153"/>
      <c r="H343" s="18"/>
      <c r="I343" s="18"/>
      <c r="J343" s="18"/>
      <c r="L343" s="70"/>
      <c r="M343" s="157"/>
      <c r="O343" s="26"/>
    </row>
    <row r="344" spans="3:15" x14ac:dyDescent="0.2">
      <c r="C344" s="159"/>
      <c r="D344" s="153"/>
      <c r="E344" s="153"/>
      <c r="F344" s="153"/>
      <c r="H344" s="18"/>
      <c r="I344" s="18"/>
      <c r="J344" s="18"/>
      <c r="L344" s="70"/>
      <c r="M344" s="157"/>
      <c r="O344" s="26"/>
    </row>
    <row r="345" spans="3:15" x14ac:dyDescent="0.2">
      <c r="C345" s="159"/>
      <c r="D345" s="153"/>
      <c r="E345" s="154"/>
      <c r="F345" s="153"/>
      <c r="H345" s="18"/>
      <c r="I345" s="18"/>
      <c r="J345" s="18"/>
      <c r="L345" s="70"/>
      <c r="M345" s="157"/>
      <c r="O345" s="26"/>
    </row>
    <row r="346" spans="3:15" x14ac:dyDescent="0.2">
      <c r="C346" s="159"/>
      <c r="D346" s="153"/>
      <c r="E346" s="154"/>
      <c r="F346" s="153"/>
      <c r="H346" s="18"/>
      <c r="I346" s="18"/>
      <c r="J346" s="18"/>
      <c r="L346" s="70"/>
      <c r="M346" s="157"/>
      <c r="O346" s="26"/>
    </row>
    <row r="347" spans="3:15" x14ac:dyDescent="0.2">
      <c r="C347" s="159"/>
      <c r="D347" s="153"/>
      <c r="E347" s="153"/>
      <c r="F347" s="153"/>
      <c r="H347" s="18"/>
      <c r="I347" s="18"/>
      <c r="J347" s="18"/>
      <c r="L347" s="70"/>
      <c r="M347" s="157"/>
      <c r="O347" s="26"/>
    </row>
    <row r="348" spans="3:15" x14ac:dyDescent="0.2">
      <c r="C348" s="159"/>
      <c r="D348" s="153"/>
      <c r="E348" s="153"/>
      <c r="F348" s="153"/>
      <c r="H348" s="18"/>
      <c r="I348" s="18"/>
      <c r="J348" s="18"/>
      <c r="L348" s="70"/>
      <c r="M348" s="157"/>
      <c r="O348" s="26"/>
    </row>
    <row r="349" spans="3:15" x14ac:dyDescent="0.2">
      <c r="C349" s="159"/>
      <c r="D349" s="153"/>
      <c r="E349" s="153"/>
      <c r="F349" s="153"/>
      <c r="H349" s="18"/>
      <c r="I349" s="18"/>
      <c r="J349" s="18"/>
      <c r="L349" s="70"/>
      <c r="M349" s="157"/>
      <c r="O349" s="26"/>
    </row>
    <row r="350" spans="3:15" x14ac:dyDescent="0.2">
      <c r="C350" s="159"/>
      <c r="D350" s="153"/>
      <c r="E350" s="153"/>
      <c r="F350" s="153"/>
      <c r="H350" s="18"/>
      <c r="I350" s="18"/>
      <c r="J350" s="18"/>
      <c r="L350" s="70"/>
      <c r="M350" s="157"/>
      <c r="O350" s="26"/>
    </row>
    <row r="351" spans="3:15" x14ac:dyDescent="0.2">
      <c r="C351" s="159"/>
      <c r="D351" s="153"/>
      <c r="E351" s="154"/>
      <c r="F351" s="153"/>
      <c r="H351" s="18"/>
      <c r="I351" s="18"/>
      <c r="J351" s="18"/>
      <c r="L351" s="70"/>
      <c r="M351" s="157"/>
      <c r="O351" s="26"/>
    </row>
    <row r="352" spans="3:15" x14ac:dyDescent="0.2">
      <c r="C352" s="159"/>
      <c r="D352" s="153"/>
      <c r="E352" s="154"/>
      <c r="F352" s="153"/>
      <c r="H352" s="18"/>
      <c r="I352" s="18"/>
      <c r="J352" s="18"/>
      <c r="L352" s="70"/>
      <c r="M352" s="157"/>
      <c r="O352" s="26"/>
    </row>
    <row r="353" spans="3:15" x14ac:dyDescent="0.2">
      <c r="C353" s="159"/>
      <c r="D353" s="153"/>
      <c r="E353" s="154"/>
      <c r="F353" s="153"/>
      <c r="H353" s="18"/>
      <c r="I353" s="18"/>
      <c r="J353" s="18"/>
      <c r="L353" s="70"/>
      <c r="M353" s="157"/>
      <c r="O353" s="26"/>
    </row>
    <row r="354" spans="3:15" x14ac:dyDescent="0.2">
      <c r="C354" s="159"/>
      <c r="D354" s="153"/>
      <c r="E354" s="153"/>
      <c r="F354" s="153"/>
      <c r="H354" s="18"/>
      <c r="I354" s="18"/>
      <c r="J354" s="18"/>
      <c r="L354" s="70"/>
      <c r="M354" s="157"/>
      <c r="O354" s="26"/>
    </row>
    <row r="355" spans="3:15" x14ac:dyDescent="0.2">
      <c r="C355" s="159"/>
      <c r="D355" s="153"/>
      <c r="E355" s="153"/>
      <c r="F355" s="153"/>
      <c r="H355" s="18"/>
      <c r="I355" s="18"/>
      <c r="J355" s="18"/>
      <c r="L355" s="70"/>
      <c r="M355" s="157"/>
      <c r="O355" s="26"/>
    </row>
    <row r="356" spans="3:15" x14ac:dyDescent="0.2">
      <c r="C356" s="159"/>
      <c r="D356" s="153"/>
      <c r="E356" s="153"/>
      <c r="F356" s="153"/>
      <c r="H356" s="18"/>
      <c r="I356" s="18"/>
      <c r="J356" s="18"/>
      <c r="L356" s="70"/>
      <c r="M356" s="157"/>
      <c r="O356" s="26"/>
    </row>
    <row r="357" spans="3:15" x14ac:dyDescent="0.2">
      <c r="C357" s="159"/>
      <c r="D357" s="153"/>
      <c r="E357" s="154"/>
      <c r="F357" s="153"/>
      <c r="H357" s="18"/>
      <c r="I357" s="18"/>
      <c r="J357" s="18"/>
      <c r="L357" s="70"/>
      <c r="M357" s="157"/>
      <c r="O357" s="26"/>
    </row>
    <row r="358" spans="3:15" x14ac:dyDescent="0.2">
      <c r="C358" s="159"/>
      <c r="D358" s="153"/>
      <c r="E358" s="154"/>
      <c r="F358" s="153"/>
      <c r="H358" s="18"/>
      <c r="I358" s="18"/>
      <c r="J358" s="18"/>
      <c r="L358" s="70"/>
      <c r="M358" s="157"/>
      <c r="O358" s="26"/>
    </row>
    <row r="359" spans="3:15" x14ac:dyDescent="0.2">
      <c r="C359" s="159"/>
      <c r="D359" s="153"/>
      <c r="E359" s="154"/>
      <c r="F359" s="153"/>
      <c r="H359" s="18"/>
      <c r="I359" s="18"/>
      <c r="J359" s="18"/>
      <c r="L359" s="70"/>
      <c r="M359" s="157"/>
      <c r="O359" s="26"/>
    </row>
    <row r="360" spans="3:15" x14ac:dyDescent="0.2">
      <c r="C360" s="159"/>
      <c r="D360" s="153"/>
      <c r="E360" s="154"/>
      <c r="F360" s="153"/>
      <c r="H360" s="18"/>
      <c r="I360" s="18"/>
      <c r="J360" s="18"/>
      <c r="L360" s="70"/>
      <c r="M360" s="157"/>
      <c r="O360" s="26"/>
    </row>
    <row r="361" spans="3:15" x14ac:dyDescent="0.2">
      <c r="C361" s="159"/>
      <c r="D361" s="153"/>
      <c r="E361" s="153"/>
      <c r="F361" s="153"/>
      <c r="H361" s="18"/>
      <c r="I361" s="18"/>
      <c r="J361" s="18"/>
      <c r="L361" s="70"/>
      <c r="M361" s="157"/>
      <c r="O361" s="26"/>
    </row>
    <row r="362" spans="3:15" x14ac:dyDescent="0.2">
      <c r="C362" s="159"/>
      <c r="D362" s="153"/>
      <c r="E362" s="154"/>
      <c r="F362" s="153"/>
      <c r="H362" s="18"/>
      <c r="I362" s="18"/>
      <c r="J362" s="18"/>
      <c r="L362" s="70"/>
      <c r="M362" s="157"/>
      <c r="O362" s="26"/>
    </row>
    <row r="363" spans="3:15" x14ac:dyDescent="0.2">
      <c r="C363" s="159"/>
      <c r="D363" s="153"/>
      <c r="E363" s="153"/>
      <c r="F363" s="153"/>
      <c r="H363" s="18"/>
      <c r="I363" s="18"/>
      <c r="J363" s="18"/>
      <c r="L363" s="70"/>
      <c r="M363" s="157"/>
      <c r="O363" s="26"/>
    </row>
    <row r="364" spans="3:15" x14ac:dyDescent="0.2">
      <c r="C364" s="159"/>
      <c r="D364" s="153"/>
      <c r="E364" s="154"/>
      <c r="F364" s="153"/>
      <c r="H364" s="18"/>
      <c r="I364" s="18"/>
      <c r="J364" s="18"/>
      <c r="L364" s="70"/>
      <c r="M364" s="157"/>
      <c r="O364" s="26"/>
    </row>
    <row r="365" spans="3:15" x14ac:dyDescent="0.2">
      <c r="C365" s="159"/>
      <c r="D365" s="153"/>
      <c r="E365" s="154"/>
      <c r="F365" s="153"/>
      <c r="H365" s="18"/>
      <c r="I365" s="18"/>
      <c r="J365" s="18"/>
      <c r="L365" s="70"/>
      <c r="M365" s="157"/>
      <c r="O365" s="26"/>
    </row>
    <row r="366" spans="3:15" x14ac:dyDescent="0.2">
      <c r="C366" s="159"/>
      <c r="D366" s="153"/>
      <c r="E366" s="153"/>
      <c r="F366" s="153"/>
      <c r="H366" s="18"/>
      <c r="I366" s="18"/>
      <c r="J366" s="18"/>
      <c r="L366" s="70"/>
      <c r="M366" s="157"/>
      <c r="O366" s="26"/>
    </row>
    <row r="367" spans="3:15" x14ac:dyDescent="0.2">
      <c r="C367" s="159"/>
      <c r="D367" s="153"/>
      <c r="E367" s="153"/>
      <c r="F367" s="153"/>
      <c r="H367" s="18"/>
      <c r="I367" s="18"/>
      <c r="J367" s="18"/>
      <c r="L367" s="70"/>
      <c r="M367" s="157"/>
      <c r="O367" s="26"/>
    </row>
    <row r="368" spans="3:15" x14ac:dyDescent="0.2">
      <c r="C368" s="159"/>
      <c r="D368" s="153"/>
      <c r="E368" s="153"/>
      <c r="F368" s="153"/>
      <c r="H368" s="18"/>
      <c r="I368" s="18"/>
      <c r="J368" s="18"/>
      <c r="L368" s="70"/>
      <c r="M368" s="157"/>
      <c r="O368" s="26"/>
    </row>
    <row r="369" spans="3:15" x14ac:dyDescent="0.2">
      <c r="C369" s="159"/>
      <c r="D369" s="153"/>
      <c r="E369" s="154"/>
      <c r="F369" s="153"/>
      <c r="H369" s="18"/>
      <c r="I369" s="18"/>
      <c r="J369" s="18"/>
      <c r="L369" s="70"/>
      <c r="M369" s="157"/>
      <c r="O369" s="26"/>
    </row>
    <row r="370" spans="3:15" x14ac:dyDescent="0.2">
      <c r="C370" s="159"/>
      <c r="D370" s="153"/>
      <c r="E370" s="154"/>
      <c r="F370" s="153"/>
      <c r="H370" s="18"/>
      <c r="I370" s="18"/>
      <c r="J370" s="18"/>
      <c r="L370" s="70"/>
      <c r="M370" s="157"/>
      <c r="O370" s="26"/>
    </row>
    <row r="371" spans="3:15" x14ac:dyDescent="0.2">
      <c r="C371" s="159"/>
      <c r="D371" s="153"/>
      <c r="E371" s="153"/>
      <c r="F371" s="153"/>
      <c r="H371" s="18"/>
      <c r="I371" s="18"/>
      <c r="J371" s="18"/>
      <c r="L371" s="70"/>
      <c r="M371" s="157"/>
      <c r="O371" s="26"/>
    </row>
    <row r="372" spans="3:15" x14ac:dyDescent="0.2">
      <c r="C372" s="159"/>
      <c r="D372" s="153"/>
      <c r="E372" s="153"/>
      <c r="F372" s="153"/>
      <c r="H372" s="18"/>
      <c r="I372" s="18"/>
      <c r="J372" s="18"/>
      <c r="L372" s="70"/>
      <c r="M372" s="157"/>
      <c r="O372" s="26"/>
    </row>
    <row r="373" spans="3:15" x14ac:dyDescent="0.2">
      <c r="C373" s="159"/>
      <c r="D373" s="153"/>
      <c r="E373" s="153"/>
      <c r="F373" s="153"/>
      <c r="H373" s="18"/>
      <c r="I373" s="18"/>
      <c r="J373" s="18"/>
      <c r="L373" s="70"/>
      <c r="M373" s="157"/>
      <c r="O373" s="26"/>
    </row>
    <row r="374" spans="3:15" x14ac:dyDescent="0.2">
      <c r="C374" s="159"/>
      <c r="D374" s="153"/>
      <c r="E374" s="153"/>
      <c r="F374" s="153"/>
      <c r="H374" s="18"/>
      <c r="I374" s="18"/>
      <c r="J374" s="18"/>
      <c r="L374" s="70"/>
      <c r="M374" s="157"/>
      <c r="O374" s="26"/>
    </row>
    <row r="375" spans="3:15" x14ac:dyDescent="0.2">
      <c r="C375" s="159"/>
      <c r="D375" s="153"/>
      <c r="E375" s="153"/>
      <c r="F375" s="153"/>
      <c r="H375" s="18"/>
      <c r="I375" s="18"/>
      <c r="J375" s="18"/>
      <c r="L375" s="70"/>
      <c r="M375" s="157"/>
      <c r="O375" s="26"/>
    </row>
    <row r="376" spans="3:15" x14ac:dyDescent="0.2">
      <c r="C376" s="159"/>
      <c r="D376" s="153"/>
      <c r="E376" s="153"/>
      <c r="F376" s="153"/>
      <c r="H376" s="18"/>
      <c r="I376" s="18"/>
      <c r="J376" s="18"/>
      <c r="L376" s="70"/>
      <c r="M376" s="157"/>
      <c r="O376" s="26"/>
    </row>
    <row r="377" spans="3:15" x14ac:dyDescent="0.2">
      <c r="C377" s="159"/>
      <c r="D377" s="153"/>
      <c r="E377" s="153"/>
      <c r="F377" s="153"/>
      <c r="H377" s="18"/>
      <c r="I377" s="18"/>
      <c r="J377" s="18"/>
      <c r="L377" s="70"/>
      <c r="M377" s="157"/>
      <c r="O377" s="26"/>
    </row>
    <row r="378" spans="3:15" x14ac:dyDescent="0.2">
      <c r="C378" s="159"/>
      <c r="D378" s="153"/>
      <c r="E378" s="153"/>
      <c r="F378" s="153"/>
      <c r="H378" s="18"/>
      <c r="I378" s="18"/>
      <c r="J378" s="18"/>
      <c r="L378" s="70"/>
      <c r="M378" s="157"/>
      <c r="O378" s="26"/>
    </row>
    <row r="379" spans="3:15" x14ac:dyDescent="0.2">
      <c r="C379" s="159"/>
      <c r="D379" s="153"/>
      <c r="E379" s="153"/>
      <c r="F379" s="153"/>
      <c r="H379" s="18"/>
      <c r="I379" s="18"/>
      <c r="J379" s="18"/>
      <c r="L379" s="70"/>
      <c r="M379" s="157"/>
      <c r="O379" s="26"/>
    </row>
    <row r="380" spans="3:15" x14ac:dyDescent="0.2">
      <c r="C380" s="159"/>
      <c r="D380" s="153"/>
      <c r="E380" s="153"/>
      <c r="F380" s="153"/>
      <c r="H380" s="18"/>
      <c r="I380" s="18"/>
      <c r="J380" s="18"/>
      <c r="L380" s="70"/>
      <c r="M380" s="157"/>
      <c r="O380" s="26"/>
    </row>
    <row r="381" spans="3:15" x14ac:dyDescent="0.2">
      <c r="C381" s="159"/>
      <c r="D381" s="153"/>
      <c r="E381" s="154"/>
      <c r="F381" s="153"/>
      <c r="H381" s="18"/>
      <c r="I381" s="18"/>
      <c r="J381" s="18"/>
      <c r="L381" s="70"/>
      <c r="M381" s="157"/>
      <c r="O381" s="26"/>
    </row>
    <row r="382" spans="3:15" x14ac:dyDescent="0.2">
      <c r="C382" s="159"/>
      <c r="D382" s="153"/>
      <c r="E382" s="154"/>
      <c r="F382" s="153"/>
      <c r="H382" s="18"/>
      <c r="I382" s="18"/>
      <c r="J382" s="18"/>
      <c r="L382" s="70"/>
      <c r="M382" s="157"/>
      <c r="O382" s="26"/>
    </row>
    <row r="383" spans="3:15" x14ac:dyDescent="0.2">
      <c r="C383" s="159"/>
      <c r="D383" s="153"/>
      <c r="E383" s="153"/>
      <c r="F383" s="153"/>
      <c r="H383" s="18"/>
      <c r="I383" s="18"/>
      <c r="J383" s="18"/>
      <c r="L383" s="70"/>
      <c r="M383" s="157"/>
      <c r="O383" s="26"/>
    </row>
    <row r="384" spans="3:15" x14ac:dyDescent="0.2">
      <c r="C384" s="159"/>
      <c r="D384" s="153"/>
      <c r="E384" s="154"/>
      <c r="F384" s="153"/>
      <c r="H384" s="18"/>
      <c r="I384" s="18"/>
      <c r="J384" s="18"/>
      <c r="L384" s="70"/>
      <c r="M384" s="157"/>
      <c r="O384" s="26"/>
    </row>
    <row r="385" spans="3:15" x14ac:dyDescent="0.2">
      <c r="C385" s="159"/>
      <c r="D385" s="153"/>
      <c r="E385" s="153"/>
      <c r="F385" s="153"/>
      <c r="H385" s="18"/>
      <c r="I385" s="18"/>
      <c r="J385" s="18"/>
      <c r="L385" s="70"/>
      <c r="M385" s="157"/>
      <c r="O385" s="26"/>
    </row>
    <row r="386" spans="3:15" x14ac:dyDescent="0.2">
      <c r="C386" s="159"/>
      <c r="D386" s="153"/>
      <c r="E386" s="153"/>
      <c r="F386" s="153"/>
      <c r="H386" s="18"/>
      <c r="I386" s="18"/>
      <c r="J386" s="18"/>
      <c r="L386" s="70"/>
      <c r="M386" s="157"/>
      <c r="O386" s="26"/>
    </row>
    <row r="387" spans="3:15" x14ac:dyDescent="0.2">
      <c r="C387" s="159"/>
      <c r="D387" s="153"/>
      <c r="E387" s="154"/>
      <c r="F387" s="153"/>
      <c r="H387" s="18"/>
      <c r="I387" s="18"/>
      <c r="J387" s="18"/>
      <c r="L387" s="70"/>
      <c r="M387" s="157"/>
      <c r="O387" s="26"/>
    </row>
    <row r="388" spans="3:15" x14ac:dyDescent="0.2">
      <c r="C388" s="159"/>
      <c r="D388" s="153"/>
      <c r="E388" s="154"/>
      <c r="F388" s="153"/>
      <c r="H388" s="18"/>
      <c r="I388" s="18"/>
      <c r="J388" s="18"/>
      <c r="L388" s="70"/>
      <c r="M388" s="157"/>
      <c r="O388" s="26"/>
    </row>
    <row r="389" spans="3:15" x14ac:dyDescent="0.2">
      <c r="C389" s="159"/>
      <c r="D389" s="153"/>
      <c r="E389" s="154"/>
      <c r="F389" s="153"/>
      <c r="H389" s="18"/>
      <c r="I389" s="18"/>
      <c r="J389" s="18"/>
      <c r="L389" s="70"/>
      <c r="M389" s="157"/>
      <c r="O389" s="26"/>
    </row>
    <row r="390" spans="3:15" x14ac:dyDescent="0.2">
      <c r="C390" s="159"/>
      <c r="D390" s="153"/>
      <c r="E390" s="154"/>
      <c r="F390" s="153"/>
      <c r="H390" s="18"/>
      <c r="I390" s="18"/>
      <c r="J390" s="18"/>
      <c r="L390" s="70"/>
      <c r="M390" s="157"/>
      <c r="O390" s="26"/>
    </row>
    <row r="391" spans="3:15" x14ac:dyDescent="0.2">
      <c r="C391" s="159"/>
      <c r="D391" s="153"/>
      <c r="E391" s="154"/>
      <c r="F391" s="153"/>
      <c r="H391" s="18"/>
      <c r="I391" s="18"/>
      <c r="J391" s="18"/>
      <c r="L391" s="70"/>
      <c r="M391" s="157"/>
      <c r="O391" s="26"/>
    </row>
    <row r="392" spans="3:15" x14ac:dyDescent="0.2">
      <c r="C392" s="159"/>
      <c r="D392" s="153"/>
      <c r="E392" s="154"/>
      <c r="F392" s="153"/>
      <c r="H392" s="18"/>
      <c r="I392" s="18"/>
      <c r="J392" s="18"/>
      <c r="L392" s="70"/>
      <c r="M392" s="157"/>
      <c r="O392" s="26"/>
    </row>
    <row r="393" spans="3:15" x14ac:dyDescent="0.2">
      <c r="C393" s="159"/>
      <c r="D393" s="153"/>
      <c r="E393" s="153"/>
      <c r="F393" s="153"/>
      <c r="H393" s="18"/>
      <c r="I393" s="18"/>
      <c r="J393" s="18"/>
      <c r="L393" s="70"/>
      <c r="M393" s="157"/>
      <c r="O393" s="26"/>
    </row>
    <row r="394" spans="3:15" x14ac:dyDescent="0.2">
      <c r="C394" s="159"/>
      <c r="D394" s="153"/>
      <c r="E394" s="154"/>
      <c r="F394" s="153"/>
      <c r="H394" s="18"/>
      <c r="I394" s="18"/>
      <c r="J394" s="18"/>
      <c r="L394" s="70"/>
      <c r="M394" s="157"/>
      <c r="O394" s="26"/>
    </row>
    <row r="395" spans="3:15" x14ac:dyDescent="0.2">
      <c r="C395" s="159"/>
      <c r="D395" s="153"/>
      <c r="E395" s="154"/>
      <c r="F395" s="153"/>
      <c r="H395" s="18"/>
      <c r="I395" s="18"/>
      <c r="J395" s="18"/>
      <c r="L395" s="70"/>
      <c r="M395" s="157"/>
      <c r="O395" s="26"/>
    </row>
    <row r="396" spans="3:15" x14ac:dyDescent="0.2">
      <c r="C396" s="159"/>
      <c r="D396" s="153"/>
      <c r="E396" s="153"/>
      <c r="F396" s="153"/>
      <c r="H396" s="18"/>
      <c r="I396" s="18"/>
      <c r="J396" s="18"/>
      <c r="L396" s="70"/>
      <c r="M396" s="157"/>
      <c r="O396" s="26"/>
    </row>
    <row r="397" spans="3:15" x14ac:dyDescent="0.2">
      <c r="C397" s="159"/>
      <c r="D397" s="153"/>
      <c r="E397" s="154"/>
      <c r="F397" s="153"/>
      <c r="H397" s="18"/>
      <c r="I397" s="18"/>
      <c r="J397" s="18"/>
      <c r="L397" s="70"/>
      <c r="M397" s="157"/>
      <c r="O397" s="26"/>
    </row>
    <row r="398" spans="3:15" x14ac:dyDescent="0.2">
      <c r="C398" s="159"/>
      <c r="D398" s="153"/>
      <c r="E398" s="153"/>
      <c r="F398" s="153"/>
      <c r="H398" s="18"/>
      <c r="I398" s="18"/>
      <c r="J398" s="18"/>
      <c r="L398" s="70"/>
      <c r="M398" s="157"/>
      <c r="O398" s="26"/>
    </row>
    <row r="399" spans="3:15" x14ac:dyDescent="0.2">
      <c r="C399" s="159"/>
      <c r="D399" s="153"/>
      <c r="E399" s="154"/>
      <c r="F399" s="153"/>
      <c r="H399" s="18"/>
      <c r="I399" s="18"/>
      <c r="J399" s="18"/>
      <c r="L399" s="70"/>
      <c r="M399" s="157"/>
      <c r="O399" s="26"/>
    </row>
    <row r="400" spans="3:15" x14ac:dyDescent="0.2">
      <c r="C400" s="159"/>
      <c r="D400" s="153"/>
      <c r="E400" s="153"/>
      <c r="F400" s="153"/>
      <c r="H400" s="18"/>
      <c r="I400" s="18"/>
      <c r="J400" s="18"/>
      <c r="L400" s="70"/>
      <c r="M400" s="157"/>
      <c r="O400" s="26"/>
    </row>
    <row r="401" spans="3:15" x14ac:dyDescent="0.2">
      <c r="C401" s="159"/>
      <c r="D401" s="153"/>
      <c r="E401" s="153"/>
      <c r="F401" s="153"/>
      <c r="H401" s="18"/>
      <c r="I401" s="18"/>
      <c r="J401" s="18"/>
      <c r="L401" s="70"/>
      <c r="M401" s="157"/>
      <c r="O401" s="26"/>
    </row>
    <row r="402" spans="3:15" x14ac:dyDescent="0.2">
      <c r="C402" s="159"/>
      <c r="D402" s="153"/>
      <c r="E402" s="154"/>
      <c r="F402" s="153"/>
      <c r="H402" s="18"/>
      <c r="I402" s="18"/>
      <c r="J402" s="18"/>
      <c r="L402" s="70"/>
      <c r="M402" s="157"/>
      <c r="O402" s="26"/>
    </row>
    <row r="403" spans="3:15" x14ac:dyDescent="0.2">
      <c r="C403" s="159"/>
      <c r="D403" s="153"/>
      <c r="E403" s="153"/>
      <c r="F403" s="153"/>
      <c r="H403" s="18"/>
      <c r="I403" s="18"/>
      <c r="J403" s="18"/>
      <c r="L403" s="70"/>
      <c r="M403" s="157"/>
      <c r="O403" s="26"/>
    </row>
    <row r="404" spans="3:15" x14ac:dyDescent="0.2">
      <c r="C404" s="159"/>
      <c r="D404" s="153"/>
      <c r="E404" s="153"/>
      <c r="F404" s="153"/>
      <c r="H404" s="18"/>
      <c r="I404" s="18"/>
      <c r="J404" s="18"/>
      <c r="L404" s="70"/>
      <c r="M404" s="157"/>
      <c r="O404" s="26"/>
    </row>
    <row r="405" spans="3:15" x14ac:dyDescent="0.2">
      <c r="C405" s="159"/>
      <c r="D405" s="153"/>
      <c r="E405" s="153"/>
      <c r="F405" s="153"/>
      <c r="H405" s="18"/>
      <c r="I405" s="18"/>
      <c r="J405" s="18"/>
      <c r="L405" s="70"/>
      <c r="M405" s="157"/>
      <c r="O405" s="26"/>
    </row>
    <row r="406" spans="3:15" x14ac:dyDescent="0.2">
      <c r="C406" s="159"/>
      <c r="D406" s="153"/>
      <c r="E406" s="154"/>
      <c r="F406" s="153"/>
      <c r="H406" s="18"/>
      <c r="I406" s="18"/>
      <c r="J406" s="18"/>
      <c r="L406" s="70"/>
      <c r="M406" s="157"/>
      <c r="O406" s="26"/>
    </row>
    <row r="407" spans="3:15" x14ac:dyDescent="0.2">
      <c r="C407" s="159"/>
      <c r="D407" s="153"/>
      <c r="E407" s="154"/>
      <c r="F407" s="153"/>
      <c r="H407" s="18"/>
      <c r="I407" s="18"/>
      <c r="J407" s="18"/>
      <c r="L407" s="70"/>
      <c r="M407" s="157"/>
      <c r="O407" s="26"/>
    </row>
    <row r="408" spans="3:15" x14ac:dyDescent="0.2">
      <c r="C408" s="159"/>
      <c r="D408" s="153"/>
      <c r="E408" s="154"/>
      <c r="F408" s="153"/>
      <c r="H408" s="18"/>
      <c r="I408" s="18"/>
      <c r="J408" s="18"/>
      <c r="L408" s="70"/>
      <c r="M408" s="157"/>
      <c r="O408" s="26"/>
    </row>
    <row r="409" spans="3:15" x14ac:dyDescent="0.2">
      <c r="C409" s="159"/>
      <c r="D409" s="153"/>
      <c r="E409" s="153"/>
      <c r="F409" s="153"/>
      <c r="H409" s="18"/>
      <c r="I409" s="18"/>
      <c r="J409" s="18"/>
      <c r="L409" s="70"/>
      <c r="M409" s="157"/>
      <c r="O409" s="26"/>
    </row>
    <row r="410" spans="3:15" x14ac:dyDescent="0.2">
      <c r="C410" s="159"/>
      <c r="D410" s="153"/>
      <c r="E410" s="153"/>
      <c r="F410" s="153"/>
      <c r="H410" s="18"/>
      <c r="I410" s="18"/>
      <c r="J410" s="18"/>
      <c r="L410" s="70"/>
      <c r="M410" s="157"/>
      <c r="O410" s="26"/>
    </row>
    <row r="411" spans="3:15" x14ac:dyDescent="0.2">
      <c r="C411" s="159"/>
      <c r="D411" s="153"/>
      <c r="E411" s="153"/>
      <c r="F411" s="153"/>
      <c r="H411" s="18"/>
      <c r="I411" s="18"/>
      <c r="J411" s="18"/>
      <c r="L411" s="70"/>
      <c r="M411" s="157"/>
      <c r="O411" s="26"/>
    </row>
    <row r="412" spans="3:15" x14ac:dyDescent="0.2">
      <c r="C412" s="159"/>
      <c r="D412" s="153"/>
      <c r="E412" s="153"/>
      <c r="F412" s="153"/>
      <c r="H412" s="18"/>
      <c r="I412" s="18"/>
      <c r="J412" s="18"/>
      <c r="L412" s="70"/>
      <c r="M412" s="157"/>
      <c r="O412" s="26"/>
    </row>
    <row r="413" spans="3:15" x14ac:dyDescent="0.2">
      <c r="C413" s="159"/>
      <c r="D413" s="153"/>
      <c r="E413" s="154"/>
      <c r="F413" s="153"/>
      <c r="H413" s="18"/>
      <c r="I413" s="18"/>
      <c r="J413" s="18"/>
      <c r="L413" s="70"/>
      <c r="M413" s="157"/>
      <c r="O413" s="26"/>
    </row>
    <row r="414" spans="3:15" x14ac:dyDescent="0.2">
      <c r="C414" s="159"/>
      <c r="D414" s="153"/>
      <c r="E414" s="154"/>
      <c r="F414" s="153"/>
      <c r="H414" s="18"/>
      <c r="I414" s="18"/>
      <c r="J414" s="18"/>
      <c r="L414" s="70"/>
      <c r="M414" s="157"/>
      <c r="O414" s="26"/>
    </row>
    <row r="415" spans="3:15" x14ac:dyDescent="0.2">
      <c r="C415" s="159"/>
      <c r="D415" s="153"/>
      <c r="E415" s="153"/>
      <c r="F415" s="153"/>
      <c r="H415" s="18"/>
      <c r="I415" s="18"/>
      <c r="J415" s="18"/>
      <c r="L415" s="70"/>
      <c r="M415" s="157"/>
      <c r="O415" s="26"/>
    </row>
    <row r="416" spans="3:15" x14ac:dyDescent="0.2">
      <c r="D416" s="158"/>
      <c r="H416" s="18"/>
      <c r="I416" s="18"/>
      <c r="J416" s="18"/>
      <c r="L416" s="70"/>
      <c r="M416" s="157"/>
      <c r="O416" s="26"/>
    </row>
    <row r="417" spans="4:15" x14ac:dyDescent="0.2">
      <c r="D417" s="158"/>
      <c r="H417" s="18"/>
      <c r="I417" s="18"/>
      <c r="J417" s="18"/>
      <c r="L417" s="70"/>
      <c r="M417" s="157"/>
      <c r="O417" s="26"/>
    </row>
    <row r="418" spans="4:15" x14ac:dyDescent="0.2">
      <c r="D418" s="158"/>
      <c r="H418" s="18"/>
      <c r="I418" s="18"/>
      <c r="J418" s="18"/>
      <c r="L418" s="70"/>
      <c r="M418" s="157"/>
      <c r="O418" s="26"/>
    </row>
    <row r="419" spans="4:15" x14ac:dyDescent="0.2">
      <c r="D419" s="158"/>
      <c r="H419" s="18"/>
      <c r="I419" s="18"/>
      <c r="J419" s="18"/>
      <c r="L419" s="70"/>
      <c r="M419" s="157"/>
      <c r="O419" s="26"/>
    </row>
    <row r="420" spans="4:15" x14ac:dyDescent="0.2">
      <c r="D420" s="158"/>
      <c r="H420" s="18"/>
      <c r="I420" s="18"/>
      <c r="J420" s="18"/>
      <c r="L420" s="70"/>
      <c r="M420" s="157"/>
      <c r="O420" s="26"/>
    </row>
    <row r="421" spans="4:15" x14ac:dyDescent="0.2">
      <c r="D421" s="158"/>
      <c r="H421" s="18"/>
      <c r="I421" s="18"/>
      <c r="J421" s="18"/>
      <c r="L421" s="70"/>
      <c r="M421" s="157"/>
      <c r="O421" s="26"/>
    </row>
    <row r="422" spans="4:15" x14ac:dyDescent="0.2">
      <c r="D422" s="158"/>
      <c r="H422" s="18"/>
      <c r="I422" s="18"/>
      <c r="J422" s="18"/>
      <c r="L422" s="70"/>
      <c r="M422" s="157"/>
      <c r="O422" s="26"/>
    </row>
    <row r="423" spans="4:15" x14ac:dyDescent="0.2">
      <c r="D423" s="158"/>
      <c r="H423" s="18"/>
      <c r="I423" s="18"/>
      <c r="J423" s="18"/>
      <c r="L423" s="70"/>
      <c r="M423" s="157"/>
      <c r="O423" s="26"/>
    </row>
    <row r="424" spans="4:15" x14ac:dyDescent="0.2">
      <c r="D424" s="158"/>
      <c r="H424" s="18"/>
      <c r="I424" s="18"/>
      <c r="J424" s="18"/>
      <c r="L424" s="70"/>
      <c r="M424" s="157"/>
      <c r="O424" s="26"/>
    </row>
    <row r="425" spans="4:15" x14ac:dyDescent="0.2">
      <c r="D425" s="158"/>
      <c r="H425" s="18"/>
      <c r="I425" s="18"/>
      <c r="J425" s="18"/>
      <c r="L425" s="70"/>
      <c r="M425" s="157"/>
      <c r="O425" s="26"/>
    </row>
    <row r="426" spans="4:15" x14ac:dyDescent="0.2">
      <c r="D426" s="158"/>
      <c r="H426" s="18"/>
      <c r="I426" s="18"/>
      <c r="J426" s="18"/>
      <c r="L426" s="70"/>
      <c r="M426" s="157"/>
      <c r="O426" s="26"/>
    </row>
    <row r="427" spans="4:15" x14ac:dyDescent="0.2">
      <c r="D427" s="158"/>
      <c r="H427" s="18"/>
      <c r="I427" s="18"/>
      <c r="J427" s="18"/>
      <c r="L427" s="70"/>
      <c r="M427" s="157"/>
      <c r="O427" s="26"/>
    </row>
    <row r="428" spans="4:15" x14ac:dyDescent="0.2">
      <c r="D428" s="158"/>
      <c r="H428" s="18"/>
      <c r="I428" s="18"/>
      <c r="J428" s="18"/>
      <c r="L428" s="70"/>
      <c r="M428" s="157"/>
      <c r="O428" s="26"/>
    </row>
    <row r="429" spans="4:15" x14ac:dyDescent="0.2">
      <c r="D429" s="158"/>
      <c r="H429" s="18"/>
      <c r="I429" s="18"/>
      <c r="J429" s="18"/>
      <c r="L429" s="70"/>
      <c r="M429" s="157"/>
      <c r="O429" s="26"/>
    </row>
    <row r="430" spans="4:15" x14ac:dyDescent="0.2">
      <c r="D430" s="158"/>
      <c r="H430" s="18"/>
      <c r="I430" s="18"/>
      <c r="J430" s="18"/>
      <c r="L430" s="70"/>
      <c r="M430" s="157"/>
      <c r="O430" s="26"/>
    </row>
    <row r="431" spans="4:15" x14ac:dyDescent="0.2">
      <c r="D431" s="158"/>
      <c r="H431" s="18"/>
      <c r="I431" s="18"/>
      <c r="J431" s="18"/>
      <c r="L431" s="70"/>
      <c r="M431" s="157"/>
      <c r="O431" s="26"/>
    </row>
    <row r="432" spans="4:15" x14ac:dyDescent="0.2">
      <c r="D432" s="158"/>
      <c r="H432" s="18"/>
      <c r="I432" s="18"/>
      <c r="J432" s="18"/>
      <c r="L432" s="70"/>
      <c r="M432" s="157"/>
      <c r="O432" s="26"/>
    </row>
    <row r="433" spans="4:15" x14ac:dyDescent="0.2">
      <c r="D433" s="158"/>
      <c r="H433" s="18"/>
      <c r="I433" s="18"/>
      <c r="J433" s="18"/>
      <c r="L433" s="70"/>
      <c r="M433" s="157"/>
      <c r="O433" s="26"/>
    </row>
    <row r="434" spans="4:15" x14ac:dyDescent="0.2">
      <c r="D434" s="158"/>
      <c r="H434" s="18"/>
      <c r="I434" s="18"/>
      <c r="J434" s="18"/>
      <c r="L434" s="70"/>
      <c r="M434" s="157"/>
      <c r="O434" s="26"/>
    </row>
    <row r="435" spans="4:15" x14ac:dyDescent="0.2">
      <c r="D435" s="158"/>
      <c r="H435" s="18"/>
      <c r="I435" s="18"/>
      <c r="J435" s="18"/>
      <c r="L435" s="70"/>
      <c r="M435" s="157"/>
      <c r="O435" s="26"/>
    </row>
    <row r="436" spans="4:15" x14ac:dyDescent="0.2">
      <c r="D436" s="158"/>
      <c r="H436" s="18"/>
      <c r="I436" s="18"/>
      <c r="J436" s="18"/>
      <c r="L436" s="70"/>
      <c r="M436" s="157"/>
      <c r="O436" s="26"/>
    </row>
    <row r="437" spans="4:15" x14ac:dyDescent="0.2">
      <c r="D437" s="158"/>
      <c r="H437" s="18"/>
      <c r="I437" s="18"/>
      <c r="J437" s="18"/>
      <c r="L437" s="70"/>
      <c r="M437" s="157"/>
      <c r="O437" s="26"/>
    </row>
    <row r="438" spans="4:15" x14ac:dyDescent="0.2">
      <c r="D438" s="158"/>
      <c r="H438" s="18"/>
      <c r="I438" s="18"/>
      <c r="J438" s="18"/>
      <c r="L438" s="70"/>
      <c r="M438" s="157"/>
      <c r="O438" s="26"/>
    </row>
    <row r="439" spans="4:15" x14ac:dyDescent="0.2">
      <c r="D439" s="158"/>
      <c r="H439" s="18"/>
      <c r="I439" s="18"/>
      <c r="J439" s="18"/>
      <c r="L439" s="70"/>
      <c r="M439" s="157"/>
      <c r="O439" s="26"/>
    </row>
    <row r="440" spans="4:15" x14ac:dyDescent="0.2">
      <c r="D440" s="158"/>
      <c r="H440" s="18"/>
      <c r="I440" s="18"/>
      <c r="J440" s="18"/>
      <c r="L440" s="70"/>
      <c r="M440" s="157"/>
      <c r="O440" s="26"/>
    </row>
    <row r="441" spans="4:15" x14ac:dyDescent="0.2">
      <c r="D441" s="158"/>
      <c r="H441" s="18"/>
      <c r="I441" s="18"/>
      <c r="J441" s="18"/>
      <c r="L441" s="70"/>
      <c r="M441" s="157"/>
      <c r="O441" s="26"/>
    </row>
    <row r="442" spans="4:15" x14ac:dyDescent="0.2">
      <c r="D442" s="158"/>
      <c r="H442" s="18"/>
      <c r="I442" s="18"/>
      <c r="J442" s="18"/>
      <c r="L442" s="70"/>
      <c r="M442" s="157"/>
      <c r="O442" s="26"/>
    </row>
    <row r="443" spans="4:15" x14ac:dyDescent="0.2">
      <c r="D443" s="158"/>
      <c r="H443" s="18"/>
      <c r="I443" s="18"/>
      <c r="J443" s="18"/>
      <c r="L443" s="70"/>
      <c r="M443" s="157"/>
      <c r="O443" s="26"/>
    </row>
    <row r="444" spans="4:15" x14ac:dyDescent="0.2">
      <c r="D444" s="158"/>
      <c r="H444" s="18"/>
      <c r="I444" s="18"/>
      <c r="J444" s="18"/>
      <c r="L444" s="70"/>
      <c r="M444" s="157"/>
      <c r="O444" s="26"/>
    </row>
    <row r="445" spans="4:15" x14ac:dyDescent="0.2">
      <c r="D445" s="158"/>
      <c r="H445" s="18"/>
      <c r="I445" s="18"/>
      <c r="J445" s="18"/>
      <c r="L445" s="70"/>
      <c r="M445" s="157"/>
      <c r="O445" s="26"/>
    </row>
  </sheetData>
  <mergeCells count="1">
    <mergeCell ref="N105:R105"/>
  </mergeCells>
  <phoneticPr fontId="2" type="noConversion"/>
  <conditionalFormatting sqref="J14:J43">
    <cfRule type="cellIs" dxfId="1" priority="1" stopIfTrue="1" operator="greaterThan">
      <formula>0.5</formula>
    </cfRule>
    <cfRule type="cellIs" dxfId="0" priority="2" stopIfTrue="1" operator="lessThan">
      <formula>0.1</formula>
    </cfRule>
  </conditionalFormatting>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92"/>
  <sheetViews>
    <sheetView workbookViewId="0">
      <selection activeCell="F19" sqref="F19"/>
    </sheetView>
  </sheetViews>
  <sheetFormatPr defaultRowHeight="12.75" x14ac:dyDescent="0.2"/>
  <cols>
    <col min="2" max="2" width="9.7109375" bestFit="1" customWidth="1"/>
    <col min="8" max="8" width="11.85546875" customWidth="1"/>
  </cols>
  <sheetData>
    <row r="2" spans="1:11" x14ac:dyDescent="0.2">
      <c r="C2" s="113" t="s">
        <v>920</v>
      </c>
    </row>
    <row r="3" spans="1:11" x14ac:dyDescent="0.2">
      <c r="C3" s="5" t="s">
        <v>2953</v>
      </c>
    </row>
    <row r="4" spans="1:11" x14ac:dyDescent="0.2">
      <c r="C4" s="5" t="s">
        <v>3714</v>
      </c>
    </row>
    <row r="5" spans="1:11" x14ac:dyDescent="0.2">
      <c r="C5" s="116" t="s">
        <v>4449</v>
      </c>
    </row>
    <row r="6" spans="1:11" x14ac:dyDescent="0.2">
      <c r="C6" s="116" t="s">
        <v>4319</v>
      </c>
    </row>
    <row r="7" spans="1:11" x14ac:dyDescent="0.2">
      <c r="C7" s="116" t="s">
        <v>3175</v>
      </c>
    </row>
    <row r="8" spans="1:11" x14ac:dyDescent="0.2">
      <c r="C8" s="113" t="s">
        <v>818</v>
      </c>
    </row>
    <row r="9" spans="1:11" x14ac:dyDescent="0.2">
      <c r="C9" s="113" t="s">
        <v>1368</v>
      </c>
    </row>
    <row r="10" spans="1:11" x14ac:dyDescent="0.2">
      <c r="C10" s="113" t="s">
        <v>4515</v>
      </c>
    </row>
    <row r="11" spans="1:11" ht="13.5" customHeight="1" x14ac:dyDescent="0.2">
      <c r="K11" s="1"/>
    </row>
    <row r="12" spans="1:11" x14ac:dyDescent="0.2">
      <c r="C12" s="85"/>
      <c r="D12" s="85" t="s">
        <v>819</v>
      </c>
      <c r="E12" s="85" t="s">
        <v>820</v>
      </c>
      <c r="F12" s="85" t="s">
        <v>821</v>
      </c>
      <c r="G12" s="85" t="s">
        <v>822</v>
      </c>
    </row>
    <row r="13" spans="1:11" ht="14.25" x14ac:dyDescent="0.2">
      <c r="B13" s="3"/>
      <c r="C13" s="3" t="s">
        <v>3792</v>
      </c>
      <c r="D13" s="2">
        <v>0</v>
      </c>
      <c r="E13" s="2">
        <v>1</v>
      </c>
      <c r="F13" s="2">
        <v>4</v>
      </c>
      <c r="G13" s="2">
        <v>9</v>
      </c>
    </row>
    <row r="14" spans="1:11" ht="25.5" x14ac:dyDescent="0.2">
      <c r="B14" s="145" t="s">
        <v>3689</v>
      </c>
      <c r="C14" s="3" t="s">
        <v>3791</v>
      </c>
      <c r="D14" s="4">
        <v>0</v>
      </c>
      <c r="E14" s="3">
        <v>1</v>
      </c>
      <c r="F14" s="19">
        <v>2</v>
      </c>
      <c r="G14" s="2">
        <v>3</v>
      </c>
      <c r="H14" s="112" t="s">
        <v>405</v>
      </c>
      <c r="I14" s="4" t="s">
        <v>1820</v>
      </c>
      <c r="J14" s="4" t="s">
        <v>1822</v>
      </c>
      <c r="K14" s="4" t="s">
        <v>2930</v>
      </c>
    </row>
    <row r="15" spans="1:11" x14ac:dyDescent="0.2">
      <c r="A15">
        <v>1</v>
      </c>
      <c r="B15" s="146" t="s">
        <v>5145</v>
      </c>
      <c r="C15" s="1" t="e">
        <f>LOOKUP(B15,'Company Database'!C$9:C$1248,'Company Database'!#REF!)</f>
        <v>#REF!</v>
      </c>
      <c r="D15" s="1">
        <f>VALUE(LOOKUP(B15,'Company Database'!C$9:C$1248,'Company Database'!D$9:D$1248))</f>
        <v>0</v>
      </c>
      <c r="E15" s="1">
        <f>VALUE(LOOKUP(B15,'Company Database'!C$9:C$1248,'Company Database'!E$9:E$1248))</f>
        <v>14.45</v>
      </c>
      <c r="F15" s="1">
        <f>VALUE(LOOKUP(B15,'Company Database'!C$9:C$1248,'Company Database'!F$9:F$1248))</f>
        <v>17.649999999999999</v>
      </c>
      <c r="G15" s="115">
        <f t="shared" ref="G15:G78" si="0">IF(TREND(D15:F15,$D$13:$F$14,$G$13:$G$14)&gt;1.1*F15,TREND(D15:F15,$D$13:$F$14,$G$13:$G$14),F15)</f>
        <v>17.649999999999999</v>
      </c>
      <c r="H15" s="170">
        <f>VALUE(LOOKUP(B15,'Company Database'!C$9:C$1248,'Company Database'!G$9:G$1248))</f>
        <v>54.4</v>
      </c>
      <c r="I15" s="86">
        <f>LOOKUP(B15,'Company Database'!C$9:C$1248,'Company Database'!H$9:H$1248)</f>
        <v>1.87</v>
      </c>
      <c r="J15" s="86">
        <f>LOOKUP(B15,'Company Database'!C$9:C$1248,'Company Database'!I$9:I$1248)</f>
        <v>12.14</v>
      </c>
      <c r="K15" s="86">
        <f>LOOKUP(B15,'Company Database'!C$9:C$1248,'Company Database'!J$9:J$1248)</f>
        <v>5.43</v>
      </c>
    </row>
    <row r="16" spans="1:11" x14ac:dyDescent="0.2">
      <c r="A16">
        <v>2</v>
      </c>
      <c r="B16" s="146" t="s">
        <v>5146</v>
      </c>
      <c r="C16" s="1" t="e">
        <f>LOOKUP(B16,'Company Database'!C$9:C$1248,'Company Database'!#REF!)</f>
        <v>#REF!</v>
      </c>
      <c r="D16" s="1">
        <f>VALUE(LOOKUP(B16,'Company Database'!C$9:C$1248,'Company Database'!D$9:D$1248))</f>
        <v>68.77</v>
      </c>
      <c r="E16" s="1">
        <f>VALUE(LOOKUP(B16,'Company Database'!C$9:C$1248,'Company Database'!E$9:E$1248))</f>
        <v>110.4</v>
      </c>
      <c r="F16" s="1">
        <f>VALUE(LOOKUP(B16,'Company Database'!C$9:C$1248,'Company Database'!F$9:F$1248))</f>
        <v>142.5</v>
      </c>
      <c r="G16" s="115">
        <f t="shared" si="0"/>
        <v>165.06999999999994</v>
      </c>
      <c r="H16" s="170">
        <f>VALUE(LOOKUP(B16,'Company Database'!C$9:C$1248,'Company Database'!G$9:G$1248))</f>
        <v>583.9</v>
      </c>
      <c r="I16" s="86">
        <f>LOOKUP(B16,'Company Database'!C$9:C$1248,'Company Database'!H$9:H$1248)</f>
        <v>0.62</v>
      </c>
      <c r="J16" s="86">
        <f>LOOKUP(B16,'Company Database'!C$9:C$1248,'Company Database'!I$9:I$1248)</f>
        <v>17.690000000000001</v>
      </c>
      <c r="K16" s="86">
        <f>LOOKUP(B16,'Company Database'!C$9:C$1248,'Company Database'!J$9:J$1248)</f>
        <v>9.0500000000000007</v>
      </c>
    </row>
    <row r="17" spans="1:11" x14ac:dyDescent="0.2">
      <c r="A17">
        <v>3</v>
      </c>
      <c r="B17" s="146" t="s">
        <v>1344</v>
      </c>
      <c r="C17" s="1" t="e">
        <f>LOOKUP(B17,'Company Database'!C$9:C$1248,'Company Database'!#REF!)</f>
        <v>#REF!</v>
      </c>
      <c r="D17" s="1">
        <f>VALUE(LOOKUP(B17,'Company Database'!C$9:C$1248,'Company Database'!D$9:D$1248))</f>
        <v>2.98</v>
      </c>
      <c r="E17" s="1">
        <f>VALUE(LOOKUP(B17,'Company Database'!C$9:C$1248,'Company Database'!E$9:E$1248))</f>
        <v>24.5</v>
      </c>
      <c r="F17" s="1">
        <f>VALUE(LOOKUP(B17,'Company Database'!C$9:C$1248,'Company Database'!F$9:F$1248))</f>
        <v>30.66</v>
      </c>
      <c r="G17" s="115">
        <f t="shared" si="0"/>
        <v>30.66</v>
      </c>
      <c r="H17" s="170">
        <f>VALUE(LOOKUP(B17,'Company Database'!C$9:C$1248,'Company Database'!G$9:G$1248))</f>
        <v>857.1</v>
      </c>
      <c r="I17" s="86">
        <f>LOOKUP(B17,'Company Database'!C$9:C$1248,'Company Database'!H$9:H$1248)</f>
        <v>0.23</v>
      </c>
      <c r="J17" s="86">
        <f>LOOKUP(B17,'Company Database'!C$9:C$1248,'Company Database'!I$9:I$1248)</f>
        <v>6.68</v>
      </c>
      <c r="K17" s="86">
        <f>LOOKUP(B17,'Company Database'!C$9:C$1248,'Company Database'!J$9:J$1248)</f>
        <v>287.36</v>
      </c>
    </row>
    <row r="18" spans="1:11" x14ac:dyDescent="0.2">
      <c r="A18">
        <v>4</v>
      </c>
      <c r="B18" s="146" t="s">
        <v>5148</v>
      </c>
      <c r="C18" s="1" t="e">
        <f>LOOKUP(B18,'Company Database'!C$9:C$1248,'Company Database'!#REF!)</f>
        <v>#REF!</v>
      </c>
      <c r="D18" s="1">
        <f>VALUE(LOOKUP(B18,'Company Database'!C$9:C$1248,'Company Database'!D$9:D$1248))</f>
        <v>0</v>
      </c>
      <c r="E18" s="1">
        <f>VALUE(LOOKUP(B18,'Company Database'!C$9:C$1248,'Company Database'!E$9:E$1248))</f>
        <v>28.45</v>
      </c>
      <c r="F18" s="1">
        <f>VALUE(LOOKUP(B18,'Company Database'!C$9:C$1248,'Company Database'!F$9:F$1248))</f>
        <v>33.97</v>
      </c>
      <c r="G18" s="115">
        <f t="shared" si="0"/>
        <v>33.97</v>
      </c>
      <c r="H18" s="170">
        <f>VALUE(LOOKUP(B18,'Company Database'!C$9:C$1248,'Company Database'!G$9:G$1248))</f>
        <v>563.04999999999995</v>
      </c>
      <c r="I18" s="86">
        <f>LOOKUP(B18,'Company Database'!C$9:C$1248,'Company Database'!H$9:H$1248)</f>
        <v>0</v>
      </c>
      <c r="J18" s="86">
        <f>LOOKUP(B18,'Company Database'!C$9:C$1248,'Company Database'!I$9:I$1248)</f>
        <v>32.17</v>
      </c>
      <c r="K18" s="86">
        <f>LOOKUP(B18,'Company Database'!C$9:C$1248,'Company Database'!J$9:J$1248)</f>
        <v>22.31</v>
      </c>
    </row>
    <row r="19" spans="1:11" x14ac:dyDescent="0.2">
      <c r="A19">
        <v>5</v>
      </c>
      <c r="B19" s="146" t="s">
        <v>4715</v>
      </c>
      <c r="C19" s="1" t="e">
        <f>LOOKUP(B19,'Company Database'!C$9:C$1248,'Company Database'!#REF!)</f>
        <v>#REF!</v>
      </c>
      <c r="D19" s="1">
        <f>VALUE(LOOKUP(B19,'Company Database'!C$9:C$1248,'Company Database'!D$9:D$1248))</f>
        <v>39.22</v>
      </c>
      <c r="E19" s="1">
        <f>VALUE(LOOKUP(B19,'Company Database'!C$9:C$1248,'Company Database'!E$9:E$1248))</f>
        <v>46.37</v>
      </c>
      <c r="F19" s="1">
        <f>VALUE(LOOKUP(B19,'Company Database'!C$9:C$1248,'Company Database'!F$9:F$1248))</f>
        <v>52.65</v>
      </c>
      <c r="G19" s="115">
        <f t="shared" si="0"/>
        <v>58.06</v>
      </c>
      <c r="H19" s="170">
        <f>VALUE(LOOKUP(B19,'Company Database'!C$9:C$1248,'Company Database'!G$9:G$1248))</f>
        <v>360.1</v>
      </c>
      <c r="I19" s="86">
        <f>LOOKUP(B19,'Company Database'!C$9:C$1248,'Company Database'!H$9:H$1248)</f>
        <v>1.1100000000000001</v>
      </c>
      <c r="J19" s="86">
        <f>LOOKUP(B19,'Company Database'!C$9:C$1248,'Company Database'!I$9:I$1248)</f>
        <v>17.87</v>
      </c>
      <c r="K19" s="86">
        <f>LOOKUP(B19,'Company Database'!C$9:C$1248,'Company Database'!J$9:J$1248)</f>
        <v>8</v>
      </c>
    </row>
    <row r="20" spans="1:11" x14ac:dyDescent="0.2">
      <c r="A20">
        <v>6</v>
      </c>
      <c r="B20" s="146" t="s">
        <v>3691</v>
      </c>
      <c r="C20" s="1" t="e">
        <f>LOOKUP(B20,'Company Database'!C$9:C$1248,'Company Database'!#REF!)</f>
        <v>#REF!</v>
      </c>
      <c r="D20" s="1">
        <f>VALUE(LOOKUP(B20,'Company Database'!C$9:C$1248,'Company Database'!D$9:D$1248))</f>
        <v>0</v>
      </c>
      <c r="E20" s="1">
        <f>VALUE(LOOKUP(B20,'Company Database'!C$9:C$1248,'Company Database'!E$9:E$1248))</f>
        <v>0</v>
      </c>
      <c r="F20" s="1">
        <f>VALUE(LOOKUP(B20,'Company Database'!C$9:C$1248,'Company Database'!F$9:F$1248))</f>
        <v>0</v>
      </c>
      <c r="G20" s="115">
        <f t="shared" si="0"/>
        <v>0</v>
      </c>
      <c r="H20" s="170">
        <f>VALUE(LOOKUP(B20,'Company Database'!C$9:C$1248,'Company Database'!G$9:G$1248))</f>
        <v>15.2</v>
      </c>
      <c r="I20" s="86">
        <f>LOOKUP(B20,'Company Database'!C$9:C$1248,'Company Database'!H$9:H$1248)</f>
        <v>0</v>
      </c>
      <c r="J20" s="86">
        <f>LOOKUP(B20,'Company Database'!C$9:C$1248,'Company Database'!I$9:I$1248)</f>
        <v>5.77</v>
      </c>
      <c r="K20" s="86">
        <f>LOOKUP(B20,'Company Database'!C$9:C$1248,'Company Database'!J$9:J$1248)</f>
        <v>5.04</v>
      </c>
    </row>
    <row r="21" spans="1:11" x14ac:dyDescent="0.2">
      <c r="A21">
        <v>7</v>
      </c>
      <c r="B21" s="146" t="s">
        <v>3461</v>
      </c>
      <c r="C21" s="1" t="e">
        <f>LOOKUP(B21,'Company Database'!C$9:C$1248,'Company Database'!#REF!)</f>
        <v>#REF!</v>
      </c>
      <c r="D21" s="1">
        <f>VALUE(LOOKUP(B21,'Company Database'!C$9:C$1248,'Company Database'!D$9:D$1248))</f>
        <v>59.52</v>
      </c>
      <c r="E21" s="1">
        <f>VALUE(LOOKUP(B21,'Company Database'!C$9:C$1248,'Company Database'!E$9:E$1248))</f>
        <v>61.75</v>
      </c>
      <c r="F21" s="1">
        <f>VALUE(LOOKUP(B21,'Company Database'!C$9:C$1248,'Company Database'!F$9:F$1248))</f>
        <v>69.819999999999993</v>
      </c>
      <c r="G21" s="115">
        <f t="shared" si="0"/>
        <v>83.72999999999999</v>
      </c>
      <c r="H21" s="170">
        <f>VALUE(LOOKUP(B21,'Company Database'!C$9:C$1248,'Company Database'!G$9:G$1248))</f>
        <v>992.75</v>
      </c>
      <c r="I21" s="86">
        <f>LOOKUP(B21,'Company Database'!C$9:C$1248,'Company Database'!H$9:H$1248)</f>
        <v>3.06</v>
      </c>
      <c r="J21" s="86">
        <f>LOOKUP(B21,'Company Database'!C$9:C$1248,'Company Database'!I$9:I$1248)</f>
        <v>15</v>
      </c>
      <c r="K21" s="86">
        <f>LOOKUP(B21,'Company Database'!C$9:C$1248,'Company Database'!J$9:J$1248)</f>
        <v>16.7</v>
      </c>
    </row>
    <row r="22" spans="1:11" x14ac:dyDescent="0.2">
      <c r="A22">
        <v>8</v>
      </c>
      <c r="B22" s="146" t="s">
        <v>85</v>
      </c>
      <c r="C22" s="1" t="e">
        <f>LOOKUP(B22,'Company Database'!C$9:C$1248,'Company Database'!#REF!)</f>
        <v>#REF!</v>
      </c>
      <c r="D22" s="1">
        <f>VALUE(LOOKUP(B22,'Company Database'!C$9:C$1248,'Company Database'!D$9:D$1248))</f>
        <v>4.74</v>
      </c>
      <c r="E22" s="1">
        <f>VALUE(LOOKUP(B22,'Company Database'!C$9:C$1248,'Company Database'!E$9:E$1248))</f>
        <v>17.8</v>
      </c>
      <c r="F22" s="1">
        <f>VALUE(LOOKUP(B22,'Company Database'!C$9:C$1248,'Company Database'!F$9:F$1248))</f>
        <v>24.1</v>
      </c>
      <c r="G22" s="115">
        <f t="shared" si="0"/>
        <v>24.1</v>
      </c>
      <c r="H22" s="170">
        <f>VALUE(LOOKUP(B22,'Company Database'!C$9:C$1248,'Company Database'!G$9:G$1248))</f>
        <v>87.45</v>
      </c>
      <c r="I22" s="86">
        <f>LOOKUP(B22,'Company Database'!C$9:C$1248,'Company Database'!H$9:H$1248)</f>
        <v>1.42</v>
      </c>
      <c r="J22" s="86">
        <f>LOOKUP(B22,'Company Database'!C$9:C$1248,'Company Database'!I$9:I$1248)</f>
        <v>9.15</v>
      </c>
      <c r="K22" s="86">
        <f>LOOKUP(B22,'Company Database'!C$9:C$1248,'Company Database'!J$9:J$1248)</f>
        <v>20.149999999999999</v>
      </c>
    </row>
    <row r="23" spans="1:11" x14ac:dyDescent="0.2">
      <c r="A23">
        <v>9</v>
      </c>
      <c r="B23" s="146" t="s">
        <v>87</v>
      </c>
      <c r="C23" s="1" t="e">
        <f>LOOKUP(B23,'Company Database'!C$9:C$1248,'Company Database'!#REF!)</f>
        <v>#REF!</v>
      </c>
      <c r="D23" s="1">
        <f>VALUE(LOOKUP(B23,'Company Database'!C$9:C$1248,'Company Database'!D$9:D$1248))</f>
        <v>0</v>
      </c>
      <c r="E23" s="1">
        <f>VALUE(LOOKUP(B23,'Company Database'!C$9:C$1248,'Company Database'!E$9:E$1248))</f>
        <v>20.399999999999999</v>
      </c>
      <c r="F23" s="1">
        <f>VALUE(LOOKUP(B23,'Company Database'!C$9:C$1248,'Company Database'!F$9:F$1248))</f>
        <v>25.6</v>
      </c>
      <c r="G23" s="115">
        <f t="shared" si="0"/>
        <v>25.6</v>
      </c>
      <c r="H23" s="170">
        <f>VALUE(LOOKUP(B23,'Company Database'!C$9:C$1248,'Company Database'!G$9:G$1248))</f>
        <v>165.15</v>
      </c>
      <c r="I23" s="86">
        <f>LOOKUP(B23,'Company Database'!C$9:C$1248,'Company Database'!H$9:H$1248)</f>
        <v>0</v>
      </c>
      <c r="J23" s="86">
        <f>LOOKUP(B23,'Company Database'!C$9:C$1248,'Company Database'!I$9:I$1248)</f>
        <v>15.67</v>
      </c>
      <c r="K23" s="86">
        <f>LOOKUP(B23,'Company Database'!C$9:C$1248,'Company Database'!J$9:J$1248)</f>
        <v>8.73</v>
      </c>
    </row>
    <row r="24" spans="1:11" x14ac:dyDescent="0.2">
      <c r="A24">
        <v>10</v>
      </c>
      <c r="B24" s="146" t="s">
        <v>898</v>
      </c>
      <c r="C24" s="1" t="e">
        <f>LOOKUP(B24,'Company Database'!C$9:C$1248,'Company Database'!#REF!)</f>
        <v>#REF!</v>
      </c>
      <c r="D24" s="1">
        <f>VALUE(LOOKUP(B24,'Company Database'!C$9:C$1248,'Company Database'!D$9:D$1248))</f>
        <v>13.33</v>
      </c>
      <c r="E24" s="1">
        <f>VALUE(LOOKUP(B24,'Company Database'!C$9:C$1248,'Company Database'!E$9:E$1248))</f>
        <v>14.58</v>
      </c>
      <c r="F24" s="1">
        <f>VALUE(LOOKUP(B24,'Company Database'!C$9:C$1248,'Company Database'!F$9:F$1248))</f>
        <v>0</v>
      </c>
      <c r="G24" s="115">
        <f t="shared" si="0"/>
        <v>0</v>
      </c>
      <c r="H24" s="170">
        <f>VALUE(LOOKUP(B24,'Company Database'!C$9:C$1248,'Company Database'!G$9:G$1248))</f>
        <v>233.65</v>
      </c>
      <c r="I24" s="86">
        <f>LOOKUP(B24,'Company Database'!C$9:C$1248,'Company Database'!H$9:H$1248)</f>
        <v>2.4500000000000002</v>
      </c>
      <c r="J24" s="86">
        <f>LOOKUP(B24,'Company Database'!C$9:C$1248,'Company Database'!I$9:I$1248)</f>
        <v>19.47</v>
      </c>
      <c r="K24" s="86">
        <f>LOOKUP(B24,'Company Database'!C$9:C$1248,'Company Database'!J$9:J$1248)</f>
        <v>18.86</v>
      </c>
    </row>
    <row r="25" spans="1:11" x14ac:dyDescent="0.2">
      <c r="A25">
        <v>11</v>
      </c>
      <c r="B25" s="146" t="s">
        <v>89</v>
      </c>
      <c r="C25" s="1" t="e">
        <f>LOOKUP(B25,'Company Database'!C$9:C$1248,'Company Database'!#REF!)</f>
        <v>#REF!</v>
      </c>
      <c r="D25" s="1">
        <f>VALUE(LOOKUP(B25,'Company Database'!C$9:C$1248,'Company Database'!D$9:D$1248))</f>
        <v>1.53</v>
      </c>
      <c r="E25" s="1">
        <f>VALUE(LOOKUP(B25,'Company Database'!C$9:C$1248,'Company Database'!E$9:E$1248))</f>
        <v>4.5999999999999996</v>
      </c>
      <c r="F25" s="1">
        <f>VALUE(LOOKUP(B25,'Company Database'!C$9:C$1248,'Company Database'!F$9:F$1248))</f>
        <v>5.4</v>
      </c>
      <c r="G25" s="115">
        <f t="shared" si="0"/>
        <v>5.4</v>
      </c>
      <c r="H25" s="170">
        <f>VALUE(LOOKUP(B25,'Company Database'!C$9:C$1248,'Company Database'!G$9:G$1248))</f>
        <v>19.8</v>
      </c>
      <c r="I25" s="86">
        <f>LOOKUP(B25,'Company Database'!C$9:C$1248,'Company Database'!H$9:H$1248)</f>
        <v>0</v>
      </c>
      <c r="J25" s="86">
        <f>LOOKUP(B25,'Company Database'!C$9:C$1248,'Company Database'!I$9:I$1248)</f>
        <v>6.44</v>
      </c>
      <c r="K25" s="86">
        <f>LOOKUP(B25,'Company Database'!C$9:C$1248,'Company Database'!J$9:J$1248)</f>
        <v>4.59</v>
      </c>
    </row>
    <row r="26" spans="1:11" x14ac:dyDescent="0.2">
      <c r="A26">
        <v>12</v>
      </c>
      <c r="B26" s="146" t="s">
        <v>112</v>
      </c>
      <c r="C26" s="1" t="e">
        <f>LOOKUP(B26,'Company Database'!C$9:C$1248,'Company Database'!#REF!)</f>
        <v>#REF!</v>
      </c>
      <c r="D26" s="1">
        <f>VALUE(LOOKUP(B26,'Company Database'!C$9:C$1248,'Company Database'!D$9:D$1248))</f>
        <v>67.92</v>
      </c>
      <c r="E26" s="1">
        <f>VALUE(LOOKUP(B26,'Company Database'!C$9:C$1248,'Company Database'!E$9:E$1248))</f>
        <v>75.7</v>
      </c>
      <c r="F26" s="1">
        <f>VALUE(LOOKUP(B26,'Company Database'!C$9:C$1248,'Company Database'!F$9:F$1248))</f>
        <v>85.2</v>
      </c>
      <c r="G26" s="115">
        <f t="shared" si="0"/>
        <v>96.419999999999987</v>
      </c>
      <c r="H26" s="170">
        <f>VALUE(LOOKUP(B26,'Company Database'!C$9:C$1248,'Company Database'!G$9:G$1248))</f>
        <v>1523.3</v>
      </c>
      <c r="I26" s="86">
        <f>LOOKUP(B26,'Company Database'!C$9:C$1248,'Company Database'!H$9:H$1248)</f>
        <v>1.97</v>
      </c>
      <c r="J26" s="86">
        <f>LOOKUP(B26,'Company Database'!C$9:C$1248,'Company Database'!I$9:I$1248)</f>
        <v>24.92</v>
      </c>
      <c r="K26" s="86">
        <f>LOOKUP(B26,'Company Database'!C$9:C$1248,'Company Database'!J$9:J$1248)</f>
        <v>25.58</v>
      </c>
    </row>
    <row r="27" spans="1:11" x14ac:dyDescent="0.2">
      <c r="A27">
        <v>13</v>
      </c>
      <c r="B27" s="146" t="s">
        <v>5138</v>
      </c>
      <c r="C27" s="1" t="e">
        <f>LOOKUP(B27,'Company Database'!C$9:C$1248,'Company Database'!#REF!)</f>
        <v>#REF!</v>
      </c>
      <c r="D27" s="1">
        <f>VALUE(LOOKUP(B27,'Company Database'!C$9:C$1248,'Company Database'!D$9:D$1248))</f>
        <v>18.149999999999999</v>
      </c>
      <c r="E27" s="1">
        <f>VALUE(LOOKUP(B27,'Company Database'!C$9:C$1248,'Company Database'!E$9:E$1248))</f>
        <v>16.100000000000001</v>
      </c>
      <c r="F27" s="1">
        <f>VALUE(LOOKUP(B27,'Company Database'!C$9:C$1248,'Company Database'!F$9:F$1248))</f>
        <v>20.75</v>
      </c>
      <c r="G27" s="115">
        <f t="shared" si="0"/>
        <v>32.1</v>
      </c>
      <c r="H27" s="170">
        <f>VALUE(LOOKUP(B27,'Company Database'!C$9:C$1248,'Company Database'!G$9:G$1248))</f>
        <v>206.55</v>
      </c>
      <c r="I27" s="86">
        <f>LOOKUP(B27,'Company Database'!C$9:C$1248,'Company Database'!H$9:H$1248)</f>
        <v>0</v>
      </c>
      <c r="J27" s="86">
        <f>LOOKUP(B27,'Company Database'!C$9:C$1248,'Company Database'!I$9:I$1248)</f>
        <v>28.69</v>
      </c>
      <c r="K27" s="86">
        <f>LOOKUP(B27,'Company Database'!C$9:C$1248,'Company Database'!J$9:J$1248)</f>
        <v>11.85</v>
      </c>
    </row>
    <row r="28" spans="1:11" x14ac:dyDescent="0.2">
      <c r="A28">
        <v>14</v>
      </c>
      <c r="B28" s="146" t="s">
        <v>3692</v>
      </c>
      <c r="C28" s="1" t="e">
        <f>LOOKUP(B28,'Company Database'!C$9:C$1248,'Company Database'!#REF!)</f>
        <v>#REF!</v>
      </c>
      <c r="D28" s="1">
        <f>VALUE(LOOKUP(B28,'Company Database'!C$9:C$1248,'Company Database'!D$9:D$1248))</f>
        <v>0</v>
      </c>
      <c r="E28" s="1">
        <f>VALUE(LOOKUP(B28,'Company Database'!C$9:C$1248,'Company Database'!E$9:E$1248))</f>
        <v>16.25</v>
      </c>
      <c r="F28" s="1">
        <f>VALUE(LOOKUP(B28,'Company Database'!C$9:C$1248,'Company Database'!F$9:F$1248))</f>
        <v>20.100000000000001</v>
      </c>
      <c r="G28" s="115">
        <f t="shared" si="0"/>
        <v>20.100000000000001</v>
      </c>
      <c r="H28" s="170">
        <f>VALUE(LOOKUP(B28,'Company Database'!C$9:C$1248,'Company Database'!G$9:G$1248))</f>
        <v>165.55</v>
      </c>
      <c r="I28" s="86">
        <f>LOOKUP(B28,'Company Database'!C$9:C$1248,'Company Database'!H$9:H$1248)</f>
        <v>0.6</v>
      </c>
      <c r="J28" s="86">
        <f>LOOKUP(B28,'Company Database'!C$9:C$1248,'Company Database'!I$9:I$1248)</f>
        <v>3.55</v>
      </c>
      <c r="K28" s="86">
        <f>LOOKUP(B28,'Company Database'!C$9:C$1248,'Company Database'!J$9:J$1248)</f>
        <v>25.02</v>
      </c>
    </row>
    <row r="29" spans="1:11" x14ac:dyDescent="0.2">
      <c r="A29">
        <v>15</v>
      </c>
      <c r="B29" s="146" t="s">
        <v>3693</v>
      </c>
      <c r="C29" s="1" t="e">
        <f>LOOKUP(B29,'Company Database'!C$9:C$1248,'Company Database'!#REF!)</f>
        <v>#REF!</v>
      </c>
      <c r="D29" s="1">
        <f>VALUE(LOOKUP(B29,'Company Database'!C$9:C$1248,'Company Database'!D$9:D$1248))</f>
        <v>0</v>
      </c>
      <c r="E29" s="1">
        <f>VALUE(LOOKUP(B29,'Company Database'!C$9:C$1248,'Company Database'!E$9:E$1248))</f>
        <v>0</v>
      </c>
      <c r="F29" s="1">
        <f>VALUE(LOOKUP(B29,'Company Database'!C$9:C$1248,'Company Database'!F$9:F$1248))</f>
        <v>0</v>
      </c>
      <c r="G29" s="115">
        <f t="shared" si="0"/>
        <v>0</v>
      </c>
      <c r="H29" s="170">
        <f>VALUE(LOOKUP(B29,'Company Database'!C$9:C$1248,'Company Database'!G$9:G$1248))</f>
        <v>84</v>
      </c>
      <c r="I29" s="86">
        <f>LOOKUP(B29,'Company Database'!C$9:C$1248,'Company Database'!H$9:H$1248)</f>
        <v>0.48</v>
      </c>
      <c r="J29" s="86">
        <f>LOOKUP(B29,'Company Database'!C$9:C$1248,'Company Database'!I$9:I$1248)</f>
        <v>4.7300000000000004</v>
      </c>
      <c r="K29" s="86">
        <f>LOOKUP(B29,'Company Database'!C$9:C$1248,'Company Database'!J$9:J$1248)</f>
        <v>15.26</v>
      </c>
    </row>
    <row r="30" spans="1:11" x14ac:dyDescent="0.2">
      <c r="A30">
        <v>16</v>
      </c>
      <c r="B30" s="146" t="s">
        <v>1450</v>
      </c>
      <c r="C30" s="1" t="e">
        <f>LOOKUP(B30,'Company Database'!C$9:C$1248,'Company Database'!#REF!)</f>
        <v>#REF!</v>
      </c>
      <c r="D30" s="1">
        <f>VALUE(LOOKUP(B30,'Company Database'!C$9:C$1248,'Company Database'!D$9:D$1248))</f>
        <v>21.64</v>
      </c>
      <c r="E30" s="1">
        <f>VALUE(LOOKUP(B30,'Company Database'!C$9:C$1248,'Company Database'!E$9:E$1248))</f>
        <v>25.45</v>
      </c>
      <c r="F30" s="1">
        <f>VALUE(LOOKUP(B30,'Company Database'!C$9:C$1248,'Company Database'!F$9:F$1248))</f>
        <v>28.75</v>
      </c>
      <c r="G30" s="115">
        <f t="shared" si="0"/>
        <v>28.75</v>
      </c>
      <c r="H30" s="170">
        <f>VALUE(LOOKUP(B30,'Company Database'!C$9:C$1248,'Company Database'!G$9:G$1248))</f>
        <v>137.69999999999999</v>
      </c>
      <c r="I30" s="86">
        <f>LOOKUP(B30,'Company Database'!C$9:C$1248,'Company Database'!H$9:H$1248)</f>
        <v>0</v>
      </c>
      <c r="J30" s="86">
        <f>LOOKUP(B30,'Company Database'!C$9:C$1248,'Company Database'!I$9:I$1248)</f>
        <v>23.7</v>
      </c>
      <c r="K30" s="86">
        <f>LOOKUP(B30,'Company Database'!C$9:C$1248,'Company Database'!J$9:J$1248)</f>
        <v>6.08</v>
      </c>
    </row>
    <row r="31" spans="1:11" x14ac:dyDescent="0.2">
      <c r="A31">
        <v>17</v>
      </c>
      <c r="B31" s="146" t="s">
        <v>1451</v>
      </c>
      <c r="C31" s="1" t="e">
        <f>LOOKUP(B31,'Company Database'!C$9:C$1248,'Company Database'!#REF!)</f>
        <v>#REF!</v>
      </c>
      <c r="D31" s="1">
        <f>VALUE(LOOKUP(B31,'Company Database'!C$9:C$1248,'Company Database'!D$9:D$1248))</f>
        <v>21.03</v>
      </c>
      <c r="E31" s="1">
        <f>VALUE(LOOKUP(B31,'Company Database'!C$9:C$1248,'Company Database'!E$9:E$1248))</f>
        <v>0</v>
      </c>
      <c r="F31" s="1">
        <f>VALUE(LOOKUP(B31,'Company Database'!C$9:C$1248,'Company Database'!F$9:F$1248))</f>
        <v>0</v>
      </c>
      <c r="G31" s="115">
        <f t="shared" si="0"/>
        <v>21.030000000000044</v>
      </c>
      <c r="H31" s="170">
        <f>VALUE(LOOKUP(B31,'Company Database'!C$9:C$1248,'Company Database'!G$9:G$1248))</f>
        <v>356.85</v>
      </c>
      <c r="I31" s="86">
        <f>LOOKUP(B31,'Company Database'!C$9:C$1248,'Company Database'!H$9:H$1248)</f>
        <v>0</v>
      </c>
      <c r="J31" s="86">
        <f>LOOKUP(B31,'Company Database'!C$9:C$1248,'Company Database'!I$9:I$1248)</f>
        <v>10.43</v>
      </c>
      <c r="K31" s="86">
        <f>LOOKUP(B31,'Company Database'!C$9:C$1248,'Company Database'!J$9:J$1248)</f>
        <v>31.6</v>
      </c>
    </row>
    <row r="32" spans="1:11" x14ac:dyDescent="0.2">
      <c r="A32">
        <v>18</v>
      </c>
      <c r="B32" s="146" t="s">
        <v>1452</v>
      </c>
      <c r="C32" s="1" t="e">
        <f>LOOKUP(B32,'Company Database'!C$9:C$1248,'Company Database'!#REF!)</f>
        <v>#REF!</v>
      </c>
      <c r="D32" s="1">
        <f>VALUE(LOOKUP(B32,'Company Database'!C$9:C$1248,'Company Database'!D$9:D$1248))</f>
        <v>0</v>
      </c>
      <c r="E32" s="1">
        <f>VALUE(LOOKUP(B32,'Company Database'!C$9:C$1248,'Company Database'!E$9:E$1248))</f>
        <v>0</v>
      </c>
      <c r="F32" s="1">
        <f>VALUE(LOOKUP(B32,'Company Database'!C$9:C$1248,'Company Database'!F$9:F$1248))</f>
        <v>0</v>
      </c>
      <c r="G32" s="115">
        <f t="shared" si="0"/>
        <v>0</v>
      </c>
      <c r="H32" s="170">
        <f>VALUE(LOOKUP(B32,'Company Database'!C$9:C$1248,'Company Database'!G$9:G$1248))</f>
        <v>28.8</v>
      </c>
      <c r="I32" s="86">
        <f>LOOKUP(B32,'Company Database'!C$9:C$1248,'Company Database'!H$9:H$1248)</f>
        <v>0</v>
      </c>
      <c r="J32" s="86">
        <f>LOOKUP(B32,'Company Database'!C$9:C$1248,'Company Database'!I$9:I$1248)</f>
        <v>0.16</v>
      </c>
      <c r="K32" s="86">
        <f>LOOKUP(B32,'Company Database'!C$9:C$1248,'Company Database'!J$9:J$1248)</f>
        <v>4.8499999999999996</v>
      </c>
    </row>
    <row r="33" spans="1:11" x14ac:dyDescent="0.2">
      <c r="A33">
        <v>19</v>
      </c>
      <c r="B33" s="146" t="s">
        <v>2290</v>
      </c>
      <c r="C33" s="1" t="e">
        <f>LOOKUP(B33,'Company Database'!C$9:C$1248,'Company Database'!#REF!)</f>
        <v>#REF!</v>
      </c>
      <c r="D33" s="1">
        <f>VALUE(LOOKUP(B33,'Company Database'!C$9:C$1248,'Company Database'!D$9:D$1248))</f>
        <v>0</v>
      </c>
      <c r="E33" s="1">
        <f>VALUE(LOOKUP(B33,'Company Database'!C$9:C$1248,'Company Database'!E$9:E$1248))</f>
        <v>19.7</v>
      </c>
      <c r="F33" s="1">
        <f>VALUE(LOOKUP(B33,'Company Database'!C$9:C$1248,'Company Database'!F$9:F$1248))</f>
        <v>21.8</v>
      </c>
      <c r="G33" s="115">
        <f t="shared" si="0"/>
        <v>21.8</v>
      </c>
      <c r="H33" s="170">
        <f>VALUE(LOOKUP(B33,'Company Database'!C$9:C$1248,'Company Database'!G$9:G$1248))</f>
        <v>7.7</v>
      </c>
      <c r="I33" s="86">
        <f>LOOKUP(B33,'Company Database'!C$9:C$1248,'Company Database'!H$9:H$1248)</f>
        <v>0</v>
      </c>
      <c r="J33" s="86">
        <f>LOOKUP(B33,'Company Database'!C$9:C$1248,'Company Database'!I$9:I$1248)</f>
        <v>14.7</v>
      </c>
      <c r="K33" s="86">
        <f>LOOKUP(B33,'Company Database'!C$9:C$1248,'Company Database'!J$9:J$1248)</f>
        <v>5.79</v>
      </c>
    </row>
    <row r="34" spans="1:11" x14ac:dyDescent="0.2">
      <c r="A34">
        <v>20</v>
      </c>
      <c r="B34" s="146" t="s">
        <v>2291</v>
      </c>
      <c r="C34" s="1" t="e">
        <f>LOOKUP(B34,'Company Database'!C$9:C$1248,'Company Database'!#REF!)</f>
        <v>#REF!</v>
      </c>
      <c r="D34" s="1">
        <f>VALUE(LOOKUP(B34,'Company Database'!C$9:C$1248,'Company Database'!D$9:D$1248))</f>
        <v>0</v>
      </c>
      <c r="E34" s="1">
        <f>VALUE(LOOKUP(B34,'Company Database'!C$9:C$1248,'Company Database'!E$9:E$1248))</f>
        <v>32.299999999999997</v>
      </c>
      <c r="F34" s="1">
        <f>VALUE(LOOKUP(B34,'Company Database'!C$9:C$1248,'Company Database'!F$9:F$1248))</f>
        <v>37.200000000000003</v>
      </c>
      <c r="G34" s="115">
        <f t="shared" si="0"/>
        <v>37.200000000000003</v>
      </c>
      <c r="H34" s="170">
        <f>VALUE(LOOKUP(B34,'Company Database'!C$9:C$1248,'Company Database'!G$9:G$1248))</f>
        <v>211.9</v>
      </c>
      <c r="I34" s="86">
        <f>LOOKUP(B34,'Company Database'!C$9:C$1248,'Company Database'!H$9:H$1248)</f>
        <v>2.33</v>
      </c>
      <c r="J34" s="86">
        <f>LOOKUP(B34,'Company Database'!C$9:C$1248,'Company Database'!I$9:I$1248)</f>
        <v>18.41</v>
      </c>
      <c r="K34" s="86">
        <f>LOOKUP(B34,'Company Database'!C$9:C$1248,'Company Database'!J$9:J$1248)</f>
        <v>25.28</v>
      </c>
    </row>
    <row r="35" spans="1:11" x14ac:dyDescent="0.2">
      <c r="A35">
        <v>21</v>
      </c>
      <c r="B35" s="146" t="s">
        <v>2292</v>
      </c>
      <c r="C35" s="1" t="e">
        <f>LOOKUP(B35,'Company Database'!C$9:C$1248,'Company Database'!#REF!)</f>
        <v>#REF!</v>
      </c>
      <c r="D35" s="1">
        <f>VALUE(LOOKUP(B35,'Company Database'!C$9:C$1248,'Company Database'!D$9:D$1248))</f>
        <v>11.1</v>
      </c>
      <c r="E35" s="1">
        <f>VALUE(LOOKUP(B35,'Company Database'!C$9:C$1248,'Company Database'!E$9:E$1248))</f>
        <v>14.45</v>
      </c>
      <c r="F35" s="1">
        <f>VALUE(LOOKUP(B35,'Company Database'!C$9:C$1248,'Company Database'!F$9:F$1248))</f>
        <v>19.8</v>
      </c>
      <c r="G35" s="115">
        <f t="shared" si="0"/>
        <v>27.150000000000006</v>
      </c>
      <c r="H35" s="170">
        <f>VALUE(LOOKUP(B35,'Company Database'!C$9:C$1248,'Company Database'!G$9:G$1248))</f>
        <v>484.7</v>
      </c>
      <c r="I35" s="86">
        <f>LOOKUP(B35,'Company Database'!C$9:C$1248,'Company Database'!H$9:H$1248)</f>
        <v>0.72</v>
      </c>
      <c r="J35" s="86">
        <f>LOOKUP(B35,'Company Database'!C$9:C$1248,'Company Database'!I$9:I$1248)</f>
        <v>9.68</v>
      </c>
      <c r="K35" s="86">
        <f>LOOKUP(B35,'Company Database'!C$9:C$1248,'Company Database'!J$9:J$1248)</f>
        <v>39.840000000000003</v>
      </c>
    </row>
    <row r="36" spans="1:11" x14ac:dyDescent="0.2">
      <c r="A36">
        <v>22</v>
      </c>
      <c r="B36" s="146" t="s">
        <v>2293</v>
      </c>
      <c r="C36" s="1" t="e">
        <f>LOOKUP(B36,'Company Database'!C$9:C$1248,'Company Database'!#REF!)</f>
        <v>#REF!</v>
      </c>
      <c r="D36" s="1">
        <f>VALUE(LOOKUP(B36,'Company Database'!C$9:C$1248,'Company Database'!D$9:D$1248))</f>
        <v>12.96</v>
      </c>
      <c r="E36" s="1">
        <f>VALUE(LOOKUP(B36,'Company Database'!C$9:C$1248,'Company Database'!E$9:E$1248))</f>
        <v>6.84</v>
      </c>
      <c r="F36" s="1">
        <f>VALUE(LOOKUP(B36,'Company Database'!C$9:C$1248,'Company Database'!F$9:F$1248))</f>
        <v>8.6</v>
      </c>
      <c r="G36" s="115">
        <f t="shared" si="0"/>
        <v>18.240000000000009</v>
      </c>
      <c r="H36" s="170">
        <f>VALUE(LOOKUP(B36,'Company Database'!C$9:C$1248,'Company Database'!G$9:G$1248))</f>
        <v>65.849999999999994</v>
      </c>
      <c r="I36" s="86">
        <f>LOOKUP(B36,'Company Database'!C$9:C$1248,'Company Database'!H$9:H$1248)</f>
        <v>0</v>
      </c>
      <c r="J36" s="86">
        <f>LOOKUP(B36,'Company Database'!C$9:C$1248,'Company Database'!I$9:I$1248)</f>
        <v>24.21</v>
      </c>
      <c r="K36" s="86">
        <f>LOOKUP(B36,'Company Database'!C$9:C$1248,'Company Database'!J$9:J$1248)</f>
        <v>16.739999999999998</v>
      </c>
    </row>
    <row r="37" spans="1:11" x14ac:dyDescent="0.2">
      <c r="A37">
        <v>23</v>
      </c>
      <c r="B37" s="146" t="s">
        <v>4726</v>
      </c>
      <c r="C37" s="1" t="e">
        <f>LOOKUP(B37,'Company Database'!C$9:C$1248,'Company Database'!#REF!)</f>
        <v>#REF!</v>
      </c>
      <c r="D37" s="1">
        <f>VALUE(LOOKUP(B37,'Company Database'!C$9:C$1248,'Company Database'!D$9:D$1248))</f>
        <v>5.73</v>
      </c>
      <c r="E37" s="1">
        <f>VALUE(LOOKUP(B37,'Company Database'!C$9:C$1248,'Company Database'!E$9:E$1248))</f>
        <v>9.93</v>
      </c>
      <c r="F37" s="1">
        <f>VALUE(LOOKUP(B37,'Company Database'!C$9:C$1248,'Company Database'!F$9:F$1248))</f>
        <v>11</v>
      </c>
      <c r="G37" s="115">
        <f t="shared" si="0"/>
        <v>11</v>
      </c>
      <c r="H37" s="170">
        <f>VALUE(LOOKUP(B37,'Company Database'!C$9:C$1248,'Company Database'!G$9:G$1248))</f>
        <v>63.65</v>
      </c>
      <c r="I37" s="86">
        <f>LOOKUP(B37,'Company Database'!C$9:C$1248,'Company Database'!H$9:H$1248)</f>
        <v>4.71</v>
      </c>
      <c r="J37" s="86">
        <f>LOOKUP(B37,'Company Database'!C$9:C$1248,'Company Database'!I$9:I$1248)</f>
        <v>7.22</v>
      </c>
      <c r="K37" s="86">
        <f>LOOKUP(B37,'Company Database'!C$9:C$1248,'Company Database'!J$9:J$1248)</f>
        <v>19.96</v>
      </c>
    </row>
    <row r="38" spans="1:11" x14ac:dyDescent="0.2">
      <c r="A38">
        <v>24</v>
      </c>
      <c r="B38" s="146" t="s">
        <v>1399</v>
      </c>
      <c r="C38" s="1" t="e">
        <f>LOOKUP(B38,'Company Database'!C$9:C$1248,'Company Database'!#REF!)</f>
        <v>#REF!</v>
      </c>
      <c r="D38" s="1">
        <f>VALUE(LOOKUP(B38,'Company Database'!C$9:C$1248,'Company Database'!D$9:D$1248))</f>
        <v>0</v>
      </c>
      <c r="E38" s="1">
        <f>VALUE(LOOKUP(B38,'Company Database'!C$9:C$1248,'Company Database'!E$9:E$1248))</f>
        <v>4.5</v>
      </c>
      <c r="F38" s="1">
        <f>VALUE(LOOKUP(B38,'Company Database'!C$9:C$1248,'Company Database'!F$9:F$1248))</f>
        <v>5.7</v>
      </c>
      <c r="G38" s="115">
        <f t="shared" si="0"/>
        <v>5.7</v>
      </c>
      <c r="H38" s="170">
        <f>VALUE(LOOKUP(B38,'Company Database'!C$9:C$1248,'Company Database'!G$9:G$1248))</f>
        <v>73.150000000000006</v>
      </c>
      <c r="I38" s="86">
        <f>LOOKUP(B38,'Company Database'!C$9:C$1248,'Company Database'!H$9:H$1248)</f>
        <v>0</v>
      </c>
      <c r="J38" s="86">
        <f>LOOKUP(B38,'Company Database'!C$9:C$1248,'Company Database'!I$9:I$1248)</f>
        <v>1.43</v>
      </c>
      <c r="K38" s="86">
        <f>LOOKUP(B38,'Company Database'!C$9:C$1248,'Company Database'!J$9:J$1248)</f>
        <v>13.8</v>
      </c>
    </row>
    <row r="39" spans="1:11" x14ac:dyDescent="0.2">
      <c r="A39">
        <v>25</v>
      </c>
      <c r="B39" s="146" t="s">
        <v>2294</v>
      </c>
      <c r="C39" s="1" t="e">
        <f>LOOKUP(B39,'Company Database'!C$9:C$1248,'Company Database'!#REF!)</f>
        <v>#REF!</v>
      </c>
      <c r="D39" s="1">
        <f>VALUE(LOOKUP(B39,'Company Database'!C$9:C$1248,'Company Database'!D$9:D$1248))</f>
        <v>0</v>
      </c>
      <c r="E39" s="1">
        <f>VALUE(LOOKUP(B39,'Company Database'!C$9:C$1248,'Company Database'!E$9:E$1248))</f>
        <v>1.2</v>
      </c>
      <c r="F39" s="1">
        <f>VALUE(LOOKUP(B39,'Company Database'!C$9:C$1248,'Company Database'!F$9:F$1248))</f>
        <v>3</v>
      </c>
      <c r="G39" s="115">
        <f t="shared" si="0"/>
        <v>5.4000000000000021</v>
      </c>
      <c r="H39" s="170">
        <f>VALUE(LOOKUP(B39,'Company Database'!C$9:C$1248,'Company Database'!G$9:G$1248))</f>
        <v>89.85</v>
      </c>
      <c r="I39" s="86">
        <f>LOOKUP(B39,'Company Database'!C$9:C$1248,'Company Database'!H$9:H$1248)</f>
        <v>0</v>
      </c>
      <c r="J39" s="86">
        <f>LOOKUP(B39,'Company Database'!C$9:C$1248,'Company Database'!I$9:I$1248)</f>
        <v>-10.73</v>
      </c>
      <c r="K39" s="86">
        <f>LOOKUP(B39,'Company Database'!C$9:C$1248,'Company Database'!J$9:J$1248)</f>
        <v>94.75</v>
      </c>
    </row>
    <row r="40" spans="1:11" x14ac:dyDescent="0.2">
      <c r="A40">
        <v>26</v>
      </c>
      <c r="B40" s="146" t="s">
        <v>1412</v>
      </c>
      <c r="C40" s="1" t="e">
        <f>LOOKUP(B40,'Company Database'!C$9:C$1248,'Company Database'!#REF!)</f>
        <v>#REF!</v>
      </c>
      <c r="D40" s="1">
        <f>VALUE(LOOKUP(B40,'Company Database'!C$9:C$1248,'Company Database'!D$9:D$1248))</f>
        <v>3.2</v>
      </c>
      <c r="E40" s="1">
        <f>VALUE(LOOKUP(B40,'Company Database'!C$9:C$1248,'Company Database'!E$9:E$1248))</f>
        <v>4.4000000000000004</v>
      </c>
      <c r="F40" s="1">
        <f>VALUE(LOOKUP(B40,'Company Database'!C$9:C$1248,'Company Database'!F$9:F$1248))</f>
        <v>5.7</v>
      </c>
      <c r="G40" s="115">
        <f t="shared" si="0"/>
        <v>7.1000000000000005</v>
      </c>
      <c r="H40" s="170">
        <f>VALUE(LOOKUP(B40,'Company Database'!C$9:C$1248,'Company Database'!G$9:G$1248))</f>
        <v>51.2</v>
      </c>
      <c r="I40" s="86">
        <f>LOOKUP(B40,'Company Database'!C$9:C$1248,'Company Database'!H$9:H$1248)</f>
        <v>0</v>
      </c>
      <c r="J40" s="86">
        <f>LOOKUP(B40,'Company Database'!C$9:C$1248,'Company Database'!I$9:I$1248)</f>
        <v>15.99</v>
      </c>
      <c r="K40" s="86">
        <f>LOOKUP(B40,'Company Database'!C$9:C$1248,'Company Database'!J$9:J$1248)</f>
        <v>10.78</v>
      </c>
    </row>
    <row r="41" spans="1:11" x14ac:dyDescent="0.2">
      <c r="A41">
        <v>27</v>
      </c>
      <c r="B41" s="146" t="s">
        <v>1400</v>
      </c>
      <c r="C41" s="1" t="e">
        <f>LOOKUP(B41,'Company Database'!C$9:C$1248,'Company Database'!#REF!)</f>
        <v>#REF!</v>
      </c>
      <c r="D41" s="1">
        <f>VALUE(LOOKUP(B41,'Company Database'!C$9:C$1248,'Company Database'!D$9:D$1248))</f>
        <v>87.12</v>
      </c>
      <c r="E41" s="1">
        <f>VALUE(LOOKUP(B41,'Company Database'!C$9:C$1248,'Company Database'!E$9:E$1248))</f>
        <v>92.35</v>
      </c>
      <c r="F41" s="1">
        <f>VALUE(LOOKUP(B41,'Company Database'!C$9:C$1248,'Company Database'!F$9:F$1248))</f>
        <v>111.2</v>
      </c>
      <c r="G41" s="115">
        <f t="shared" si="0"/>
        <v>143.67000000000004</v>
      </c>
      <c r="H41" s="170">
        <f>VALUE(LOOKUP(B41,'Company Database'!C$9:C$1248,'Company Database'!G$9:G$1248))</f>
        <v>2909.75</v>
      </c>
      <c r="I41" s="86">
        <f>LOOKUP(B41,'Company Database'!C$9:C$1248,'Company Database'!H$9:H$1248)</f>
        <v>0</v>
      </c>
      <c r="J41" s="86">
        <f>LOOKUP(B41,'Company Database'!C$9:C$1248,'Company Database'!I$9:I$1248)</f>
        <v>42.79</v>
      </c>
      <c r="K41" s="86">
        <f>LOOKUP(B41,'Company Database'!C$9:C$1248,'Company Database'!J$9:J$1248)</f>
        <v>35.94</v>
      </c>
    </row>
    <row r="42" spans="1:11" x14ac:dyDescent="0.2">
      <c r="A42">
        <v>28</v>
      </c>
      <c r="B42" s="146" t="s">
        <v>1414</v>
      </c>
      <c r="C42" s="1" t="e">
        <f>LOOKUP(B42,'Company Database'!C$9:C$1248,'Company Database'!#REF!)</f>
        <v>#REF!</v>
      </c>
      <c r="D42" s="1">
        <f>VALUE(LOOKUP(B42,'Company Database'!C$9:C$1248,'Company Database'!D$9:D$1248))</f>
        <v>17.82</v>
      </c>
      <c r="E42" s="1">
        <f>VALUE(LOOKUP(B42,'Company Database'!C$9:C$1248,'Company Database'!E$9:E$1248))</f>
        <v>18.96</v>
      </c>
      <c r="F42" s="1">
        <f>VALUE(LOOKUP(B42,'Company Database'!C$9:C$1248,'Company Database'!F$9:F$1248))</f>
        <v>22.93</v>
      </c>
      <c r="G42" s="115">
        <f t="shared" si="0"/>
        <v>29.729999999999997</v>
      </c>
      <c r="H42" s="170">
        <f>VALUE(LOOKUP(B42,'Company Database'!C$9:C$1248,'Company Database'!G$9:G$1248))</f>
        <v>193.4</v>
      </c>
      <c r="I42" s="86">
        <f>LOOKUP(B42,'Company Database'!C$9:C$1248,'Company Database'!H$9:H$1248)</f>
        <v>0</v>
      </c>
      <c r="J42" s="86">
        <f>LOOKUP(B42,'Company Database'!C$9:C$1248,'Company Database'!I$9:I$1248)</f>
        <v>22.47</v>
      </c>
      <c r="K42" s="86">
        <f>LOOKUP(B42,'Company Database'!C$9:C$1248,'Company Database'!J$9:J$1248)</f>
        <v>9.48</v>
      </c>
    </row>
    <row r="43" spans="1:11" x14ac:dyDescent="0.2">
      <c r="A43">
        <v>29</v>
      </c>
      <c r="B43" s="146" t="s">
        <v>3679</v>
      </c>
      <c r="C43" s="1" t="e">
        <f>LOOKUP(B43,'Company Database'!C$9:C$1248,'Company Database'!#REF!)</f>
        <v>#REF!</v>
      </c>
      <c r="D43" s="1">
        <f>VALUE(LOOKUP(B43,'Company Database'!C$9:C$1248,'Company Database'!D$9:D$1248))</f>
        <v>29.17</v>
      </c>
      <c r="E43" s="1">
        <f>VALUE(LOOKUP(B43,'Company Database'!C$9:C$1248,'Company Database'!E$9:E$1248))</f>
        <v>32.6</v>
      </c>
      <c r="F43" s="1">
        <f>VALUE(LOOKUP(B43,'Company Database'!C$9:C$1248,'Company Database'!F$9:F$1248))</f>
        <v>43.7</v>
      </c>
      <c r="G43" s="115">
        <f t="shared" si="0"/>
        <v>62.47</v>
      </c>
      <c r="H43" s="170">
        <f>VALUE(LOOKUP(B43,'Company Database'!C$9:C$1248,'Company Database'!G$9:G$1248))</f>
        <v>430.2</v>
      </c>
      <c r="I43" s="86">
        <f>LOOKUP(B43,'Company Database'!C$9:C$1248,'Company Database'!H$9:H$1248)</f>
        <v>1.98</v>
      </c>
      <c r="J43" s="86">
        <f>LOOKUP(B43,'Company Database'!C$9:C$1248,'Company Database'!I$9:I$1248)</f>
        <v>20.73</v>
      </c>
      <c r="K43" s="86">
        <f>LOOKUP(B43,'Company Database'!C$9:C$1248,'Company Database'!J$9:J$1248)</f>
        <v>14.74</v>
      </c>
    </row>
    <row r="44" spans="1:11" x14ac:dyDescent="0.2">
      <c r="A44">
        <v>30</v>
      </c>
      <c r="B44" s="146" t="s">
        <v>3681</v>
      </c>
      <c r="C44" s="1" t="e">
        <f>LOOKUP(B44,'Company Database'!C$9:C$1248,'Company Database'!#REF!)</f>
        <v>#REF!</v>
      </c>
      <c r="D44" s="1">
        <f>VALUE(LOOKUP(B44,'Company Database'!C$9:C$1248,'Company Database'!D$9:D$1248))</f>
        <v>0</v>
      </c>
      <c r="E44" s="1">
        <f>VALUE(LOOKUP(B44,'Company Database'!C$9:C$1248,'Company Database'!E$9:E$1248))</f>
        <v>0</v>
      </c>
      <c r="F44" s="1">
        <f>VALUE(LOOKUP(B44,'Company Database'!C$9:C$1248,'Company Database'!F$9:F$1248))</f>
        <v>0</v>
      </c>
      <c r="G44" s="115">
        <f t="shared" si="0"/>
        <v>0</v>
      </c>
      <c r="H44" s="170">
        <f>VALUE(LOOKUP(B44,'Company Database'!C$9:C$1248,'Company Database'!G$9:G$1248))</f>
        <v>10</v>
      </c>
      <c r="I44" s="86">
        <f>LOOKUP(B44,'Company Database'!C$9:C$1248,'Company Database'!H$9:H$1248)</f>
        <v>0</v>
      </c>
      <c r="J44" s="86">
        <f>LOOKUP(B44,'Company Database'!C$9:C$1248,'Company Database'!I$9:I$1248)</f>
        <v>-1.67</v>
      </c>
      <c r="K44" s="86">
        <f>LOOKUP(B44,'Company Database'!C$9:C$1248,'Company Database'!J$9:J$1248)</f>
        <v>8.43</v>
      </c>
    </row>
    <row r="45" spans="1:11" x14ac:dyDescent="0.2">
      <c r="A45">
        <v>31</v>
      </c>
      <c r="B45" s="146" t="s">
        <v>4138</v>
      </c>
      <c r="C45" s="1" t="e">
        <f>LOOKUP(B45,'Company Database'!C$9:C$1248,'Company Database'!#REF!)</f>
        <v>#REF!</v>
      </c>
      <c r="D45" s="1">
        <f>VALUE(LOOKUP(B45,'Company Database'!C$9:C$1248,'Company Database'!D$9:D$1248))</f>
        <v>0</v>
      </c>
      <c r="E45" s="1">
        <f>VALUE(LOOKUP(B45,'Company Database'!C$9:C$1248,'Company Database'!E$9:E$1248))</f>
        <v>0</v>
      </c>
      <c r="F45" s="1">
        <f>VALUE(LOOKUP(B45,'Company Database'!C$9:C$1248,'Company Database'!F$9:F$1248))</f>
        <v>0</v>
      </c>
      <c r="G45" s="115">
        <f t="shared" si="0"/>
        <v>0</v>
      </c>
      <c r="H45" s="170">
        <f>VALUE(LOOKUP(B45,'Company Database'!C$9:C$1248,'Company Database'!G$9:G$1248))</f>
        <v>762.95</v>
      </c>
      <c r="I45" s="86">
        <f>LOOKUP(B45,'Company Database'!C$9:C$1248,'Company Database'!H$9:H$1248)</f>
        <v>0</v>
      </c>
      <c r="J45" s="86">
        <f>LOOKUP(B45,'Company Database'!C$9:C$1248,'Company Database'!I$9:I$1248)</f>
        <v>20.07</v>
      </c>
      <c r="K45" s="86">
        <f>LOOKUP(B45,'Company Database'!C$9:C$1248,'Company Database'!J$9:J$1248)</f>
        <v>8.48</v>
      </c>
    </row>
    <row r="46" spans="1:11" x14ac:dyDescent="0.2">
      <c r="A46">
        <v>32</v>
      </c>
      <c r="B46" s="146" t="s">
        <v>2295</v>
      </c>
      <c r="C46" s="1" t="e">
        <f>LOOKUP(B46,'Company Database'!C$9:C$1248,'Company Database'!#REF!)</f>
        <v>#REF!</v>
      </c>
      <c r="D46" s="1">
        <f>VALUE(LOOKUP(B46,'Company Database'!C$9:C$1248,'Company Database'!D$9:D$1248))</f>
        <v>12.68</v>
      </c>
      <c r="E46" s="1">
        <f>VALUE(LOOKUP(B46,'Company Database'!C$9:C$1248,'Company Database'!E$9:E$1248))</f>
        <v>15.15</v>
      </c>
      <c r="F46" s="1">
        <f>VALUE(LOOKUP(B46,'Company Database'!C$9:C$1248,'Company Database'!F$9:F$1248))</f>
        <v>19.55</v>
      </c>
      <c r="G46" s="115">
        <f t="shared" si="0"/>
        <v>25.880000000000003</v>
      </c>
      <c r="H46" s="170">
        <f>VALUE(LOOKUP(B46,'Company Database'!C$9:C$1248,'Company Database'!G$9:G$1248))</f>
        <v>232.25</v>
      </c>
      <c r="I46" s="86">
        <f>LOOKUP(B46,'Company Database'!C$9:C$1248,'Company Database'!H$9:H$1248)</f>
        <v>1.03</v>
      </c>
      <c r="J46" s="86">
        <f>LOOKUP(B46,'Company Database'!C$9:C$1248,'Company Database'!I$9:I$1248)</f>
        <v>25.89</v>
      </c>
      <c r="K46" s="86">
        <f>LOOKUP(B46,'Company Database'!C$9:C$1248,'Company Database'!J$9:J$1248)</f>
        <v>19.600000000000001</v>
      </c>
    </row>
    <row r="47" spans="1:11" x14ac:dyDescent="0.2">
      <c r="A47">
        <v>33</v>
      </c>
      <c r="B47" s="146" t="s">
        <v>2296</v>
      </c>
      <c r="C47" s="1" t="e">
        <f>LOOKUP(B47,'Company Database'!C$9:C$1248,'Company Database'!#REF!)</f>
        <v>#REF!</v>
      </c>
      <c r="D47" s="1">
        <f>VALUE(LOOKUP(B47,'Company Database'!C$9:C$1248,'Company Database'!D$9:D$1248))</f>
        <v>2.5099999999999998</v>
      </c>
      <c r="E47" s="1">
        <f>VALUE(LOOKUP(B47,'Company Database'!C$9:C$1248,'Company Database'!E$9:E$1248))</f>
        <v>2.15</v>
      </c>
      <c r="F47" s="1">
        <f>VALUE(LOOKUP(B47,'Company Database'!C$9:C$1248,'Company Database'!F$9:F$1248))</f>
        <v>6.76</v>
      </c>
      <c r="G47" s="115">
        <f t="shared" si="0"/>
        <v>16.34</v>
      </c>
      <c r="H47" s="170">
        <f>VALUE(LOOKUP(B47,'Company Database'!C$9:C$1248,'Company Database'!G$9:G$1248))</f>
        <v>66.900000000000006</v>
      </c>
      <c r="I47" s="86">
        <f>LOOKUP(B47,'Company Database'!C$9:C$1248,'Company Database'!H$9:H$1248)</f>
        <v>1.05</v>
      </c>
      <c r="J47" s="86">
        <f>LOOKUP(B47,'Company Database'!C$9:C$1248,'Company Database'!I$9:I$1248)</f>
        <v>-1.44</v>
      </c>
      <c r="K47" s="86">
        <f>LOOKUP(B47,'Company Database'!C$9:C$1248,'Company Database'!J$9:J$1248)</f>
        <v>29.52</v>
      </c>
    </row>
    <row r="48" spans="1:11" x14ac:dyDescent="0.2">
      <c r="A48">
        <v>34</v>
      </c>
      <c r="B48" s="146" t="s">
        <v>4071</v>
      </c>
      <c r="C48" s="1" t="e">
        <f>LOOKUP(B48,'Company Database'!C$9:C$1248,'Company Database'!#REF!)</f>
        <v>#REF!</v>
      </c>
      <c r="D48" s="1">
        <f>VALUE(LOOKUP(B48,'Company Database'!C$9:C$1248,'Company Database'!D$9:D$1248))</f>
        <v>8.84</v>
      </c>
      <c r="E48" s="1">
        <f>VALUE(LOOKUP(B48,'Company Database'!C$9:C$1248,'Company Database'!E$9:E$1248))</f>
        <v>5.8</v>
      </c>
      <c r="F48" s="1">
        <f>VALUE(LOOKUP(B48,'Company Database'!C$9:C$1248,'Company Database'!F$9:F$1248))</f>
        <v>7.2</v>
      </c>
      <c r="G48" s="115">
        <f t="shared" si="0"/>
        <v>13.040000000000006</v>
      </c>
      <c r="H48" s="170">
        <f>VALUE(LOOKUP(B48,'Company Database'!C$9:C$1248,'Company Database'!G$9:G$1248))</f>
        <v>63.1</v>
      </c>
      <c r="I48" s="86">
        <f>LOOKUP(B48,'Company Database'!C$9:C$1248,'Company Database'!H$9:H$1248)</f>
        <v>0</v>
      </c>
      <c r="J48" s="86">
        <f>LOOKUP(B48,'Company Database'!C$9:C$1248,'Company Database'!I$9:I$1248)</f>
        <v>18.39</v>
      </c>
      <c r="K48" s="86">
        <f>LOOKUP(B48,'Company Database'!C$9:C$1248,'Company Database'!J$9:J$1248)</f>
        <v>9.84</v>
      </c>
    </row>
    <row r="49" spans="1:11" x14ac:dyDescent="0.2">
      <c r="A49">
        <v>35</v>
      </c>
      <c r="B49" s="146" t="s">
        <v>4072</v>
      </c>
      <c r="C49" s="1" t="e">
        <f>LOOKUP(B49,'Company Database'!C$9:C$1248,'Company Database'!#REF!)</f>
        <v>#REF!</v>
      </c>
      <c r="D49" s="1">
        <f>VALUE(LOOKUP(B49,'Company Database'!C$9:C$1248,'Company Database'!D$9:D$1248))</f>
        <v>0</v>
      </c>
      <c r="E49" s="1">
        <f>VALUE(LOOKUP(B49,'Company Database'!C$9:C$1248,'Company Database'!E$9:E$1248))</f>
        <v>0</v>
      </c>
      <c r="F49" s="1">
        <f>VALUE(LOOKUP(B49,'Company Database'!C$9:C$1248,'Company Database'!F$9:F$1248))</f>
        <v>0</v>
      </c>
      <c r="G49" s="115">
        <f t="shared" si="0"/>
        <v>0</v>
      </c>
      <c r="H49" s="170">
        <f>VALUE(LOOKUP(B49,'Company Database'!C$9:C$1248,'Company Database'!G$9:G$1248))</f>
        <v>150</v>
      </c>
      <c r="I49" s="86">
        <f>LOOKUP(B49,'Company Database'!C$9:C$1248,'Company Database'!H$9:H$1248)</f>
        <v>0.94</v>
      </c>
      <c r="J49" s="86">
        <f>LOOKUP(B49,'Company Database'!C$9:C$1248,'Company Database'!I$9:I$1248)</f>
        <v>28.63</v>
      </c>
      <c r="K49" s="86">
        <f>LOOKUP(B49,'Company Database'!C$9:C$1248,'Company Database'!J$9:J$1248)</f>
        <v>6.99</v>
      </c>
    </row>
    <row r="50" spans="1:11" x14ac:dyDescent="0.2">
      <c r="A50">
        <v>36</v>
      </c>
      <c r="B50" s="146" t="s">
        <v>1538</v>
      </c>
      <c r="C50" s="1" t="e">
        <f>LOOKUP(B50,'Company Database'!C$9:C$1248,'Company Database'!#REF!)</f>
        <v>#REF!</v>
      </c>
      <c r="D50" s="1">
        <f>VALUE(LOOKUP(B50,'Company Database'!C$9:C$1248,'Company Database'!D$9:D$1248))</f>
        <v>2.33</v>
      </c>
      <c r="E50" s="1">
        <f>VALUE(LOOKUP(B50,'Company Database'!C$9:C$1248,'Company Database'!E$9:E$1248))</f>
        <v>1.5</v>
      </c>
      <c r="F50" s="1">
        <f>VALUE(LOOKUP(B50,'Company Database'!C$9:C$1248,'Company Database'!F$9:F$1248))</f>
        <v>2.1</v>
      </c>
      <c r="G50" s="115">
        <f t="shared" si="0"/>
        <v>4.1300000000000026</v>
      </c>
      <c r="H50" s="170">
        <f>VALUE(LOOKUP(B50,'Company Database'!C$9:C$1248,'Company Database'!G$9:G$1248))</f>
        <v>33.200000000000003</v>
      </c>
      <c r="I50" s="86">
        <f>LOOKUP(B50,'Company Database'!C$9:C$1248,'Company Database'!H$9:H$1248)</f>
        <v>0.9</v>
      </c>
      <c r="J50" s="86">
        <f>LOOKUP(B50,'Company Database'!C$9:C$1248,'Company Database'!I$9:I$1248)</f>
        <v>-0.57999999999999996</v>
      </c>
      <c r="K50" s="86">
        <f>LOOKUP(B50,'Company Database'!C$9:C$1248,'Company Database'!J$9:J$1248)</f>
        <v>14.27</v>
      </c>
    </row>
    <row r="51" spans="1:11" x14ac:dyDescent="0.2">
      <c r="A51">
        <v>37</v>
      </c>
      <c r="B51" s="146" t="s">
        <v>5322</v>
      </c>
      <c r="C51" s="1" t="e">
        <f>LOOKUP(B51,'Company Database'!C$9:C$1248,'Company Database'!#REF!)</f>
        <v>#REF!</v>
      </c>
      <c r="D51" s="1">
        <f>VALUE(LOOKUP(B51,'Company Database'!C$9:C$1248,'Company Database'!D$9:D$1248))</f>
        <v>81.72</v>
      </c>
      <c r="E51" s="1">
        <f>VALUE(LOOKUP(B51,'Company Database'!C$9:C$1248,'Company Database'!E$9:E$1248))</f>
        <v>109.21</v>
      </c>
      <c r="F51" s="1">
        <f>VALUE(LOOKUP(B51,'Company Database'!C$9:C$1248,'Company Database'!F$9:F$1248))</f>
        <v>126.32</v>
      </c>
      <c r="G51" s="115">
        <f t="shared" si="0"/>
        <v>126.32</v>
      </c>
      <c r="H51" s="170">
        <f>VALUE(LOOKUP(B51,'Company Database'!C$9:C$1248,'Company Database'!G$9:G$1248))</f>
        <v>837.8</v>
      </c>
      <c r="I51" s="86">
        <f>LOOKUP(B51,'Company Database'!C$9:C$1248,'Company Database'!H$9:H$1248)</f>
        <v>0</v>
      </c>
      <c r="J51" s="86">
        <f>LOOKUP(B51,'Company Database'!C$9:C$1248,'Company Database'!I$9:I$1248)</f>
        <v>20.239999999999998</v>
      </c>
      <c r="K51" s="86">
        <f>LOOKUP(B51,'Company Database'!C$9:C$1248,'Company Database'!J$9:J$1248)</f>
        <v>7.77</v>
      </c>
    </row>
    <row r="52" spans="1:11" x14ac:dyDescent="0.2">
      <c r="A52">
        <v>38</v>
      </c>
      <c r="B52" s="146" t="s">
        <v>1401</v>
      </c>
      <c r="C52" s="1" t="e">
        <f>LOOKUP(B52,'Company Database'!C$9:C$1248,'Company Database'!#REF!)</f>
        <v>#REF!</v>
      </c>
      <c r="D52" s="1">
        <f>VALUE(LOOKUP(B52,'Company Database'!C$9:C$1248,'Company Database'!D$9:D$1248))</f>
        <v>33.15</v>
      </c>
      <c r="E52" s="1">
        <f>VALUE(LOOKUP(B52,'Company Database'!C$9:C$1248,'Company Database'!E$9:E$1248))</f>
        <v>51.45</v>
      </c>
      <c r="F52" s="1">
        <f>VALUE(LOOKUP(B52,'Company Database'!C$9:C$1248,'Company Database'!F$9:F$1248))</f>
        <v>64.540000000000006</v>
      </c>
      <c r="G52" s="115">
        <f t="shared" si="0"/>
        <v>72.420000000000016</v>
      </c>
      <c r="H52" s="170">
        <f>VALUE(LOOKUP(B52,'Company Database'!C$9:C$1248,'Company Database'!G$9:G$1248))</f>
        <v>412.7</v>
      </c>
      <c r="I52" s="86">
        <f>LOOKUP(B52,'Company Database'!C$9:C$1248,'Company Database'!H$9:H$1248)</f>
        <v>0</v>
      </c>
      <c r="J52" s="86">
        <f>LOOKUP(B52,'Company Database'!C$9:C$1248,'Company Database'!I$9:I$1248)</f>
        <v>13.6</v>
      </c>
      <c r="K52" s="86">
        <f>LOOKUP(B52,'Company Database'!C$9:C$1248,'Company Database'!J$9:J$1248)</f>
        <v>9.08</v>
      </c>
    </row>
    <row r="53" spans="1:11" x14ac:dyDescent="0.2">
      <c r="A53">
        <v>39</v>
      </c>
      <c r="B53" s="146" t="s">
        <v>4073</v>
      </c>
      <c r="C53" s="1" t="e">
        <f>LOOKUP(B53,'Company Database'!C$9:C$1248,'Company Database'!#REF!)</f>
        <v>#REF!</v>
      </c>
      <c r="D53" s="1">
        <f>VALUE(LOOKUP(B53,'Company Database'!C$9:C$1248,'Company Database'!D$9:D$1248))</f>
        <v>0</v>
      </c>
      <c r="E53" s="1">
        <f>VALUE(LOOKUP(B53,'Company Database'!C$9:C$1248,'Company Database'!E$9:E$1248))</f>
        <v>36.200000000000003</v>
      </c>
      <c r="F53" s="1">
        <f>VALUE(LOOKUP(B53,'Company Database'!C$9:C$1248,'Company Database'!F$9:F$1248))</f>
        <v>58.8</v>
      </c>
      <c r="G53" s="115">
        <f t="shared" si="0"/>
        <v>67.800000000000011</v>
      </c>
      <c r="H53" s="170">
        <f>VALUE(LOOKUP(B53,'Company Database'!C$9:C$1248,'Company Database'!G$9:G$1248))</f>
        <v>60.8</v>
      </c>
      <c r="I53" s="86">
        <f>LOOKUP(B53,'Company Database'!C$9:C$1248,'Company Database'!H$9:H$1248)</f>
        <v>0</v>
      </c>
      <c r="J53" s="86">
        <f>LOOKUP(B53,'Company Database'!C$9:C$1248,'Company Database'!I$9:I$1248)</f>
        <v>18.68</v>
      </c>
      <c r="K53" s="86">
        <f>LOOKUP(B53,'Company Database'!C$9:C$1248,'Company Database'!J$9:J$1248)</f>
        <v>2.91</v>
      </c>
    </row>
    <row r="54" spans="1:11" x14ac:dyDescent="0.2">
      <c r="A54">
        <v>40</v>
      </c>
      <c r="B54" s="146" t="s">
        <v>1347</v>
      </c>
      <c r="C54" s="1" t="e">
        <f>LOOKUP(B54,'Company Database'!C$9:C$1248,'Company Database'!#REF!)</f>
        <v>#REF!</v>
      </c>
      <c r="D54" s="1">
        <f>VALUE(LOOKUP(B54,'Company Database'!C$9:C$1248,'Company Database'!D$9:D$1248))</f>
        <v>24.82</v>
      </c>
      <c r="E54" s="1">
        <f>VALUE(LOOKUP(B54,'Company Database'!C$9:C$1248,'Company Database'!E$9:E$1248))</f>
        <v>35.5</v>
      </c>
      <c r="F54" s="1">
        <f>VALUE(LOOKUP(B54,'Company Database'!C$9:C$1248,'Company Database'!F$9:F$1248))</f>
        <v>45.1</v>
      </c>
      <c r="G54" s="115">
        <f t="shared" si="0"/>
        <v>53.620000000000012</v>
      </c>
      <c r="H54" s="170">
        <f>VALUE(LOOKUP(B54,'Company Database'!C$9:C$1248,'Company Database'!G$9:G$1248))</f>
        <v>594.75</v>
      </c>
      <c r="I54" s="86">
        <f>LOOKUP(B54,'Company Database'!C$9:C$1248,'Company Database'!H$9:H$1248)</f>
        <v>0</v>
      </c>
      <c r="J54" s="86">
        <f>LOOKUP(B54,'Company Database'!C$9:C$1248,'Company Database'!I$9:I$1248)</f>
        <v>11.59</v>
      </c>
      <c r="K54" s="86">
        <f>LOOKUP(B54,'Company Database'!C$9:C$1248,'Company Database'!J$9:J$1248)</f>
        <v>21.84</v>
      </c>
    </row>
    <row r="55" spans="1:11" x14ac:dyDescent="0.2">
      <c r="A55">
        <v>41</v>
      </c>
      <c r="B55" s="146" t="s">
        <v>1511</v>
      </c>
      <c r="C55" s="1" t="e">
        <f>LOOKUP(B55,'Company Database'!C$9:C$1248,'Company Database'!#REF!)</f>
        <v>#REF!</v>
      </c>
      <c r="D55" s="1">
        <f>VALUE(LOOKUP(B55,'Company Database'!C$9:C$1248,'Company Database'!D$9:D$1248))</f>
        <v>10.46</v>
      </c>
      <c r="E55" s="1">
        <f>VALUE(LOOKUP(B55,'Company Database'!C$9:C$1248,'Company Database'!E$9:E$1248))</f>
        <v>12.94</v>
      </c>
      <c r="F55" s="1">
        <f>VALUE(LOOKUP(B55,'Company Database'!C$9:C$1248,'Company Database'!F$9:F$1248))</f>
        <v>15.3</v>
      </c>
      <c r="G55" s="115">
        <f t="shared" si="0"/>
        <v>17.540000000000006</v>
      </c>
      <c r="H55" s="170">
        <f>VALUE(LOOKUP(B55,'Company Database'!C$9:C$1248,'Company Database'!G$9:G$1248))</f>
        <v>456.1</v>
      </c>
      <c r="I55" s="86">
        <f>LOOKUP(B55,'Company Database'!C$9:C$1248,'Company Database'!H$9:H$1248)</f>
        <v>0</v>
      </c>
      <c r="J55" s="86">
        <f>LOOKUP(B55,'Company Database'!C$9:C$1248,'Company Database'!I$9:I$1248)</f>
        <v>24.26</v>
      </c>
      <c r="K55" s="86">
        <f>LOOKUP(B55,'Company Database'!C$9:C$1248,'Company Database'!J$9:J$1248)</f>
        <v>30.79</v>
      </c>
    </row>
    <row r="56" spans="1:11" x14ac:dyDescent="0.2">
      <c r="A56">
        <v>42</v>
      </c>
      <c r="B56" s="146" t="s">
        <v>1540</v>
      </c>
      <c r="C56" s="1" t="e">
        <f>LOOKUP(B56,'Company Database'!C$9:C$1248,'Company Database'!#REF!)</f>
        <v>#REF!</v>
      </c>
      <c r="D56" s="1">
        <f>VALUE(LOOKUP(B56,'Company Database'!C$9:C$1248,'Company Database'!D$9:D$1248))</f>
        <v>53.51</v>
      </c>
      <c r="E56" s="1">
        <f>VALUE(LOOKUP(B56,'Company Database'!C$9:C$1248,'Company Database'!E$9:E$1248))</f>
        <v>60.6</v>
      </c>
      <c r="F56" s="1">
        <f>VALUE(LOOKUP(B56,'Company Database'!C$9:C$1248,'Company Database'!F$9:F$1248))</f>
        <v>67.400000000000006</v>
      </c>
      <c r="G56" s="115">
        <f t="shared" si="0"/>
        <v>67.400000000000006</v>
      </c>
      <c r="H56" s="170">
        <f>VALUE(LOOKUP(B56,'Company Database'!C$9:C$1248,'Company Database'!G$9:G$1248))</f>
        <v>643.54999999999995</v>
      </c>
      <c r="I56" s="86">
        <f>LOOKUP(B56,'Company Database'!C$9:C$1248,'Company Database'!H$9:H$1248)</f>
        <v>1.55</v>
      </c>
      <c r="J56" s="86">
        <f>LOOKUP(B56,'Company Database'!C$9:C$1248,'Company Database'!I$9:I$1248)</f>
        <v>9.42</v>
      </c>
      <c r="K56" s="86">
        <f>LOOKUP(B56,'Company Database'!C$9:C$1248,'Company Database'!J$9:J$1248)</f>
        <v>12.02</v>
      </c>
    </row>
    <row r="57" spans="1:11" x14ac:dyDescent="0.2">
      <c r="A57">
        <v>43</v>
      </c>
      <c r="B57" s="146" t="s">
        <v>2653</v>
      </c>
      <c r="C57" s="1" t="e">
        <f>LOOKUP(B57,'Company Database'!C$9:C$1248,'Company Database'!#REF!)</f>
        <v>#REF!</v>
      </c>
      <c r="D57" s="1">
        <f>VALUE(LOOKUP(B57,'Company Database'!C$9:C$1248,'Company Database'!D$9:D$1248))</f>
        <v>51.76</v>
      </c>
      <c r="E57" s="1">
        <f>VALUE(LOOKUP(B57,'Company Database'!C$9:C$1248,'Company Database'!E$9:E$1248))</f>
        <v>53.3</v>
      </c>
      <c r="F57" s="1">
        <f>VALUE(LOOKUP(B57,'Company Database'!C$9:C$1248,'Company Database'!F$9:F$1248))</f>
        <v>57.15</v>
      </c>
      <c r="G57" s="115">
        <f t="shared" si="0"/>
        <v>63.310000000000009</v>
      </c>
      <c r="H57" s="170">
        <f>VALUE(LOOKUP(B57,'Company Database'!C$9:C$1248,'Company Database'!G$9:G$1248))</f>
        <v>424.2</v>
      </c>
      <c r="I57" s="86">
        <f>LOOKUP(B57,'Company Database'!C$9:C$1248,'Company Database'!H$9:H$1248)</f>
        <v>0</v>
      </c>
      <c r="J57" s="86">
        <f>LOOKUP(B57,'Company Database'!C$9:C$1248,'Company Database'!I$9:I$1248)</f>
        <v>0</v>
      </c>
      <c r="K57" s="86">
        <f>LOOKUP(B57,'Company Database'!C$9:C$1248,'Company Database'!J$9:J$1248)</f>
        <v>0</v>
      </c>
    </row>
    <row r="58" spans="1:11" x14ac:dyDescent="0.2">
      <c r="A58">
        <v>44</v>
      </c>
      <c r="B58" s="146" t="s">
        <v>4074</v>
      </c>
      <c r="C58" s="1" t="e">
        <f>LOOKUP(B58,'Company Database'!C$9:C$1248,'Company Database'!#REF!)</f>
        <v>#REF!</v>
      </c>
      <c r="D58" s="1">
        <f>VALUE(LOOKUP(B58,'Company Database'!C$9:C$1248,'Company Database'!D$9:D$1248))</f>
        <v>72.94</v>
      </c>
      <c r="E58" s="1">
        <f>VALUE(LOOKUP(B58,'Company Database'!C$9:C$1248,'Company Database'!E$9:E$1248))</f>
        <v>95.7</v>
      </c>
      <c r="F58" s="1">
        <f>VALUE(LOOKUP(B58,'Company Database'!C$9:C$1248,'Company Database'!F$9:F$1248))</f>
        <v>117.35</v>
      </c>
      <c r="G58" s="115">
        <f t="shared" si="0"/>
        <v>137.88999999999999</v>
      </c>
      <c r="H58" s="170">
        <f>VALUE(LOOKUP(B58,'Company Database'!C$9:C$1248,'Company Database'!G$9:G$1248))</f>
        <v>990.05</v>
      </c>
      <c r="I58" s="86">
        <f>LOOKUP(B58,'Company Database'!C$9:C$1248,'Company Database'!H$9:H$1248)</f>
        <v>0</v>
      </c>
      <c r="J58" s="86">
        <f>LOOKUP(B58,'Company Database'!C$9:C$1248,'Company Database'!I$9:I$1248)</f>
        <v>16.95</v>
      </c>
      <c r="K58" s="86">
        <f>LOOKUP(B58,'Company Database'!C$9:C$1248,'Company Database'!J$9:J$1248)</f>
        <v>7.6</v>
      </c>
    </row>
    <row r="59" spans="1:11" x14ac:dyDescent="0.2">
      <c r="A59">
        <v>45</v>
      </c>
      <c r="B59" s="146" t="s">
        <v>2655</v>
      </c>
      <c r="C59" s="1" t="e">
        <f>LOOKUP(B59,'Company Database'!C$9:C$1248,'Company Database'!#REF!)</f>
        <v>#REF!</v>
      </c>
      <c r="D59" s="1">
        <f>VALUE(LOOKUP(B59,'Company Database'!C$9:C$1248,'Company Database'!D$9:D$1248))</f>
        <v>0</v>
      </c>
      <c r="E59" s="1">
        <f>VALUE(LOOKUP(B59,'Company Database'!C$9:C$1248,'Company Database'!E$9:E$1248))</f>
        <v>99.6</v>
      </c>
      <c r="F59" s="1">
        <f>VALUE(LOOKUP(B59,'Company Database'!C$9:C$1248,'Company Database'!F$9:F$1248))</f>
        <v>120.25</v>
      </c>
      <c r="G59" s="115">
        <f t="shared" si="0"/>
        <v>120.25</v>
      </c>
      <c r="H59" s="170">
        <f>VALUE(LOOKUP(B59,'Company Database'!C$9:C$1248,'Company Database'!G$9:G$1248))</f>
        <v>1720.55</v>
      </c>
      <c r="I59" s="86">
        <f>LOOKUP(B59,'Company Database'!C$9:C$1248,'Company Database'!H$9:H$1248)</f>
        <v>0</v>
      </c>
      <c r="J59" s="86">
        <f>LOOKUP(B59,'Company Database'!C$9:C$1248,'Company Database'!I$9:I$1248)</f>
        <v>13.76</v>
      </c>
      <c r="K59" s="86">
        <f>LOOKUP(B59,'Company Database'!C$9:C$1248,'Company Database'!J$9:J$1248)</f>
        <v>17.059999999999999</v>
      </c>
    </row>
    <row r="60" spans="1:11" x14ac:dyDescent="0.2">
      <c r="A60">
        <v>46</v>
      </c>
      <c r="B60" s="146" t="s">
        <v>4165</v>
      </c>
      <c r="C60" s="1" t="e">
        <f>LOOKUP(B60,'Company Database'!C$9:C$1248,'Company Database'!#REF!)</f>
        <v>#REF!</v>
      </c>
      <c r="D60" s="1">
        <f>VALUE(LOOKUP(B60,'Company Database'!C$9:C$1248,'Company Database'!D$9:D$1248))</f>
        <v>0.74</v>
      </c>
      <c r="E60" s="1">
        <f>VALUE(LOOKUP(B60,'Company Database'!C$9:C$1248,'Company Database'!E$9:E$1248))</f>
        <v>12.4</v>
      </c>
      <c r="F60" s="1">
        <f>VALUE(LOOKUP(B60,'Company Database'!C$9:C$1248,'Company Database'!F$9:F$1248))</f>
        <v>18.899999999999999</v>
      </c>
      <c r="G60" s="115">
        <f t="shared" si="0"/>
        <v>18.899999999999999</v>
      </c>
      <c r="H60" s="170">
        <f>VALUE(LOOKUP(B60,'Company Database'!C$9:C$1248,'Company Database'!G$9:G$1248))</f>
        <v>329.05</v>
      </c>
      <c r="I60" s="86">
        <f>LOOKUP(B60,'Company Database'!C$9:C$1248,'Company Database'!H$9:H$1248)</f>
        <v>0.3</v>
      </c>
      <c r="J60" s="86">
        <f>LOOKUP(B60,'Company Database'!C$9:C$1248,'Company Database'!I$9:I$1248)</f>
        <v>9.16</v>
      </c>
      <c r="K60" s="86">
        <f>LOOKUP(B60,'Company Database'!C$9:C$1248,'Company Database'!J$9:J$1248)</f>
        <v>60.27</v>
      </c>
    </row>
    <row r="61" spans="1:11" x14ac:dyDescent="0.2">
      <c r="A61">
        <v>47</v>
      </c>
      <c r="B61" s="146" t="s">
        <v>4075</v>
      </c>
      <c r="C61" s="1" t="e">
        <f>LOOKUP(B61,'Company Database'!C$9:C$1248,'Company Database'!#REF!)</f>
        <v>#REF!</v>
      </c>
      <c r="D61" s="1">
        <f>VALUE(LOOKUP(B61,'Company Database'!C$9:C$1248,'Company Database'!D$9:D$1248))</f>
        <v>41.72</v>
      </c>
      <c r="E61" s="1">
        <f>VALUE(LOOKUP(B61,'Company Database'!C$9:C$1248,'Company Database'!E$9:E$1248))</f>
        <v>36.6</v>
      </c>
      <c r="F61" s="1">
        <f>VALUE(LOOKUP(B61,'Company Database'!C$9:C$1248,'Company Database'!F$9:F$1248))</f>
        <v>22.2</v>
      </c>
      <c r="G61" s="115">
        <f t="shared" si="0"/>
        <v>22.2</v>
      </c>
      <c r="H61" s="170">
        <f>VALUE(LOOKUP(B61,'Company Database'!C$9:C$1248,'Company Database'!G$9:G$1248))</f>
        <v>141.4</v>
      </c>
      <c r="I61" s="86">
        <f>LOOKUP(B61,'Company Database'!C$9:C$1248,'Company Database'!H$9:H$1248)</f>
        <v>0</v>
      </c>
      <c r="J61" s="86">
        <f>LOOKUP(B61,'Company Database'!C$9:C$1248,'Company Database'!I$9:I$1248)</f>
        <v>16.46</v>
      </c>
      <c r="K61" s="86">
        <f>LOOKUP(B61,'Company Database'!C$9:C$1248,'Company Database'!J$9:J$1248)</f>
        <v>3.8</v>
      </c>
    </row>
    <row r="62" spans="1:11" x14ac:dyDescent="0.2">
      <c r="A62">
        <v>48</v>
      </c>
      <c r="B62" s="146" t="s">
        <v>4167</v>
      </c>
      <c r="C62" s="1" t="e">
        <f>LOOKUP(B62,'Company Database'!C$9:C$1248,'Company Database'!#REF!)</f>
        <v>#REF!</v>
      </c>
      <c r="D62" s="1">
        <f>VALUE(LOOKUP(B62,'Company Database'!C$9:C$1248,'Company Database'!D$9:D$1248))</f>
        <v>23.99</v>
      </c>
      <c r="E62" s="1">
        <f>VALUE(LOOKUP(B62,'Company Database'!C$9:C$1248,'Company Database'!E$9:E$1248))</f>
        <v>17.149999999999999</v>
      </c>
      <c r="F62" s="1">
        <f>VALUE(LOOKUP(B62,'Company Database'!C$9:C$1248,'Company Database'!F$9:F$1248))</f>
        <v>21.8</v>
      </c>
      <c r="G62" s="115">
        <f t="shared" si="0"/>
        <v>37.940000000000019</v>
      </c>
      <c r="H62" s="170">
        <f>VALUE(LOOKUP(B62,'Company Database'!C$9:C$1248,'Company Database'!G$9:G$1248))</f>
        <v>373.85</v>
      </c>
      <c r="I62" s="86">
        <f>LOOKUP(B62,'Company Database'!C$9:C$1248,'Company Database'!H$9:H$1248)</f>
        <v>0</v>
      </c>
      <c r="J62" s="86">
        <f>LOOKUP(B62,'Company Database'!C$9:C$1248,'Company Database'!I$9:I$1248)</f>
        <v>23.27</v>
      </c>
      <c r="K62" s="86">
        <f>LOOKUP(B62,'Company Database'!C$9:C$1248,'Company Database'!J$9:J$1248)</f>
        <v>18.39</v>
      </c>
    </row>
    <row r="63" spans="1:11" x14ac:dyDescent="0.2">
      <c r="A63">
        <v>49</v>
      </c>
      <c r="B63" s="146" t="s">
        <v>4335</v>
      </c>
      <c r="C63" s="1" t="e">
        <f>LOOKUP(B63,'Company Database'!C$9:C$1248,'Company Database'!#REF!)</f>
        <v>#REF!</v>
      </c>
      <c r="D63" s="1">
        <f>VALUE(LOOKUP(B63,'Company Database'!C$9:C$1248,'Company Database'!D$9:D$1248))</f>
        <v>88.06</v>
      </c>
      <c r="E63" s="1">
        <f>VALUE(LOOKUP(B63,'Company Database'!C$9:C$1248,'Company Database'!E$9:E$1248))</f>
        <v>113.9</v>
      </c>
      <c r="F63" s="1">
        <f>VALUE(LOOKUP(B63,'Company Database'!C$9:C$1248,'Company Database'!F$9:F$1248))</f>
        <v>138.1</v>
      </c>
      <c r="G63" s="115">
        <f t="shared" si="0"/>
        <v>160.65999999999997</v>
      </c>
      <c r="H63" s="170">
        <f>VALUE(LOOKUP(B63,'Company Database'!C$9:C$1248,'Company Database'!G$9:G$1248))</f>
        <v>2078</v>
      </c>
      <c r="I63" s="86">
        <f>LOOKUP(B63,'Company Database'!C$9:C$1248,'Company Database'!H$9:H$1248)</f>
        <v>1.1200000000000001</v>
      </c>
      <c r="J63" s="86">
        <f>LOOKUP(B63,'Company Database'!C$9:C$1248,'Company Database'!I$9:I$1248)</f>
        <v>26.88</v>
      </c>
      <c r="K63" s="86">
        <f>LOOKUP(B63,'Company Database'!C$9:C$1248,'Company Database'!J$9:J$1248)</f>
        <v>23.56</v>
      </c>
    </row>
    <row r="64" spans="1:11" x14ac:dyDescent="0.2">
      <c r="A64">
        <v>50</v>
      </c>
      <c r="B64" s="146" t="s">
        <v>3508</v>
      </c>
      <c r="C64" s="1" t="e">
        <f>LOOKUP(B64,'Company Database'!C$9:C$1248,'Company Database'!#REF!)</f>
        <v>#REF!</v>
      </c>
      <c r="D64" s="1">
        <f>VALUE(LOOKUP(B64,'Company Database'!C$9:C$1248,'Company Database'!D$9:D$1248))</f>
        <v>39.04</v>
      </c>
      <c r="E64" s="1">
        <f>VALUE(LOOKUP(B64,'Company Database'!C$9:C$1248,'Company Database'!E$9:E$1248))</f>
        <v>46.05</v>
      </c>
      <c r="F64" s="1">
        <f>VALUE(LOOKUP(B64,'Company Database'!C$9:C$1248,'Company Database'!F$9:F$1248))</f>
        <v>59.02</v>
      </c>
      <c r="G64" s="115">
        <f t="shared" si="0"/>
        <v>77.950000000000017</v>
      </c>
      <c r="H64" s="170">
        <f>VALUE(LOOKUP(B64,'Company Database'!C$9:C$1248,'Company Database'!G$9:G$1248))</f>
        <v>41.05</v>
      </c>
      <c r="I64" s="86">
        <f>LOOKUP(B64,'Company Database'!C$9:C$1248,'Company Database'!H$9:H$1248)</f>
        <v>0</v>
      </c>
      <c r="J64" s="86">
        <f>LOOKUP(B64,'Company Database'!C$9:C$1248,'Company Database'!I$9:I$1248)</f>
        <v>6.82</v>
      </c>
      <c r="K64" s="86">
        <f>LOOKUP(B64,'Company Database'!C$9:C$1248,'Company Database'!J$9:J$1248)</f>
        <v>10.210000000000001</v>
      </c>
    </row>
    <row r="65" spans="1:11" x14ac:dyDescent="0.2">
      <c r="A65">
        <v>51</v>
      </c>
      <c r="B65" s="146" t="s">
        <v>4727</v>
      </c>
      <c r="C65" s="1" t="e">
        <f>LOOKUP(B65,'Company Database'!C$9:C$1248,'Company Database'!#REF!)</f>
        <v>#REF!</v>
      </c>
      <c r="D65" s="1">
        <f>VALUE(LOOKUP(B65,'Company Database'!C$9:C$1248,'Company Database'!D$9:D$1248))</f>
        <v>0</v>
      </c>
      <c r="E65" s="1">
        <f>VALUE(LOOKUP(B65,'Company Database'!C$9:C$1248,'Company Database'!E$9:E$1248))</f>
        <v>0</v>
      </c>
      <c r="F65" s="1">
        <f>VALUE(LOOKUP(B65,'Company Database'!C$9:C$1248,'Company Database'!F$9:F$1248))</f>
        <v>0</v>
      </c>
      <c r="G65" s="115">
        <f t="shared" si="0"/>
        <v>0</v>
      </c>
      <c r="H65" s="170">
        <f>VALUE(LOOKUP(B65,'Company Database'!C$9:C$1248,'Company Database'!G$9:G$1248))</f>
        <v>338.4</v>
      </c>
      <c r="I65" s="86">
        <f>LOOKUP(B65,'Company Database'!C$9:C$1248,'Company Database'!H$9:H$1248)</f>
        <v>0</v>
      </c>
      <c r="J65" s="86">
        <f>LOOKUP(B65,'Company Database'!C$9:C$1248,'Company Database'!I$9:I$1248)</f>
        <v>16.25</v>
      </c>
      <c r="K65" s="86">
        <f>LOOKUP(B65,'Company Database'!C$9:C$1248,'Company Database'!J$9:J$1248)</f>
        <v>14.74</v>
      </c>
    </row>
    <row r="66" spans="1:11" x14ac:dyDescent="0.2">
      <c r="A66">
        <v>52</v>
      </c>
      <c r="B66" s="146" t="s">
        <v>2739</v>
      </c>
      <c r="C66" s="1" t="e">
        <f>LOOKUP(B66,'Company Database'!C$9:C$1248,'Company Database'!#REF!)</f>
        <v>#REF!</v>
      </c>
      <c r="D66" s="1">
        <f>VALUE(LOOKUP(B66,'Company Database'!C$9:C$1248,'Company Database'!D$9:D$1248))</f>
        <v>0</v>
      </c>
      <c r="E66" s="1">
        <f>VALUE(LOOKUP(B66,'Company Database'!C$9:C$1248,'Company Database'!E$9:E$1248))</f>
        <v>0</v>
      </c>
      <c r="F66" s="1">
        <f>VALUE(LOOKUP(B66,'Company Database'!C$9:C$1248,'Company Database'!F$9:F$1248))</f>
        <v>0</v>
      </c>
      <c r="G66" s="115">
        <f t="shared" si="0"/>
        <v>0</v>
      </c>
      <c r="H66" s="170">
        <f>VALUE(LOOKUP(B66,'Company Database'!C$9:C$1248,'Company Database'!G$9:G$1248))</f>
        <v>374.75</v>
      </c>
      <c r="I66" s="86">
        <f>LOOKUP(B66,'Company Database'!C$9:C$1248,'Company Database'!H$9:H$1248)</f>
        <v>0</v>
      </c>
      <c r="J66" s="86">
        <f>LOOKUP(B66,'Company Database'!C$9:C$1248,'Company Database'!I$9:I$1248)</f>
        <v>28.49</v>
      </c>
      <c r="K66" s="86">
        <f>LOOKUP(B66,'Company Database'!C$9:C$1248,'Company Database'!J$9:J$1248)</f>
        <v>9.02</v>
      </c>
    </row>
    <row r="67" spans="1:11" x14ac:dyDescent="0.2">
      <c r="A67">
        <v>53</v>
      </c>
      <c r="B67" s="146" t="s">
        <v>4076</v>
      </c>
      <c r="C67" s="1" t="e">
        <f>LOOKUP(B67,'Company Database'!C$9:C$1248,'Company Database'!#REF!)</f>
        <v>#REF!</v>
      </c>
      <c r="D67" s="1">
        <f>VALUE(LOOKUP(B67,'Company Database'!C$9:C$1248,'Company Database'!D$9:D$1248))</f>
        <v>0.2</v>
      </c>
      <c r="E67" s="1">
        <f>VALUE(LOOKUP(B67,'Company Database'!C$9:C$1248,'Company Database'!E$9:E$1248))</f>
        <v>2.5</v>
      </c>
      <c r="F67" s="1">
        <f>VALUE(LOOKUP(B67,'Company Database'!C$9:C$1248,'Company Database'!F$9:F$1248))</f>
        <v>3.1</v>
      </c>
      <c r="G67" s="115">
        <f t="shared" si="0"/>
        <v>3.1</v>
      </c>
      <c r="H67" s="170">
        <f>VALUE(LOOKUP(B67,'Company Database'!C$9:C$1248,'Company Database'!G$9:G$1248))</f>
        <v>21.75</v>
      </c>
      <c r="I67" s="86">
        <f>LOOKUP(B67,'Company Database'!C$9:C$1248,'Company Database'!H$9:H$1248)</f>
        <v>0.92</v>
      </c>
      <c r="J67" s="86">
        <f>LOOKUP(B67,'Company Database'!C$9:C$1248,'Company Database'!I$9:I$1248)</f>
        <v>7.73</v>
      </c>
      <c r="K67" s="86">
        <f>LOOKUP(B67,'Company Database'!C$9:C$1248,'Company Database'!J$9:J$1248)</f>
        <v>10.73</v>
      </c>
    </row>
    <row r="68" spans="1:11" x14ac:dyDescent="0.2">
      <c r="A68">
        <v>54</v>
      </c>
      <c r="B68" s="146" t="s">
        <v>4078</v>
      </c>
      <c r="C68" s="1" t="e">
        <f>LOOKUP(B68,'Company Database'!C$9:C$1248,'Company Database'!#REF!)</f>
        <v>#REF!</v>
      </c>
      <c r="D68" s="1">
        <f>VALUE(LOOKUP(B68,'Company Database'!C$9:C$1248,'Company Database'!D$9:D$1248))</f>
        <v>17.07</v>
      </c>
      <c r="E68" s="1">
        <f>VALUE(LOOKUP(B68,'Company Database'!C$9:C$1248,'Company Database'!E$9:E$1248))</f>
        <v>18.54</v>
      </c>
      <c r="F68" s="1">
        <f>VALUE(LOOKUP(B68,'Company Database'!C$9:C$1248,'Company Database'!F$9:F$1248))</f>
        <v>23.73</v>
      </c>
      <c r="G68" s="115">
        <f t="shared" si="0"/>
        <v>32.640000000000015</v>
      </c>
      <c r="H68" s="170">
        <f>VALUE(LOOKUP(B68,'Company Database'!C$9:C$1248,'Company Database'!G$9:G$1248))</f>
        <v>287.55</v>
      </c>
      <c r="I68" s="86">
        <f>LOOKUP(B68,'Company Database'!C$9:C$1248,'Company Database'!H$9:H$1248)</f>
        <v>0.52</v>
      </c>
      <c r="J68" s="86">
        <f>LOOKUP(B68,'Company Database'!C$9:C$1248,'Company Database'!I$9:I$1248)</f>
        <v>9.07</v>
      </c>
      <c r="K68" s="86">
        <f>LOOKUP(B68,'Company Database'!C$9:C$1248,'Company Database'!J$9:J$1248)</f>
        <v>20.9</v>
      </c>
    </row>
    <row r="69" spans="1:11" x14ac:dyDescent="0.2">
      <c r="A69">
        <v>55</v>
      </c>
      <c r="B69" s="146" t="s">
        <v>2742</v>
      </c>
      <c r="C69" s="1" t="e">
        <f>LOOKUP(B69,'Company Database'!C$9:C$1248,'Company Database'!#REF!)</f>
        <v>#REF!</v>
      </c>
      <c r="D69" s="1">
        <f>VALUE(LOOKUP(B69,'Company Database'!C$9:C$1248,'Company Database'!D$9:D$1248))</f>
        <v>0</v>
      </c>
      <c r="E69" s="1">
        <f>VALUE(LOOKUP(B69,'Company Database'!C$9:C$1248,'Company Database'!E$9:E$1248))</f>
        <v>0</v>
      </c>
      <c r="F69" s="1">
        <f>VALUE(LOOKUP(B69,'Company Database'!C$9:C$1248,'Company Database'!F$9:F$1248))</f>
        <v>0</v>
      </c>
      <c r="G69" s="115">
        <f t="shared" si="0"/>
        <v>0</v>
      </c>
      <c r="H69" s="170">
        <f>VALUE(LOOKUP(B69,'Company Database'!C$9:C$1248,'Company Database'!G$9:G$1248))</f>
        <v>382.05</v>
      </c>
      <c r="I69" s="86">
        <f>LOOKUP(B69,'Company Database'!C$9:C$1248,'Company Database'!H$9:H$1248)</f>
        <v>1.31</v>
      </c>
      <c r="J69" s="86">
        <f>LOOKUP(B69,'Company Database'!C$9:C$1248,'Company Database'!I$9:I$1248)</f>
        <v>48.27</v>
      </c>
      <c r="K69" s="86">
        <f>LOOKUP(B69,'Company Database'!C$9:C$1248,'Company Database'!J$9:J$1248)</f>
        <v>39.07</v>
      </c>
    </row>
    <row r="70" spans="1:11" x14ac:dyDescent="0.2">
      <c r="A70">
        <v>56</v>
      </c>
      <c r="B70" s="146" t="s">
        <v>1372</v>
      </c>
      <c r="C70" s="1" t="e">
        <f>LOOKUP(B70,'Company Database'!C$9:C$1248,'Company Database'!#REF!)</f>
        <v>#REF!</v>
      </c>
      <c r="D70" s="1">
        <f>VALUE(LOOKUP(B70,'Company Database'!C$9:C$1248,'Company Database'!D$9:D$1248))</f>
        <v>48.68</v>
      </c>
      <c r="E70" s="1">
        <f>VALUE(LOOKUP(B70,'Company Database'!C$9:C$1248,'Company Database'!E$9:E$1248))</f>
        <v>49.87</v>
      </c>
      <c r="F70" s="1">
        <f>VALUE(LOOKUP(B70,'Company Database'!C$9:C$1248,'Company Database'!F$9:F$1248))</f>
        <v>61.8</v>
      </c>
      <c r="G70" s="115">
        <f t="shared" si="0"/>
        <v>84.47</v>
      </c>
      <c r="H70" s="170">
        <f>VALUE(LOOKUP(B70,'Company Database'!C$9:C$1248,'Company Database'!G$9:G$1248))</f>
        <v>569.04999999999995</v>
      </c>
      <c r="I70" s="86">
        <f>LOOKUP(B70,'Company Database'!C$9:C$1248,'Company Database'!H$9:H$1248)</f>
        <v>1.25</v>
      </c>
      <c r="J70" s="86">
        <f>LOOKUP(B70,'Company Database'!C$9:C$1248,'Company Database'!I$9:I$1248)</f>
        <v>6.95</v>
      </c>
      <c r="K70" s="86">
        <f>LOOKUP(B70,'Company Database'!C$9:C$1248,'Company Database'!J$9:J$1248)</f>
        <v>13.2</v>
      </c>
    </row>
    <row r="71" spans="1:11" x14ac:dyDescent="0.2">
      <c r="A71">
        <v>57</v>
      </c>
      <c r="B71" s="146" t="s">
        <v>2745</v>
      </c>
      <c r="C71" s="1" t="e">
        <f>LOOKUP(B71,'Company Database'!C$9:C$1248,'Company Database'!#REF!)</f>
        <v>#REF!</v>
      </c>
      <c r="D71" s="1">
        <f>VALUE(LOOKUP(B71,'Company Database'!C$9:C$1248,'Company Database'!D$9:D$1248))</f>
        <v>24.67</v>
      </c>
      <c r="E71" s="1">
        <f>VALUE(LOOKUP(B71,'Company Database'!C$9:C$1248,'Company Database'!E$9:E$1248))</f>
        <v>32.299999999999997</v>
      </c>
      <c r="F71" s="1">
        <f>VALUE(LOOKUP(B71,'Company Database'!C$9:C$1248,'Company Database'!F$9:F$1248))</f>
        <v>39.4</v>
      </c>
      <c r="G71" s="115">
        <f t="shared" si="0"/>
        <v>45.97000000000002</v>
      </c>
      <c r="H71" s="170">
        <f>VALUE(LOOKUP(B71,'Company Database'!C$9:C$1248,'Company Database'!G$9:G$1248))</f>
        <v>890.6</v>
      </c>
      <c r="I71" s="86">
        <f>LOOKUP(B71,'Company Database'!C$9:C$1248,'Company Database'!H$9:H$1248)</f>
        <v>0</v>
      </c>
      <c r="J71" s="86">
        <f>LOOKUP(B71,'Company Database'!C$9:C$1248,'Company Database'!I$9:I$1248)</f>
        <v>33.75</v>
      </c>
      <c r="K71" s="86">
        <f>LOOKUP(B71,'Company Database'!C$9:C$1248,'Company Database'!J$9:J$1248)</f>
        <v>29.91</v>
      </c>
    </row>
    <row r="72" spans="1:11" x14ac:dyDescent="0.2">
      <c r="A72">
        <v>58</v>
      </c>
      <c r="B72" s="146" t="s">
        <v>4079</v>
      </c>
      <c r="C72" s="1" t="e">
        <f>LOOKUP(B72,'Company Database'!C$9:C$1248,'Company Database'!#REF!)</f>
        <v>#REF!</v>
      </c>
      <c r="D72" s="1">
        <f>VALUE(LOOKUP(B72,'Company Database'!C$9:C$1248,'Company Database'!D$9:D$1248))</f>
        <v>73.69</v>
      </c>
      <c r="E72" s="1">
        <f>VALUE(LOOKUP(B72,'Company Database'!C$9:C$1248,'Company Database'!E$9:E$1248))</f>
        <v>98.35</v>
      </c>
      <c r="F72" s="1">
        <f>VALUE(LOOKUP(B72,'Company Database'!C$9:C$1248,'Company Database'!F$9:F$1248))</f>
        <v>107.34</v>
      </c>
      <c r="G72" s="115">
        <f t="shared" si="0"/>
        <v>107.34</v>
      </c>
      <c r="H72" s="170">
        <f>VALUE(LOOKUP(B72,'Company Database'!C$9:C$1248,'Company Database'!G$9:G$1248))</f>
        <v>523.04999999999995</v>
      </c>
      <c r="I72" s="86">
        <f>LOOKUP(B72,'Company Database'!C$9:C$1248,'Company Database'!H$9:H$1248)</f>
        <v>0</v>
      </c>
      <c r="J72" s="86">
        <f>LOOKUP(B72,'Company Database'!C$9:C$1248,'Company Database'!I$9:I$1248)</f>
        <v>24.07</v>
      </c>
      <c r="K72" s="86">
        <f>LOOKUP(B72,'Company Database'!C$9:C$1248,'Company Database'!J$9:J$1248)</f>
        <v>5.76</v>
      </c>
    </row>
    <row r="73" spans="1:11" x14ac:dyDescent="0.2">
      <c r="A73">
        <v>59</v>
      </c>
      <c r="B73" s="146" t="s">
        <v>4080</v>
      </c>
      <c r="C73" s="1" t="e">
        <f>LOOKUP(B73,'Company Database'!C$9:C$1248,'Company Database'!#REF!)</f>
        <v>#REF!</v>
      </c>
      <c r="D73" s="1">
        <f>VALUE(LOOKUP(B73,'Company Database'!C$9:C$1248,'Company Database'!D$9:D$1248))</f>
        <v>12.17</v>
      </c>
      <c r="E73" s="1">
        <f>VALUE(LOOKUP(B73,'Company Database'!C$9:C$1248,'Company Database'!E$9:E$1248))</f>
        <v>10.85</v>
      </c>
      <c r="F73" s="1">
        <f>VALUE(LOOKUP(B73,'Company Database'!C$9:C$1248,'Company Database'!F$9:F$1248))</f>
        <v>12.7</v>
      </c>
      <c r="G73" s="115">
        <f t="shared" si="0"/>
        <v>17.720000000000006</v>
      </c>
      <c r="H73" s="170">
        <f>VALUE(LOOKUP(B73,'Company Database'!C$9:C$1248,'Company Database'!G$9:G$1248))</f>
        <v>96.2</v>
      </c>
      <c r="I73" s="86">
        <f>LOOKUP(B73,'Company Database'!C$9:C$1248,'Company Database'!H$9:H$1248)</f>
        <v>0</v>
      </c>
      <c r="J73" s="86">
        <f>LOOKUP(B73,'Company Database'!C$9:C$1248,'Company Database'!I$9:I$1248)</f>
        <v>18.54</v>
      </c>
      <c r="K73" s="86">
        <f>LOOKUP(B73,'Company Database'!C$9:C$1248,'Company Database'!J$9:J$1248)</f>
        <v>10.91</v>
      </c>
    </row>
    <row r="74" spans="1:11" x14ac:dyDescent="0.2">
      <c r="A74">
        <v>60</v>
      </c>
      <c r="B74" s="146" t="s">
        <v>107</v>
      </c>
      <c r="C74" s="1" t="e">
        <f>LOOKUP(B74,'Company Database'!C$9:C$1248,'Company Database'!#REF!)</f>
        <v>#REF!</v>
      </c>
      <c r="D74" s="1">
        <f>VALUE(LOOKUP(B74,'Company Database'!C$9:C$1248,'Company Database'!D$9:D$1248))</f>
        <v>10.82</v>
      </c>
      <c r="E74" s="1">
        <f>VALUE(LOOKUP(B74,'Company Database'!C$9:C$1248,'Company Database'!E$9:E$1248))</f>
        <v>15.35</v>
      </c>
      <c r="F74" s="1">
        <f>VALUE(LOOKUP(B74,'Company Database'!C$9:C$1248,'Company Database'!F$9:F$1248))</f>
        <v>17.350000000000001</v>
      </c>
      <c r="G74" s="115">
        <f t="shared" si="0"/>
        <v>17.350000000000001</v>
      </c>
      <c r="H74" s="170">
        <f>VALUE(LOOKUP(B74,'Company Database'!C$9:C$1248,'Company Database'!G$9:G$1248))</f>
        <v>262.75</v>
      </c>
      <c r="I74" s="86">
        <f>LOOKUP(B74,'Company Database'!C$9:C$1248,'Company Database'!H$9:H$1248)</f>
        <v>0</v>
      </c>
      <c r="J74" s="86">
        <f>LOOKUP(B74,'Company Database'!C$9:C$1248,'Company Database'!I$9:I$1248)</f>
        <v>13.57</v>
      </c>
      <c r="K74" s="86">
        <f>LOOKUP(B74,'Company Database'!C$9:C$1248,'Company Database'!J$9:J$1248)</f>
        <v>19.66</v>
      </c>
    </row>
    <row r="75" spans="1:11" x14ac:dyDescent="0.2">
      <c r="A75">
        <v>61</v>
      </c>
      <c r="B75" s="146" t="s">
        <v>4081</v>
      </c>
      <c r="C75" s="1" t="e">
        <f>LOOKUP(B75,'Company Database'!C$9:C$1248,'Company Database'!#REF!)</f>
        <v>#REF!</v>
      </c>
      <c r="D75" s="1">
        <f>VALUE(LOOKUP(B75,'Company Database'!C$9:C$1248,'Company Database'!D$9:D$1248))</f>
        <v>19.829999999999998</v>
      </c>
      <c r="E75" s="1">
        <f>VALUE(LOOKUP(B75,'Company Database'!C$9:C$1248,'Company Database'!E$9:E$1248))</f>
        <v>22.25</v>
      </c>
      <c r="F75" s="1">
        <f>VALUE(LOOKUP(B75,'Company Database'!C$9:C$1248,'Company Database'!F$9:F$1248))</f>
        <v>25.4</v>
      </c>
      <c r="G75" s="115">
        <f t="shared" si="0"/>
        <v>29.27999999999999</v>
      </c>
      <c r="H75" s="170">
        <f>VALUE(LOOKUP(B75,'Company Database'!C$9:C$1248,'Company Database'!G$9:G$1248))</f>
        <v>492.35</v>
      </c>
      <c r="I75" s="86">
        <f>LOOKUP(B75,'Company Database'!C$9:C$1248,'Company Database'!H$9:H$1248)</f>
        <v>0</v>
      </c>
      <c r="J75" s="86">
        <f>LOOKUP(B75,'Company Database'!C$9:C$1248,'Company Database'!I$9:I$1248)</f>
        <v>81.44</v>
      </c>
      <c r="K75" s="86">
        <f>LOOKUP(B75,'Company Database'!C$9:C$1248,'Company Database'!J$9:J$1248)</f>
        <v>24.8</v>
      </c>
    </row>
    <row r="76" spans="1:11" x14ac:dyDescent="0.2">
      <c r="A76">
        <v>62</v>
      </c>
      <c r="B76" s="146" t="s">
        <v>1348</v>
      </c>
      <c r="C76" s="1" t="e">
        <f>LOOKUP(B76,'Company Database'!C$9:C$1248,'Company Database'!#REF!)</f>
        <v>#REF!</v>
      </c>
      <c r="D76" s="1">
        <f>VALUE(LOOKUP(B76,'Company Database'!C$9:C$1248,'Company Database'!D$9:D$1248))</f>
        <v>0</v>
      </c>
      <c r="E76" s="1">
        <f>VALUE(LOOKUP(B76,'Company Database'!C$9:C$1248,'Company Database'!E$9:E$1248))</f>
        <v>13.8</v>
      </c>
      <c r="F76" s="1">
        <f>VALUE(LOOKUP(B76,'Company Database'!C$9:C$1248,'Company Database'!F$9:F$1248))</f>
        <v>37.799999999999997</v>
      </c>
      <c r="G76" s="115">
        <f t="shared" si="0"/>
        <v>72</v>
      </c>
      <c r="H76" s="170">
        <f>VALUE(LOOKUP(B76,'Company Database'!C$9:C$1248,'Company Database'!G$9:G$1248))</f>
        <v>95.6</v>
      </c>
      <c r="I76" s="86">
        <f>LOOKUP(B76,'Company Database'!C$9:C$1248,'Company Database'!H$9:H$1248)</f>
        <v>0</v>
      </c>
      <c r="J76" s="86">
        <f>LOOKUP(B76,'Company Database'!C$9:C$1248,'Company Database'!I$9:I$1248)</f>
        <v>26.29</v>
      </c>
      <c r="K76" s="86">
        <f>LOOKUP(B76,'Company Database'!C$9:C$1248,'Company Database'!J$9:J$1248)</f>
        <v>14.67</v>
      </c>
    </row>
    <row r="77" spans="1:11" x14ac:dyDescent="0.2">
      <c r="A77">
        <v>63</v>
      </c>
      <c r="B77" s="146" t="s">
        <v>5330</v>
      </c>
      <c r="C77" s="1" t="e">
        <f>LOOKUP(B77,'Company Database'!C$9:C$1248,'Company Database'!#REF!)</f>
        <v>#REF!</v>
      </c>
      <c r="D77" s="1">
        <f>VALUE(LOOKUP(B77,'Company Database'!C$9:C$1248,'Company Database'!D$9:D$1248))</f>
        <v>0</v>
      </c>
      <c r="E77" s="1">
        <f>VALUE(LOOKUP(B77,'Company Database'!C$9:C$1248,'Company Database'!E$9:E$1248))</f>
        <v>0</v>
      </c>
      <c r="F77" s="1">
        <f>VALUE(LOOKUP(B77,'Company Database'!C$9:C$1248,'Company Database'!F$9:F$1248))</f>
        <v>0</v>
      </c>
      <c r="G77" s="115">
        <f t="shared" si="0"/>
        <v>0</v>
      </c>
      <c r="H77" s="170">
        <f>VALUE(LOOKUP(B77,'Company Database'!C$9:C$1248,'Company Database'!G$9:G$1248))</f>
        <v>41.5</v>
      </c>
      <c r="I77" s="86">
        <f>LOOKUP(B77,'Company Database'!C$9:C$1248,'Company Database'!H$9:H$1248)</f>
        <v>0</v>
      </c>
      <c r="J77" s="86">
        <f>LOOKUP(B77,'Company Database'!C$9:C$1248,'Company Database'!I$9:I$1248)</f>
        <v>0</v>
      </c>
      <c r="K77" s="86">
        <f>LOOKUP(B77,'Company Database'!C$9:C$1248,'Company Database'!J$9:J$1248)</f>
        <v>0</v>
      </c>
    </row>
    <row r="78" spans="1:11" x14ac:dyDescent="0.2">
      <c r="A78">
        <v>64</v>
      </c>
      <c r="B78" s="146" t="s">
        <v>4082</v>
      </c>
      <c r="C78" s="1" t="e">
        <f>LOOKUP(B78,'Company Database'!C$9:C$1248,'Company Database'!#REF!)</f>
        <v>#REF!</v>
      </c>
      <c r="D78" s="1">
        <f>VALUE(LOOKUP(B78,'Company Database'!C$9:C$1248,'Company Database'!D$9:D$1248))</f>
        <v>11.33</v>
      </c>
      <c r="E78" s="1">
        <f>VALUE(LOOKUP(B78,'Company Database'!C$9:C$1248,'Company Database'!E$9:E$1248))</f>
        <v>14.32</v>
      </c>
      <c r="F78" s="1">
        <f>VALUE(LOOKUP(B78,'Company Database'!C$9:C$1248,'Company Database'!F$9:F$1248))</f>
        <v>15.55</v>
      </c>
      <c r="G78" s="115">
        <f t="shared" si="0"/>
        <v>15.55</v>
      </c>
      <c r="H78" s="170">
        <f>VALUE(LOOKUP(B78,'Company Database'!C$9:C$1248,'Company Database'!G$9:G$1248))</f>
        <v>47</v>
      </c>
      <c r="I78" s="86">
        <f>LOOKUP(B78,'Company Database'!C$9:C$1248,'Company Database'!H$9:H$1248)</f>
        <v>0</v>
      </c>
      <c r="J78" s="86">
        <f>LOOKUP(B78,'Company Database'!C$9:C$1248,'Company Database'!I$9:I$1248)</f>
        <v>20.77</v>
      </c>
      <c r="K78" s="86">
        <f>LOOKUP(B78,'Company Database'!C$9:C$1248,'Company Database'!J$9:J$1248)</f>
        <v>3.44</v>
      </c>
    </row>
    <row r="79" spans="1:11" x14ac:dyDescent="0.2">
      <c r="A79">
        <v>65</v>
      </c>
      <c r="B79" s="146" t="s">
        <v>4083</v>
      </c>
      <c r="C79" s="1" t="e">
        <f>LOOKUP(B79,'Company Database'!C$9:C$1248,'Company Database'!#REF!)</f>
        <v>#REF!</v>
      </c>
      <c r="D79" s="1">
        <f>VALUE(LOOKUP(B79,'Company Database'!C$9:C$1248,'Company Database'!D$9:D$1248))</f>
        <v>0</v>
      </c>
      <c r="E79" s="1">
        <f>VALUE(LOOKUP(B79,'Company Database'!C$9:C$1248,'Company Database'!E$9:E$1248))</f>
        <v>35.700000000000003</v>
      </c>
      <c r="F79" s="1">
        <f>VALUE(LOOKUP(B79,'Company Database'!C$9:C$1248,'Company Database'!F$9:F$1248))</f>
        <v>43.5</v>
      </c>
      <c r="G79" s="115">
        <f t="shared" ref="G79:G142" si="1">IF(TREND(D79:F79,$D$13:$F$14,$G$13:$G$14)&gt;1.1*F79,TREND(D79:F79,$D$13:$F$14,$G$13:$G$14),F79)</f>
        <v>43.5</v>
      </c>
      <c r="H79" s="170">
        <f>VALUE(LOOKUP(B79,'Company Database'!C$9:C$1248,'Company Database'!G$9:G$1248))</f>
        <v>307.60000000000002</v>
      </c>
      <c r="I79" s="86">
        <f>LOOKUP(B79,'Company Database'!C$9:C$1248,'Company Database'!H$9:H$1248)</f>
        <v>0</v>
      </c>
      <c r="J79" s="86">
        <f>LOOKUP(B79,'Company Database'!C$9:C$1248,'Company Database'!I$9:I$1248)</f>
        <v>24.01</v>
      </c>
      <c r="K79" s="86">
        <f>LOOKUP(B79,'Company Database'!C$9:C$1248,'Company Database'!J$9:J$1248)</f>
        <v>12.04</v>
      </c>
    </row>
    <row r="80" spans="1:11" x14ac:dyDescent="0.2">
      <c r="A80">
        <v>66</v>
      </c>
      <c r="B80" s="146" t="s">
        <v>1349</v>
      </c>
      <c r="C80" s="1" t="e">
        <f>LOOKUP(B80,'Company Database'!C$9:C$1248,'Company Database'!#REF!)</f>
        <v>#REF!</v>
      </c>
      <c r="D80" s="1">
        <f>VALUE(LOOKUP(B80,'Company Database'!C$9:C$1248,'Company Database'!D$9:D$1248))</f>
        <v>34.659999999999997</v>
      </c>
      <c r="E80" s="1">
        <f>VALUE(LOOKUP(B80,'Company Database'!C$9:C$1248,'Company Database'!E$9:E$1248))</f>
        <v>38.6</v>
      </c>
      <c r="F80" s="1">
        <f>VALUE(LOOKUP(B80,'Company Database'!C$9:C$1248,'Company Database'!F$9:F$1248))</f>
        <v>41.25</v>
      </c>
      <c r="G80" s="115">
        <f t="shared" si="1"/>
        <v>41.25</v>
      </c>
      <c r="H80" s="170">
        <f>VALUE(LOOKUP(B80,'Company Database'!C$9:C$1248,'Company Database'!G$9:G$1248))</f>
        <v>279.3</v>
      </c>
      <c r="I80" s="86">
        <f>LOOKUP(B80,'Company Database'!C$9:C$1248,'Company Database'!H$9:H$1248)</f>
        <v>0</v>
      </c>
      <c r="J80" s="86">
        <f>LOOKUP(B80,'Company Database'!C$9:C$1248,'Company Database'!I$9:I$1248)</f>
        <v>12.19</v>
      </c>
      <c r="K80" s="86">
        <f>LOOKUP(B80,'Company Database'!C$9:C$1248,'Company Database'!J$9:J$1248)</f>
        <v>7.23</v>
      </c>
    </row>
    <row r="81" spans="1:11" x14ac:dyDescent="0.2">
      <c r="A81">
        <v>67</v>
      </c>
      <c r="B81" s="146" t="s">
        <v>1857</v>
      </c>
      <c r="C81" s="1" t="e">
        <f>LOOKUP(B81,'Company Database'!C$9:C$1248,'Company Database'!#REF!)</f>
        <v>#REF!</v>
      </c>
      <c r="D81" s="1">
        <f>VALUE(LOOKUP(B81,'Company Database'!C$9:C$1248,'Company Database'!D$9:D$1248))</f>
        <v>5.15</v>
      </c>
      <c r="E81" s="1">
        <f>VALUE(LOOKUP(B81,'Company Database'!C$9:C$1248,'Company Database'!E$9:E$1248))</f>
        <v>7</v>
      </c>
      <c r="F81" s="1">
        <f>VALUE(LOOKUP(B81,'Company Database'!C$9:C$1248,'Company Database'!F$9:F$1248))</f>
        <v>7.11</v>
      </c>
      <c r="G81" s="115">
        <f t="shared" si="1"/>
        <v>7.11</v>
      </c>
      <c r="H81" s="170">
        <f>VALUE(LOOKUP(B81,'Company Database'!C$9:C$1248,'Company Database'!G$9:G$1248))</f>
        <v>77.150000000000006</v>
      </c>
      <c r="I81" s="86">
        <f>LOOKUP(B81,'Company Database'!C$9:C$1248,'Company Database'!H$9:H$1248)</f>
        <v>0</v>
      </c>
      <c r="J81" s="86">
        <f>LOOKUP(B81,'Company Database'!C$9:C$1248,'Company Database'!I$9:I$1248)</f>
        <v>0</v>
      </c>
      <c r="K81" s="86">
        <f>LOOKUP(B81,'Company Database'!C$9:C$1248,'Company Database'!J$9:J$1248)</f>
        <v>0</v>
      </c>
    </row>
    <row r="82" spans="1:11" x14ac:dyDescent="0.2">
      <c r="A82">
        <v>68</v>
      </c>
      <c r="B82" s="146" t="s">
        <v>2748</v>
      </c>
      <c r="C82" s="1" t="e">
        <f>LOOKUP(B82,'Company Database'!C$9:C$1248,'Company Database'!#REF!)</f>
        <v>#REF!</v>
      </c>
      <c r="D82" s="1">
        <f>VALUE(LOOKUP(B82,'Company Database'!C$9:C$1248,'Company Database'!D$9:D$1248))</f>
        <v>0</v>
      </c>
      <c r="E82" s="1">
        <f>VALUE(LOOKUP(B82,'Company Database'!C$9:C$1248,'Company Database'!E$9:E$1248))</f>
        <v>63.6</v>
      </c>
      <c r="F82" s="1">
        <f>VALUE(LOOKUP(B82,'Company Database'!C$9:C$1248,'Company Database'!F$9:F$1248))</f>
        <v>108.9</v>
      </c>
      <c r="G82" s="115">
        <f t="shared" si="1"/>
        <v>135.90000000000003</v>
      </c>
      <c r="H82" s="170">
        <f>VALUE(LOOKUP(B82,'Company Database'!C$9:C$1248,'Company Database'!G$9:G$1248))</f>
        <v>429.9</v>
      </c>
      <c r="I82" s="86">
        <f>LOOKUP(B82,'Company Database'!C$9:C$1248,'Company Database'!H$9:H$1248)</f>
        <v>0</v>
      </c>
      <c r="J82" s="86">
        <f>LOOKUP(B82,'Company Database'!C$9:C$1248,'Company Database'!I$9:I$1248)</f>
        <v>11.3</v>
      </c>
      <c r="K82" s="86">
        <f>LOOKUP(B82,'Company Database'!C$9:C$1248,'Company Database'!J$9:J$1248)</f>
        <v>17.28</v>
      </c>
    </row>
    <row r="83" spans="1:11" x14ac:dyDescent="0.2">
      <c r="A83">
        <v>69</v>
      </c>
      <c r="B83" s="146" t="s">
        <v>1373</v>
      </c>
      <c r="C83" s="1" t="e">
        <f>LOOKUP(B83,'Company Database'!C$9:C$1248,'Company Database'!#REF!)</f>
        <v>#REF!</v>
      </c>
      <c r="D83" s="1">
        <f>VALUE(LOOKUP(B83,'Company Database'!C$9:C$1248,'Company Database'!D$9:D$1248))</f>
        <v>12.49</v>
      </c>
      <c r="E83" s="1">
        <f>VALUE(LOOKUP(B83,'Company Database'!C$9:C$1248,'Company Database'!E$9:E$1248))</f>
        <v>12.67</v>
      </c>
      <c r="F83" s="1">
        <f>VALUE(LOOKUP(B83,'Company Database'!C$9:C$1248,'Company Database'!F$9:F$1248))</f>
        <v>15.3</v>
      </c>
      <c r="G83" s="115">
        <f t="shared" si="1"/>
        <v>20.380000000000003</v>
      </c>
      <c r="H83" s="170">
        <f>VALUE(LOOKUP(B83,'Company Database'!C$9:C$1248,'Company Database'!G$9:G$1248))</f>
        <v>315.5</v>
      </c>
      <c r="I83" s="86">
        <f>LOOKUP(B83,'Company Database'!C$9:C$1248,'Company Database'!H$9:H$1248)</f>
        <v>0</v>
      </c>
      <c r="J83" s="86">
        <f>LOOKUP(B83,'Company Database'!C$9:C$1248,'Company Database'!I$9:I$1248)</f>
        <v>17.57</v>
      </c>
      <c r="K83" s="86">
        <f>LOOKUP(B83,'Company Database'!C$9:C$1248,'Company Database'!J$9:J$1248)</f>
        <v>26.23</v>
      </c>
    </row>
    <row r="84" spans="1:11" x14ac:dyDescent="0.2">
      <c r="A84">
        <v>70</v>
      </c>
      <c r="B84" s="146" t="s">
        <v>1585</v>
      </c>
      <c r="C84" s="1" t="e">
        <f>LOOKUP(B84,'Company Database'!C$9:C$1248,'Company Database'!#REF!)</f>
        <v>#REF!</v>
      </c>
      <c r="D84" s="1">
        <f>VALUE(LOOKUP(B84,'Company Database'!C$9:C$1248,'Company Database'!D$9:D$1248))</f>
        <v>3.99</v>
      </c>
      <c r="E84" s="1">
        <f>VALUE(LOOKUP(B84,'Company Database'!C$9:C$1248,'Company Database'!E$9:E$1248))</f>
        <v>4.68</v>
      </c>
      <c r="F84" s="1">
        <f>VALUE(LOOKUP(B84,'Company Database'!C$9:C$1248,'Company Database'!F$9:F$1248))</f>
        <v>5.91</v>
      </c>
      <c r="G84" s="115">
        <f t="shared" si="1"/>
        <v>7.6800000000000033</v>
      </c>
      <c r="H84" s="170">
        <f>VALUE(LOOKUP(B84,'Company Database'!C$9:C$1248,'Company Database'!G$9:G$1248))</f>
        <v>42.15</v>
      </c>
      <c r="I84" s="86">
        <f>LOOKUP(B84,'Company Database'!C$9:C$1248,'Company Database'!H$9:H$1248)</f>
        <v>1.79</v>
      </c>
      <c r="J84" s="86">
        <f>LOOKUP(B84,'Company Database'!C$9:C$1248,'Company Database'!I$9:I$1248)</f>
        <v>18.43</v>
      </c>
      <c r="K84" s="86">
        <f>LOOKUP(B84,'Company Database'!C$9:C$1248,'Company Database'!J$9:J$1248)</f>
        <v>11</v>
      </c>
    </row>
    <row r="85" spans="1:11" x14ac:dyDescent="0.2">
      <c r="A85">
        <v>71</v>
      </c>
      <c r="B85" s="146" t="s">
        <v>4242</v>
      </c>
      <c r="C85" s="1" t="e">
        <f>LOOKUP(B85,'Company Database'!C$9:C$1248,'Company Database'!#REF!)</f>
        <v>#REF!</v>
      </c>
      <c r="D85" s="1">
        <f>VALUE(LOOKUP(B85,'Company Database'!C$9:C$1248,'Company Database'!D$9:D$1248))</f>
        <v>31.12</v>
      </c>
      <c r="E85" s="1">
        <f>VALUE(LOOKUP(B85,'Company Database'!C$9:C$1248,'Company Database'!E$9:E$1248))</f>
        <v>31.94</v>
      </c>
      <c r="F85" s="1">
        <f>VALUE(LOOKUP(B85,'Company Database'!C$9:C$1248,'Company Database'!F$9:F$1248))</f>
        <v>36.700000000000003</v>
      </c>
      <c r="G85" s="115">
        <f t="shared" si="1"/>
        <v>45.40000000000002</v>
      </c>
      <c r="H85" s="170">
        <f>VALUE(LOOKUP(B85,'Company Database'!C$9:C$1248,'Company Database'!G$9:G$1248))</f>
        <v>905.9</v>
      </c>
      <c r="I85" s="86">
        <f>LOOKUP(B85,'Company Database'!C$9:C$1248,'Company Database'!H$9:H$1248)</f>
        <v>2.21</v>
      </c>
      <c r="J85" s="86">
        <f>LOOKUP(B85,'Company Database'!C$9:C$1248,'Company Database'!I$9:I$1248)</f>
        <v>125.63</v>
      </c>
      <c r="K85" s="86">
        <f>LOOKUP(B85,'Company Database'!C$9:C$1248,'Company Database'!J$9:J$1248)</f>
        <v>29.07</v>
      </c>
    </row>
    <row r="86" spans="1:11" x14ac:dyDescent="0.2">
      <c r="A86">
        <v>72</v>
      </c>
      <c r="B86" s="146" t="s">
        <v>2667</v>
      </c>
      <c r="C86" s="1" t="e">
        <f>LOOKUP(B86,'Company Database'!C$9:C$1248,'Company Database'!#REF!)</f>
        <v>#REF!</v>
      </c>
      <c r="D86" s="1">
        <f>VALUE(LOOKUP(B86,'Company Database'!C$9:C$1248,'Company Database'!D$9:D$1248))</f>
        <v>59.9</v>
      </c>
      <c r="E86" s="1">
        <f>VALUE(LOOKUP(B86,'Company Database'!C$9:C$1248,'Company Database'!E$9:E$1248))</f>
        <v>67.05</v>
      </c>
      <c r="F86" s="1">
        <f>VALUE(LOOKUP(B86,'Company Database'!C$9:C$1248,'Company Database'!F$9:F$1248))</f>
        <v>76</v>
      </c>
      <c r="G86" s="115">
        <f t="shared" si="1"/>
        <v>86.75</v>
      </c>
      <c r="H86" s="170">
        <f>VALUE(LOOKUP(B86,'Company Database'!C$9:C$1248,'Company Database'!G$9:G$1248))</f>
        <v>1075.4000000000001</v>
      </c>
      <c r="I86" s="86">
        <f>LOOKUP(B86,'Company Database'!C$9:C$1248,'Company Database'!H$9:H$1248)</f>
        <v>0</v>
      </c>
      <c r="J86" s="86">
        <f>LOOKUP(B86,'Company Database'!C$9:C$1248,'Company Database'!I$9:I$1248)</f>
        <v>0</v>
      </c>
      <c r="K86" s="86">
        <f>LOOKUP(B86,'Company Database'!C$9:C$1248,'Company Database'!J$9:J$1248)</f>
        <v>0</v>
      </c>
    </row>
    <row r="87" spans="1:11" x14ac:dyDescent="0.2">
      <c r="A87">
        <v>73</v>
      </c>
      <c r="B87" s="146" t="s">
        <v>2668</v>
      </c>
      <c r="C87" s="1" t="e">
        <f>LOOKUP(B87,'Company Database'!C$9:C$1248,'Company Database'!#REF!)</f>
        <v>#REF!</v>
      </c>
      <c r="D87" s="1">
        <f>VALUE(LOOKUP(B87,'Company Database'!C$9:C$1248,'Company Database'!D$9:D$1248))</f>
        <v>81.58</v>
      </c>
      <c r="E87" s="1">
        <f>VALUE(LOOKUP(B87,'Company Database'!C$9:C$1248,'Company Database'!E$9:E$1248))</f>
        <v>97.2</v>
      </c>
      <c r="F87" s="1">
        <f>VALUE(LOOKUP(B87,'Company Database'!C$9:C$1248,'Company Database'!F$9:F$1248))</f>
        <v>115.43</v>
      </c>
      <c r="G87" s="115">
        <f t="shared" si="1"/>
        <v>136.27000000000004</v>
      </c>
      <c r="H87" s="170">
        <f>VALUE(LOOKUP(B87,'Company Database'!C$9:C$1248,'Company Database'!G$9:G$1248))</f>
        <v>536</v>
      </c>
      <c r="I87" s="86">
        <f>LOOKUP(B87,'Company Database'!C$9:C$1248,'Company Database'!H$9:H$1248)</f>
        <v>0</v>
      </c>
      <c r="J87" s="86">
        <f>LOOKUP(B87,'Company Database'!C$9:C$1248,'Company Database'!I$9:I$1248)</f>
        <v>18.61</v>
      </c>
      <c r="K87" s="86">
        <f>LOOKUP(B87,'Company Database'!C$9:C$1248,'Company Database'!J$9:J$1248)</f>
        <v>5.63</v>
      </c>
    </row>
    <row r="88" spans="1:11" x14ac:dyDescent="0.2">
      <c r="A88">
        <v>74</v>
      </c>
      <c r="B88" s="146" t="s">
        <v>3991</v>
      </c>
      <c r="C88" s="1" t="e">
        <f>LOOKUP(B88,'Company Database'!C$9:C$1248,'Company Database'!#REF!)</f>
        <v>#REF!</v>
      </c>
      <c r="D88" s="1">
        <f>VALUE(LOOKUP(B88,'Company Database'!C$9:C$1248,'Company Database'!D$9:D$1248))</f>
        <v>16.54</v>
      </c>
      <c r="E88" s="1">
        <f>VALUE(LOOKUP(B88,'Company Database'!C$9:C$1248,'Company Database'!E$9:E$1248))</f>
        <v>19.45</v>
      </c>
      <c r="F88" s="1">
        <f>VALUE(LOOKUP(B88,'Company Database'!C$9:C$1248,'Company Database'!F$9:F$1248))</f>
        <v>23.85</v>
      </c>
      <c r="G88" s="115">
        <f t="shared" si="1"/>
        <v>29.740000000000009</v>
      </c>
      <c r="H88" s="170">
        <f>VALUE(LOOKUP(B88,'Company Database'!C$9:C$1248,'Company Database'!G$9:G$1248))</f>
        <v>316.8</v>
      </c>
      <c r="I88" s="86">
        <f>LOOKUP(B88,'Company Database'!C$9:C$1248,'Company Database'!H$9:H$1248)</f>
        <v>0</v>
      </c>
      <c r="J88" s="86">
        <f>LOOKUP(B88,'Company Database'!C$9:C$1248,'Company Database'!I$9:I$1248)</f>
        <v>30.86</v>
      </c>
      <c r="K88" s="86">
        <f>LOOKUP(B88,'Company Database'!C$9:C$1248,'Company Database'!J$9:J$1248)</f>
        <v>12.84</v>
      </c>
    </row>
    <row r="89" spans="1:11" x14ac:dyDescent="0.2">
      <c r="A89">
        <v>75</v>
      </c>
      <c r="B89" s="146" t="s">
        <v>3451</v>
      </c>
      <c r="C89" s="1" t="e">
        <f>LOOKUP(B89,'Company Database'!C$9:C$1248,'Company Database'!#REF!)</f>
        <v>#REF!</v>
      </c>
      <c r="D89" s="1">
        <f>VALUE(LOOKUP(B89,'Company Database'!C$9:C$1248,'Company Database'!D$9:D$1248))</f>
        <v>12.86</v>
      </c>
      <c r="E89" s="1">
        <f>VALUE(LOOKUP(B89,'Company Database'!C$9:C$1248,'Company Database'!E$9:E$1248))</f>
        <v>14.2</v>
      </c>
      <c r="F89" s="1">
        <f>VALUE(LOOKUP(B89,'Company Database'!C$9:C$1248,'Company Database'!F$9:F$1248))</f>
        <v>16.37</v>
      </c>
      <c r="G89" s="115">
        <f t="shared" si="1"/>
        <v>19.370000000000008</v>
      </c>
      <c r="H89" s="170">
        <f>VALUE(LOOKUP(B89,'Company Database'!C$9:C$1248,'Company Database'!G$9:G$1248))</f>
        <v>248</v>
      </c>
      <c r="I89" s="86">
        <f>LOOKUP(B89,'Company Database'!C$9:C$1248,'Company Database'!H$9:H$1248)</f>
        <v>0</v>
      </c>
      <c r="J89" s="86">
        <f>LOOKUP(B89,'Company Database'!C$9:C$1248,'Company Database'!I$9:I$1248)</f>
        <v>31.37</v>
      </c>
      <c r="K89" s="86">
        <f>LOOKUP(B89,'Company Database'!C$9:C$1248,'Company Database'!J$9:J$1248)</f>
        <v>22.89</v>
      </c>
    </row>
    <row r="90" spans="1:11" x14ac:dyDescent="0.2">
      <c r="A90">
        <v>76</v>
      </c>
      <c r="B90" s="146" t="s">
        <v>3993</v>
      </c>
      <c r="C90" s="1" t="e">
        <f>LOOKUP(B90,'Company Database'!C$9:C$1248,'Company Database'!#REF!)</f>
        <v>#REF!</v>
      </c>
      <c r="D90" s="1">
        <f>VALUE(LOOKUP(B90,'Company Database'!C$9:C$1248,'Company Database'!D$9:D$1248))</f>
        <v>22.42</v>
      </c>
      <c r="E90" s="1">
        <f>VALUE(LOOKUP(B90,'Company Database'!C$9:C$1248,'Company Database'!E$9:E$1248))</f>
        <v>31.27</v>
      </c>
      <c r="F90" s="1">
        <f>VALUE(LOOKUP(B90,'Company Database'!C$9:C$1248,'Company Database'!F$9:F$1248))</f>
        <v>38.799999999999997</v>
      </c>
      <c r="G90" s="115">
        <f t="shared" si="1"/>
        <v>45.009999999999991</v>
      </c>
      <c r="H90" s="170">
        <f>VALUE(LOOKUP(B90,'Company Database'!C$9:C$1248,'Company Database'!G$9:G$1248))</f>
        <v>707.6</v>
      </c>
      <c r="I90" s="86">
        <f>LOOKUP(B90,'Company Database'!C$9:C$1248,'Company Database'!H$9:H$1248)</f>
        <v>1.69</v>
      </c>
      <c r="J90" s="86">
        <f>LOOKUP(B90,'Company Database'!C$9:C$1248,'Company Database'!I$9:I$1248)</f>
        <v>28.82</v>
      </c>
      <c r="K90" s="86">
        <f>LOOKUP(B90,'Company Database'!C$9:C$1248,'Company Database'!J$9:J$1248)</f>
        <v>31.6</v>
      </c>
    </row>
    <row r="91" spans="1:11" x14ac:dyDescent="0.2">
      <c r="A91">
        <v>77</v>
      </c>
      <c r="B91" s="146" t="s">
        <v>4906</v>
      </c>
      <c r="C91" s="1" t="e">
        <f>LOOKUP(B91,'Company Database'!C$9:C$1248,'Company Database'!#REF!)</f>
        <v>#REF!</v>
      </c>
      <c r="D91" s="1">
        <f>VALUE(LOOKUP(B91,'Company Database'!C$9:C$1248,'Company Database'!D$9:D$1248))</f>
        <v>2.9</v>
      </c>
      <c r="E91" s="1">
        <f>VALUE(LOOKUP(B91,'Company Database'!C$9:C$1248,'Company Database'!E$9:E$1248))</f>
        <v>3.36</v>
      </c>
      <c r="F91" s="1">
        <f>VALUE(LOOKUP(B91,'Company Database'!C$9:C$1248,'Company Database'!F$9:F$1248))</f>
        <v>4.13</v>
      </c>
      <c r="G91" s="115">
        <f t="shared" si="1"/>
        <v>5.2100000000000009</v>
      </c>
      <c r="H91" s="170">
        <f>VALUE(LOOKUP(B91,'Company Database'!C$9:C$1248,'Company Database'!G$9:G$1248))</f>
        <v>103.05</v>
      </c>
      <c r="I91" s="86">
        <f>LOOKUP(B91,'Company Database'!C$9:C$1248,'Company Database'!H$9:H$1248)</f>
        <v>0</v>
      </c>
      <c r="J91" s="86">
        <f>LOOKUP(B91,'Company Database'!C$9:C$1248,'Company Database'!I$9:I$1248)</f>
        <v>56.29</v>
      </c>
      <c r="K91" s="86">
        <f>LOOKUP(B91,'Company Database'!C$9:C$1248,'Company Database'!J$9:J$1248)</f>
        <v>38.03</v>
      </c>
    </row>
    <row r="92" spans="1:11" x14ac:dyDescent="0.2">
      <c r="A92">
        <v>78</v>
      </c>
      <c r="B92" s="146" t="s">
        <v>4909</v>
      </c>
      <c r="C92" s="1" t="e">
        <f>LOOKUP(B92,'Company Database'!C$9:C$1248,'Company Database'!#REF!)</f>
        <v>#REF!</v>
      </c>
      <c r="D92" s="1">
        <f>VALUE(LOOKUP(B92,'Company Database'!C$9:C$1248,'Company Database'!D$9:D$1248))</f>
        <v>0</v>
      </c>
      <c r="E92" s="1">
        <f>VALUE(LOOKUP(B92,'Company Database'!C$9:C$1248,'Company Database'!E$9:E$1248))</f>
        <v>1.4</v>
      </c>
      <c r="F92" s="1">
        <f>VALUE(LOOKUP(B92,'Company Database'!C$9:C$1248,'Company Database'!F$9:F$1248))</f>
        <v>3.9</v>
      </c>
      <c r="G92" s="115">
        <f t="shared" si="1"/>
        <v>7.5000000000000009</v>
      </c>
      <c r="H92" s="170">
        <f>VALUE(LOOKUP(B92,'Company Database'!C$9:C$1248,'Company Database'!G$9:G$1248))</f>
        <v>42.95</v>
      </c>
      <c r="I92" s="86">
        <f>LOOKUP(B92,'Company Database'!C$9:C$1248,'Company Database'!H$9:H$1248)</f>
        <v>0</v>
      </c>
      <c r="J92" s="86">
        <f>LOOKUP(B92,'Company Database'!C$9:C$1248,'Company Database'!I$9:I$1248)</f>
        <v>6.5</v>
      </c>
      <c r="K92" s="86">
        <f>LOOKUP(B92,'Company Database'!C$9:C$1248,'Company Database'!J$9:J$1248)</f>
        <v>0</v>
      </c>
    </row>
    <row r="93" spans="1:11" x14ac:dyDescent="0.2">
      <c r="A93">
        <v>79</v>
      </c>
      <c r="B93" s="146" t="s">
        <v>1551</v>
      </c>
      <c r="C93" s="1" t="e">
        <f>LOOKUP(B93,'Company Database'!C$9:C$1248,'Company Database'!#REF!)</f>
        <v>#REF!</v>
      </c>
      <c r="D93" s="1">
        <f>VALUE(LOOKUP(B93,'Company Database'!C$9:C$1248,'Company Database'!D$9:D$1248))</f>
        <v>0</v>
      </c>
      <c r="E93" s="1">
        <f>VALUE(LOOKUP(B93,'Company Database'!C$9:C$1248,'Company Database'!E$9:E$1248))</f>
        <v>-18.95</v>
      </c>
      <c r="F93" s="1">
        <f>VALUE(LOOKUP(B93,'Company Database'!C$9:C$1248,'Company Database'!F$9:F$1248))</f>
        <v>-5.3</v>
      </c>
      <c r="G93" s="115">
        <f t="shared" si="1"/>
        <v>40.950000000000045</v>
      </c>
      <c r="H93" s="170">
        <f>VALUE(LOOKUP(B93,'Company Database'!C$9:C$1248,'Company Database'!G$9:G$1248))</f>
        <v>41.5</v>
      </c>
      <c r="I93" s="86">
        <f>LOOKUP(B93,'Company Database'!C$9:C$1248,'Company Database'!H$9:H$1248)</f>
        <v>0</v>
      </c>
      <c r="J93" s="86">
        <f>LOOKUP(B93,'Company Database'!C$9:C$1248,'Company Database'!I$9:I$1248)</f>
        <v>0</v>
      </c>
      <c r="K93" s="86">
        <f>LOOKUP(B93,'Company Database'!C$9:C$1248,'Company Database'!J$9:J$1248)</f>
        <v>0</v>
      </c>
    </row>
    <row r="94" spans="1:11" x14ac:dyDescent="0.2">
      <c r="A94">
        <v>80</v>
      </c>
      <c r="B94" s="146" t="s">
        <v>2126</v>
      </c>
      <c r="C94" s="1" t="e">
        <f>LOOKUP(B94,'Company Database'!C$9:C$1248,'Company Database'!#REF!)</f>
        <v>#REF!</v>
      </c>
      <c r="D94" s="1">
        <f>VALUE(LOOKUP(B94,'Company Database'!C$9:C$1248,'Company Database'!D$9:D$1248))</f>
        <v>10.73</v>
      </c>
      <c r="E94" s="1">
        <f>VALUE(LOOKUP(B94,'Company Database'!C$9:C$1248,'Company Database'!E$9:E$1248))</f>
        <v>11.05</v>
      </c>
      <c r="F94" s="1">
        <f>VALUE(LOOKUP(B94,'Company Database'!C$9:C$1248,'Company Database'!F$9:F$1248))</f>
        <v>12.02</v>
      </c>
      <c r="G94" s="115">
        <f t="shared" si="1"/>
        <v>13.639999999999997</v>
      </c>
      <c r="H94" s="170">
        <f>VALUE(LOOKUP(B94,'Company Database'!C$9:C$1248,'Company Database'!G$9:G$1248))</f>
        <v>69.2</v>
      </c>
      <c r="I94" s="86">
        <f>LOOKUP(B94,'Company Database'!C$9:C$1248,'Company Database'!H$9:H$1248)</f>
        <v>0</v>
      </c>
      <c r="J94" s="86">
        <f>LOOKUP(B94,'Company Database'!C$9:C$1248,'Company Database'!I$9:I$1248)</f>
        <v>20.84</v>
      </c>
      <c r="K94" s="86">
        <f>LOOKUP(B94,'Company Database'!C$9:C$1248,'Company Database'!J$9:J$1248)</f>
        <v>10.41</v>
      </c>
    </row>
    <row r="95" spans="1:11" x14ac:dyDescent="0.2">
      <c r="A95">
        <v>81</v>
      </c>
      <c r="B95" s="146" t="s">
        <v>4258</v>
      </c>
      <c r="C95" s="1" t="e">
        <f>LOOKUP(B95,'Company Database'!C$9:C$1248,'Company Database'!#REF!)</f>
        <v>#REF!</v>
      </c>
      <c r="D95" s="1">
        <f>VALUE(LOOKUP(B95,'Company Database'!C$9:C$1248,'Company Database'!D$9:D$1248))</f>
        <v>16.670000000000002</v>
      </c>
      <c r="E95" s="1">
        <f>VALUE(LOOKUP(B95,'Company Database'!C$9:C$1248,'Company Database'!E$9:E$1248))</f>
        <v>21.1</v>
      </c>
      <c r="F95" s="1">
        <f>VALUE(LOOKUP(B95,'Company Database'!C$9:C$1248,'Company Database'!F$9:F$1248))</f>
        <v>26.7</v>
      </c>
      <c r="G95" s="115">
        <f t="shared" si="1"/>
        <v>33.47</v>
      </c>
      <c r="H95" s="170">
        <f>VALUE(LOOKUP(B95,'Company Database'!C$9:C$1248,'Company Database'!G$9:G$1248))</f>
        <v>174.15</v>
      </c>
      <c r="I95" s="86">
        <f>LOOKUP(B95,'Company Database'!C$9:C$1248,'Company Database'!H$9:H$1248)</f>
        <v>0</v>
      </c>
      <c r="J95" s="86">
        <f>LOOKUP(B95,'Company Database'!C$9:C$1248,'Company Database'!I$9:I$1248)</f>
        <v>13.97</v>
      </c>
      <c r="K95" s="86">
        <f>LOOKUP(B95,'Company Database'!C$9:C$1248,'Company Database'!J$9:J$1248)</f>
        <v>8.24</v>
      </c>
    </row>
    <row r="96" spans="1:11" x14ac:dyDescent="0.2">
      <c r="A96">
        <v>82</v>
      </c>
      <c r="B96" s="146" t="s">
        <v>2127</v>
      </c>
      <c r="C96" s="1" t="e">
        <f>LOOKUP(B96,'Company Database'!C$9:C$1248,'Company Database'!#REF!)</f>
        <v>#REF!</v>
      </c>
      <c r="D96" s="1">
        <f>VALUE(LOOKUP(B96,'Company Database'!C$9:C$1248,'Company Database'!D$9:D$1248))</f>
        <v>17.829999999999998</v>
      </c>
      <c r="E96" s="1">
        <f>VALUE(LOOKUP(B96,'Company Database'!C$9:C$1248,'Company Database'!E$9:E$1248))</f>
        <v>19.7</v>
      </c>
      <c r="F96" s="1">
        <f>VALUE(LOOKUP(B96,'Company Database'!C$9:C$1248,'Company Database'!F$9:F$1248))</f>
        <v>21.9</v>
      </c>
      <c r="G96" s="115">
        <f t="shared" si="1"/>
        <v>24.429999999999996</v>
      </c>
      <c r="H96" s="170">
        <f>VALUE(LOOKUP(B96,'Company Database'!C$9:C$1248,'Company Database'!G$9:G$1248))</f>
        <v>89.6</v>
      </c>
      <c r="I96" s="86">
        <f>LOOKUP(B96,'Company Database'!C$9:C$1248,'Company Database'!H$9:H$1248)</f>
        <v>0</v>
      </c>
      <c r="J96" s="86">
        <f>LOOKUP(B96,'Company Database'!C$9:C$1248,'Company Database'!I$9:I$1248)</f>
        <v>21.38</v>
      </c>
      <c r="K96" s="86">
        <f>LOOKUP(B96,'Company Database'!C$9:C$1248,'Company Database'!J$9:J$1248)</f>
        <v>4.8899999999999997</v>
      </c>
    </row>
    <row r="97" spans="1:11" x14ac:dyDescent="0.2">
      <c r="A97">
        <v>83</v>
      </c>
      <c r="B97" s="146" t="s">
        <v>3453</v>
      </c>
      <c r="C97" s="1" t="e">
        <f>LOOKUP(B97,'Company Database'!C$9:C$1248,'Company Database'!#REF!)</f>
        <v>#REF!</v>
      </c>
      <c r="D97" s="1">
        <f>VALUE(LOOKUP(B97,'Company Database'!C$9:C$1248,'Company Database'!D$9:D$1248))</f>
        <v>0</v>
      </c>
      <c r="E97" s="1">
        <f>VALUE(LOOKUP(B97,'Company Database'!C$9:C$1248,'Company Database'!E$9:E$1248))</f>
        <v>5.05</v>
      </c>
      <c r="F97" s="1">
        <f>VALUE(LOOKUP(B97,'Company Database'!C$9:C$1248,'Company Database'!F$9:F$1248))</f>
        <v>10.3</v>
      </c>
      <c r="G97" s="115">
        <f t="shared" si="1"/>
        <v>15.750000000000004</v>
      </c>
      <c r="H97" s="170">
        <f>VALUE(LOOKUP(B97,'Company Database'!C$9:C$1248,'Company Database'!G$9:G$1248))</f>
        <v>66.349999999999994</v>
      </c>
      <c r="I97" s="86">
        <f>LOOKUP(B97,'Company Database'!C$9:C$1248,'Company Database'!H$9:H$1248)</f>
        <v>3.01</v>
      </c>
      <c r="J97" s="86">
        <f>LOOKUP(B97,'Company Database'!C$9:C$1248,'Company Database'!I$9:I$1248)</f>
        <v>9.24</v>
      </c>
      <c r="K97" s="86">
        <f>LOOKUP(B97,'Company Database'!C$9:C$1248,'Company Database'!J$9:J$1248)</f>
        <v>9.7899999999999991</v>
      </c>
    </row>
    <row r="98" spans="1:11" x14ac:dyDescent="0.2">
      <c r="A98">
        <v>84</v>
      </c>
      <c r="B98" s="146" t="s">
        <v>1374</v>
      </c>
      <c r="C98" s="1" t="e">
        <f>LOOKUP(B98,'Company Database'!C$9:C$1248,'Company Database'!#REF!)</f>
        <v>#REF!</v>
      </c>
      <c r="D98" s="1">
        <f>VALUE(LOOKUP(B98,'Company Database'!C$9:C$1248,'Company Database'!D$9:D$1248))</f>
        <v>14.44</v>
      </c>
      <c r="E98" s="1">
        <f>VALUE(LOOKUP(B98,'Company Database'!C$9:C$1248,'Company Database'!E$9:E$1248))</f>
        <v>10.15</v>
      </c>
      <c r="F98" s="1">
        <f>VALUE(LOOKUP(B98,'Company Database'!C$9:C$1248,'Company Database'!F$9:F$1248))</f>
        <v>12.9</v>
      </c>
      <c r="G98" s="115">
        <f t="shared" si="1"/>
        <v>22.690000000000012</v>
      </c>
      <c r="H98" s="170">
        <f>VALUE(LOOKUP(B98,'Company Database'!C$9:C$1248,'Company Database'!G$9:G$1248))</f>
        <v>90.7</v>
      </c>
      <c r="I98" s="86">
        <f>LOOKUP(B98,'Company Database'!C$9:C$1248,'Company Database'!H$9:H$1248)</f>
        <v>1.32</v>
      </c>
      <c r="J98" s="86">
        <f>LOOKUP(B98,'Company Database'!C$9:C$1248,'Company Database'!I$9:I$1248)</f>
        <v>11.15</v>
      </c>
      <c r="K98" s="86">
        <f>LOOKUP(B98,'Company Database'!C$9:C$1248,'Company Database'!J$9:J$1248)</f>
        <v>10.45</v>
      </c>
    </row>
    <row r="99" spans="1:11" x14ac:dyDescent="0.2">
      <c r="A99">
        <v>85</v>
      </c>
      <c r="B99" s="146" t="s">
        <v>3641</v>
      </c>
      <c r="C99" s="1" t="e">
        <f>LOOKUP(B99,'Company Database'!C$9:C$1248,'Company Database'!#REF!)</f>
        <v>#REF!</v>
      </c>
      <c r="D99" s="1">
        <f>VALUE(LOOKUP(B99,'Company Database'!C$9:C$1248,'Company Database'!D$9:D$1248))</f>
        <v>26.06</v>
      </c>
      <c r="E99" s="1">
        <f>VALUE(LOOKUP(B99,'Company Database'!C$9:C$1248,'Company Database'!E$9:E$1248))</f>
        <v>27.3</v>
      </c>
      <c r="F99" s="1">
        <f>VALUE(LOOKUP(B99,'Company Database'!C$9:C$1248,'Company Database'!F$9:F$1248))</f>
        <v>35.9</v>
      </c>
      <c r="G99" s="115">
        <f t="shared" si="1"/>
        <v>51.86</v>
      </c>
      <c r="H99" s="170">
        <f>VALUE(LOOKUP(B99,'Company Database'!C$9:C$1248,'Company Database'!G$9:G$1248))</f>
        <v>727.4</v>
      </c>
      <c r="I99" s="86">
        <f>LOOKUP(B99,'Company Database'!C$9:C$1248,'Company Database'!H$9:H$1248)</f>
        <v>0</v>
      </c>
      <c r="J99" s="86">
        <f>LOOKUP(B99,'Company Database'!C$9:C$1248,'Company Database'!I$9:I$1248)</f>
        <v>22.37</v>
      </c>
      <c r="K99" s="86">
        <f>LOOKUP(B99,'Company Database'!C$9:C$1248,'Company Database'!J$9:J$1248)</f>
        <v>22.14</v>
      </c>
    </row>
    <row r="100" spans="1:11" x14ac:dyDescent="0.2">
      <c r="A100">
        <v>86</v>
      </c>
      <c r="B100" s="146" t="s">
        <v>108</v>
      </c>
      <c r="C100" s="1" t="e">
        <f>LOOKUP(B100,'Company Database'!C$9:C$1248,'Company Database'!#REF!)</f>
        <v>#REF!</v>
      </c>
      <c r="D100" s="1">
        <f>VALUE(LOOKUP(B100,'Company Database'!C$9:C$1248,'Company Database'!D$9:D$1248))</f>
        <v>25.02</v>
      </c>
      <c r="E100" s="1">
        <f>VALUE(LOOKUP(B100,'Company Database'!C$9:C$1248,'Company Database'!E$9:E$1248))</f>
        <v>42.4</v>
      </c>
      <c r="F100" s="1">
        <f>VALUE(LOOKUP(B100,'Company Database'!C$9:C$1248,'Company Database'!F$9:F$1248))</f>
        <v>34.25</v>
      </c>
      <c r="G100" s="115">
        <f t="shared" si="1"/>
        <v>34.25</v>
      </c>
      <c r="H100" s="170">
        <f>VALUE(LOOKUP(B100,'Company Database'!C$9:C$1248,'Company Database'!G$9:G$1248))</f>
        <v>326.95</v>
      </c>
      <c r="I100" s="86">
        <f>LOOKUP(B100,'Company Database'!C$9:C$1248,'Company Database'!H$9:H$1248)</f>
        <v>0.92</v>
      </c>
      <c r="J100" s="86">
        <f>LOOKUP(B100,'Company Database'!C$9:C$1248,'Company Database'!I$9:I$1248)</f>
        <v>5.24</v>
      </c>
      <c r="K100" s="86">
        <f>LOOKUP(B100,'Company Database'!C$9:C$1248,'Company Database'!J$9:J$1248)</f>
        <v>13.06</v>
      </c>
    </row>
    <row r="101" spans="1:11" x14ac:dyDescent="0.2">
      <c r="A101">
        <v>87</v>
      </c>
      <c r="B101" s="146" t="s">
        <v>1375</v>
      </c>
      <c r="C101" s="1" t="e">
        <f>LOOKUP(B101,'Company Database'!C$9:C$1248,'Company Database'!#REF!)</f>
        <v>#REF!</v>
      </c>
      <c r="D101" s="1">
        <f>VALUE(LOOKUP(B101,'Company Database'!C$9:C$1248,'Company Database'!D$9:D$1248))</f>
        <v>54.3</v>
      </c>
      <c r="E101" s="1">
        <f>VALUE(LOOKUP(B101,'Company Database'!C$9:C$1248,'Company Database'!E$9:E$1248))</f>
        <v>64.67</v>
      </c>
      <c r="F101" s="1">
        <f>VALUE(LOOKUP(B101,'Company Database'!C$9:C$1248,'Company Database'!F$9:F$1248))</f>
        <v>84.95</v>
      </c>
      <c r="G101" s="115">
        <f t="shared" si="1"/>
        <v>115.14000000000001</v>
      </c>
      <c r="H101" s="170">
        <f>VALUE(LOOKUP(B101,'Company Database'!C$9:C$1248,'Company Database'!G$9:G$1248))</f>
        <v>1600.9</v>
      </c>
      <c r="I101" s="86">
        <f>LOOKUP(B101,'Company Database'!C$9:C$1248,'Company Database'!H$9:H$1248)</f>
        <v>0</v>
      </c>
      <c r="J101" s="86">
        <f>LOOKUP(B101,'Company Database'!C$9:C$1248,'Company Database'!I$9:I$1248)</f>
        <v>13.07</v>
      </c>
      <c r="K101" s="86">
        <f>LOOKUP(B101,'Company Database'!C$9:C$1248,'Company Database'!J$9:J$1248)</f>
        <v>30.44</v>
      </c>
    </row>
    <row r="102" spans="1:11" x14ac:dyDescent="0.2">
      <c r="A102">
        <v>88</v>
      </c>
      <c r="B102" s="146" t="s">
        <v>5345</v>
      </c>
      <c r="C102" s="1" t="e">
        <f>LOOKUP(B102,'Company Database'!C$9:C$1248,'Company Database'!#REF!)</f>
        <v>#REF!</v>
      </c>
      <c r="D102" s="1">
        <f>VALUE(LOOKUP(B102,'Company Database'!C$9:C$1248,'Company Database'!D$9:D$1248))</f>
        <v>0</v>
      </c>
      <c r="E102" s="1">
        <f>VALUE(LOOKUP(B102,'Company Database'!C$9:C$1248,'Company Database'!E$9:E$1248))</f>
        <v>0</v>
      </c>
      <c r="F102" s="1">
        <f>VALUE(LOOKUP(B102,'Company Database'!C$9:C$1248,'Company Database'!F$9:F$1248))</f>
        <v>0</v>
      </c>
      <c r="G102" s="115">
        <f t="shared" si="1"/>
        <v>0</v>
      </c>
      <c r="H102" s="170">
        <f>VALUE(LOOKUP(B102,'Company Database'!C$9:C$1248,'Company Database'!G$9:G$1248))</f>
        <v>53.5</v>
      </c>
      <c r="I102" s="86">
        <f>LOOKUP(B102,'Company Database'!C$9:C$1248,'Company Database'!H$9:H$1248)</f>
        <v>0</v>
      </c>
      <c r="J102" s="86">
        <f>LOOKUP(B102,'Company Database'!C$9:C$1248,'Company Database'!I$9:I$1248)</f>
        <v>5.54</v>
      </c>
      <c r="K102" s="86">
        <f>LOOKUP(B102,'Company Database'!C$9:C$1248,'Company Database'!J$9:J$1248)</f>
        <v>8.18</v>
      </c>
    </row>
    <row r="103" spans="1:11" x14ac:dyDescent="0.2">
      <c r="A103">
        <v>89</v>
      </c>
      <c r="B103" s="146" t="s">
        <v>3682</v>
      </c>
      <c r="C103" s="1" t="e">
        <f>LOOKUP(B103,'Company Database'!C$9:C$1248,'Company Database'!#REF!)</f>
        <v>#REF!</v>
      </c>
      <c r="D103" s="1">
        <f>VALUE(LOOKUP(B103,'Company Database'!C$9:C$1248,'Company Database'!D$9:D$1248))</f>
        <v>27.32</v>
      </c>
      <c r="E103" s="1">
        <f>VALUE(LOOKUP(B103,'Company Database'!C$9:C$1248,'Company Database'!E$9:E$1248))</f>
        <v>34.4</v>
      </c>
      <c r="F103" s="1">
        <f>VALUE(LOOKUP(B103,'Company Database'!C$9:C$1248,'Company Database'!F$9:F$1248))</f>
        <v>38.049999999999997</v>
      </c>
      <c r="G103" s="115">
        <f t="shared" si="1"/>
        <v>38.049999999999997</v>
      </c>
      <c r="H103" s="170">
        <f>VALUE(LOOKUP(B103,'Company Database'!C$9:C$1248,'Company Database'!G$9:G$1248))</f>
        <v>416.4</v>
      </c>
      <c r="I103" s="86">
        <f>LOOKUP(B103,'Company Database'!C$9:C$1248,'Company Database'!H$9:H$1248)</f>
        <v>0.66</v>
      </c>
      <c r="J103" s="86">
        <f>LOOKUP(B103,'Company Database'!C$9:C$1248,'Company Database'!I$9:I$1248)</f>
        <v>17.5</v>
      </c>
      <c r="K103" s="86">
        <f>LOOKUP(B103,'Company Database'!C$9:C$1248,'Company Database'!J$9:J$1248)</f>
        <v>18</v>
      </c>
    </row>
    <row r="104" spans="1:11" x14ac:dyDescent="0.2">
      <c r="A104">
        <v>90</v>
      </c>
      <c r="B104" s="146" t="s">
        <v>3684</v>
      </c>
      <c r="C104" s="1" t="e">
        <f>LOOKUP(B104,'Company Database'!C$9:C$1248,'Company Database'!#REF!)</f>
        <v>#REF!</v>
      </c>
      <c r="D104" s="1">
        <f>VALUE(LOOKUP(B104,'Company Database'!C$9:C$1248,'Company Database'!D$9:D$1248))</f>
        <v>28.06</v>
      </c>
      <c r="E104" s="1">
        <f>VALUE(LOOKUP(B104,'Company Database'!C$9:C$1248,'Company Database'!E$9:E$1248))</f>
        <v>89.08</v>
      </c>
      <c r="F104" s="1">
        <f>VALUE(LOOKUP(B104,'Company Database'!C$9:C$1248,'Company Database'!F$9:F$1248))</f>
        <v>110.65</v>
      </c>
      <c r="G104" s="115">
        <f t="shared" si="1"/>
        <v>110.65</v>
      </c>
      <c r="H104" s="170">
        <f>VALUE(LOOKUP(B104,'Company Database'!C$9:C$1248,'Company Database'!G$9:G$1248))</f>
        <v>1309.05</v>
      </c>
      <c r="I104" s="86">
        <f>LOOKUP(B104,'Company Database'!C$9:C$1248,'Company Database'!H$9:H$1248)</f>
        <v>0.84</v>
      </c>
      <c r="J104" s="86">
        <f>LOOKUP(B104,'Company Database'!C$9:C$1248,'Company Database'!I$9:I$1248)</f>
        <v>12.61</v>
      </c>
      <c r="K104" s="86">
        <f>LOOKUP(B104,'Company Database'!C$9:C$1248,'Company Database'!J$9:J$1248)</f>
        <v>46.8</v>
      </c>
    </row>
    <row r="105" spans="1:11" x14ac:dyDescent="0.2">
      <c r="A105">
        <v>91</v>
      </c>
      <c r="B105" s="146" t="s">
        <v>2557</v>
      </c>
      <c r="C105" s="1" t="e">
        <f>LOOKUP(B105,'Company Database'!C$9:C$1248,'Company Database'!#REF!)</f>
        <v>#REF!</v>
      </c>
      <c r="D105" s="1">
        <f>VALUE(LOOKUP(B105,'Company Database'!C$9:C$1248,'Company Database'!D$9:D$1248))</f>
        <v>0</v>
      </c>
      <c r="E105" s="1">
        <f>VALUE(LOOKUP(B105,'Company Database'!C$9:C$1248,'Company Database'!E$9:E$1248))</f>
        <v>8.43</v>
      </c>
      <c r="F105" s="1">
        <f>VALUE(LOOKUP(B105,'Company Database'!C$9:C$1248,'Company Database'!F$9:F$1248))</f>
        <v>11.43</v>
      </c>
      <c r="G105" s="115">
        <f t="shared" si="1"/>
        <v>11.43</v>
      </c>
      <c r="H105" s="170">
        <f>VALUE(LOOKUP(B105,'Company Database'!C$9:C$1248,'Company Database'!G$9:G$1248))</f>
        <v>221.75</v>
      </c>
      <c r="I105" s="86">
        <f>LOOKUP(B105,'Company Database'!C$9:C$1248,'Company Database'!H$9:H$1248)</f>
        <v>0</v>
      </c>
      <c r="J105" s="86">
        <f>LOOKUP(B105,'Company Database'!C$9:C$1248,'Company Database'!I$9:I$1248)</f>
        <v>17.89</v>
      </c>
      <c r="K105" s="86">
        <f>LOOKUP(B105,'Company Database'!C$9:C$1248,'Company Database'!J$9:J$1248)</f>
        <v>48.42</v>
      </c>
    </row>
    <row r="106" spans="1:11" x14ac:dyDescent="0.2">
      <c r="A106">
        <v>92</v>
      </c>
      <c r="B106" s="146" t="s">
        <v>2558</v>
      </c>
      <c r="C106" s="1" t="e">
        <f>LOOKUP(B106,'Company Database'!C$9:C$1248,'Company Database'!#REF!)</f>
        <v>#REF!</v>
      </c>
      <c r="D106" s="1">
        <f>VALUE(LOOKUP(B106,'Company Database'!C$9:C$1248,'Company Database'!D$9:D$1248))</f>
        <v>0</v>
      </c>
      <c r="E106" s="1">
        <f>VALUE(LOOKUP(B106,'Company Database'!C$9:C$1248,'Company Database'!E$9:E$1248))</f>
        <v>30.05</v>
      </c>
      <c r="F106" s="1">
        <f>VALUE(LOOKUP(B106,'Company Database'!C$9:C$1248,'Company Database'!F$9:F$1248))</f>
        <v>36.049999999999997</v>
      </c>
      <c r="G106" s="115">
        <f t="shared" si="1"/>
        <v>36.049999999999997</v>
      </c>
      <c r="H106" s="170">
        <f>VALUE(LOOKUP(B106,'Company Database'!C$9:C$1248,'Company Database'!G$9:G$1248))</f>
        <v>223.5</v>
      </c>
      <c r="I106" s="86">
        <f>LOOKUP(B106,'Company Database'!C$9:C$1248,'Company Database'!H$9:H$1248)</f>
        <v>0</v>
      </c>
      <c r="J106" s="86">
        <f>LOOKUP(B106,'Company Database'!C$9:C$1248,'Company Database'!I$9:I$1248)</f>
        <v>9.34</v>
      </c>
      <c r="K106" s="86">
        <f>LOOKUP(B106,'Company Database'!C$9:C$1248,'Company Database'!J$9:J$1248)</f>
        <v>9.9</v>
      </c>
    </row>
    <row r="107" spans="1:11" x14ac:dyDescent="0.2">
      <c r="A107">
        <v>93</v>
      </c>
      <c r="B107" s="146" t="s">
        <v>3687</v>
      </c>
      <c r="C107" s="1" t="e">
        <f>LOOKUP(B107,'Company Database'!C$9:C$1248,'Company Database'!#REF!)</f>
        <v>#REF!</v>
      </c>
      <c r="D107" s="1">
        <f>VALUE(LOOKUP(B107,'Company Database'!C$9:C$1248,'Company Database'!D$9:D$1248))</f>
        <v>0</v>
      </c>
      <c r="E107" s="1">
        <f>VALUE(LOOKUP(B107,'Company Database'!C$9:C$1248,'Company Database'!E$9:E$1248))</f>
        <v>34.4</v>
      </c>
      <c r="F107" s="1">
        <f>VALUE(LOOKUP(B107,'Company Database'!C$9:C$1248,'Company Database'!F$9:F$1248))</f>
        <v>42.32</v>
      </c>
      <c r="G107" s="115">
        <f t="shared" si="1"/>
        <v>42.32</v>
      </c>
      <c r="H107" s="170">
        <f>VALUE(LOOKUP(B107,'Company Database'!C$9:C$1248,'Company Database'!G$9:G$1248))</f>
        <v>367.25</v>
      </c>
      <c r="I107" s="86">
        <f>LOOKUP(B107,'Company Database'!C$9:C$1248,'Company Database'!H$9:H$1248)</f>
        <v>0</v>
      </c>
      <c r="J107" s="86">
        <f>LOOKUP(B107,'Company Database'!C$9:C$1248,'Company Database'!I$9:I$1248)</f>
        <v>12.71</v>
      </c>
      <c r="K107" s="86">
        <f>LOOKUP(B107,'Company Database'!C$9:C$1248,'Company Database'!J$9:J$1248)</f>
        <v>10.52</v>
      </c>
    </row>
    <row r="108" spans="1:11" x14ac:dyDescent="0.2">
      <c r="A108">
        <v>94</v>
      </c>
      <c r="B108" s="146" t="s">
        <v>1162</v>
      </c>
      <c r="C108" s="1" t="e">
        <f>LOOKUP(B108,'Company Database'!C$9:C$1248,'Company Database'!#REF!)</f>
        <v>#REF!</v>
      </c>
      <c r="D108" s="1">
        <f>VALUE(LOOKUP(B108,'Company Database'!C$9:C$1248,'Company Database'!D$9:D$1248))</f>
        <v>0</v>
      </c>
      <c r="E108" s="1">
        <f>VALUE(LOOKUP(B108,'Company Database'!C$9:C$1248,'Company Database'!E$9:E$1248))</f>
        <v>7.7</v>
      </c>
      <c r="F108" s="1">
        <f>VALUE(LOOKUP(B108,'Company Database'!C$9:C$1248,'Company Database'!F$9:F$1248))</f>
        <v>9.1</v>
      </c>
      <c r="G108" s="115">
        <f t="shared" si="1"/>
        <v>9.1</v>
      </c>
      <c r="H108" s="170">
        <f>VALUE(LOOKUP(B108,'Company Database'!C$9:C$1248,'Company Database'!G$9:G$1248))</f>
        <v>69.400000000000006</v>
      </c>
      <c r="I108" s="86">
        <f>LOOKUP(B108,'Company Database'!C$9:C$1248,'Company Database'!H$9:H$1248)</f>
        <v>2.16</v>
      </c>
      <c r="J108" s="86">
        <f>LOOKUP(B108,'Company Database'!C$9:C$1248,'Company Database'!I$9:I$1248)</f>
        <v>17.170000000000002</v>
      </c>
      <c r="K108" s="86">
        <f>LOOKUP(B108,'Company Database'!C$9:C$1248,'Company Database'!J$9:J$1248)</f>
        <v>9.73</v>
      </c>
    </row>
    <row r="109" spans="1:11" x14ac:dyDescent="0.2">
      <c r="A109">
        <v>95</v>
      </c>
      <c r="B109" s="146" t="s">
        <v>1163</v>
      </c>
      <c r="C109" s="1" t="e">
        <f>LOOKUP(B109,'Company Database'!C$9:C$1248,'Company Database'!#REF!)</f>
        <v>#REF!</v>
      </c>
      <c r="D109" s="1">
        <f>VALUE(LOOKUP(B109,'Company Database'!C$9:C$1248,'Company Database'!D$9:D$1248))</f>
        <v>5.85</v>
      </c>
      <c r="E109" s="1">
        <f>VALUE(LOOKUP(B109,'Company Database'!C$9:C$1248,'Company Database'!E$9:E$1248))</f>
        <v>-6.7</v>
      </c>
      <c r="F109" s="1">
        <f>VALUE(LOOKUP(B109,'Company Database'!C$9:C$1248,'Company Database'!F$9:F$1248))</f>
        <v>6.1</v>
      </c>
      <c r="G109" s="115">
        <f t="shared" si="1"/>
        <v>44.250000000000021</v>
      </c>
      <c r="H109" s="170">
        <f>VALUE(LOOKUP(B109,'Company Database'!C$9:C$1248,'Company Database'!G$9:G$1248))</f>
        <v>61.5</v>
      </c>
      <c r="I109" s="86">
        <f>LOOKUP(B109,'Company Database'!C$9:C$1248,'Company Database'!H$9:H$1248)</f>
        <v>2.2799999999999998</v>
      </c>
      <c r="J109" s="86">
        <f>LOOKUP(B109,'Company Database'!C$9:C$1248,'Company Database'!I$9:I$1248)</f>
        <v>1.6</v>
      </c>
      <c r="K109" s="86">
        <f>LOOKUP(B109,'Company Database'!C$9:C$1248,'Company Database'!J$9:J$1248)</f>
        <v>2.99</v>
      </c>
    </row>
    <row r="110" spans="1:11" x14ac:dyDescent="0.2">
      <c r="A110">
        <v>96</v>
      </c>
      <c r="B110" s="146" t="s">
        <v>1164</v>
      </c>
      <c r="C110" s="1" t="e">
        <f>LOOKUP(B110,'Company Database'!C$9:C$1248,'Company Database'!#REF!)</f>
        <v>#REF!</v>
      </c>
      <c r="D110" s="1">
        <f>VALUE(LOOKUP(B110,'Company Database'!C$9:C$1248,'Company Database'!D$9:D$1248))</f>
        <v>13.07</v>
      </c>
      <c r="E110" s="1">
        <f>VALUE(LOOKUP(B110,'Company Database'!C$9:C$1248,'Company Database'!E$9:E$1248))</f>
        <v>14.5</v>
      </c>
      <c r="F110" s="1">
        <f>VALUE(LOOKUP(B110,'Company Database'!C$9:C$1248,'Company Database'!F$9:F$1248))</f>
        <v>16.95</v>
      </c>
      <c r="G110" s="115">
        <f t="shared" si="1"/>
        <v>20.419999999999995</v>
      </c>
      <c r="H110" s="170">
        <f>VALUE(LOOKUP(B110,'Company Database'!C$9:C$1248,'Company Database'!G$9:G$1248))</f>
        <v>276.3</v>
      </c>
      <c r="I110" s="86">
        <f>LOOKUP(B110,'Company Database'!C$9:C$1248,'Company Database'!H$9:H$1248)</f>
        <v>19.21</v>
      </c>
      <c r="J110" s="86">
        <f>LOOKUP(B110,'Company Database'!C$9:C$1248,'Company Database'!I$9:I$1248)</f>
        <v>38.9</v>
      </c>
      <c r="K110" s="86">
        <f>LOOKUP(B110,'Company Database'!C$9:C$1248,'Company Database'!J$9:J$1248)</f>
        <v>21.34</v>
      </c>
    </row>
    <row r="111" spans="1:11" x14ac:dyDescent="0.2">
      <c r="A111">
        <v>97</v>
      </c>
      <c r="B111" s="146" t="s">
        <v>3810</v>
      </c>
      <c r="C111" s="1" t="e">
        <f>LOOKUP(B111,'Company Database'!C$9:C$1248,'Company Database'!#REF!)</f>
        <v>#REF!</v>
      </c>
      <c r="D111" s="1">
        <f>VALUE(LOOKUP(B111,'Company Database'!C$9:C$1248,'Company Database'!D$9:D$1248))</f>
        <v>-3.21</v>
      </c>
      <c r="E111" s="1">
        <f>VALUE(LOOKUP(B111,'Company Database'!C$9:C$1248,'Company Database'!E$9:E$1248))</f>
        <v>6.15</v>
      </c>
      <c r="F111" s="1">
        <f>VALUE(LOOKUP(B111,'Company Database'!C$9:C$1248,'Company Database'!F$9:F$1248))</f>
        <v>10.75</v>
      </c>
      <c r="G111" s="115">
        <f t="shared" si="1"/>
        <v>10.75</v>
      </c>
      <c r="H111" s="170">
        <f>VALUE(LOOKUP(B111,'Company Database'!C$9:C$1248,'Company Database'!G$9:G$1248))</f>
        <v>242.65</v>
      </c>
      <c r="I111" s="86">
        <f>LOOKUP(B111,'Company Database'!C$9:C$1248,'Company Database'!H$9:H$1248)</f>
        <v>0</v>
      </c>
      <c r="J111" s="86">
        <f>LOOKUP(B111,'Company Database'!C$9:C$1248,'Company Database'!I$9:I$1248)</f>
        <v>5.48</v>
      </c>
      <c r="K111" s="86">
        <f>LOOKUP(B111,'Company Database'!C$9:C$1248,'Company Database'!J$9:J$1248)</f>
        <v>64.61</v>
      </c>
    </row>
    <row r="112" spans="1:11" x14ac:dyDescent="0.2">
      <c r="A112">
        <v>98</v>
      </c>
      <c r="B112" s="146" t="s">
        <v>103</v>
      </c>
      <c r="C112" s="1" t="e">
        <f>LOOKUP(B112,'Company Database'!C$9:C$1248,'Company Database'!#REF!)</f>
        <v>#REF!</v>
      </c>
      <c r="D112" s="1">
        <f>VALUE(LOOKUP(B112,'Company Database'!C$9:C$1248,'Company Database'!D$9:D$1248))</f>
        <v>38.299999999999997</v>
      </c>
      <c r="E112" s="1">
        <f>VALUE(LOOKUP(B112,'Company Database'!C$9:C$1248,'Company Database'!E$9:E$1248))</f>
        <v>53.3</v>
      </c>
      <c r="F112" s="1">
        <f>VALUE(LOOKUP(B112,'Company Database'!C$9:C$1248,'Company Database'!F$9:F$1248))</f>
        <v>0</v>
      </c>
      <c r="G112" s="115">
        <f t="shared" si="1"/>
        <v>0</v>
      </c>
      <c r="H112" s="170">
        <f>VALUE(LOOKUP(B112,'Company Database'!C$9:C$1248,'Company Database'!G$9:G$1248))</f>
        <v>480.55</v>
      </c>
      <c r="I112" s="86">
        <f>LOOKUP(B112,'Company Database'!C$9:C$1248,'Company Database'!H$9:H$1248)</f>
        <v>4.1500000000000004</v>
      </c>
      <c r="J112" s="86">
        <f>LOOKUP(B112,'Company Database'!C$9:C$1248,'Company Database'!I$9:I$1248)</f>
        <v>29.79</v>
      </c>
      <c r="K112" s="86">
        <f>LOOKUP(B112,'Company Database'!C$9:C$1248,'Company Database'!J$9:J$1248)</f>
        <v>12.58</v>
      </c>
    </row>
    <row r="113" spans="1:11" x14ac:dyDescent="0.2">
      <c r="A113">
        <v>99</v>
      </c>
      <c r="B113" s="146" t="s">
        <v>1165</v>
      </c>
      <c r="C113" s="1" t="e">
        <f>LOOKUP(B113,'Company Database'!C$9:C$1248,'Company Database'!#REF!)</f>
        <v>#REF!</v>
      </c>
      <c r="D113" s="1">
        <f>VALUE(LOOKUP(B113,'Company Database'!C$9:C$1248,'Company Database'!D$9:D$1248))</f>
        <v>0</v>
      </c>
      <c r="E113" s="1">
        <f>VALUE(LOOKUP(B113,'Company Database'!C$9:C$1248,'Company Database'!E$9:E$1248))</f>
        <v>3.6</v>
      </c>
      <c r="F113" s="1">
        <f>VALUE(LOOKUP(B113,'Company Database'!C$9:C$1248,'Company Database'!F$9:F$1248))</f>
        <v>6.9</v>
      </c>
      <c r="G113" s="115">
        <f t="shared" si="1"/>
        <v>9.9</v>
      </c>
      <c r="H113" s="170">
        <f>VALUE(LOOKUP(B113,'Company Database'!C$9:C$1248,'Company Database'!G$9:G$1248))</f>
        <v>43.85</v>
      </c>
      <c r="I113" s="86">
        <f>LOOKUP(B113,'Company Database'!C$9:C$1248,'Company Database'!H$9:H$1248)</f>
        <v>0</v>
      </c>
      <c r="J113" s="86">
        <f>LOOKUP(B113,'Company Database'!C$9:C$1248,'Company Database'!I$9:I$1248)</f>
        <v>7.84</v>
      </c>
      <c r="K113" s="86">
        <f>LOOKUP(B113,'Company Database'!C$9:C$1248,'Company Database'!J$9:J$1248)</f>
        <v>15.28</v>
      </c>
    </row>
    <row r="114" spans="1:11" x14ac:dyDescent="0.2">
      <c r="A114">
        <v>100</v>
      </c>
      <c r="B114" s="146" t="s">
        <v>1166</v>
      </c>
      <c r="C114" s="1" t="e">
        <f>LOOKUP(B114,'Company Database'!C$9:C$1248,'Company Database'!#REF!)</f>
        <v>#REF!</v>
      </c>
      <c r="D114" s="1">
        <f>VALUE(LOOKUP(B114,'Company Database'!C$9:C$1248,'Company Database'!D$9:D$1248))</f>
        <v>4.0999999999999996</v>
      </c>
      <c r="E114" s="1">
        <f>VALUE(LOOKUP(B114,'Company Database'!C$9:C$1248,'Company Database'!E$9:E$1248))</f>
        <v>5.2</v>
      </c>
      <c r="F114" s="1">
        <f>VALUE(LOOKUP(B114,'Company Database'!C$9:C$1248,'Company Database'!F$9:F$1248))</f>
        <v>8.3000000000000007</v>
      </c>
      <c r="G114" s="115">
        <f t="shared" si="1"/>
        <v>13.400000000000004</v>
      </c>
      <c r="H114" s="170">
        <f>VALUE(LOOKUP(B114,'Company Database'!C$9:C$1248,'Company Database'!G$9:G$1248))</f>
        <v>81.900000000000006</v>
      </c>
      <c r="I114" s="86">
        <f>LOOKUP(B114,'Company Database'!C$9:C$1248,'Company Database'!H$9:H$1248)</f>
        <v>1.47</v>
      </c>
      <c r="J114" s="86">
        <f>LOOKUP(B114,'Company Database'!C$9:C$1248,'Company Database'!I$9:I$1248)</f>
        <v>-0.75</v>
      </c>
      <c r="K114" s="86">
        <f>LOOKUP(B114,'Company Database'!C$9:C$1248,'Company Database'!J$9:J$1248)</f>
        <v>21.64</v>
      </c>
    </row>
    <row r="115" spans="1:11" x14ac:dyDescent="0.2">
      <c r="A115">
        <v>101</v>
      </c>
      <c r="B115" s="146" t="s">
        <v>4004</v>
      </c>
      <c r="C115" s="1" t="e">
        <f>LOOKUP(B115,'Company Database'!C$9:C$1248,'Company Database'!#REF!)</f>
        <v>#REF!</v>
      </c>
      <c r="D115" s="1">
        <f>VALUE(LOOKUP(B115,'Company Database'!C$9:C$1248,'Company Database'!D$9:D$1248))</f>
        <v>6.69</v>
      </c>
      <c r="E115" s="1">
        <f>VALUE(LOOKUP(B115,'Company Database'!C$9:C$1248,'Company Database'!E$9:E$1248))</f>
        <v>7.1</v>
      </c>
      <c r="F115" s="1">
        <f>VALUE(LOOKUP(B115,'Company Database'!C$9:C$1248,'Company Database'!F$9:F$1248))</f>
        <v>8.6199999999999992</v>
      </c>
      <c r="G115" s="115">
        <f t="shared" si="1"/>
        <v>11.25</v>
      </c>
      <c r="H115" s="170">
        <f>VALUE(LOOKUP(B115,'Company Database'!C$9:C$1248,'Company Database'!G$9:G$1248))</f>
        <v>158.80000000000001</v>
      </c>
      <c r="I115" s="86">
        <f>LOOKUP(B115,'Company Database'!C$9:C$1248,'Company Database'!H$9:H$1248)</f>
        <v>0</v>
      </c>
      <c r="J115" s="86">
        <f>LOOKUP(B115,'Company Database'!C$9:C$1248,'Company Database'!I$9:I$1248)</f>
        <v>24.7</v>
      </c>
      <c r="K115" s="86">
        <f>LOOKUP(B115,'Company Database'!C$9:C$1248,'Company Database'!J$9:J$1248)</f>
        <v>20.28</v>
      </c>
    </row>
    <row r="116" spans="1:11" x14ac:dyDescent="0.2">
      <c r="A116">
        <v>102</v>
      </c>
      <c r="B116" s="146" t="s">
        <v>2288</v>
      </c>
      <c r="C116" s="1" t="e">
        <f>LOOKUP(B116,'Company Database'!C$9:C$1248,'Company Database'!#REF!)</f>
        <v>#REF!</v>
      </c>
      <c r="D116" s="1">
        <f>VALUE(LOOKUP(B116,'Company Database'!C$9:C$1248,'Company Database'!D$9:D$1248))</f>
        <v>27.16</v>
      </c>
      <c r="E116" s="1">
        <f>VALUE(LOOKUP(B116,'Company Database'!C$9:C$1248,'Company Database'!E$9:E$1248))</f>
        <v>33.51</v>
      </c>
      <c r="F116" s="1">
        <f>VALUE(LOOKUP(B116,'Company Database'!C$9:C$1248,'Company Database'!F$9:F$1248))</f>
        <v>44.8</v>
      </c>
      <c r="G116" s="115">
        <f t="shared" si="1"/>
        <v>61.030000000000008</v>
      </c>
      <c r="H116" s="170">
        <f>VALUE(LOOKUP(B116,'Company Database'!C$9:C$1248,'Company Database'!G$9:G$1248))</f>
        <v>432.65</v>
      </c>
      <c r="I116" s="86">
        <f>LOOKUP(B116,'Company Database'!C$9:C$1248,'Company Database'!H$9:H$1248)</f>
        <v>0</v>
      </c>
      <c r="J116" s="86">
        <f>LOOKUP(B116,'Company Database'!C$9:C$1248,'Company Database'!I$9:I$1248)</f>
        <v>0</v>
      </c>
      <c r="K116" s="86">
        <f>LOOKUP(B116,'Company Database'!C$9:C$1248,'Company Database'!J$9:J$1248)</f>
        <v>0</v>
      </c>
    </row>
    <row r="117" spans="1:11" x14ac:dyDescent="0.2">
      <c r="A117">
        <v>103</v>
      </c>
      <c r="B117" s="146" t="s">
        <v>2289</v>
      </c>
      <c r="C117" s="1" t="e">
        <f>LOOKUP(B117,'Company Database'!C$9:C$1248,'Company Database'!#REF!)</f>
        <v>#REF!</v>
      </c>
      <c r="D117" s="1">
        <f>VALUE(LOOKUP(B117,'Company Database'!C$9:C$1248,'Company Database'!D$9:D$1248))</f>
        <v>8.74</v>
      </c>
      <c r="E117" s="1">
        <f>VALUE(LOOKUP(B117,'Company Database'!C$9:C$1248,'Company Database'!E$9:E$1248))</f>
        <v>5.7</v>
      </c>
      <c r="F117" s="1">
        <f>VALUE(LOOKUP(B117,'Company Database'!C$9:C$1248,'Company Database'!F$9:F$1248))</f>
        <v>8.1999999999999993</v>
      </c>
      <c r="G117" s="115">
        <f t="shared" si="1"/>
        <v>16.240000000000009</v>
      </c>
      <c r="H117" s="170">
        <f>VALUE(LOOKUP(B117,'Company Database'!C$9:C$1248,'Company Database'!G$9:G$1248))</f>
        <v>48.1</v>
      </c>
      <c r="I117" s="86">
        <f>LOOKUP(B117,'Company Database'!C$9:C$1248,'Company Database'!H$9:H$1248)</f>
        <v>0</v>
      </c>
      <c r="J117" s="86">
        <f>LOOKUP(B117,'Company Database'!C$9:C$1248,'Company Database'!I$9:I$1248)</f>
        <v>19.920000000000002</v>
      </c>
      <c r="K117" s="86">
        <f>LOOKUP(B117,'Company Database'!C$9:C$1248,'Company Database'!J$9:J$1248)</f>
        <v>8.49</v>
      </c>
    </row>
    <row r="118" spans="1:11" x14ac:dyDescent="0.2">
      <c r="A118">
        <v>104</v>
      </c>
      <c r="B118" s="146" t="s">
        <v>2935</v>
      </c>
      <c r="C118" s="1" t="e">
        <f>LOOKUP(B118,'Company Database'!C$9:C$1248,'Company Database'!#REF!)</f>
        <v>#REF!</v>
      </c>
      <c r="D118" s="1">
        <f>VALUE(LOOKUP(B118,'Company Database'!C$9:C$1248,'Company Database'!D$9:D$1248))</f>
        <v>10.67</v>
      </c>
      <c r="E118" s="1">
        <f>VALUE(LOOKUP(B118,'Company Database'!C$9:C$1248,'Company Database'!E$9:E$1248))</f>
        <v>7.15</v>
      </c>
      <c r="F118" s="1">
        <f>VALUE(LOOKUP(B118,'Company Database'!C$9:C$1248,'Company Database'!F$9:F$1248))</f>
        <v>9.75</v>
      </c>
      <c r="G118" s="115">
        <f t="shared" si="1"/>
        <v>18.470000000000006</v>
      </c>
      <c r="H118" s="170">
        <f>VALUE(LOOKUP(B118,'Company Database'!C$9:C$1248,'Company Database'!G$9:G$1248))</f>
        <v>83.6</v>
      </c>
      <c r="I118" s="86">
        <f>LOOKUP(B118,'Company Database'!C$9:C$1248,'Company Database'!H$9:H$1248)</f>
        <v>0</v>
      </c>
      <c r="J118" s="86">
        <f>LOOKUP(B118,'Company Database'!C$9:C$1248,'Company Database'!I$9:I$1248)</f>
        <v>33.42</v>
      </c>
      <c r="K118" s="86">
        <f>LOOKUP(B118,'Company Database'!C$9:C$1248,'Company Database'!J$9:J$1248)</f>
        <v>13.62</v>
      </c>
    </row>
    <row r="119" spans="1:11" x14ac:dyDescent="0.2">
      <c r="A119">
        <v>105</v>
      </c>
      <c r="B119" s="146" t="s">
        <v>2936</v>
      </c>
      <c r="C119" s="1" t="e">
        <f>LOOKUP(B119,'Company Database'!C$9:C$1248,'Company Database'!#REF!)</f>
        <v>#REF!</v>
      </c>
      <c r="D119" s="1">
        <f>VALUE(LOOKUP(B119,'Company Database'!C$9:C$1248,'Company Database'!D$9:D$1248))</f>
        <v>26.89</v>
      </c>
      <c r="E119" s="1">
        <f>VALUE(LOOKUP(B119,'Company Database'!C$9:C$1248,'Company Database'!E$9:E$1248))</f>
        <v>29.63</v>
      </c>
      <c r="F119" s="1">
        <f>VALUE(LOOKUP(B119,'Company Database'!C$9:C$1248,'Company Database'!F$9:F$1248))</f>
        <v>33.82</v>
      </c>
      <c r="G119" s="115">
        <f t="shared" si="1"/>
        <v>39.460000000000008</v>
      </c>
      <c r="H119" s="170">
        <f>VALUE(LOOKUP(B119,'Company Database'!C$9:C$1248,'Company Database'!G$9:G$1248))</f>
        <v>179.6</v>
      </c>
      <c r="I119" s="86">
        <f>LOOKUP(B119,'Company Database'!C$9:C$1248,'Company Database'!H$9:H$1248)</f>
        <v>0</v>
      </c>
      <c r="J119" s="86">
        <f>LOOKUP(B119,'Company Database'!C$9:C$1248,'Company Database'!I$9:I$1248)</f>
        <v>27.07</v>
      </c>
      <c r="K119" s="86">
        <f>LOOKUP(B119,'Company Database'!C$9:C$1248,'Company Database'!J$9:J$1248)</f>
        <v>8.66</v>
      </c>
    </row>
    <row r="120" spans="1:11" x14ac:dyDescent="0.2">
      <c r="A120">
        <v>106</v>
      </c>
      <c r="B120" s="146" t="s">
        <v>1859</v>
      </c>
      <c r="C120" s="1" t="e">
        <f>LOOKUP(B120,'Company Database'!C$9:C$1248,'Company Database'!#REF!)</f>
        <v>#REF!</v>
      </c>
      <c r="D120" s="1">
        <f>VALUE(LOOKUP(B120,'Company Database'!C$9:C$1248,'Company Database'!D$9:D$1248))</f>
        <v>0</v>
      </c>
      <c r="E120" s="1">
        <f>VALUE(LOOKUP(B120,'Company Database'!C$9:C$1248,'Company Database'!E$9:E$1248))</f>
        <v>4.3</v>
      </c>
      <c r="F120" s="1">
        <f>VALUE(LOOKUP(B120,'Company Database'!C$9:C$1248,'Company Database'!F$9:F$1248))</f>
        <v>5.66</v>
      </c>
      <c r="G120" s="115">
        <f t="shared" si="1"/>
        <v>5.66</v>
      </c>
      <c r="H120" s="170">
        <f>VALUE(LOOKUP(B120,'Company Database'!C$9:C$1248,'Company Database'!G$9:G$1248))</f>
        <v>46.1</v>
      </c>
      <c r="I120" s="86">
        <f>LOOKUP(B120,'Company Database'!C$9:C$1248,'Company Database'!H$9:H$1248)</f>
        <v>1.84</v>
      </c>
      <c r="J120" s="86">
        <f>LOOKUP(B120,'Company Database'!C$9:C$1248,'Company Database'!I$9:I$1248)</f>
        <v>17.45</v>
      </c>
      <c r="K120" s="86">
        <f>LOOKUP(B120,'Company Database'!C$9:C$1248,'Company Database'!J$9:J$1248)</f>
        <v>13.79</v>
      </c>
    </row>
    <row r="121" spans="1:11" x14ac:dyDescent="0.2">
      <c r="A121">
        <v>107</v>
      </c>
      <c r="B121" s="146" t="s">
        <v>2321</v>
      </c>
      <c r="C121" s="1" t="e">
        <f>LOOKUP(B121,'Company Database'!C$9:C$1248,'Company Database'!#REF!)</f>
        <v>#REF!</v>
      </c>
      <c r="D121" s="1">
        <f>VALUE(LOOKUP(B121,'Company Database'!C$9:C$1248,'Company Database'!D$9:D$1248))</f>
        <v>24.75</v>
      </c>
      <c r="E121" s="1">
        <f>VALUE(LOOKUP(B121,'Company Database'!C$9:C$1248,'Company Database'!E$9:E$1248))</f>
        <v>28.99</v>
      </c>
      <c r="F121" s="1">
        <f>VALUE(LOOKUP(B121,'Company Database'!C$9:C$1248,'Company Database'!F$9:F$1248))</f>
        <v>33.4</v>
      </c>
      <c r="G121" s="115">
        <f t="shared" si="1"/>
        <v>37.979999999999997</v>
      </c>
      <c r="H121" s="170">
        <f>VALUE(LOOKUP(B121,'Company Database'!C$9:C$1248,'Company Database'!G$9:G$1248))</f>
        <v>426.2</v>
      </c>
      <c r="I121" s="86">
        <f>LOOKUP(B121,'Company Database'!C$9:C$1248,'Company Database'!H$9:H$1248)</f>
        <v>0</v>
      </c>
      <c r="J121" s="86">
        <f>LOOKUP(B121,'Company Database'!C$9:C$1248,'Company Database'!I$9:I$1248)</f>
        <v>0</v>
      </c>
      <c r="K121" s="86">
        <f>LOOKUP(B121,'Company Database'!C$9:C$1248,'Company Database'!J$9:J$1248)</f>
        <v>0</v>
      </c>
    </row>
    <row r="122" spans="1:11" x14ac:dyDescent="0.2">
      <c r="A122">
        <v>108</v>
      </c>
      <c r="B122" s="146" t="s">
        <v>1862</v>
      </c>
      <c r="C122" s="1" t="e">
        <f>LOOKUP(B122,'Company Database'!C$9:C$1248,'Company Database'!#REF!)</f>
        <v>#REF!</v>
      </c>
      <c r="D122" s="1">
        <f>VALUE(LOOKUP(B122,'Company Database'!C$9:C$1248,'Company Database'!D$9:D$1248))</f>
        <v>11.91</v>
      </c>
      <c r="E122" s="1">
        <f>VALUE(LOOKUP(B122,'Company Database'!C$9:C$1248,'Company Database'!E$9:E$1248))</f>
        <v>10.1</v>
      </c>
      <c r="F122" s="1">
        <f>VALUE(LOOKUP(B122,'Company Database'!C$9:C$1248,'Company Database'!F$9:F$1248))</f>
        <v>10</v>
      </c>
      <c r="G122" s="115">
        <f t="shared" si="1"/>
        <v>11.610000000000005</v>
      </c>
      <c r="H122" s="170">
        <f>VALUE(LOOKUP(B122,'Company Database'!C$9:C$1248,'Company Database'!G$9:G$1248))</f>
        <v>103.75</v>
      </c>
      <c r="I122" s="86">
        <f>LOOKUP(B122,'Company Database'!C$9:C$1248,'Company Database'!H$9:H$1248)</f>
        <v>0</v>
      </c>
      <c r="J122" s="86">
        <f>LOOKUP(B122,'Company Database'!C$9:C$1248,'Company Database'!I$9:I$1248)</f>
        <v>7.34</v>
      </c>
      <c r="K122" s="86">
        <f>LOOKUP(B122,'Company Database'!C$9:C$1248,'Company Database'!J$9:J$1248)</f>
        <v>11.2</v>
      </c>
    </row>
    <row r="123" spans="1:11" x14ac:dyDescent="0.2">
      <c r="A123">
        <v>109</v>
      </c>
      <c r="B123" s="146" t="s">
        <v>2937</v>
      </c>
      <c r="C123" s="1" t="e">
        <f>LOOKUP(B123,'Company Database'!C$9:C$1248,'Company Database'!#REF!)</f>
        <v>#REF!</v>
      </c>
      <c r="D123" s="1">
        <f>VALUE(LOOKUP(B123,'Company Database'!C$9:C$1248,'Company Database'!D$9:D$1248))</f>
        <v>7.34</v>
      </c>
      <c r="E123" s="1">
        <f>VALUE(LOOKUP(B123,'Company Database'!C$9:C$1248,'Company Database'!E$9:E$1248))</f>
        <v>8.0500000000000007</v>
      </c>
      <c r="F123" s="1">
        <f>VALUE(LOOKUP(B123,'Company Database'!C$9:C$1248,'Company Database'!F$9:F$1248))</f>
        <v>9.6</v>
      </c>
      <c r="G123" s="115">
        <f t="shared" si="1"/>
        <v>11.989999999999998</v>
      </c>
      <c r="H123" s="170">
        <f>VALUE(LOOKUP(B123,'Company Database'!C$9:C$1248,'Company Database'!G$9:G$1248))</f>
        <v>114.35</v>
      </c>
      <c r="I123" s="86">
        <f>LOOKUP(B123,'Company Database'!C$9:C$1248,'Company Database'!H$9:H$1248)</f>
        <v>0</v>
      </c>
      <c r="J123" s="86">
        <f>LOOKUP(B123,'Company Database'!C$9:C$1248,'Company Database'!I$9:I$1248)</f>
        <v>10.89</v>
      </c>
      <c r="K123" s="86">
        <f>LOOKUP(B123,'Company Database'!C$9:C$1248,'Company Database'!J$9:J$1248)</f>
        <v>14.46</v>
      </c>
    </row>
    <row r="124" spans="1:11" x14ac:dyDescent="0.2">
      <c r="A124">
        <v>110</v>
      </c>
      <c r="B124" s="146" t="s">
        <v>1864</v>
      </c>
      <c r="C124" s="1" t="e">
        <f>LOOKUP(B124,'Company Database'!C$9:C$1248,'Company Database'!#REF!)</f>
        <v>#REF!</v>
      </c>
      <c r="D124" s="1">
        <f>VALUE(LOOKUP(B124,'Company Database'!C$9:C$1248,'Company Database'!D$9:D$1248))</f>
        <v>8.0299999999999994</v>
      </c>
      <c r="E124" s="1">
        <f>VALUE(LOOKUP(B124,'Company Database'!C$9:C$1248,'Company Database'!E$9:E$1248))</f>
        <v>7.25</v>
      </c>
      <c r="F124" s="1">
        <f>VALUE(LOOKUP(B124,'Company Database'!C$9:C$1248,'Company Database'!F$9:F$1248))</f>
        <v>10.38</v>
      </c>
      <c r="G124" s="115">
        <f t="shared" si="1"/>
        <v>17.420000000000002</v>
      </c>
      <c r="H124" s="170">
        <f>VALUE(LOOKUP(B124,'Company Database'!C$9:C$1248,'Company Database'!G$9:G$1248))</f>
        <v>253.2</v>
      </c>
      <c r="I124" s="86">
        <f>LOOKUP(B124,'Company Database'!C$9:C$1248,'Company Database'!H$9:H$1248)</f>
        <v>0.71</v>
      </c>
      <c r="J124" s="86">
        <f>LOOKUP(B124,'Company Database'!C$9:C$1248,'Company Database'!I$9:I$1248)</f>
        <v>18.63</v>
      </c>
      <c r="K124" s="86">
        <f>LOOKUP(B124,'Company Database'!C$9:C$1248,'Company Database'!J$9:J$1248)</f>
        <v>32.43</v>
      </c>
    </row>
    <row r="125" spans="1:11" x14ac:dyDescent="0.2">
      <c r="A125">
        <v>111</v>
      </c>
      <c r="B125" s="146" t="s">
        <v>2938</v>
      </c>
      <c r="C125" s="1" t="e">
        <f>LOOKUP(B125,'Company Database'!C$9:C$1248,'Company Database'!#REF!)</f>
        <v>#REF!</v>
      </c>
      <c r="D125" s="1">
        <f>VALUE(LOOKUP(B125,'Company Database'!C$9:C$1248,'Company Database'!D$9:D$1248))</f>
        <v>0</v>
      </c>
      <c r="E125" s="1">
        <f>VALUE(LOOKUP(B125,'Company Database'!C$9:C$1248,'Company Database'!E$9:E$1248))</f>
        <v>3.55</v>
      </c>
      <c r="F125" s="1">
        <f>VALUE(LOOKUP(B125,'Company Database'!C$9:C$1248,'Company Database'!F$9:F$1248))</f>
        <v>4.25</v>
      </c>
      <c r="G125" s="115">
        <f t="shared" si="1"/>
        <v>4.25</v>
      </c>
      <c r="H125" s="170">
        <f>VALUE(LOOKUP(B125,'Company Database'!C$9:C$1248,'Company Database'!G$9:G$1248))</f>
        <v>14.5</v>
      </c>
      <c r="I125" s="86">
        <f>LOOKUP(B125,'Company Database'!C$9:C$1248,'Company Database'!H$9:H$1248)</f>
        <v>0</v>
      </c>
      <c r="J125" s="86">
        <f>LOOKUP(B125,'Company Database'!C$9:C$1248,'Company Database'!I$9:I$1248)</f>
        <v>16.66</v>
      </c>
      <c r="K125" s="86">
        <f>LOOKUP(B125,'Company Database'!C$9:C$1248,'Company Database'!J$9:J$1248)</f>
        <v>3.6</v>
      </c>
    </row>
    <row r="126" spans="1:11" x14ac:dyDescent="0.2">
      <c r="A126">
        <v>112</v>
      </c>
      <c r="B126" s="146" t="s">
        <v>1865</v>
      </c>
      <c r="C126" s="1" t="e">
        <f>LOOKUP(B126,'Company Database'!C$9:C$1248,'Company Database'!#REF!)</f>
        <v>#REF!</v>
      </c>
      <c r="D126" s="1">
        <f>VALUE(LOOKUP(B126,'Company Database'!C$9:C$1248,'Company Database'!D$9:D$1248))</f>
        <v>7.55</v>
      </c>
      <c r="E126" s="1">
        <f>VALUE(LOOKUP(B126,'Company Database'!C$9:C$1248,'Company Database'!E$9:E$1248))</f>
        <v>8.9499999999999993</v>
      </c>
      <c r="F126" s="1">
        <f>VALUE(LOOKUP(B126,'Company Database'!C$9:C$1248,'Company Database'!F$9:F$1248))</f>
        <v>9.1999999999999993</v>
      </c>
      <c r="G126" s="115">
        <f t="shared" si="1"/>
        <v>9.1999999999999993</v>
      </c>
      <c r="H126" s="170">
        <f>VALUE(LOOKUP(B126,'Company Database'!C$9:C$1248,'Company Database'!G$9:G$1248))</f>
        <v>58.45</v>
      </c>
      <c r="I126" s="86">
        <f>LOOKUP(B126,'Company Database'!C$9:C$1248,'Company Database'!H$9:H$1248)</f>
        <v>0</v>
      </c>
      <c r="J126" s="86">
        <f>LOOKUP(B126,'Company Database'!C$9:C$1248,'Company Database'!I$9:I$1248)</f>
        <v>11.94</v>
      </c>
      <c r="K126" s="86">
        <f>LOOKUP(B126,'Company Database'!C$9:C$1248,'Company Database'!J$9:J$1248)</f>
        <v>16.440000000000001</v>
      </c>
    </row>
    <row r="127" spans="1:11" x14ac:dyDescent="0.2">
      <c r="A127">
        <v>113</v>
      </c>
      <c r="B127" s="146" t="s">
        <v>2939</v>
      </c>
      <c r="C127" s="1" t="e">
        <f>LOOKUP(B127,'Company Database'!C$9:C$1248,'Company Database'!#REF!)</f>
        <v>#REF!</v>
      </c>
      <c r="D127" s="1">
        <f>VALUE(LOOKUP(B127,'Company Database'!C$9:C$1248,'Company Database'!D$9:D$1248))</f>
        <v>20</v>
      </c>
      <c r="E127" s="1">
        <f>VALUE(LOOKUP(B127,'Company Database'!C$9:C$1248,'Company Database'!E$9:E$1248))</f>
        <v>25.1</v>
      </c>
      <c r="F127" s="1">
        <f>VALUE(LOOKUP(B127,'Company Database'!C$9:C$1248,'Company Database'!F$9:F$1248))</f>
        <v>31.5</v>
      </c>
      <c r="G127" s="115">
        <f t="shared" si="1"/>
        <v>39.199999999999996</v>
      </c>
      <c r="H127" s="170">
        <f>VALUE(LOOKUP(B127,'Company Database'!C$9:C$1248,'Company Database'!G$9:G$1248))</f>
        <v>363</v>
      </c>
      <c r="I127" s="86">
        <f>LOOKUP(B127,'Company Database'!C$9:C$1248,'Company Database'!H$9:H$1248)</f>
        <v>0</v>
      </c>
      <c r="J127" s="86">
        <f>LOOKUP(B127,'Company Database'!C$9:C$1248,'Company Database'!I$9:I$1248)</f>
        <v>7.58</v>
      </c>
      <c r="K127" s="86">
        <f>LOOKUP(B127,'Company Database'!C$9:C$1248,'Company Database'!J$9:J$1248)</f>
        <v>14.23</v>
      </c>
    </row>
    <row r="128" spans="1:11" x14ac:dyDescent="0.2">
      <c r="A128">
        <v>114</v>
      </c>
      <c r="B128" s="146" t="s">
        <v>1376</v>
      </c>
      <c r="C128" s="1" t="e">
        <f>LOOKUP(B128,'Company Database'!C$9:C$1248,'Company Database'!#REF!)</f>
        <v>#REF!</v>
      </c>
      <c r="D128" s="1">
        <f>VALUE(LOOKUP(B128,'Company Database'!C$9:C$1248,'Company Database'!D$9:D$1248))</f>
        <v>33.6</v>
      </c>
      <c r="E128" s="1">
        <f>VALUE(LOOKUP(B128,'Company Database'!C$9:C$1248,'Company Database'!E$9:E$1248))</f>
        <v>36.700000000000003</v>
      </c>
      <c r="F128" s="1">
        <f>VALUE(LOOKUP(B128,'Company Database'!C$9:C$1248,'Company Database'!F$9:F$1248))</f>
        <v>44.1</v>
      </c>
      <c r="G128" s="115">
        <f t="shared" si="1"/>
        <v>55.8</v>
      </c>
      <c r="H128" s="170">
        <f>VALUE(LOOKUP(B128,'Company Database'!C$9:C$1248,'Company Database'!G$9:G$1248))</f>
        <v>281.39999999999998</v>
      </c>
      <c r="I128" s="86">
        <f>LOOKUP(B128,'Company Database'!C$9:C$1248,'Company Database'!H$9:H$1248)</f>
        <v>0</v>
      </c>
      <c r="J128" s="86">
        <f>LOOKUP(B128,'Company Database'!C$9:C$1248,'Company Database'!I$9:I$1248)</f>
        <v>7.13</v>
      </c>
      <c r="K128" s="86">
        <f>LOOKUP(B128,'Company Database'!C$9:C$1248,'Company Database'!J$9:J$1248)</f>
        <v>16.11</v>
      </c>
    </row>
    <row r="129" spans="1:11" x14ac:dyDescent="0.2">
      <c r="A129">
        <v>115</v>
      </c>
      <c r="B129" s="146" t="s">
        <v>4092</v>
      </c>
      <c r="C129" s="1" t="e">
        <f>LOOKUP(B129,'Company Database'!C$9:C$1248,'Company Database'!#REF!)</f>
        <v>#REF!</v>
      </c>
      <c r="D129" s="1">
        <f>VALUE(LOOKUP(B129,'Company Database'!C$9:C$1248,'Company Database'!D$9:D$1248))</f>
        <v>66.599999999999994</v>
      </c>
      <c r="E129" s="1">
        <f>VALUE(LOOKUP(B129,'Company Database'!C$9:C$1248,'Company Database'!E$9:E$1248))</f>
        <v>79</v>
      </c>
      <c r="F129" s="1">
        <f>VALUE(LOOKUP(B129,'Company Database'!C$9:C$1248,'Company Database'!F$9:F$1248))</f>
        <v>88.88</v>
      </c>
      <c r="G129" s="115">
        <f t="shared" si="1"/>
        <v>88.88</v>
      </c>
      <c r="H129" s="170">
        <f>VALUE(LOOKUP(B129,'Company Database'!C$9:C$1248,'Company Database'!G$9:G$1248))</f>
        <v>2333.6</v>
      </c>
      <c r="I129" s="86">
        <f>LOOKUP(B129,'Company Database'!C$9:C$1248,'Company Database'!H$9:H$1248)</f>
        <v>1.71</v>
      </c>
      <c r="J129" s="86">
        <f>LOOKUP(B129,'Company Database'!C$9:C$1248,'Company Database'!I$9:I$1248)</f>
        <v>30.64</v>
      </c>
      <c r="K129" s="86">
        <f>LOOKUP(B129,'Company Database'!C$9:C$1248,'Company Database'!J$9:J$1248)</f>
        <v>35.07</v>
      </c>
    </row>
    <row r="130" spans="1:11" x14ac:dyDescent="0.2">
      <c r="A130">
        <v>116</v>
      </c>
      <c r="B130" s="146" t="s">
        <v>4087</v>
      </c>
      <c r="C130" s="1" t="e">
        <f>LOOKUP(B130,'Company Database'!C$9:C$1248,'Company Database'!#REF!)</f>
        <v>#REF!</v>
      </c>
      <c r="D130" s="1">
        <f>VALUE(LOOKUP(B130,'Company Database'!C$9:C$1248,'Company Database'!D$9:D$1248))</f>
        <v>12.42</v>
      </c>
      <c r="E130" s="1">
        <f>VALUE(LOOKUP(B130,'Company Database'!C$9:C$1248,'Company Database'!E$9:E$1248))</f>
        <v>17.7</v>
      </c>
      <c r="F130" s="1">
        <f>VALUE(LOOKUP(B130,'Company Database'!C$9:C$1248,'Company Database'!F$9:F$1248))</f>
        <v>19.5</v>
      </c>
      <c r="G130" s="115">
        <f t="shared" si="1"/>
        <v>19.5</v>
      </c>
      <c r="H130" s="170">
        <f>VALUE(LOOKUP(B130,'Company Database'!C$9:C$1248,'Company Database'!G$9:G$1248))</f>
        <v>291.39999999999998</v>
      </c>
      <c r="I130" s="86">
        <f>LOOKUP(B130,'Company Database'!C$9:C$1248,'Company Database'!H$9:H$1248)</f>
        <v>0</v>
      </c>
      <c r="J130" s="86">
        <f>LOOKUP(B130,'Company Database'!C$9:C$1248,'Company Database'!I$9:I$1248)</f>
        <v>13.74</v>
      </c>
      <c r="K130" s="86">
        <f>LOOKUP(B130,'Company Database'!C$9:C$1248,'Company Database'!J$9:J$1248)</f>
        <v>36.979999999999997</v>
      </c>
    </row>
    <row r="131" spans="1:11" x14ac:dyDescent="0.2">
      <c r="A131">
        <v>117</v>
      </c>
      <c r="B131" s="146" t="s">
        <v>2914</v>
      </c>
      <c r="C131" s="1" t="e">
        <f>LOOKUP(B131,'Company Database'!C$9:C$1248,'Company Database'!#REF!)</f>
        <v>#REF!</v>
      </c>
      <c r="D131" s="1">
        <f>VALUE(LOOKUP(B131,'Company Database'!C$9:C$1248,'Company Database'!D$9:D$1248))</f>
        <v>11.33</v>
      </c>
      <c r="E131" s="1">
        <f>VALUE(LOOKUP(B131,'Company Database'!C$9:C$1248,'Company Database'!E$9:E$1248))</f>
        <v>14.6</v>
      </c>
      <c r="F131" s="1">
        <f>VALUE(LOOKUP(B131,'Company Database'!C$9:C$1248,'Company Database'!F$9:F$1248))</f>
        <v>17.600000000000001</v>
      </c>
      <c r="G131" s="115">
        <f t="shared" si="1"/>
        <v>20.330000000000005</v>
      </c>
      <c r="H131" s="170">
        <f>VALUE(LOOKUP(B131,'Company Database'!C$9:C$1248,'Company Database'!G$9:G$1248))</f>
        <v>385.75</v>
      </c>
      <c r="I131" s="86">
        <f>LOOKUP(B131,'Company Database'!C$9:C$1248,'Company Database'!H$9:H$1248)</f>
        <v>0</v>
      </c>
      <c r="J131" s="86">
        <f>LOOKUP(B131,'Company Database'!C$9:C$1248,'Company Database'!I$9:I$1248)</f>
        <v>29.66</v>
      </c>
      <c r="K131" s="86">
        <f>LOOKUP(B131,'Company Database'!C$9:C$1248,'Company Database'!J$9:J$1248)</f>
        <v>28.66</v>
      </c>
    </row>
    <row r="132" spans="1:11" x14ac:dyDescent="0.2">
      <c r="A132">
        <v>118</v>
      </c>
      <c r="B132" s="146" t="s">
        <v>2916</v>
      </c>
      <c r="C132" s="1" t="e">
        <f>LOOKUP(B132,'Company Database'!C$9:C$1248,'Company Database'!#REF!)</f>
        <v>#REF!</v>
      </c>
      <c r="D132" s="1">
        <f>VALUE(LOOKUP(B132,'Company Database'!C$9:C$1248,'Company Database'!D$9:D$1248))</f>
        <v>0</v>
      </c>
      <c r="E132" s="1">
        <f>VALUE(LOOKUP(B132,'Company Database'!C$9:C$1248,'Company Database'!E$9:E$1248))</f>
        <v>0</v>
      </c>
      <c r="F132" s="1">
        <f>VALUE(LOOKUP(B132,'Company Database'!C$9:C$1248,'Company Database'!F$9:F$1248))</f>
        <v>0</v>
      </c>
      <c r="G132" s="115">
        <f t="shared" si="1"/>
        <v>0</v>
      </c>
      <c r="H132" s="170">
        <f>VALUE(LOOKUP(B132,'Company Database'!C$9:C$1248,'Company Database'!G$9:G$1248))</f>
        <v>265.8</v>
      </c>
      <c r="I132" s="86">
        <f>LOOKUP(B132,'Company Database'!C$9:C$1248,'Company Database'!H$9:H$1248)</f>
        <v>0</v>
      </c>
      <c r="J132" s="86">
        <f>LOOKUP(B132,'Company Database'!C$9:C$1248,'Company Database'!I$9:I$1248)</f>
        <v>12.12</v>
      </c>
      <c r="K132" s="86">
        <f>LOOKUP(B132,'Company Database'!C$9:C$1248,'Company Database'!J$9:J$1248)</f>
        <v>42.94</v>
      </c>
    </row>
    <row r="133" spans="1:11" x14ac:dyDescent="0.2">
      <c r="A133">
        <v>119</v>
      </c>
      <c r="B133" s="146" t="s">
        <v>2940</v>
      </c>
      <c r="C133" s="1" t="e">
        <f>LOOKUP(B133,'Company Database'!C$9:C$1248,'Company Database'!#REF!)</f>
        <v>#REF!</v>
      </c>
      <c r="D133" s="1">
        <f>VALUE(LOOKUP(B133,'Company Database'!C$9:C$1248,'Company Database'!D$9:D$1248))</f>
        <v>30.71</v>
      </c>
      <c r="E133" s="1">
        <f>VALUE(LOOKUP(B133,'Company Database'!C$9:C$1248,'Company Database'!E$9:E$1248))</f>
        <v>34.200000000000003</v>
      </c>
      <c r="F133" s="1">
        <f>VALUE(LOOKUP(B133,'Company Database'!C$9:C$1248,'Company Database'!F$9:F$1248))</f>
        <v>42.2</v>
      </c>
      <c r="G133" s="115">
        <f t="shared" si="1"/>
        <v>54.710000000000008</v>
      </c>
      <c r="H133" s="170">
        <f>VALUE(LOOKUP(B133,'Company Database'!C$9:C$1248,'Company Database'!G$9:G$1248))</f>
        <v>859</v>
      </c>
      <c r="I133" s="86">
        <f>LOOKUP(B133,'Company Database'!C$9:C$1248,'Company Database'!H$9:H$1248)</f>
        <v>1.17</v>
      </c>
      <c r="J133" s="86">
        <f>LOOKUP(B133,'Company Database'!C$9:C$1248,'Company Database'!I$9:I$1248)</f>
        <v>19.350000000000001</v>
      </c>
      <c r="K133" s="86">
        <f>LOOKUP(B133,'Company Database'!C$9:C$1248,'Company Database'!J$9:J$1248)</f>
        <v>22.35</v>
      </c>
    </row>
    <row r="134" spans="1:11" x14ac:dyDescent="0.2">
      <c r="A134">
        <v>120</v>
      </c>
      <c r="B134" s="146" t="s">
        <v>2941</v>
      </c>
      <c r="C134" s="1" t="e">
        <f>LOOKUP(B134,'Company Database'!C$9:C$1248,'Company Database'!#REF!)</f>
        <v>#REF!</v>
      </c>
      <c r="D134" s="1">
        <f>VALUE(LOOKUP(B134,'Company Database'!C$9:C$1248,'Company Database'!D$9:D$1248))</f>
        <v>0</v>
      </c>
      <c r="E134" s="1">
        <f>VALUE(LOOKUP(B134,'Company Database'!C$9:C$1248,'Company Database'!E$9:E$1248))</f>
        <v>0</v>
      </c>
      <c r="F134" s="1">
        <f>VALUE(LOOKUP(B134,'Company Database'!C$9:C$1248,'Company Database'!F$9:F$1248))</f>
        <v>0</v>
      </c>
      <c r="G134" s="115">
        <f t="shared" si="1"/>
        <v>0</v>
      </c>
      <c r="H134" s="170">
        <f>VALUE(LOOKUP(B134,'Company Database'!C$9:C$1248,'Company Database'!G$9:G$1248))</f>
        <v>63.35</v>
      </c>
      <c r="I134" s="86">
        <f>LOOKUP(B134,'Company Database'!C$9:C$1248,'Company Database'!H$9:H$1248)</f>
        <v>0</v>
      </c>
      <c r="J134" s="86">
        <f>LOOKUP(B134,'Company Database'!C$9:C$1248,'Company Database'!I$9:I$1248)</f>
        <v>0.4</v>
      </c>
      <c r="K134" s="86">
        <f>LOOKUP(B134,'Company Database'!C$9:C$1248,'Company Database'!J$9:J$1248)</f>
        <v>177.55</v>
      </c>
    </row>
    <row r="135" spans="1:11" x14ac:dyDescent="0.2">
      <c r="A135">
        <v>121</v>
      </c>
      <c r="B135" s="146" t="s">
        <v>1472</v>
      </c>
      <c r="C135" s="1" t="e">
        <f>LOOKUP(B135,'Company Database'!C$9:C$1248,'Company Database'!#REF!)</f>
        <v>#REF!</v>
      </c>
      <c r="D135" s="1">
        <f>VALUE(LOOKUP(B135,'Company Database'!C$9:C$1248,'Company Database'!D$9:D$1248))</f>
        <v>300.83</v>
      </c>
      <c r="E135" s="1">
        <f>VALUE(LOOKUP(B135,'Company Database'!C$9:C$1248,'Company Database'!E$9:E$1248))</f>
        <v>227.5</v>
      </c>
      <c r="F135" s="1">
        <f>VALUE(LOOKUP(B135,'Company Database'!C$9:C$1248,'Company Database'!F$9:F$1248))</f>
        <v>237.19</v>
      </c>
      <c r="G135" s="115">
        <f t="shared" si="1"/>
        <v>329.90000000000003</v>
      </c>
      <c r="H135" s="170">
        <f>VALUE(LOOKUP(B135,'Company Database'!C$9:C$1248,'Company Database'!G$9:G$1248))</f>
        <v>2258.25</v>
      </c>
      <c r="I135" s="86">
        <f>LOOKUP(B135,'Company Database'!C$9:C$1248,'Company Database'!H$9:H$1248)</f>
        <v>0</v>
      </c>
      <c r="J135" s="86">
        <f>LOOKUP(B135,'Company Database'!C$9:C$1248,'Company Database'!I$9:I$1248)</f>
        <v>23.98</v>
      </c>
      <c r="K135" s="86">
        <f>LOOKUP(B135,'Company Database'!C$9:C$1248,'Company Database'!J$9:J$1248)</f>
        <v>17.52</v>
      </c>
    </row>
    <row r="136" spans="1:11" x14ac:dyDescent="0.2">
      <c r="A136">
        <v>122</v>
      </c>
      <c r="B136" s="146" t="s">
        <v>1329</v>
      </c>
      <c r="C136" s="1" t="e">
        <f>LOOKUP(B136,'Company Database'!C$9:C$1248,'Company Database'!#REF!)</f>
        <v>#REF!</v>
      </c>
      <c r="D136" s="1">
        <f>VALUE(LOOKUP(B136,'Company Database'!C$9:C$1248,'Company Database'!D$9:D$1248))</f>
        <v>4.83</v>
      </c>
      <c r="E136" s="1">
        <f>VALUE(LOOKUP(B136,'Company Database'!C$9:C$1248,'Company Database'!E$9:E$1248))</f>
        <v>6.15</v>
      </c>
      <c r="F136" s="1">
        <f>VALUE(LOOKUP(B136,'Company Database'!C$9:C$1248,'Company Database'!F$9:F$1248))</f>
        <v>7.01</v>
      </c>
      <c r="G136" s="115">
        <f t="shared" si="1"/>
        <v>7.01</v>
      </c>
      <c r="H136" s="170">
        <f>VALUE(LOOKUP(B136,'Company Database'!C$9:C$1248,'Company Database'!G$9:G$1248))</f>
        <v>85.9</v>
      </c>
      <c r="I136" s="86">
        <f>LOOKUP(B136,'Company Database'!C$9:C$1248,'Company Database'!H$9:H$1248)</f>
        <v>3.5</v>
      </c>
      <c r="J136" s="86">
        <f>LOOKUP(B136,'Company Database'!C$9:C$1248,'Company Database'!I$9:I$1248)</f>
        <v>26.65</v>
      </c>
      <c r="K136" s="86">
        <f>LOOKUP(B136,'Company Database'!C$9:C$1248,'Company Database'!J$9:J$1248)</f>
        <v>17.73</v>
      </c>
    </row>
    <row r="137" spans="1:11" x14ac:dyDescent="0.2">
      <c r="A137">
        <v>123</v>
      </c>
      <c r="B137" s="146" t="s">
        <v>109</v>
      </c>
      <c r="C137" s="1" t="e">
        <f>LOOKUP(B137,'Company Database'!C$9:C$1248,'Company Database'!#REF!)</f>
        <v>#REF!</v>
      </c>
      <c r="D137" s="1">
        <f>VALUE(LOOKUP(B137,'Company Database'!C$9:C$1248,'Company Database'!D$9:D$1248))</f>
        <v>0</v>
      </c>
      <c r="E137" s="1">
        <f>VALUE(LOOKUP(B137,'Company Database'!C$9:C$1248,'Company Database'!E$9:E$1248))</f>
        <v>14.4</v>
      </c>
      <c r="F137" s="1">
        <f>VALUE(LOOKUP(B137,'Company Database'!C$9:C$1248,'Company Database'!F$9:F$1248))</f>
        <v>16.5</v>
      </c>
      <c r="G137" s="115">
        <f t="shared" si="1"/>
        <v>16.5</v>
      </c>
      <c r="H137" s="170">
        <f>VALUE(LOOKUP(B137,'Company Database'!C$9:C$1248,'Company Database'!G$9:G$1248))</f>
        <v>226.05</v>
      </c>
      <c r="I137" s="86">
        <f>LOOKUP(B137,'Company Database'!C$9:C$1248,'Company Database'!H$9:H$1248)</f>
        <v>0</v>
      </c>
      <c r="J137" s="86">
        <f>LOOKUP(B137,'Company Database'!C$9:C$1248,'Company Database'!I$9:I$1248)</f>
        <v>22.83</v>
      </c>
      <c r="K137" s="86">
        <f>LOOKUP(B137,'Company Database'!C$9:C$1248,'Company Database'!J$9:J$1248)</f>
        <v>14.55</v>
      </c>
    </row>
    <row r="138" spans="1:11" x14ac:dyDescent="0.2">
      <c r="A138">
        <v>124</v>
      </c>
      <c r="B138" s="146" t="s">
        <v>1866</v>
      </c>
      <c r="C138" s="1" t="e">
        <f>LOOKUP(B138,'Company Database'!C$9:C$1248,'Company Database'!#REF!)</f>
        <v>#REF!</v>
      </c>
      <c r="D138" s="1">
        <f>VALUE(LOOKUP(B138,'Company Database'!C$9:C$1248,'Company Database'!D$9:D$1248))</f>
        <v>31.93</v>
      </c>
      <c r="E138" s="1">
        <f>VALUE(LOOKUP(B138,'Company Database'!C$9:C$1248,'Company Database'!E$9:E$1248))</f>
        <v>79.3</v>
      </c>
      <c r="F138" s="1">
        <f>VALUE(LOOKUP(B138,'Company Database'!C$9:C$1248,'Company Database'!F$9:F$1248))</f>
        <v>59.7</v>
      </c>
      <c r="G138" s="115">
        <f t="shared" si="1"/>
        <v>59.7</v>
      </c>
      <c r="H138" s="170">
        <f>VALUE(LOOKUP(B138,'Company Database'!C$9:C$1248,'Company Database'!G$9:G$1248))</f>
        <v>353.9</v>
      </c>
      <c r="I138" s="86">
        <f>LOOKUP(B138,'Company Database'!C$9:C$1248,'Company Database'!H$9:H$1248)</f>
        <v>1.27</v>
      </c>
      <c r="J138" s="86">
        <f>LOOKUP(B138,'Company Database'!C$9:C$1248,'Company Database'!I$9:I$1248)</f>
        <v>12.02</v>
      </c>
      <c r="K138" s="86">
        <f>LOOKUP(B138,'Company Database'!C$9:C$1248,'Company Database'!J$9:J$1248)</f>
        <v>11.09</v>
      </c>
    </row>
    <row r="139" spans="1:11" x14ac:dyDescent="0.2">
      <c r="A139">
        <v>125</v>
      </c>
      <c r="B139" s="146" t="s">
        <v>1867</v>
      </c>
      <c r="C139" s="1" t="e">
        <f>LOOKUP(B139,'Company Database'!C$9:C$1248,'Company Database'!#REF!)</f>
        <v>#REF!</v>
      </c>
      <c r="D139" s="1">
        <f>VALUE(LOOKUP(B139,'Company Database'!C$9:C$1248,'Company Database'!D$9:D$1248))</f>
        <v>7.35</v>
      </c>
      <c r="E139" s="1">
        <f>VALUE(LOOKUP(B139,'Company Database'!C$9:C$1248,'Company Database'!E$9:E$1248))</f>
        <v>7.35</v>
      </c>
      <c r="F139" s="1">
        <f>VALUE(LOOKUP(B139,'Company Database'!C$9:C$1248,'Company Database'!F$9:F$1248))</f>
        <v>8.6</v>
      </c>
      <c r="G139" s="115">
        <f t="shared" si="1"/>
        <v>11.1</v>
      </c>
      <c r="H139" s="170">
        <f>VALUE(LOOKUP(B139,'Company Database'!C$9:C$1248,'Company Database'!G$9:G$1248))</f>
        <v>99.55</v>
      </c>
      <c r="I139" s="86">
        <f>LOOKUP(B139,'Company Database'!C$9:C$1248,'Company Database'!H$9:H$1248)</f>
        <v>1.01</v>
      </c>
      <c r="J139" s="86">
        <f>LOOKUP(B139,'Company Database'!C$9:C$1248,'Company Database'!I$9:I$1248)</f>
        <v>26.23</v>
      </c>
      <c r="K139" s="86">
        <f>LOOKUP(B139,'Company Database'!C$9:C$1248,'Company Database'!J$9:J$1248)</f>
        <v>13.51</v>
      </c>
    </row>
    <row r="140" spans="1:11" x14ac:dyDescent="0.2">
      <c r="A140">
        <v>126</v>
      </c>
      <c r="B140" s="146" t="s">
        <v>430</v>
      </c>
      <c r="C140" s="1" t="e">
        <f>LOOKUP(B140,'Company Database'!C$9:C$1248,'Company Database'!#REF!)</f>
        <v>#REF!</v>
      </c>
      <c r="D140" s="1">
        <f>VALUE(LOOKUP(B140,'Company Database'!C$9:C$1248,'Company Database'!D$9:D$1248))</f>
        <v>23.4</v>
      </c>
      <c r="E140" s="1">
        <f>VALUE(LOOKUP(B140,'Company Database'!C$9:C$1248,'Company Database'!E$9:E$1248))</f>
        <v>16.68</v>
      </c>
      <c r="F140" s="1">
        <f>VALUE(LOOKUP(B140,'Company Database'!C$9:C$1248,'Company Database'!F$9:F$1248))</f>
        <v>19.18</v>
      </c>
      <c r="G140" s="115">
        <f t="shared" si="1"/>
        <v>30.900000000000006</v>
      </c>
      <c r="H140" s="170">
        <f>VALUE(LOOKUP(B140,'Company Database'!C$9:C$1248,'Company Database'!G$9:G$1248))</f>
        <v>140.15</v>
      </c>
      <c r="I140" s="86">
        <f>LOOKUP(B140,'Company Database'!C$9:C$1248,'Company Database'!H$9:H$1248)</f>
        <v>2.14</v>
      </c>
      <c r="J140" s="86">
        <f>LOOKUP(B140,'Company Database'!C$9:C$1248,'Company Database'!I$9:I$1248)</f>
        <v>7.52</v>
      </c>
      <c r="K140" s="86">
        <f>LOOKUP(B140,'Company Database'!C$9:C$1248,'Company Database'!J$9:J$1248)</f>
        <v>6</v>
      </c>
    </row>
    <row r="141" spans="1:11" x14ac:dyDescent="0.2">
      <c r="A141">
        <v>127</v>
      </c>
      <c r="B141" s="146" t="s">
        <v>1474</v>
      </c>
      <c r="C141" s="1" t="e">
        <f>LOOKUP(B141,'Company Database'!C$9:C$1248,'Company Database'!#REF!)</f>
        <v>#REF!</v>
      </c>
      <c r="D141" s="1">
        <f>VALUE(LOOKUP(B141,'Company Database'!C$9:C$1248,'Company Database'!D$9:D$1248))</f>
        <v>8.08</v>
      </c>
      <c r="E141" s="1">
        <f>VALUE(LOOKUP(B141,'Company Database'!C$9:C$1248,'Company Database'!E$9:E$1248))</f>
        <v>8.07</v>
      </c>
      <c r="F141" s="1">
        <f>VALUE(LOOKUP(B141,'Company Database'!C$9:C$1248,'Company Database'!F$9:F$1248))</f>
        <v>9.1199999999999992</v>
      </c>
      <c r="G141" s="115">
        <f t="shared" si="1"/>
        <v>11.229999999999997</v>
      </c>
      <c r="H141" s="170">
        <f>VALUE(LOOKUP(B141,'Company Database'!C$9:C$1248,'Company Database'!G$9:G$1248))</f>
        <v>130.94999999999999</v>
      </c>
      <c r="I141" s="86">
        <f>LOOKUP(B141,'Company Database'!C$9:C$1248,'Company Database'!H$9:H$1248)</f>
        <v>1.98</v>
      </c>
      <c r="J141" s="86">
        <f>LOOKUP(B141,'Company Database'!C$9:C$1248,'Company Database'!I$9:I$1248)</f>
        <v>15.19</v>
      </c>
      <c r="K141" s="86">
        <f>LOOKUP(B141,'Company Database'!C$9:C$1248,'Company Database'!J$9:J$1248)</f>
        <v>15.88</v>
      </c>
    </row>
    <row r="142" spans="1:11" x14ac:dyDescent="0.2">
      <c r="A142">
        <v>128</v>
      </c>
      <c r="B142" s="146" t="s">
        <v>1330</v>
      </c>
      <c r="C142" s="1" t="e">
        <f>LOOKUP(B142,'Company Database'!C$9:C$1248,'Company Database'!#REF!)</f>
        <v>#REF!</v>
      </c>
      <c r="D142" s="1">
        <f>VALUE(LOOKUP(B142,'Company Database'!C$9:C$1248,'Company Database'!D$9:D$1248))</f>
        <v>13.48</v>
      </c>
      <c r="E142" s="1">
        <f>VALUE(LOOKUP(B142,'Company Database'!C$9:C$1248,'Company Database'!E$9:E$1248))</f>
        <v>18.2</v>
      </c>
      <c r="F142" s="1">
        <f>VALUE(LOOKUP(B142,'Company Database'!C$9:C$1248,'Company Database'!F$9:F$1248))</f>
        <v>20.2</v>
      </c>
      <c r="G142" s="115">
        <f t="shared" si="1"/>
        <v>20.2</v>
      </c>
      <c r="H142" s="170">
        <f>VALUE(LOOKUP(B142,'Company Database'!C$9:C$1248,'Company Database'!G$9:G$1248))</f>
        <v>350.2</v>
      </c>
      <c r="I142" s="86">
        <f>LOOKUP(B142,'Company Database'!C$9:C$1248,'Company Database'!H$9:H$1248)</f>
        <v>3.44</v>
      </c>
      <c r="J142" s="86">
        <f>LOOKUP(B142,'Company Database'!C$9:C$1248,'Company Database'!I$9:I$1248)</f>
        <v>31.76</v>
      </c>
      <c r="K142" s="86">
        <f>LOOKUP(B142,'Company Database'!C$9:C$1248,'Company Database'!J$9:J$1248)</f>
        <v>17.3</v>
      </c>
    </row>
    <row r="143" spans="1:11" x14ac:dyDescent="0.2">
      <c r="A143">
        <v>129</v>
      </c>
      <c r="B143" s="146" t="s">
        <v>1868</v>
      </c>
      <c r="C143" s="1" t="e">
        <f>LOOKUP(B143,'Company Database'!C$9:C$1248,'Company Database'!#REF!)</f>
        <v>#REF!</v>
      </c>
      <c r="D143" s="1">
        <f>VALUE(LOOKUP(B143,'Company Database'!C$9:C$1248,'Company Database'!D$9:D$1248))</f>
        <v>7.06</v>
      </c>
      <c r="E143" s="1">
        <f>VALUE(LOOKUP(B143,'Company Database'!C$9:C$1248,'Company Database'!E$9:E$1248))</f>
        <v>8.6999999999999993</v>
      </c>
      <c r="F143" s="1">
        <f>VALUE(LOOKUP(B143,'Company Database'!C$9:C$1248,'Company Database'!F$9:F$1248))</f>
        <v>10.5</v>
      </c>
      <c r="G143" s="115">
        <f t="shared" ref="G143:G206" si="2">IF(TREND(D143:F143,$D$13:$F$14,$G$13:$G$14)&gt;1.1*F143,TREND(D143:F143,$D$13:$F$14,$G$13:$G$14),F143)</f>
        <v>12.460000000000003</v>
      </c>
      <c r="H143" s="170">
        <f>VALUE(LOOKUP(B143,'Company Database'!C$9:C$1248,'Company Database'!G$9:G$1248))</f>
        <v>80.25</v>
      </c>
      <c r="I143" s="86">
        <f>LOOKUP(B143,'Company Database'!C$9:C$1248,'Company Database'!H$9:H$1248)</f>
        <v>3.11</v>
      </c>
      <c r="J143" s="86">
        <f>LOOKUP(B143,'Company Database'!C$9:C$1248,'Company Database'!I$9:I$1248)</f>
        <v>8.7799999999999994</v>
      </c>
      <c r="K143" s="86">
        <f>LOOKUP(B143,'Company Database'!C$9:C$1248,'Company Database'!J$9:J$1248)</f>
        <v>11.37</v>
      </c>
    </row>
    <row r="144" spans="1:11" x14ac:dyDescent="0.2">
      <c r="A144">
        <v>130</v>
      </c>
      <c r="B144" s="146" t="s">
        <v>1869</v>
      </c>
      <c r="C144" s="1" t="e">
        <f>LOOKUP(B144,'Company Database'!C$9:C$1248,'Company Database'!#REF!)</f>
        <v>#REF!</v>
      </c>
      <c r="D144" s="1">
        <f>VALUE(LOOKUP(B144,'Company Database'!C$9:C$1248,'Company Database'!D$9:D$1248))</f>
        <v>8.8000000000000007</v>
      </c>
      <c r="E144" s="1">
        <f>VALUE(LOOKUP(B144,'Company Database'!C$9:C$1248,'Company Database'!E$9:E$1248))</f>
        <v>11.1</v>
      </c>
      <c r="F144" s="1">
        <f>VALUE(LOOKUP(B144,'Company Database'!C$9:C$1248,'Company Database'!F$9:F$1248))</f>
        <v>14.3</v>
      </c>
      <c r="G144" s="115">
        <f t="shared" si="2"/>
        <v>18.400000000000006</v>
      </c>
      <c r="H144" s="170">
        <f>VALUE(LOOKUP(B144,'Company Database'!C$9:C$1248,'Company Database'!G$9:G$1248))</f>
        <v>140.44999999999999</v>
      </c>
      <c r="I144" s="86">
        <f>LOOKUP(B144,'Company Database'!C$9:C$1248,'Company Database'!H$9:H$1248)</f>
        <v>1.78</v>
      </c>
      <c r="J144" s="86">
        <f>LOOKUP(B144,'Company Database'!C$9:C$1248,'Company Database'!I$9:I$1248)</f>
        <v>20.010000000000002</v>
      </c>
      <c r="K144" s="86">
        <f>LOOKUP(B144,'Company Database'!C$9:C$1248,'Company Database'!J$9:J$1248)</f>
        <v>15.92</v>
      </c>
    </row>
    <row r="145" spans="1:11" x14ac:dyDescent="0.2">
      <c r="A145">
        <v>131</v>
      </c>
      <c r="B145" s="146" t="s">
        <v>1331</v>
      </c>
      <c r="C145" s="1" t="e">
        <f>LOOKUP(B145,'Company Database'!C$9:C$1248,'Company Database'!#REF!)</f>
        <v>#REF!</v>
      </c>
      <c r="D145" s="1">
        <f>VALUE(LOOKUP(B145,'Company Database'!C$9:C$1248,'Company Database'!D$9:D$1248))</f>
        <v>0.4</v>
      </c>
      <c r="E145" s="1">
        <f>VALUE(LOOKUP(B145,'Company Database'!C$9:C$1248,'Company Database'!E$9:E$1248))</f>
        <v>6.86</v>
      </c>
      <c r="F145" s="1">
        <f>VALUE(LOOKUP(B145,'Company Database'!C$9:C$1248,'Company Database'!F$9:F$1248))</f>
        <v>11.72</v>
      </c>
      <c r="G145" s="115">
        <f t="shared" si="2"/>
        <v>14.97999999999999</v>
      </c>
      <c r="H145" s="170">
        <f>VALUE(LOOKUP(B145,'Company Database'!C$9:C$1248,'Company Database'!G$9:G$1248))</f>
        <v>49.8</v>
      </c>
      <c r="I145" s="86">
        <f>LOOKUP(B145,'Company Database'!C$9:C$1248,'Company Database'!H$9:H$1248)</f>
        <v>0</v>
      </c>
      <c r="J145" s="86">
        <f>LOOKUP(B145,'Company Database'!C$9:C$1248,'Company Database'!I$9:I$1248)</f>
        <v>-0.99</v>
      </c>
      <c r="K145" s="86">
        <f>LOOKUP(B145,'Company Database'!C$9:C$1248,'Company Database'!J$9:J$1248)</f>
        <v>28.32</v>
      </c>
    </row>
    <row r="146" spans="1:11" x14ac:dyDescent="0.2">
      <c r="A146">
        <v>132</v>
      </c>
      <c r="B146" s="146" t="s">
        <v>1332</v>
      </c>
      <c r="C146" s="1" t="e">
        <f>LOOKUP(B146,'Company Database'!C$9:C$1248,'Company Database'!#REF!)</f>
        <v>#REF!</v>
      </c>
      <c r="D146" s="1">
        <f>VALUE(LOOKUP(B146,'Company Database'!C$9:C$1248,'Company Database'!D$9:D$1248))</f>
        <v>1.02</v>
      </c>
      <c r="E146" s="1">
        <f>VALUE(LOOKUP(B146,'Company Database'!C$9:C$1248,'Company Database'!E$9:E$1248))</f>
        <v>1.05</v>
      </c>
      <c r="F146" s="1">
        <f>VALUE(LOOKUP(B146,'Company Database'!C$9:C$1248,'Company Database'!F$9:F$1248))</f>
        <v>1.6</v>
      </c>
      <c r="G146" s="115">
        <f t="shared" si="2"/>
        <v>2.6700000000000004</v>
      </c>
      <c r="H146" s="170">
        <f>VALUE(LOOKUP(B146,'Company Database'!C$9:C$1248,'Company Database'!G$9:G$1248))</f>
        <v>22.45</v>
      </c>
      <c r="I146" s="86">
        <f>LOOKUP(B146,'Company Database'!C$9:C$1248,'Company Database'!H$9:H$1248)</f>
        <v>0</v>
      </c>
      <c r="J146" s="86">
        <f>LOOKUP(B146,'Company Database'!C$9:C$1248,'Company Database'!I$9:I$1248)</f>
        <v>0.92</v>
      </c>
      <c r="K146" s="86">
        <f>LOOKUP(B146,'Company Database'!C$9:C$1248,'Company Database'!J$9:J$1248)</f>
        <v>51.92</v>
      </c>
    </row>
    <row r="147" spans="1:11" x14ac:dyDescent="0.2">
      <c r="A147">
        <v>133</v>
      </c>
      <c r="B147" s="146" t="s">
        <v>1333</v>
      </c>
      <c r="C147" s="1" t="e">
        <f>LOOKUP(B147,'Company Database'!C$9:C$1248,'Company Database'!#REF!)</f>
        <v>#REF!</v>
      </c>
      <c r="D147" s="1">
        <f>VALUE(LOOKUP(B147,'Company Database'!C$9:C$1248,'Company Database'!D$9:D$1248))</f>
        <v>0</v>
      </c>
      <c r="E147" s="1">
        <f>VALUE(LOOKUP(B147,'Company Database'!C$9:C$1248,'Company Database'!E$9:E$1248))</f>
        <v>21.05</v>
      </c>
      <c r="F147" s="1">
        <f>VALUE(LOOKUP(B147,'Company Database'!C$9:C$1248,'Company Database'!F$9:F$1248))</f>
        <v>29.77</v>
      </c>
      <c r="G147" s="115">
        <f t="shared" si="2"/>
        <v>29.77</v>
      </c>
      <c r="H147" s="170">
        <f>VALUE(LOOKUP(B147,'Company Database'!C$9:C$1248,'Company Database'!G$9:G$1248))</f>
        <v>382.2</v>
      </c>
      <c r="I147" s="86">
        <f>LOOKUP(B147,'Company Database'!C$9:C$1248,'Company Database'!H$9:H$1248)</f>
        <v>0.98</v>
      </c>
      <c r="J147" s="86">
        <f>LOOKUP(B147,'Company Database'!C$9:C$1248,'Company Database'!I$9:I$1248)</f>
        <v>19.920000000000002</v>
      </c>
      <c r="K147" s="86">
        <f>LOOKUP(B147,'Company Database'!C$9:C$1248,'Company Database'!J$9:J$1248)</f>
        <v>20.87</v>
      </c>
    </row>
    <row r="148" spans="1:11" x14ac:dyDescent="0.2">
      <c r="A148">
        <v>134</v>
      </c>
      <c r="B148" s="146" t="s">
        <v>4144</v>
      </c>
      <c r="C148" s="1" t="e">
        <f>LOOKUP(B148,'Company Database'!C$9:C$1248,'Company Database'!#REF!)</f>
        <v>#REF!</v>
      </c>
      <c r="D148" s="1">
        <f>VALUE(LOOKUP(B148,'Company Database'!C$9:C$1248,'Company Database'!D$9:D$1248))</f>
        <v>11.9</v>
      </c>
      <c r="E148" s="1">
        <f>VALUE(LOOKUP(B148,'Company Database'!C$9:C$1248,'Company Database'!E$9:E$1248))</f>
        <v>10.9</v>
      </c>
      <c r="F148" s="1">
        <f>VALUE(LOOKUP(B148,'Company Database'!C$9:C$1248,'Company Database'!F$9:F$1248))</f>
        <v>12.75</v>
      </c>
      <c r="G148" s="115">
        <f t="shared" si="2"/>
        <v>17.450000000000003</v>
      </c>
      <c r="H148" s="170">
        <f>VALUE(LOOKUP(B148,'Company Database'!C$9:C$1248,'Company Database'!G$9:G$1248))</f>
        <v>105.3</v>
      </c>
      <c r="I148" s="86">
        <f>LOOKUP(B148,'Company Database'!C$9:C$1248,'Company Database'!H$9:H$1248)</f>
        <v>7.15</v>
      </c>
      <c r="J148" s="86">
        <f>LOOKUP(B148,'Company Database'!C$9:C$1248,'Company Database'!I$9:I$1248)</f>
        <v>11.95</v>
      </c>
      <c r="K148" s="86">
        <f>LOOKUP(B148,'Company Database'!C$9:C$1248,'Company Database'!J$9:J$1248)</f>
        <v>8.75</v>
      </c>
    </row>
    <row r="149" spans="1:11" x14ac:dyDescent="0.2">
      <c r="A149">
        <v>135</v>
      </c>
      <c r="B149" s="146" t="s">
        <v>1377</v>
      </c>
      <c r="C149" s="1" t="e">
        <f>LOOKUP(B149,'Company Database'!C$9:C$1248,'Company Database'!#REF!)</f>
        <v>#REF!</v>
      </c>
      <c r="D149" s="1">
        <f>VALUE(LOOKUP(B149,'Company Database'!C$9:C$1248,'Company Database'!D$9:D$1248))</f>
        <v>18.27</v>
      </c>
      <c r="E149" s="1">
        <f>VALUE(LOOKUP(B149,'Company Database'!C$9:C$1248,'Company Database'!E$9:E$1248))</f>
        <v>23.8</v>
      </c>
      <c r="F149" s="1">
        <f>VALUE(LOOKUP(B149,'Company Database'!C$9:C$1248,'Company Database'!F$9:F$1248))</f>
        <v>31.3</v>
      </c>
      <c r="G149" s="115">
        <f t="shared" si="2"/>
        <v>40.769999999999996</v>
      </c>
      <c r="H149" s="170">
        <f>VALUE(LOOKUP(B149,'Company Database'!C$9:C$1248,'Company Database'!G$9:G$1248))</f>
        <v>505.95</v>
      </c>
      <c r="I149" s="86">
        <f>LOOKUP(B149,'Company Database'!C$9:C$1248,'Company Database'!H$9:H$1248)</f>
        <v>0.79</v>
      </c>
      <c r="J149" s="86">
        <f>LOOKUP(B149,'Company Database'!C$9:C$1248,'Company Database'!I$9:I$1248)</f>
        <v>22.16</v>
      </c>
      <c r="K149" s="86">
        <f>LOOKUP(B149,'Company Database'!C$9:C$1248,'Company Database'!J$9:J$1248)</f>
        <v>32.97</v>
      </c>
    </row>
    <row r="150" spans="1:11" x14ac:dyDescent="0.2">
      <c r="A150">
        <v>136</v>
      </c>
      <c r="B150" s="146" t="s">
        <v>639</v>
      </c>
      <c r="C150" s="1" t="e">
        <f>LOOKUP(B150,'Company Database'!C$9:C$1248,'Company Database'!#REF!)</f>
        <v>#REF!</v>
      </c>
      <c r="D150" s="1">
        <f>VALUE(LOOKUP(B150,'Company Database'!C$9:C$1248,'Company Database'!D$9:D$1248))</f>
        <v>66.900000000000006</v>
      </c>
      <c r="E150" s="1">
        <f>VALUE(LOOKUP(B150,'Company Database'!C$9:C$1248,'Company Database'!E$9:E$1248))</f>
        <v>85.05</v>
      </c>
      <c r="F150" s="1">
        <f>VALUE(LOOKUP(B150,'Company Database'!C$9:C$1248,'Company Database'!F$9:F$1248))</f>
        <v>109.65</v>
      </c>
      <c r="G150" s="115">
        <f t="shared" si="2"/>
        <v>140.69999999999999</v>
      </c>
      <c r="H150" s="170">
        <f>VALUE(LOOKUP(B150,'Company Database'!C$9:C$1248,'Company Database'!G$9:G$1248))</f>
        <v>2315.6999999999998</v>
      </c>
      <c r="I150" s="86">
        <f>LOOKUP(B150,'Company Database'!C$9:C$1248,'Company Database'!H$9:H$1248)</f>
        <v>0</v>
      </c>
      <c r="J150" s="86">
        <f>LOOKUP(B150,'Company Database'!C$9:C$1248,'Company Database'!I$9:I$1248)</f>
        <v>13.68</v>
      </c>
      <c r="K150" s="86">
        <f>LOOKUP(B150,'Company Database'!C$9:C$1248,'Company Database'!J$9:J$1248)</f>
        <v>27.44</v>
      </c>
    </row>
    <row r="151" spans="1:11" x14ac:dyDescent="0.2">
      <c r="A151">
        <v>137</v>
      </c>
      <c r="B151" s="146" t="s">
        <v>4337</v>
      </c>
      <c r="C151" s="1" t="e">
        <f>LOOKUP(B151,'Company Database'!C$9:C$1248,'Company Database'!#REF!)</f>
        <v>#REF!</v>
      </c>
      <c r="D151" s="1">
        <f>VALUE(LOOKUP(B151,'Company Database'!C$9:C$1248,'Company Database'!D$9:D$1248))</f>
        <v>19.18</v>
      </c>
      <c r="E151" s="1">
        <f>VALUE(LOOKUP(B151,'Company Database'!C$9:C$1248,'Company Database'!E$9:E$1248))</f>
        <v>23.4</v>
      </c>
      <c r="F151" s="1">
        <f>VALUE(LOOKUP(B151,'Company Database'!C$9:C$1248,'Company Database'!F$9:F$1248))</f>
        <v>27.9</v>
      </c>
      <c r="G151" s="115">
        <f t="shared" si="2"/>
        <v>32.68</v>
      </c>
      <c r="H151" s="170">
        <f>VALUE(LOOKUP(B151,'Company Database'!C$9:C$1248,'Company Database'!G$9:G$1248))</f>
        <v>658.85</v>
      </c>
      <c r="I151" s="86">
        <f>LOOKUP(B151,'Company Database'!C$9:C$1248,'Company Database'!H$9:H$1248)</f>
        <v>0</v>
      </c>
      <c r="J151" s="86">
        <f>LOOKUP(B151,'Company Database'!C$9:C$1248,'Company Database'!I$9:I$1248)</f>
        <v>18.64</v>
      </c>
      <c r="K151" s="86">
        <f>LOOKUP(B151,'Company Database'!C$9:C$1248,'Company Database'!J$9:J$1248)</f>
        <v>27.31</v>
      </c>
    </row>
    <row r="152" spans="1:11" x14ac:dyDescent="0.2">
      <c r="A152">
        <v>138</v>
      </c>
      <c r="B152" s="146" t="s">
        <v>3032</v>
      </c>
      <c r="C152" s="1" t="e">
        <f>LOOKUP(B152,'Company Database'!C$9:C$1248,'Company Database'!#REF!)</f>
        <v>#REF!</v>
      </c>
      <c r="D152" s="1">
        <f>VALUE(LOOKUP(B152,'Company Database'!C$9:C$1248,'Company Database'!D$9:D$1248))</f>
        <v>111.77</v>
      </c>
      <c r="E152" s="1">
        <f>VALUE(LOOKUP(B152,'Company Database'!C$9:C$1248,'Company Database'!E$9:E$1248))</f>
        <v>101.2</v>
      </c>
      <c r="F152" s="1">
        <f>VALUE(LOOKUP(B152,'Company Database'!C$9:C$1248,'Company Database'!F$9:F$1248))</f>
        <v>119.17</v>
      </c>
      <c r="G152" s="115">
        <f t="shared" si="2"/>
        <v>165.68</v>
      </c>
      <c r="H152" s="170">
        <f>VALUE(LOOKUP(B152,'Company Database'!C$9:C$1248,'Company Database'!G$9:G$1248))</f>
        <v>1808.75</v>
      </c>
      <c r="I152" s="86">
        <f>LOOKUP(B152,'Company Database'!C$9:C$1248,'Company Database'!H$9:H$1248)</f>
        <v>0</v>
      </c>
      <c r="J152" s="86">
        <f>LOOKUP(B152,'Company Database'!C$9:C$1248,'Company Database'!I$9:I$1248)</f>
        <v>58.87</v>
      </c>
      <c r="K152" s="86">
        <f>LOOKUP(B152,'Company Database'!C$9:C$1248,'Company Database'!J$9:J$1248)</f>
        <v>18.73</v>
      </c>
    </row>
    <row r="153" spans="1:11" x14ac:dyDescent="0.2">
      <c r="A153">
        <v>139</v>
      </c>
      <c r="B153" s="146" t="s">
        <v>3034</v>
      </c>
      <c r="C153" s="1" t="e">
        <f>LOOKUP(B153,'Company Database'!C$9:C$1248,'Company Database'!#REF!)</f>
        <v>#REF!</v>
      </c>
      <c r="D153" s="1">
        <f>VALUE(LOOKUP(B153,'Company Database'!C$9:C$1248,'Company Database'!D$9:D$1248))</f>
        <v>0</v>
      </c>
      <c r="E153" s="1">
        <f>VALUE(LOOKUP(B153,'Company Database'!C$9:C$1248,'Company Database'!E$9:E$1248))</f>
        <v>0.4</v>
      </c>
      <c r="F153" s="1">
        <f>VALUE(LOOKUP(B153,'Company Database'!C$9:C$1248,'Company Database'!F$9:F$1248))</f>
        <v>1.8</v>
      </c>
      <c r="G153" s="115">
        <f t="shared" si="2"/>
        <v>4.200000000000002</v>
      </c>
      <c r="H153" s="170">
        <f>VALUE(LOOKUP(B153,'Company Database'!C$9:C$1248,'Company Database'!G$9:G$1248))</f>
        <v>33.549999999999997</v>
      </c>
      <c r="I153" s="86">
        <f>LOOKUP(B153,'Company Database'!C$9:C$1248,'Company Database'!H$9:H$1248)</f>
        <v>0</v>
      </c>
      <c r="J153" s="86">
        <f>LOOKUP(B153,'Company Database'!C$9:C$1248,'Company Database'!I$9:I$1248)</f>
        <v>-0.46</v>
      </c>
      <c r="K153" s="86">
        <f>LOOKUP(B153,'Company Database'!C$9:C$1248,'Company Database'!J$9:J$1248)</f>
        <v>0</v>
      </c>
    </row>
    <row r="154" spans="1:11" x14ac:dyDescent="0.2">
      <c r="A154">
        <v>140</v>
      </c>
      <c r="B154" s="146" t="s">
        <v>3036</v>
      </c>
      <c r="C154" s="1" t="e">
        <f>LOOKUP(B154,'Company Database'!C$9:C$1248,'Company Database'!#REF!)</f>
        <v>#REF!</v>
      </c>
      <c r="D154" s="1">
        <f>VALUE(LOOKUP(B154,'Company Database'!C$9:C$1248,'Company Database'!D$9:D$1248))</f>
        <v>22.16</v>
      </c>
      <c r="E154" s="1">
        <f>VALUE(LOOKUP(B154,'Company Database'!C$9:C$1248,'Company Database'!E$9:E$1248))</f>
        <v>16.7</v>
      </c>
      <c r="F154" s="1">
        <f>VALUE(LOOKUP(B154,'Company Database'!C$9:C$1248,'Company Database'!F$9:F$1248))</f>
        <v>20.2</v>
      </c>
      <c r="G154" s="115">
        <f t="shared" si="2"/>
        <v>32.660000000000011</v>
      </c>
      <c r="H154" s="170">
        <f>VALUE(LOOKUP(B154,'Company Database'!C$9:C$1248,'Company Database'!G$9:G$1248))</f>
        <v>192.1</v>
      </c>
      <c r="I154" s="86">
        <f>LOOKUP(B154,'Company Database'!C$9:C$1248,'Company Database'!H$9:H$1248)</f>
        <v>0</v>
      </c>
      <c r="J154" s="86">
        <f>LOOKUP(B154,'Company Database'!C$9:C$1248,'Company Database'!I$9:I$1248)</f>
        <v>5.3</v>
      </c>
      <c r="K154" s="86">
        <f>LOOKUP(B154,'Company Database'!C$9:C$1248,'Company Database'!J$9:J$1248)</f>
        <v>17.22</v>
      </c>
    </row>
    <row r="155" spans="1:11" x14ac:dyDescent="0.2">
      <c r="A155">
        <v>141</v>
      </c>
      <c r="B155" s="146" t="s">
        <v>1378</v>
      </c>
      <c r="C155" s="1" t="e">
        <f>LOOKUP(B155,'Company Database'!C$9:C$1248,'Company Database'!#REF!)</f>
        <v>#REF!</v>
      </c>
      <c r="D155" s="1">
        <f>VALUE(LOOKUP(B155,'Company Database'!C$9:C$1248,'Company Database'!D$9:D$1248))</f>
        <v>9.6</v>
      </c>
      <c r="E155" s="1">
        <f>VALUE(LOOKUP(B155,'Company Database'!C$9:C$1248,'Company Database'!E$9:E$1248))</f>
        <v>9.82</v>
      </c>
      <c r="F155" s="1">
        <f>VALUE(LOOKUP(B155,'Company Database'!C$9:C$1248,'Company Database'!F$9:F$1248))</f>
        <v>11.5</v>
      </c>
      <c r="G155" s="115">
        <f t="shared" si="2"/>
        <v>14.64</v>
      </c>
      <c r="H155" s="170">
        <f>VALUE(LOOKUP(B155,'Company Database'!C$9:C$1248,'Company Database'!G$9:G$1248))</f>
        <v>310.2</v>
      </c>
      <c r="I155" s="86">
        <f>LOOKUP(B155,'Company Database'!C$9:C$1248,'Company Database'!H$9:H$1248)</f>
        <v>0</v>
      </c>
      <c r="J155" s="86">
        <f>LOOKUP(B155,'Company Database'!C$9:C$1248,'Company Database'!I$9:I$1248)</f>
        <v>81.400000000000006</v>
      </c>
      <c r="K155" s="86">
        <f>LOOKUP(B155,'Company Database'!C$9:C$1248,'Company Database'!J$9:J$1248)</f>
        <v>29.04</v>
      </c>
    </row>
    <row r="156" spans="1:11" x14ac:dyDescent="0.2">
      <c r="A156">
        <v>142</v>
      </c>
      <c r="B156" s="146" t="s">
        <v>904</v>
      </c>
      <c r="C156" s="1" t="e">
        <f>LOOKUP(B156,'Company Database'!C$9:C$1248,'Company Database'!#REF!)</f>
        <v>#REF!</v>
      </c>
      <c r="D156" s="1">
        <f>VALUE(LOOKUP(B156,'Company Database'!C$9:C$1248,'Company Database'!D$9:D$1248))</f>
        <v>95.65</v>
      </c>
      <c r="E156" s="1">
        <f>VALUE(LOOKUP(B156,'Company Database'!C$9:C$1248,'Company Database'!E$9:E$1248))</f>
        <v>105.5</v>
      </c>
      <c r="F156" s="1">
        <f>VALUE(LOOKUP(B156,'Company Database'!C$9:C$1248,'Company Database'!F$9:F$1248))</f>
        <v>131.19999999999999</v>
      </c>
      <c r="G156" s="115">
        <f t="shared" si="2"/>
        <v>172.75</v>
      </c>
      <c r="H156" s="170">
        <f>VALUE(LOOKUP(B156,'Company Database'!C$9:C$1248,'Company Database'!G$9:G$1248))</f>
        <v>134.55000000000001</v>
      </c>
      <c r="I156" s="86">
        <f>LOOKUP(B156,'Company Database'!C$9:C$1248,'Company Database'!H$9:H$1248)</f>
        <v>0</v>
      </c>
      <c r="J156" s="86">
        <f>LOOKUP(B156,'Company Database'!C$9:C$1248,'Company Database'!I$9:I$1248)</f>
        <v>22.01</v>
      </c>
      <c r="K156" s="86">
        <f>LOOKUP(B156,'Company Database'!C$9:C$1248,'Company Database'!J$9:J$1248)</f>
        <v>11.53</v>
      </c>
    </row>
    <row r="157" spans="1:11" x14ac:dyDescent="0.2">
      <c r="A157">
        <v>143</v>
      </c>
      <c r="B157" s="146" t="s">
        <v>906</v>
      </c>
      <c r="C157" s="1" t="e">
        <f>LOOKUP(B157,'Company Database'!C$9:C$1248,'Company Database'!#REF!)</f>
        <v>#REF!</v>
      </c>
      <c r="D157" s="1">
        <f>VALUE(LOOKUP(B157,'Company Database'!C$9:C$1248,'Company Database'!D$9:D$1248))</f>
        <v>67.39</v>
      </c>
      <c r="E157" s="1">
        <f>VALUE(LOOKUP(B157,'Company Database'!C$9:C$1248,'Company Database'!E$9:E$1248))</f>
        <v>89.7</v>
      </c>
      <c r="F157" s="1">
        <f>VALUE(LOOKUP(B157,'Company Database'!C$9:C$1248,'Company Database'!F$9:F$1248))</f>
        <v>105.5</v>
      </c>
      <c r="G157" s="115">
        <f t="shared" si="2"/>
        <v>105.5</v>
      </c>
      <c r="H157" s="170">
        <f>VALUE(LOOKUP(B157,'Company Database'!C$9:C$1248,'Company Database'!G$9:G$1248))</f>
        <v>1958.65</v>
      </c>
      <c r="I157" s="86">
        <f>LOOKUP(B157,'Company Database'!C$9:C$1248,'Company Database'!H$9:H$1248)</f>
        <v>2.81</v>
      </c>
      <c r="J157" s="86">
        <f>LOOKUP(B157,'Company Database'!C$9:C$1248,'Company Database'!I$9:I$1248)</f>
        <v>16.77</v>
      </c>
      <c r="K157" s="86">
        <f>LOOKUP(B157,'Company Database'!C$9:C$1248,'Company Database'!J$9:J$1248)</f>
        <v>19.52</v>
      </c>
    </row>
    <row r="158" spans="1:11" x14ac:dyDescent="0.2">
      <c r="A158">
        <v>144</v>
      </c>
      <c r="B158" s="146" t="s">
        <v>908</v>
      </c>
      <c r="C158" s="1" t="e">
        <f>LOOKUP(B158,'Company Database'!C$9:C$1248,'Company Database'!#REF!)</f>
        <v>#REF!</v>
      </c>
      <c r="D158" s="1">
        <f>VALUE(LOOKUP(B158,'Company Database'!C$9:C$1248,'Company Database'!D$9:D$1248))</f>
        <v>0.92</v>
      </c>
      <c r="E158" s="1">
        <f>VALUE(LOOKUP(B158,'Company Database'!C$9:C$1248,'Company Database'!E$9:E$1248))</f>
        <v>1.6</v>
      </c>
      <c r="F158" s="1">
        <f>VALUE(LOOKUP(B158,'Company Database'!C$9:C$1248,'Company Database'!F$9:F$1248))</f>
        <v>2.5499999999999998</v>
      </c>
      <c r="G158" s="115">
        <f t="shared" si="2"/>
        <v>3.7699999999999982</v>
      </c>
      <c r="H158" s="170">
        <f>VALUE(LOOKUP(B158,'Company Database'!C$9:C$1248,'Company Database'!G$9:G$1248))</f>
        <v>40.6</v>
      </c>
      <c r="I158" s="86">
        <f>LOOKUP(B158,'Company Database'!C$9:C$1248,'Company Database'!H$9:H$1248)</f>
        <v>0.49</v>
      </c>
      <c r="J158" s="86">
        <f>LOOKUP(B158,'Company Database'!C$9:C$1248,'Company Database'!I$9:I$1248)</f>
        <v>5.39</v>
      </c>
      <c r="K158" s="86">
        <f>LOOKUP(B158,'Company Database'!C$9:C$1248,'Company Database'!J$9:J$1248)</f>
        <v>38.29</v>
      </c>
    </row>
    <row r="159" spans="1:11" x14ac:dyDescent="0.2">
      <c r="A159">
        <v>145</v>
      </c>
      <c r="B159" s="146" t="s">
        <v>1870</v>
      </c>
      <c r="C159" s="1" t="e">
        <f>LOOKUP(B159,'Company Database'!C$9:C$1248,'Company Database'!#REF!)</f>
        <v>#REF!</v>
      </c>
      <c r="D159" s="1">
        <f>VALUE(LOOKUP(B159,'Company Database'!C$9:C$1248,'Company Database'!D$9:D$1248))</f>
        <v>6.84</v>
      </c>
      <c r="E159" s="1">
        <f>VALUE(LOOKUP(B159,'Company Database'!C$9:C$1248,'Company Database'!E$9:E$1248))</f>
        <v>7.7</v>
      </c>
      <c r="F159" s="1">
        <f>VALUE(LOOKUP(B159,'Company Database'!C$9:C$1248,'Company Database'!F$9:F$1248))</f>
        <v>9.5</v>
      </c>
      <c r="G159" s="115">
        <f t="shared" si="2"/>
        <v>12.240000000000002</v>
      </c>
      <c r="H159" s="170">
        <f>VALUE(LOOKUP(B159,'Company Database'!C$9:C$1248,'Company Database'!G$9:G$1248))</f>
        <v>161.94999999999999</v>
      </c>
      <c r="I159" s="86">
        <f>LOOKUP(B159,'Company Database'!C$9:C$1248,'Company Database'!H$9:H$1248)</f>
        <v>0</v>
      </c>
      <c r="J159" s="86">
        <f>LOOKUP(B159,'Company Database'!C$9:C$1248,'Company Database'!I$9:I$1248)</f>
        <v>14.83</v>
      </c>
      <c r="K159" s="86">
        <f>LOOKUP(B159,'Company Database'!C$9:C$1248,'Company Database'!J$9:J$1248)</f>
        <v>21.47</v>
      </c>
    </row>
    <row r="160" spans="1:11" x14ac:dyDescent="0.2">
      <c r="A160">
        <v>146</v>
      </c>
      <c r="B160" s="146" t="s">
        <v>1259</v>
      </c>
      <c r="C160" s="1" t="e">
        <f>LOOKUP(B160,'Company Database'!C$9:C$1248,'Company Database'!#REF!)</f>
        <v>#REF!</v>
      </c>
      <c r="D160" s="1">
        <f>VALUE(LOOKUP(B160,'Company Database'!C$9:C$1248,'Company Database'!D$9:D$1248))</f>
        <v>-1.57</v>
      </c>
      <c r="E160" s="1">
        <f>VALUE(LOOKUP(B160,'Company Database'!C$9:C$1248,'Company Database'!E$9:E$1248))</f>
        <v>-3.2</v>
      </c>
      <c r="F160" s="1">
        <f>VALUE(LOOKUP(B160,'Company Database'!C$9:C$1248,'Company Database'!F$9:F$1248))</f>
        <v>-2.5</v>
      </c>
      <c r="G160" s="115">
        <f t="shared" si="2"/>
        <v>0.53000000000000336</v>
      </c>
      <c r="H160" s="170">
        <f>VALUE(LOOKUP(B160,'Company Database'!C$9:C$1248,'Company Database'!G$9:G$1248))</f>
        <v>15.8</v>
      </c>
      <c r="I160" s="86">
        <f>LOOKUP(B160,'Company Database'!C$9:C$1248,'Company Database'!H$9:H$1248)</f>
        <v>0</v>
      </c>
      <c r="J160" s="86">
        <f>LOOKUP(B160,'Company Database'!C$9:C$1248,'Company Database'!I$9:I$1248)</f>
        <v>0</v>
      </c>
      <c r="K160" s="86">
        <f>LOOKUP(B160,'Company Database'!C$9:C$1248,'Company Database'!J$9:J$1248)</f>
        <v>59.88</v>
      </c>
    </row>
    <row r="161" spans="1:11" x14ac:dyDescent="0.2">
      <c r="A161">
        <v>147</v>
      </c>
      <c r="B161" s="146" t="s">
        <v>4363</v>
      </c>
      <c r="C161" s="1" t="e">
        <f>LOOKUP(B161,'Company Database'!C$9:C$1248,'Company Database'!#REF!)</f>
        <v>#REF!</v>
      </c>
      <c r="D161" s="1">
        <f>VALUE(LOOKUP(B161,'Company Database'!C$9:C$1248,'Company Database'!D$9:D$1248))</f>
        <v>35.99</v>
      </c>
      <c r="E161" s="1">
        <f>VALUE(LOOKUP(B161,'Company Database'!C$9:C$1248,'Company Database'!E$9:E$1248))</f>
        <v>45.3</v>
      </c>
      <c r="F161" s="1">
        <f>VALUE(LOOKUP(B161,'Company Database'!C$9:C$1248,'Company Database'!F$9:F$1248))</f>
        <v>57.4</v>
      </c>
      <c r="G161" s="115">
        <f t="shared" si="2"/>
        <v>72.289999999999992</v>
      </c>
      <c r="H161" s="170">
        <f>VALUE(LOOKUP(B161,'Company Database'!C$9:C$1248,'Company Database'!G$9:G$1248))</f>
        <v>1043.2</v>
      </c>
      <c r="I161" s="86">
        <f>LOOKUP(B161,'Company Database'!C$9:C$1248,'Company Database'!H$9:H$1248)</f>
        <v>0</v>
      </c>
      <c r="J161" s="86">
        <f>LOOKUP(B161,'Company Database'!C$9:C$1248,'Company Database'!I$9:I$1248)</f>
        <v>7.53</v>
      </c>
      <c r="K161" s="86">
        <f>LOOKUP(B161,'Company Database'!C$9:C$1248,'Company Database'!J$9:J$1248)</f>
        <v>23.35</v>
      </c>
    </row>
    <row r="162" spans="1:11" x14ac:dyDescent="0.2">
      <c r="A162">
        <v>148</v>
      </c>
      <c r="B162" s="146" t="s">
        <v>1336</v>
      </c>
      <c r="C162" s="1" t="e">
        <f>LOOKUP(B162,'Company Database'!C$9:C$1248,'Company Database'!#REF!)</f>
        <v>#REF!</v>
      </c>
      <c r="D162" s="1">
        <f>VALUE(LOOKUP(B162,'Company Database'!C$9:C$1248,'Company Database'!D$9:D$1248))</f>
        <v>42.59</v>
      </c>
      <c r="E162" s="1">
        <f>VALUE(LOOKUP(B162,'Company Database'!C$9:C$1248,'Company Database'!E$9:E$1248))</f>
        <v>42.3</v>
      </c>
      <c r="F162" s="1">
        <f>VALUE(LOOKUP(B162,'Company Database'!C$9:C$1248,'Company Database'!F$9:F$1248))</f>
        <v>46.35</v>
      </c>
      <c r="G162" s="115">
        <f t="shared" si="2"/>
        <v>54.740000000000023</v>
      </c>
      <c r="H162" s="170">
        <f>VALUE(LOOKUP(B162,'Company Database'!C$9:C$1248,'Company Database'!G$9:G$1248))</f>
        <v>854.95</v>
      </c>
      <c r="I162" s="86">
        <f>LOOKUP(B162,'Company Database'!C$9:C$1248,'Company Database'!H$9:H$1248)</f>
        <v>0</v>
      </c>
      <c r="J162" s="86">
        <f>LOOKUP(B162,'Company Database'!C$9:C$1248,'Company Database'!I$9:I$1248)</f>
        <v>8.7200000000000006</v>
      </c>
      <c r="K162" s="86">
        <f>LOOKUP(B162,'Company Database'!C$9:C$1248,'Company Database'!J$9:J$1248)</f>
        <v>17.850000000000001</v>
      </c>
    </row>
    <row r="163" spans="1:11" x14ac:dyDescent="0.2">
      <c r="A163">
        <v>149</v>
      </c>
      <c r="B163" s="146" t="s">
        <v>3787</v>
      </c>
      <c r="C163" s="1" t="e">
        <f>LOOKUP(B163,'Company Database'!C$9:C$1248,'Company Database'!#REF!)</f>
        <v>#REF!</v>
      </c>
      <c r="D163" s="1">
        <f>VALUE(LOOKUP(B163,'Company Database'!C$9:C$1248,'Company Database'!D$9:D$1248))</f>
        <v>14.08</v>
      </c>
      <c r="E163" s="1">
        <f>VALUE(LOOKUP(B163,'Company Database'!C$9:C$1248,'Company Database'!E$9:E$1248))</f>
        <v>15.93</v>
      </c>
      <c r="F163" s="1">
        <f>VALUE(LOOKUP(B163,'Company Database'!C$9:C$1248,'Company Database'!F$9:F$1248))</f>
        <v>18.45</v>
      </c>
      <c r="G163" s="115">
        <f t="shared" si="2"/>
        <v>21.64</v>
      </c>
      <c r="H163" s="170">
        <f>VALUE(LOOKUP(B163,'Company Database'!C$9:C$1248,'Company Database'!G$9:G$1248))</f>
        <v>133.25</v>
      </c>
      <c r="I163" s="86">
        <f>LOOKUP(B163,'Company Database'!C$9:C$1248,'Company Database'!H$9:H$1248)</f>
        <v>0</v>
      </c>
      <c r="J163" s="86">
        <f>LOOKUP(B163,'Company Database'!C$9:C$1248,'Company Database'!I$9:I$1248)</f>
        <v>12.55</v>
      </c>
      <c r="K163" s="86">
        <f>LOOKUP(B163,'Company Database'!C$9:C$1248,'Company Database'!J$9:J$1248)</f>
        <v>7.96</v>
      </c>
    </row>
    <row r="164" spans="1:11" x14ac:dyDescent="0.2">
      <c r="A164">
        <v>150</v>
      </c>
      <c r="B164" s="146" t="s">
        <v>4360</v>
      </c>
      <c r="C164" s="1" t="e">
        <f>LOOKUP(B164,'Company Database'!C$9:C$1248,'Company Database'!#REF!)</f>
        <v>#REF!</v>
      </c>
      <c r="D164" s="1">
        <f>VALUE(LOOKUP(B164,'Company Database'!C$9:C$1248,'Company Database'!D$9:D$1248))</f>
        <v>7.74</v>
      </c>
      <c r="E164" s="1">
        <f>VALUE(LOOKUP(B164,'Company Database'!C$9:C$1248,'Company Database'!E$9:E$1248))</f>
        <v>9.1999999999999993</v>
      </c>
      <c r="F164" s="1">
        <f>VALUE(LOOKUP(B164,'Company Database'!C$9:C$1248,'Company Database'!F$9:F$1248))</f>
        <v>11.1</v>
      </c>
      <c r="G164" s="115">
        <f t="shared" si="2"/>
        <v>13.440000000000001</v>
      </c>
      <c r="H164" s="170">
        <f>VALUE(LOOKUP(B164,'Company Database'!C$9:C$1248,'Company Database'!G$9:G$1248))</f>
        <v>137.30000000000001</v>
      </c>
      <c r="I164" s="86">
        <f>LOOKUP(B164,'Company Database'!C$9:C$1248,'Company Database'!H$9:H$1248)</f>
        <v>0</v>
      </c>
      <c r="J164" s="86">
        <f>LOOKUP(B164,'Company Database'!C$9:C$1248,'Company Database'!I$9:I$1248)</f>
        <v>15.08</v>
      </c>
      <c r="K164" s="86">
        <f>LOOKUP(B164,'Company Database'!C$9:C$1248,'Company Database'!J$9:J$1248)</f>
        <v>24.74</v>
      </c>
    </row>
    <row r="165" spans="1:11" x14ac:dyDescent="0.2">
      <c r="A165">
        <v>151</v>
      </c>
      <c r="B165" s="146" t="s">
        <v>1379</v>
      </c>
      <c r="C165" s="1" t="e">
        <f>LOOKUP(B165,'Company Database'!C$9:C$1248,'Company Database'!#REF!)</f>
        <v>#REF!</v>
      </c>
      <c r="D165" s="1">
        <f>VALUE(LOOKUP(B165,'Company Database'!C$9:C$1248,'Company Database'!D$9:D$1248))</f>
        <v>92.16</v>
      </c>
      <c r="E165" s="1">
        <f>VALUE(LOOKUP(B165,'Company Database'!C$9:C$1248,'Company Database'!E$9:E$1248))</f>
        <v>122.15</v>
      </c>
      <c r="F165" s="1">
        <f>VALUE(LOOKUP(B165,'Company Database'!C$9:C$1248,'Company Database'!F$9:F$1248))</f>
        <v>128.25</v>
      </c>
      <c r="G165" s="115">
        <f t="shared" si="2"/>
        <v>128.25</v>
      </c>
      <c r="H165" s="170">
        <f>VALUE(LOOKUP(B165,'Company Database'!C$9:C$1248,'Company Database'!G$9:G$1248))</f>
        <v>2170.35</v>
      </c>
      <c r="I165" s="86">
        <f>LOOKUP(B165,'Company Database'!C$9:C$1248,'Company Database'!H$9:H$1248)</f>
        <v>0</v>
      </c>
      <c r="J165" s="86">
        <f>LOOKUP(B165,'Company Database'!C$9:C$1248,'Company Database'!I$9:I$1248)</f>
        <v>19.100000000000001</v>
      </c>
      <c r="K165" s="86">
        <f>LOOKUP(B165,'Company Database'!C$9:C$1248,'Company Database'!J$9:J$1248)</f>
        <v>18.79</v>
      </c>
    </row>
    <row r="166" spans="1:11" x14ac:dyDescent="0.2">
      <c r="A166">
        <v>152</v>
      </c>
      <c r="B166" s="146" t="s">
        <v>1337</v>
      </c>
      <c r="C166" s="1" t="e">
        <f>LOOKUP(B166,'Company Database'!C$9:C$1248,'Company Database'!#REF!)</f>
        <v>#REF!</v>
      </c>
      <c r="D166" s="1">
        <f>VALUE(LOOKUP(B166,'Company Database'!C$9:C$1248,'Company Database'!D$9:D$1248))</f>
        <v>0</v>
      </c>
      <c r="E166" s="1">
        <f>VALUE(LOOKUP(B166,'Company Database'!C$9:C$1248,'Company Database'!E$9:E$1248))</f>
        <v>2.9</v>
      </c>
      <c r="F166" s="1">
        <f>VALUE(LOOKUP(B166,'Company Database'!C$9:C$1248,'Company Database'!F$9:F$1248))</f>
        <v>3.6</v>
      </c>
      <c r="G166" s="115">
        <f t="shared" si="2"/>
        <v>3.6</v>
      </c>
      <c r="H166" s="170">
        <f>VALUE(LOOKUP(B166,'Company Database'!C$9:C$1248,'Company Database'!G$9:G$1248))</f>
        <v>33.6</v>
      </c>
      <c r="I166" s="86">
        <f>LOOKUP(B166,'Company Database'!C$9:C$1248,'Company Database'!H$9:H$1248)</f>
        <v>0</v>
      </c>
      <c r="J166" s="86">
        <f>LOOKUP(B166,'Company Database'!C$9:C$1248,'Company Database'!I$9:I$1248)</f>
        <v>48.39</v>
      </c>
      <c r="K166" s="86">
        <f>LOOKUP(B166,'Company Database'!C$9:C$1248,'Company Database'!J$9:J$1248)</f>
        <v>18.420000000000002</v>
      </c>
    </row>
    <row r="167" spans="1:11" x14ac:dyDescent="0.2">
      <c r="A167">
        <v>153</v>
      </c>
      <c r="B167" s="146" t="s">
        <v>1338</v>
      </c>
      <c r="C167" s="1" t="e">
        <f>LOOKUP(B167,'Company Database'!C$9:C$1248,'Company Database'!#REF!)</f>
        <v>#REF!</v>
      </c>
      <c r="D167" s="1">
        <f>VALUE(LOOKUP(B167,'Company Database'!C$9:C$1248,'Company Database'!D$9:D$1248))</f>
        <v>8.8000000000000007</v>
      </c>
      <c r="E167" s="1">
        <f>VALUE(LOOKUP(B167,'Company Database'!C$9:C$1248,'Company Database'!E$9:E$1248))</f>
        <v>11.94</v>
      </c>
      <c r="F167" s="1">
        <f>VALUE(LOOKUP(B167,'Company Database'!C$9:C$1248,'Company Database'!F$9:F$1248))</f>
        <v>15.6</v>
      </c>
      <c r="G167" s="115">
        <f t="shared" si="2"/>
        <v>19.780000000000005</v>
      </c>
      <c r="H167" s="170">
        <f>VALUE(LOOKUP(B167,'Company Database'!C$9:C$1248,'Company Database'!G$9:G$1248))</f>
        <v>17.05</v>
      </c>
      <c r="I167" s="86">
        <f>LOOKUP(B167,'Company Database'!C$9:C$1248,'Company Database'!H$9:H$1248)</f>
        <v>0</v>
      </c>
      <c r="J167" s="86">
        <f>LOOKUP(B167,'Company Database'!C$9:C$1248,'Company Database'!I$9:I$1248)</f>
        <v>0</v>
      </c>
      <c r="K167" s="86">
        <f>LOOKUP(B167,'Company Database'!C$9:C$1248,'Company Database'!J$9:J$1248)</f>
        <v>0</v>
      </c>
    </row>
    <row r="168" spans="1:11" x14ac:dyDescent="0.2">
      <c r="A168">
        <v>154</v>
      </c>
      <c r="B168" s="146" t="s">
        <v>1339</v>
      </c>
      <c r="C168" s="1" t="e">
        <f>LOOKUP(B168,'Company Database'!C$9:C$1248,'Company Database'!#REF!)</f>
        <v>#REF!</v>
      </c>
      <c r="D168" s="1">
        <f>VALUE(LOOKUP(B168,'Company Database'!C$9:C$1248,'Company Database'!D$9:D$1248))</f>
        <v>9.84</v>
      </c>
      <c r="E168" s="1">
        <f>VALUE(LOOKUP(B168,'Company Database'!C$9:C$1248,'Company Database'!E$9:E$1248))</f>
        <v>20.32</v>
      </c>
      <c r="F168" s="1">
        <f>VALUE(LOOKUP(B168,'Company Database'!C$9:C$1248,'Company Database'!F$9:F$1248))</f>
        <v>26.9</v>
      </c>
      <c r="G168" s="115">
        <f t="shared" si="2"/>
        <v>26.9</v>
      </c>
      <c r="H168" s="170">
        <f>VALUE(LOOKUP(B168,'Company Database'!C$9:C$1248,'Company Database'!G$9:G$1248))</f>
        <v>151.65</v>
      </c>
      <c r="I168" s="86">
        <f>LOOKUP(B168,'Company Database'!C$9:C$1248,'Company Database'!H$9:H$1248)</f>
        <v>0</v>
      </c>
      <c r="J168" s="86">
        <f>LOOKUP(B168,'Company Database'!C$9:C$1248,'Company Database'!I$9:I$1248)</f>
        <v>6.13</v>
      </c>
      <c r="K168" s="86">
        <f>LOOKUP(B168,'Company Database'!C$9:C$1248,'Company Database'!J$9:J$1248)</f>
        <v>7.75</v>
      </c>
    </row>
    <row r="169" spans="1:11" x14ac:dyDescent="0.2">
      <c r="A169">
        <v>155</v>
      </c>
      <c r="B169" s="146" t="s">
        <v>2246</v>
      </c>
      <c r="C169" s="1" t="e">
        <f>LOOKUP(B169,'Company Database'!C$9:C$1248,'Company Database'!#REF!)</f>
        <v>#REF!</v>
      </c>
      <c r="D169" s="1">
        <f>VALUE(LOOKUP(B169,'Company Database'!C$9:C$1248,'Company Database'!D$9:D$1248))</f>
        <v>9.68</v>
      </c>
      <c r="E169" s="1">
        <f>VALUE(LOOKUP(B169,'Company Database'!C$9:C$1248,'Company Database'!E$9:E$1248))</f>
        <v>3.45</v>
      </c>
      <c r="F169" s="1">
        <f>VALUE(LOOKUP(B169,'Company Database'!C$9:C$1248,'Company Database'!F$9:F$1248))</f>
        <v>6.05</v>
      </c>
      <c r="G169" s="115">
        <f t="shared" si="2"/>
        <v>17.480000000000004</v>
      </c>
      <c r="H169" s="170">
        <f>VALUE(LOOKUP(B169,'Company Database'!C$9:C$1248,'Company Database'!G$9:G$1248))</f>
        <v>84.75</v>
      </c>
      <c r="I169" s="86">
        <f>LOOKUP(B169,'Company Database'!C$9:C$1248,'Company Database'!H$9:H$1248)</f>
        <v>2.36</v>
      </c>
      <c r="J169" s="86">
        <f>LOOKUP(B169,'Company Database'!C$9:C$1248,'Company Database'!I$9:I$1248)</f>
        <v>8.44</v>
      </c>
      <c r="K169" s="86">
        <f>LOOKUP(B169,'Company Database'!C$9:C$1248,'Company Database'!J$9:J$1248)</f>
        <v>7.34</v>
      </c>
    </row>
    <row r="170" spans="1:11" x14ac:dyDescent="0.2">
      <c r="A170">
        <v>156</v>
      </c>
      <c r="B170" s="146" t="s">
        <v>1340</v>
      </c>
      <c r="C170" s="1" t="e">
        <f>LOOKUP(B170,'Company Database'!C$9:C$1248,'Company Database'!#REF!)</f>
        <v>#REF!</v>
      </c>
      <c r="D170" s="1">
        <f>VALUE(LOOKUP(B170,'Company Database'!C$9:C$1248,'Company Database'!D$9:D$1248))</f>
        <v>15.39</v>
      </c>
      <c r="E170" s="1">
        <f>VALUE(LOOKUP(B170,'Company Database'!C$9:C$1248,'Company Database'!E$9:E$1248))</f>
        <v>18.5</v>
      </c>
      <c r="F170" s="1">
        <f>VALUE(LOOKUP(B170,'Company Database'!C$9:C$1248,'Company Database'!F$9:F$1248))</f>
        <v>21</v>
      </c>
      <c r="G170" s="115">
        <f t="shared" si="2"/>
        <v>21</v>
      </c>
      <c r="H170" s="170">
        <f>VALUE(LOOKUP(B170,'Company Database'!C$9:C$1248,'Company Database'!G$9:G$1248))</f>
        <v>332.3</v>
      </c>
      <c r="I170" s="86">
        <f>LOOKUP(B170,'Company Database'!C$9:C$1248,'Company Database'!H$9:H$1248)</f>
        <v>1.35</v>
      </c>
      <c r="J170" s="86">
        <f>LOOKUP(B170,'Company Database'!C$9:C$1248,'Company Database'!I$9:I$1248)</f>
        <v>25.83</v>
      </c>
      <c r="K170" s="86">
        <f>LOOKUP(B170,'Company Database'!C$9:C$1248,'Company Database'!J$9:J$1248)</f>
        <v>21.58</v>
      </c>
    </row>
    <row r="171" spans="1:11" x14ac:dyDescent="0.2">
      <c r="A171">
        <v>157</v>
      </c>
      <c r="B171" s="146" t="s">
        <v>2248</v>
      </c>
      <c r="C171" s="1" t="e">
        <f>LOOKUP(B171,'Company Database'!C$9:C$1248,'Company Database'!#REF!)</f>
        <v>#REF!</v>
      </c>
      <c r="D171" s="1">
        <f>VALUE(LOOKUP(B171,'Company Database'!C$9:C$1248,'Company Database'!D$9:D$1248))</f>
        <v>-2.9</v>
      </c>
      <c r="E171" s="1">
        <f>VALUE(LOOKUP(B171,'Company Database'!C$9:C$1248,'Company Database'!E$9:E$1248))</f>
        <v>1.4</v>
      </c>
      <c r="F171" s="1">
        <f>VALUE(LOOKUP(B171,'Company Database'!C$9:C$1248,'Company Database'!F$9:F$1248))</f>
        <v>3.7</v>
      </c>
      <c r="G171" s="115">
        <f t="shared" si="2"/>
        <v>3.7</v>
      </c>
      <c r="H171" s="170">
        <f>VALUE(LOOKUP(B171,'Company Database'!C$9:C$1248,'Company Database'!G$9:G$1248))</f>
        <v>79.75</v>
      </c>
      <c r="I171" s="86">
        <f>LOOKUP(B171,'Company Database'!C$9:C$1248,'Company Database'!H$9:H$1248)</f>
        <v>1.26</v>
      </c>
      <c r="J171" s="86">
        <f>LOOKUP(B171,'Company Database'!C$9:C$1248,'Company Database'!I$9:I$1248)</f>
        <v>3.87</v>
      </c>
      <c r="K171" s="86">
        <f>LOOKUP(B171,'Company Database'!C$9:C$1248,'Company Database'!J$9:J$1248)</f>
        <v>39.51</v>
      </c>
    </row>
    <row r="172" spans="1:11" x14ac:dyDescent="0.2">
      <c r="A172">
        <v>158</v>
      </c>
      <c r="B172" s="146" t="s">
        <v>1341</v>
      </c>
      <c r="C172" s="1" t="e">
        <f>LOOKUP(B172,'Company Database'!C$9:C$1248,'Company Database'!#REF!)</f>
        <v>#REF!</v>
      </c>
      <c r="D172" s="1">
        <f>VALUE(LOOKUP(B172,'Company Database'!C$9:C$1248,'Company Database'!D$9:D$1248))</f>
        <v>14.49</v>
      </c>
      <c r="E172" s="1">
        <f>VALUE(LOOKUP(B172,'Company Database'!C$9:C$1248,'Company Database'!E$9:E$1248))</f>
        <v>16.5</v>
      </c>
      <c r="F172" s="1">
        <f>VALUE(LOOKUP(B172,'Company Database'!C$9:C$1248,'Company Database'!F$9:F$1248))</f>
        <v>22.75</v>
      </c>
      <c r="G172" s="115">
        <f t="shared" si="2"/>
        <v>33.240000000000009</v>
      </c>
      <c r="H172" s="170">
        <f>VALUE(LOOKUP(B172,'Company Database'!C$9:C$1248,'Company Database'!G$9:G$1248))</f>
        <v>147.30000000000001</v>
      </c>
      <c r="I172" s="86">
        <f>LOOKUP(B172,'Company Database'!C$9:C$1248,'Company Database'!H$9:H$1248)</f>
        <v>0</v>
      </c>
      <c r="J172" s="86">
        <f>LOOKUP(B172,'Company Database'!C$9:C$1248,'Company Database'!I$9:I$1248)</f>
        <v>11.1</v>
      </c>
      <c r="K172" s="86">
        <f>LOOKUP(B172,'Company Database'!C$9:C$1248,'Company Database'!J$9:J$1248)</f>
        <v>8.51</v>
      </c>
    </row>
    <row r="173" spans="1:11" x14ac:dyDescent="0.2">
      <c r="A173">
        <v>159</v>
      </c>
      <c r="B173" s="146" t="s">
        <v>3201</v>
      </c>
      <c r="C173" s="1" t="e">
        <f>LOOKUP(B173,'Company Database'!C$9:C$1248,'Company Database'!#REF!)</f>
        <v>#REF!</v>
      </c>
      <c r="D173" s="1">
        <f>VALUE(LOOKUP(B173,'Company Database'!C$9:C$1248,'Company Database'!D$9:D$1248))</f>
        <v>14.8</v>
      </c>
      <c r="E173" s="1">
        <f>VALUE(LOOKUP(B173,'Company Database'!C$9:C$1248,'Company Database'!E$9:E$1248))</f>
        <v>31.7</v>
      </c>
      <c r="F173" s="1">
        <f>VALUE(LOOKUP(B173,'Company Database'!C$9:C$1248,'Company Database'!F$9:F$1248))</f>
        <v>68.12</v>
      </c>
      <c r="G173" s="115">
        <f t="shared" si="2"/>
        <v>124.06000000000007</v>
      </c>
      <c r="H173" s="170">
        <f>VALUE(LOOKUP(B173,'Company Database'!C$9:C$1248,'Company Database'!G$9:G$1248))</f>
        <v>858.9</v>
      </c>
      <c r="I173" s="86">
        <f>LOOKUP(B173,'Company Database'!C$9:C$1248,'Company Database'!H$9:H$1248)</f>
        <v>0.57999999999999996</v>
      </c>
      <c r="J173" s="86">
        <f>LOOKUP(B173,'Company Database'!C$9:C$1248,'Company Database'!I$9:I$1248)</f>
        <v>6</v>
      </c>
      <c r="K173" s="86">
        <f>LOOKUP(B173,'Company Database'!C$9:C$1248,'Company Database'!J$9:J$1248)</f>
        <v>34.39</v>
      </c>
    </row>
    <row r="174" spans="1:11" x14ac:dyDescent="0.2">
      <c r="A174">
        <v>160</v>
      </c>
      <c r="B174" s="146" t="s">
        <v>1342</v>
      </c>
      <c r="C174" s="1" t="e">
        <f>LOOKUP(B174,'Company Database'!C$9:C$1248,'Company Database'!#REF!)</f>
        <v>#REF!</v>
      </c>
      <c r="D174" s="1">
        <f>VALUE(LOOKUP(B174,'Company Database'!C$9:C$1248,'Company Database'!D$9:D$1248))</f>
        <v>34.26</v>
      </c>
      <c r="E174" s="1">
        <f>VALUE(LOOKUP(B174,'Company Database'!C$9:C$1248,'Company Database'!E$9:E$1248))</f>
        <v>40.75</v>
      </c>
      <c r="F174" s="1">
        <f>VALUE(LOOKUP(B174,'Company Database'!C$9:C$1248,'Company Database'!F$9:F$1248))</f>
        <v>51.4</v>
      </c>
      <c r="G174" s="115">
        <f t="shared" si="2"/>
        <v>66.20999999999998</v>
      </c>
      <c r="H174" s="170">
        <f>VALUE(LOOKUP(B174,'Company Database'!C$9:C$1248,'Company Database'!G$9:G$1248))</f>
        <v>426.3</v>
      </c>
      <c r="I174" s="86">
        <f>LOOKUP(B174,'Company Database'!C$9:C$1248,'Company Database'!H$9:H$1248)</f>
        <v>0</v>
      </c>
      <c r="J174" s="86">
        <f>LOOKUP(B174,'Company Database'!C$9:C$1248,'Company Database'!I$9:I$1248)</f>
        <v>13.42</v>
      </c>
      <c r="K174" s="86">
        <f>LOOKUP(B174,'Company Database'!C$9:C$1248,'Company Database'!J$9:J$1248)</f>
        <v>10.18</v>
      </c>
    </row>
    <row r="175" spans="1:11" x14ac:dyDescent="0.2">
      <c r="A175">
        <v>161</v>
      </c>
      <c r="B175" s="146" t="s">
        <v>2931</v>
      </c>
      <c r="C175" s="1" t="e">
        <f>LOOKUP(B175,'Company Database'!C$9:C$1248,'Company Database'!#REF!)</f>
        <v>#REF!</v>
      </c>
      <c r="D175" s="1">
        <f>VALUE(LOOKUP(B175,'Company Database'!C$9:C$1248,'Company Database'!D$9:D$1248))</f>
        <v>0</v>
      </c>
      <c r="E175" s="1">
        <f>VALUE(LOOKUP(B175,'Company Database'!C$9:C$1248,'Company Database'!E$9:E$1248))</f>
        <v>-6.2</v>
      </c>
      <c r="F175" s="1">
        <f>VALUE(LOOKUP(B175,'Company Database'!C$9:C$1248,'Company Database'!F$9:F$1248))</f>
        <v>14</v>
      </c>
      <c r="G175" s="115">
        <f t="shared" si="2"/>
        <v>60.600000000000023</v>
      </c>
      <c r="H175" s="170">
        <f>VALUE(LOOKUP(B175,'Company Database'!C$9:C$1248,'Company Database'!G$9:G$1248))</f>
        <v>141.35</v>
      </c>
      <c r="I175" s="86">
        <f>LOOKUP(B175,'Company Database'!C$9:C$1248,'Company Database'!H$9:H$1248)</f>
        <v>0</v>
      </c>
      <c r="J175" s="86">
        <f>LOOKUP(B175,'Company Database'!C$9:C$1248,'Company Database'!I$9:I$1248)</f>
        <v>-5.7</v>
      </c>
      <c r="K175" s="86">
        <f>LOOKUP(B175,'Company Database'!C$9:C$1248,'Company Database'!J$9:J$1248)</f>
        <v>0</v>
      </c>
    </row>
    <row r="176" spans="1:11" x14ac:dyDescent="0.2">
      <c r="A176">
        <v>162</v>
      </c>
      <c r="B176" s="146" t="s">
        <v>2932</v>
      </c>
      <c r="C176" s="1" t="e">
        <f>LOOKUP(B176,'Company Database'!C$9:C$1248,'Company Database'!#REF!)</f>
        <v>#REF!</v>
      </c>
      <c r="D176" s="1">
        <f>VALUE(LOOKUP(B176,'Company Database'!C$9:C$1248,'Company Database'!D$9:D$1248))</f>
        <v>15.38</v>
      </c>
      <c r="E176" s="1">
        <f>VALUE(LOOKUP(B176,'Company Database'!C$9:C$1248,'Company Database'!E$9:E$1248))</f>
        <v>13</v>
      </c>
      <c r="F176" s="1">
        <f>VALUE(LOOKUP(B176,'Company Database'!C$9:C$1248,'Company Database'!F$9:F$1248))</f>
        <v>15.8</v>
      </c>
      <c r="G176" s="115">
        <f t="shared" si="2"/>
        <v>23.780000000000015</v>
      </c>
      <c r="H176" s="170">
        <f>VALUE(LOOKUP(B176,'Company Database'!C$9:C$1248,'Company Database'!G$9:G$1248))</f>
        <v>152.15</v>
      </c>
      <c r="I176" s="86">
        <f>LOOKUP(B176,'Company Database'!C$9:C$1248,'Company Database'!H$9:H$1248)</f>
        <v>0</v>
      </c>
      <c r="J176" s="86">
        <f>LOOKUP(B176,'Company Database'!C$9:C$1248,'Company Database'!I$9:I$1248)</f>
        <v>12.85</v>
      </c>
      <c r="K176" s="86">
        <f>LOOKUP(B176,'Company Database'!C$9:C$1248,'Company Database'!J$9:J$1248)</f>
        <v>14.38</v>
      </c>
    </row>
    <row r="177" spans="1:11" x14ac:dyDescent="0.2">
      <c r="A177">
        <v>163</v>
      </c>
      <c r="B177" s="146" t="s">
        <v>1380</v>
      </c>
      <c r="C177" s="1" t="e">
        <f>LOOKUP(B177,'Company Database'!C$9:C$1248,'Company Database'!#REF!)</f>
        <v>#REF!</v>
      </c>
      <c r="D177" s="1">
        <f>VALUE(LOOKUP(B177,'Company Database'!C$9:C$1248,'Company Database'!D$9:D$1248))</f>
        <v>108.87</v>
      </c>
      <c r="E177" s="1">
        <f>VALUE(LOOKUP(B177,'Company Database'!C$9:C$1248,'Company Database'!E$9:E$1248))</f>
        <v>120.7</v>
      </c>
      <c r="F177" s="1">
        <f>VALUE(LOOKUP(B177,'Company Database'!C$9:C$1248,'Company Database'!F$9:F$1248))</f>
        <v>149.13</v>
      </c>
      <c r="G177" s="115">
        <f t="shared" si="2"/>
        <v>194.16000000000003</v>
      </c>
      <c r="H177" s="170">
        <f>VALUE(LOOKUP(B177,'Company Database'!C$9:C$1248,'Company Database'!G$9:G$1248))</f>
        <v>2849.85</v>
      </c>
      <c r="I177" s="86">
        <f>LOOKUP(B177,'Company Database'!C$9:C$1248,'Company Database'!H$9:H$1248)</f>
        <v>0</v>
      </c>
      <c r="J177" s="86">
        <f>LOOKUP(B177,'Company Database'!C$9:C$1248,'Company Database'!I$9:I$1248)</f>
        <v>25.89</v>
      </c>
      <c r="K177" s="86">
        <f>LOOKUP(B177,'Company Database'!C$9:C$1248,'Company Database'!J$9:J$1248)</f>
        <v>25.4</v>
      </c>
    </row>
    <row r="178" spans="1:11" x14ac:dyDescent="0.2">
      <c r="A178">
        <v>164</v>
      </c>
      <c r="B178" s="146" t="s">
        <v>1871</v>
      </c>
      <c r="C178" s="1" t="e">
        <f>LOOKUP(B178,'Company Database'!C$9:C$1248,'Company Database'!#REF!)</f>
        <v>#REF!</v>
      </c>
      <c r="D178" s="1">
        <f>VALUE(LOOKUP(B178,'Company Database'!C$9:C$1248,'Company Database'!D$9:D$1248))</f>
        <v>4.24</v>
      </c>
      <c r="E178" s="1">
        <f>VALUE(LOOKUP(B178,'Company Database'!C$9:C$1248,'Company Database'!E$9:E$1248))</f>
        <v>2</v>
      </c>
      <c r="F178" s="1">
        <f>VALUE(LOOKUP(B178,'Company Database'!C$9:C$1248,'Company Database'!F$9:F$1248))</f>
        <v>3.2</v>
      </c>
      <c r="G178" s="115">
        <f t="shared" si="2"/>
        <v>7.840000000000007</v>
      </c>
      <c r="H178" s="170">
        <f>VALUE(LOOKUP(B178,'Company Database'!C$9:C$1248,'Company Database'!G$9:G$1248))</f>
        <v>43.95</v>
      </c>
      <c r="I178" s="86">
        <f>LOOKUP(B178,'Company Database'!C$9:C$1248,'Company Database'!H$9:H$1248)</f>
        <v>0</v>
      </c>
      <c r="J178" s="86">
        <f>LOOKUP(B178,'Company Database'!C$9:C$1248,'Company Database'!I$9:I$1248)</f>
        <v>4.51</v>
      </c>
      <c r="K178" s="86">
        <f>LOOKUP(B178,'Company Database'!C$9:C$1248,'Company Database'!J$9:J$1248)</f>
        <v>10.44</v>
      </c>
    </row>
    <row r="179" spans="1:11" x14ac:dyDescent="0.2">
      <c r="A179">
        <v>165</v>
      </c>
      <c r="B179" s="146" t="s">
        <v>2998</v>
      </c>
      <c r="C179" s="1" t="e">
        <f>LOOKUP(B179,'Company Database'!C$9:C$1248,'Company Database'!#REF!)</f>
        <v>#REF!</v>
      </c>
      <c r="D179" s="1">
        <f>VALUE(LOOKUP(B179,'Company Database'!C$9:C$1248,'Company Database'!D$9:D$1248))</f>
        <v>0</v>
      </c>
      <c r="E179" s="1">
        <f>VALUE(LOOKUP(B179,'Company Database'!C$9:C$1248,'Company Database'!E$9:E$1248))</f>
        <v>0</v>
      </c>
      <c r="F179" s="1">
        <f>VALUE(LOOKUP(B179,'Company Database'!C$9:C$1248,'Company Database'!F$9:F$1248))</f>
        <v>0</v>
      </c>
      <c r="G179" s="115">
        <f t="shared" si="2"/>
        <v>0</v>
      </c>
      <c r="H179" s="170">
        <f>VALUE(LOOKUP(B179,'Company Database'!C$9:C$1248,'Company Database'!G$9:G$1248))</f>
        <v>258.3</v>
      </c>
      <c r="I179" s="86">
        <f>LOOKUP(B179,'Company Database'!C$9:C$1248,'Company Database'!H$9:H$1248)</f>
        <v>1.94</v>
      </c>
      <c r="J179" s="86">
        <f>LOOKUP(B179,'Company Database'!C$9:C$1248,'Company Database'!I$9:I$1248)</f>
        <v>15.64</v>
      </c>
      <c r="K179" s="86">
        <f>LOOKUP(B179,'Company Database'!C$9:C$1248,'Company Database'!J$9:J$1248)</f>
        <v>5.16</v>
      </c>
    </row>
    <row r="180" spans="1:11" x14ac:dyDescent="0.2">
      <c r="A180">
        <v>166</v>
      </c>
      <c r="B180" s="146" t="s">
        <v>3822</v>
      </c>
      <c r="C180" s="1" t="e">
        <f>LOOKUP(B180,'Company Database'!C$9:C$1248,'Company Database'!#REF!)</f>
        <v>#REF!</v>
      </c>
      <c r="D180" s="1">
        <f>VALUE(LOOKUP(B180,'Company Database'!C$9:C$1248,'Company Database'!D$9:D$1248))</f>
        <v>16.72</v>
      </c>
      <c r="E180" s="1">
        <f>VALUE(LOOKUP(B180,'Company Database'!C$9:C$1248,'Company Database'!E$9:E$1248))</f>
        <v>19.8</v>
      </c>
      <c r="F180" s="1">
        <f>VALUE(LOOKUP(B180,'Company Database'!C$9:C$1248,'Company Database'!F$9:F$1248))</f>
        <v>24.2</v>
      </c>
      <c r="G180" s="115">
        <f t="shared" si="2"/>
        <v>29.919999999999991</v>
      </c>
      <c r="H180" s="170">
        <f>VALUE(LOOKUP(B180,'Company Database'!C$9:C$1248,'Company Database'!G$9:G$1248))</f>
        <v>296.8</v>
      </c>
      <c r="I180" s="86">
        <f>LOOKUP(B180,'Company Database'!C$9:C$1248,'Company Database'!H$9:H$1248)</f>
        <v>0.94</v>
      </c>
      <c r="J180" s="86">
        <f>LOOKUP(B180,'Company Database'!C$9:C$1248,'Company Database'!I$9:I$1248)</f>
        <v>23.41</v>
      </c>
      <c r="K180" s="86">
        <f>LOOKUP(B180,'Company Database'!C$9:C$1248,'Company Database'!J$9:J$1248)</f>
        <v>17.940000000000001</v>
      </c>
    </row>
    <row r="181" spans="1:11" x14ac:dyDescent="0.2">
      <c r="A181">
        <v>167</v>
      </c>
      <c r="B181" s="146" t="s">
        <v>2497</v>
      </c>
      <c r="C181" s="1" t="e">
        <f>LOOKUP(B181,'Company Database'!C$9:C$1248,'Company Database'!#REF!)</f>
        <v>#REF!</v>
      </c>
      <c r="D181" s="1">
        <f>VALUE(LOOKUP(B181,'Company Database'!C$9:C$1248,'Company Database'!D$9:D$1248))</f>
        <v>5.31</v>
      </c>
      <c r="E181" s="1">
        <f>VALUE(LOOKUP(B181,'Company Database'!C$9:C$1248,'Company Database'!E$9:E$1248))</f>
        <v>6.4</v>
      </c>
      <c r="F181" s="1">
        <f>VALUE(LOOKUP(B181,'Company Database'!C$9:C$1248,'Company Database'!F$9:F$1248))</f>
        <v>7.57</v>
      </c>
      <c r="G181" s="115">
        <f t="shared" si="2"/>
        <v>8.8199999999999985</v>
      </c>
      <c r="H181" s="170">
        <f>VALUE(LOOKUP(B181,'Company Database'!C$9:C$1248,'Company Database'!G$9:G$1248))</f>
        <v>186.55</v>
      </c>
      <c r="I181" s="86">
        <f>LOOKUP(B181,'Company Database'!C$9:C$1248,'Company Database'!H$9:H$1248)</f>
        <v>0</v>
      </c>
      <c r="J181" s="86">
        <f>LOOKUP(B181,'Company Database'!C$9:C$1248,'Company Database'!I$9:I$1248)</f>
        <v>28.29</v>
      </c>
      <c r="K181" s="86">
        <f>LOOKUP(B181,'Company Database'!C$9:C$1248,'Company Database'!J$9:J$1248)</f>
        <v>28.83</v>
      </c>
    </row>
    <row r="182" spans="1:11" x14ac:dyDescent="0.2">
      <c r="A182">
        <v>168</v>
      </c>
      <c r="B182" s="146" t="s">
        <v>1844</v>
      </c>
      <c r="C182" s="1" t="e">
        <f>LOOKUP(B182,'Company Database'!C$9:C$1248,'Company Database'!#REF!)</f>
        <v>#REF!</v>
      </c>
      <c r="D182" s="1">
        <f>VALUE(LOOKUP(B182,'Company Database'!C$9:C$1248,'Company Database'!D$9:D$1248))</f>
        <v>0</v>
      </c>
      <c r="E182" s="1">
        <f>VALUE(LOOKUP(B182,'Company Database'!C$9:C$1248,'Company Database'!E$9:E$1248))</f>
        <v>11.1</v>
      </c>
      <c r="F182" s="1">
        <f>VALUE(LOOKUP(B182,'Company Database'!C$9:C$1248,'Company Database'!F$9:F$1248))</f>
        <v>12.7</v>
      </c>
      <c r="G182" s="115">
        <f t="shared" si="2"/>
        <v>12.7</v>
      </c>
      <c r="H182" s="170">
        <f>VALUE(LOOKUP(B182,'Company Database'!C$9:C$1248,'Company Database'!G$9:G$1248))</f>
        <v>349.35</v>
      </c>
      <c r="I182" s="86">
        <f>LOOKUP(B182,'Company Database'!C$9:C$1248,'Company Database'!H$9:H$1248)</f>
        <v>0</v>
      </c>
      <c r="J182" s="86">
        <f>LOOKUP(B182,'Company Database'!C$9:C$1248,'Company Database'!I$9:I$1248)</f>
        <v>15.78</v>
      </c>
      <c r="K182" s="86">
        <f>LOOKUP(B182,'Company Database'!C$9:C$1248,'Company Database'!J$9:J$1248)</f>
        <v>26.69</v>
      </c>
    </row>
    <row r="183" spans="1:11" x14ac:dyDescent="0.2">
      <c r="A183">
        <v>169</v>
      </c>
      <c r="B183" s="146" t="s">
        <v>2999</v>
      </c>
      <c r="C183" s="1" t="e">
        <f>LOOKUP(B183,'Company Database'!C$9:C$1248,'Company Database'!#REF!)</f>
        <v>#REF!</v>
      </c>
      <c r="D183" s="1">
        <f>VALUE(LOOKUP(B183,'Company Database'!C$9:C$1248,'Company Database'!D$9:D$1248))</f>
        <v>7.49</v>
      </c>
      <c r="E183" s="1">
        <f>VALUE(LOOKUP(B183,'Company Database'!C$9:C$1248,'Company Database'!E$9:E$1248))</f>
        <v>7.52</v>
      </c>
      <c r="F183" s="1">
        <f>VALUE(LOOKUP(B183,'Company Database'!C$9:C$1248,'Company Database'!F$9:F$1248))</f>
        <v>8.5299999999999994</v>
      </c>
      <c r="G183" s="115">
        <f t="shared" si="2"/>
        <v>10.520000000000001</v>
      </c>
      <c r="H183" s="170">
        <f>VALUE(LOOKUP(B183,'Company Database'!C$9:C$1248,'Company Database'!G$9:G$1248))</f>
        <v>69.400000000000006</v>
      </c>
      <c r="I183" s="86">
        <f>LOOKUP(B183,'Company Database'!C$9:C$1248,'Company Database'!H$9:H$1248)</f>
        <v>1.1499999999999999</v>
      </c>
      <c r="J183" s="86">
        <f>LOOKUP(B183,'Company Database'!C$9:C$1248,'Company Database'!I$9:I$1248)</f>
        <v>11.03</v>
      </c>
      <c r="K183" s="86">
        <f>LOOKUP(B183,'Company Database'!C$9:C$1248,'Company Database'!J$9:J$1248)</f>
        <v>8.76</v>
      </c>
    </row>
    <row r="184" spans="1:11" x14ac:dyDescent="0.2">
      <c r="A184">
        <v>170</v>
      </c>
      <c r="B184" s="146" t="s">
        <v>530</v>
      </c>
      <c r="C184" s="1" t="e">
        <f>LOOKUP(B184,'Company Database'!C$9:C$1248,'Company Database'!#REF!)</f>
        <v>#REF!</v>
      </c>
      <c r="D184" s="1">
        <f>VALUE(LOOKUP(B184,'Company Database'!C$9:C$1248,'Company Database'!D$9:D$1248))</f>
        <v>8.08</v>
      </c>
      <c r="E184" s="1">
        <f>VALUE(LOOKUP(B184,'Company Database'!C$9:C$1248,'Company Database'!E$9:E$1248))</f>
        <v>4.3</v>
      </c>
      <c r="F184" s="1">
        <f>VALUE(LOOKUP(B184,'Company Database'!C$9:C$1248,'Company Database'!F$9:F$1248))</f>
        <v>5.7</v>
      </c>
      <c r="G184" s="115">
        <f t="shared" si="2"/>
        <v>12.28000000000001</v>
      </c>
      <c r="H184" s="170">
        <f>VALUE(LOOKUP(B184,'Company Database'!C$9:C$1248,'Company Database'!G$9:G$1248))</f>
        <v>81.8</v>
      </c>
      <c r="I184" s="86">
        <f>LOOKUP(B184,'Company Database'!C$9:C$1248,'Company Database'!H$9:H$1248)</f>
        <v>0</v>
      </c>
      <c r="J184" s="86">
        <f>LOOKUP(B184,'Company Database'!C$9:C$1248,'Company Database'!I$9:I$1248)</f>
        <v>4.93</v>
      </c>
      <c r="K184" s="86">
        <f>LOOKUP(B184,'Company Database'!C$9:C$1248,'Company Database'!J$9:J$1248)</f>
        <v>14.93</v>
      </c>
    </row>
    <row r="185" spans="1:11" x14ac:dyDescent="0.2">
      <c r="A185">
        <v>171</v>
      </c>
      <c r="B185" s="146" t="s">
        <v>531</v>
      </c>
      <c r="C185" s="1" t="e">
        <f>LOOKUP(B185,'Company Database'!C$9:C$1248,'Company Database'!#REF!)</f>
        <v>#REF!</v>
      </c>
      <c r="D185" s="1">
        <f>VALUE(LOOKUP(B185,'Company Database'!C$9:C$1248,'Company Database'!D$9:D$1248))</f>
        <v>1.19</v>
      </c>
      <c r="E185" s="1">
        <f>VALUE(LOOKUP(B185,'Company Database'!C$9:C$1248,'Company Database'!E$9:E$1248))</f>
        <v>0.8</v>
      </c>
      <c r="F185" s="1">
        <f>VALUE(LOOKUP(B185,'Company Database'!C$9:C$1248,'Company Database'!F$9:F$1248))</f>
        <v>2.25</v>
      </c>
      <c r="G185" s="115">
        <f t="shared" si="2"/>
        <v>5.5400000000000018</v>
      </c>
      <c r="H185" s="170">
        <f>VALUE(LOOKUP(B185,'Company Database'!C$9:C$1248,'Company Database'!G$9:G$1248))</f>
        <v>48.1</v>
      </c>
      <c r="I185" s="86">
        <f>LOOKUP(B185,'Company Database'!C$9:C$1248,'Company Database'!H$9:H$1248)</f>
        <v>0</v>
      </c>
      <c r="J185" s="86">
        <f>LOOKUP(B185,'Company Database'!C$9:C$1248,'Company Database'!I$9:I$1248)</f>
        <v>7.45</v>
      </c>
      <c r="K185" s="86">
        <f>LOOKUP(B185,'Company Database'!C$9:C$1248,'Company Database'!J$9:J$1248)</f>
        <v>60.91</v>
      </c>
    </row>
    <row r="186" spans="1:11" x14ac:dyDescent="0.2">
      <c r="A186">
        <v>172</v>
      </c>
      <c r="B186" s="146" t="s">
        <v>533</v>
      </c>
      <c r="C186" s="1" t="e">
        <f>LOOKUP(B186,'Company Database'!C$9:C$1248,'Company Database'!#REF!)</f>
        <v>#REF!</v>
      </c>
      <c r="D186" s="1">
        <f>VALUE(LOOKUP(B186,'Company Database'!C$9:C$1248,'Company Database'!D$9:D$1248))</f>
        <v>0</v>
      </c>
      <c r="E186" s="1">
        <f>VALUE(LOOKUP(B186,'Company Database'!C$9:C$1248,'Company Database'!E$9:E$1248))</f>
        <v>7.7</v>
      </c>
      <c r="F186" s="1">
        <f>VALUE(LOOKUP(B186,'Company Database'!C$9:C$1248,'Company Database'!F$9:F$1248))</f>
        <v>11.35</v>
      </c>
      <c r="G186" s="115">
        <f t="shared" si="2"/>
        <v>11.35</v>
      </c>
      <c r="H186" s="170">
        <f>VALUE(LOOKUP(B186,'Company Database'!C$9:C$1248,'Company Database'!G$9:G$1248))</f>
        <v>163.35</v>
      </c>
      <c r="I186" s="86">
        <f>LOOKUP(B186,'Company Database'!C$9:C$1248,'Company Database'!H$9:H$1248)</f>
        <v>0</v>
      </c>
      <c r="J186" s="86">
        <f>LOOKUP(B186,'Company Database'!C$9:C$1248,'Company Database'!I$9:I$1248)</f>
        <v>14.81</v>
      </c>
      <c r="K186" s="86">
        <f>LOOKUP(B186,'Company Database'!C$9:C$1248,'Company Database'!J$9:J$1248)</f>
        <v>21.36</v>
      </c>
    </row>
    <row r="187" spans="1:11" x14ac:dyDescent="0.2">
      <c r="A187">
        <v>173</v>
      </c>
      <c r="B187" s="146" t="s">
        <v>538</v>
      </c>
      <c r="C187" s="1" t="e">
        <f>LOOKUP(B187,'Company Database'!C$9:C$1248,'Company Database'!#REF!)</f>
        <v>#REF!</v>
      </c>
      <c r="D187" s="1">
        <f>VALUE(LOOKUP(B187,'Company Database'!C$9:C$1248,'Company Database'!D$9:D$1248))</f>
        <v>105.69</v>
      </c>
      <c r="E187" s="1">
        <f>VALUE(LOOKUP(B187,'Company Database'!C$9:C$1248,'Company Database'!E$9:E$1248))</f>
        <v>127.9</v>
      </c>
      <c r="F187" s="1">
        <f>VALUE(LOOKUP(B187,'Company Database'!C$9:C$1248,'Company Database'!F$9:F$1248))</f>
        <v>153</v>
      </c>
      <c r="G187" s="115">
        <f t="shared" si="2"/>
        <v>180.99</v>
      </c>
      <c r="H187" s="170">
        <f>VALUE(LOOKUP(B187,'Company Database'!C$9:C$1248,'Company Database'!G$9:G$1248))</f>
        <v>795.65</v>
      </c>
      <c r="I187" s="86">
        <f>LOOKUP(B187,'Company Database'!C$9:C$1248,'Company Database'!H$9:H$1248)</f>
        <v>0</v>
      </c>
      <c r="J187" s="86">
        <f>LOOKUP(B187,'Company Database'!C$9:C$1248,'Company Database'!I$9:I$1248)</f>
        <v>17.010000000000002</v>
      </c>
      <c r="K187" s="86">
        <f>LOOKUP(B187,'Company Database'!C$9:C$1248,'Company Database'!J$9:J$1248)</f>
        <v>6.28</v>
      </c>
    </row>
    <row r="188" spans="1:11" x14ac:dyDescent="0.2">
      <c r="A188">
        <v>174</v>
      </c>
      <c r="B188" s="146" t="s">
        <v>1576</v>
      </c>
      <c r="C188" s="1" t="e">
        <f>LOOKUP(B188,'Company Database'!C$9:C$1248,'Company Database'!#REF!)</f>
        <v>#REF!</v>
      </c>
      <c r="D188" s="1">
        <f>VALUE(LOOKUP(B188,'Company Database'!C$9:C$1248,'Company Database'!D$9:D$1248))</f>
        <v>0</v>
      </c>
      <c r="E188" s="1">
        <f>VALUE(LOOKUP(B188,'Company Database'!C$9:C$1248,'Company Database'!E$9:E$1248))</f>
        <v>15.7</v>
      </c>
      <c r="F188" s="1">
        <f>VALUE(LOOKUP(B188,'Company Database'!C$9:C$1248,'Company Database'!F$9:F$1248))</f>
        <v>18.7</v>
      </c>
      <c r="G188" s="115">
        <f t="shared" si="2"/>
        <v>18.7</v>
      </c>
      <c r="H188" s="170">
        <f>VALUE(LOOKUP(B188,'Company Database'!C$9:C$1248,'Company Database'!G$9:G$1248))</f>
        <v>157.1</v>
      </c>
      <c r="I188" s="86">
        <f>LOOKUP(B188,'Company Database'!C$9:C$1248,'Company Database'!H$9:H$1248)</f>
        <v>1.27</v>
      </c>
      <c r="J188" s="86">
        <f>LOOKUP(B188,'Company Database'!C$9:C$1248,'Company Database'!I$9:I$1248)</f>
        <v>14.86</v>
      </c>
      <c r="K188" s="86">
        <f>LOOKUP(B188,'Company Database'!C$9:C$1248,'Company Database'!J$9:J$1248)</f>
        <v>13.16</v>
      </c>
    </row>
    <row r="189" spans="1:11" x14ac:dyDescent="0.2">
      <c r="A189">
        <v>175</v>
      </c>
      <c r="B189" s="146" t="s">
        <v>2919</v>
      </c>
      <c r="C189" s="1" t="e">
        <f>LOOKUP(B189,'Company Database'!C$9:C$1248,'Company Database'!#REF!)</f>
        <v>#REF!</v>
      </c>
      <c r="D189" s="1">
        <f>VALUE(LOOKUP(B189,'Company Database'!C$9:C$1248,'Company Database'!D$9:D$1248))</f>
        <v>-69.81</v>
      </c>
      <c r="E189" s="1">
        <f>VALUE(LOOKUP(B189,'Company Database'!C$9:C$1248,'Company Database'!E$9:E$1248))</f>
        <v>20.05</v>
      </c>
      <c r="F189" s="1">
        <f>VALUE(LOOKUP(B189,'Company Database'!C$9:C$1248,'Company Database'!F$9:F$1248))</f>
        <v>61.6</v>
      </c>
      <c r="G189" s="115">
        <f t="shared" si="2"/>
        <v>61.6</v>
      </c>
      <c r="H189" s="170">
        <f>VALUE(LOOKUP(B189,'Company Database'!C$9:C$1248,'Company Database'!G$9:G$1248))</f>
        <v>453.2</v>
      </c>
      <c r="I189" s="86">
        <f>LOOKUP(B189,'Company Database'!C$9:C$1248,'Company Database'!H$9:H$1248)</f>
        <v>0</v>
      </c>
      <c r="J189" s="86">
        <f>LOOKUP(B189,'Company Database'!C$9:C$1248,'Company Database'!I$9:I$1248)</f>
        <v>-73.290000000000006</v>
      </c>
      <c r="K189" s="86">
        <f>LOOKUP(B189,'Company Database'!C$9:C$1248,'Company Database'!J$9:J$1248)</f>
        <v>403.69</v>
      </c>
    </row>
    <row r="190" spans="1:11" x14ac:dyDescent="0.2">
      <c r="A190">
        <v>176</v>
      </c>
      <c r="B190" s="146" t="s">
        <v>5352</v>
      </c>
      <c r="C190" s="1" t="e">
        <f>LOOKUP(B190,'Company Database'!C$9:C$1248,'Company Database'!#REF!)</f>
        <v>#REF!</v>
      </c>
      <c r="D190" s="1">
        <f>VALUE(LOOKUP(B190,'Company Database'!C$9:C$1248,'Company Database'!D$9:D$1248))</f>
        <v>38.630000000000003</v>
      </c>
      <c r="E190" s="1">
        <f>VALUE(LOOKUP(B190,'Company Database'!C$9:C$1248,'Company Database'!E$9:E$1248))</f>
        <v>42</v>
      </c>
      <c r="F190" s="1">
        <f>VALUE(LOOKUP(B190,'Company Database'!C$9:C$1248,'Company Database'!F$9:F$1248))</f>
        <v>54.91</v>
      </c>
      <c r="G190" s="115">
        <f t="shared" si="2"/>
        <v>77.359999999999985</v>
      </c>
      <c r="H190" s="170">
        <f>VALUE(LOOKUP(B190,'Company Database'!C$9:C$1248,'Company Database'!G$9:G$1248))</f>
        <v>640.65</v>
      </c>
      <c r="I190" s="86">
        <f>LOOKUP(B190,'Company Database'!C$9:C$1248,'Company Database'!H$9:H$1248)</f>
        <v>0</v>
      </c>
      <c r="J190" s="86">
        <f>LOOKUP(B190,'Company Database'!C$9:C$1248,'Company Database'!I$9:I$1248)</f>
        <v>22.08</v>
      </c>
      <c r="K190" s="86">
        <f>LOOKUP(B190,'Company Database'!C$9:C$1248,'Company Database'!J$9:J$1248)</f>
        <v>29.01</v>
      </c>
    </row>
    <row r="191" spans="1:11" x14ac:dyDescent="0.2">
      <c r="A191">
        <v>177</v>
      </c>
      <c r="B191" s="146" t="s">
        <v>110</v>
      </c>
      <c r="C191" s="1" t="e">
        <f>LOOKUP(B191,'Company Database'!C$9:C$1248,'Company Database'!#REF!)</f>
        <v>#REF!</v>
      </c>
      <c r="D191" s="1">
        <f>VALUE(LOOKUP(B191,'Company Database'!C$9:C$1248,'Company Database'!D$9:D$1248))</f>
        <v>83.29</v>
      </c>
      <c r="E191" s="1">
        <f>VALUE(LOOKUP(B191,'Company Database'!C$9:C$1248,'Company Database'!E$9:E$1248))</f>
        <v>64.66</v>
      </c>
      <c r="F191" s="1">
        <f>VALUE(LOOKUP(B191,'Company Database'!C$9:C$1248,'Company Database'!F$9:F$1248))</f>
        <v>107.8</v>
      </c>
      <c r="G191" s="115">
        <f t="shared" si="2"/>
        <v>212.71000000000004</v>
      </c>
      <c r="H191" s="170">
        <f>VALUE(LOOKUP(B191,'Company Database'!C$9:C$1248,'Company Database'!G$9:G$1248))</f>
        <v>918.95</v>
      </c>
      <c r="I191" s="86">
        <f>LOOKUP(B191,'Company Database'!C$9:C$1248,'Company Database'!H$9:H$1248)</f>
        <v>0</v>
      </c>
      <c r="J191" s="86">
        <f>LOOKUP(B191,'Company Database'!C$9:C$1248,'Company Database'!I$9:I$1248)</f>
        <v>15.74</v>
      </c>
      <c r="K191" s="86">
        <f>LOOKUP(B191,'Company Database'!C$9:C$1248,'Company Database'!J$9:J$1248)</f>
        <v>10.19</v>
      </c>
    </row>
    <row r="192" spans="1:11" x14ac:dyDescent="0.2">
      <c r="A192">
        <v>178</v>
      </c>
      <c r="B192" s="146" t="s">
        <v>4835</v>
      </c>
      <c r="C192" s="1" t="e">
        <f>LOOKUP(B192,'Company Database'!C$9:C$1248,'Company Database'!#REF!)</f>
        <v>#REF!</v>
      </c>
      <c r="D192" s="1">
        <f>VALUE(LOOKUP(B192,'Company Database'!C$9:C$1248,'Company Database'!D$9:D$1248))</f>
        <v>32.32</v>
      </c>
      <c r="E192" s="1">
        <f>VALUE(LOOKUP(B192,'Company Database'!C$9:C$1248,'Company Database'!E$9:E$1248))</f>
        <v>23.5</v>
      </c>
      <c r="F192" s="1">
        <f>VALUE(LOOKUP(B192,'Company Database'!C$9:C$1248,'Company Database'!F$9:F$1248))</f>
        <v>14.7</v>
      </c>
      <c r="G192" s="115">
        <f t="shared" si="2"/>
        <v>14.7</v>
      </c>
      <c r="H192" s="170">
        <f>VALUE(LOOKUP(B192,'Company Database'!C$9:C$1248,'Company Database'!G$9:G$1248))</f>
        <v>109.7</v>
      </c>
      <c r="I192" s="86">
        <f>LOOKUP(B192,'Company Database'!C$9:C$1248,'Company Database'!H$9:H$1248)</f>
        <v>5.46</v>
      </c>
      <c r="J192" s="86">
        <f>LOOKUP(B192,'Company Database'!C$9:C$1248,'Company Database'!I$9:I$1248)</f>
        <v>20.5</v>
      </c>
      <c r="K192" s="86">
        <f>LOOKUP(B192,'Company Database'!C$9:C$1248,'Company Database'!J$9:J$1248)</f>
        <v>3.4</v>
      </c>
    </row>
    <row r="193" spans="1:11" x14ac:dyDescent="0.2">
      <c r="A193">
        <v>179</v>
      </c>
      <c r="B193" s="146" t="s">
        <v>1813</v>
      </c>
      <c r="C193" s="1" t="e">
        <f>LOOKUP(B193,'Company Database'!C$9:C$1248,'Company Database'!#REF!)</f>
        <v>#REF!</v>
      </c>
      <c r="D193" s="1">
        <f>VALUE(LOOKUP(B193,'Company Database'!C$9:C$1248,'Company Database'!D$9:D$1248))</f>
        <v>19.71</v>
      </c>
      <c r="E193" s="1">
        <f>VALUE(LOOKUP(B193,'Company Database'!C$9:C$1248,'Company Database'!E$9:E$1248))</f>
        <v>12.4</v>
      </c>
      <c r="F193" s="1">
        <f>VALUE(LOOKUP(B193,'Company Database'!C$9:C$1248,'Company Database'!F$9:F$1248))</f>
        <v>12.4</v>
      </c>
      <c r="G193" s="115">
        <f t="shared" si="2"/>
        <v>19.710000000000015</v>
      </c>
      <c r="H193" s="170">
        <f>VALUE(LOOKUP(B193,'Company Database'!C$9:C$1248,'Company Database'!G$9:G$1248))</f>
        <v>43.8</v>
      </c>
      <c r="I193" s="86">
        <f>LOOKUP(B193,'Company Database'!C$9:C$1248,'Company Database'!H$9:H$1248)</f>
        <v>5.7</v>
      </c>
      <c r="J193" s="86">
        <f>LOOKUP(B193,'Company Database'!C$9:C$1248,'Company Database'!I$9:I$1248)</f>
        <v>25.35</v>
      </c>
      <c r="K193" s="86">
        <f>LOOKUP(B193,'Company Database'!C$9:C$1248,'Company Database'!J$9:J$1248)</f>
        <v>2.23</v>
      </c>
    </row>
    <row r="194" spans="1:11" x14ac:dyDescent="0.2">
      <c r="A194">
        <v>180</v>
      </c>
      <c r="B194" s="146" t="s">
        <v>2922</v>
      </c>
      <c r="C194" s="1" t="e">
        <f>LOOKUP(B194,'Company Database'!C$9:C$1248,'Company Database'!#REF!)</f>
        <v>#REF!</v>
      </c>
      <c r="D194" s="1">
        <f>VALUE(LOOKUP(B194,'Company Database'!C$9:C$1248,'Company Database'!D$9:D$1248))</f>
        <v>39.74</v>
      </c>
      <c r="E194" s="1">
        <f>VALUE(LOOKUP(B194,'Company Database'!C$9:C$1248,'Company Database'!E$9:E$1248))</f>
        <v>14.7</v>
      </c>
      <c r="F194" s="1">
        <f>VALUE(LOOKUP(B194,'Company Database'!C$9:C$1248,'Company Database'!F$9:F$1248))</f>
        <v>25</v>
      </c>
      <c r="G194" s="115">
        <f t="shared" si="2"/>
        <v>70.640000000000072</v>
      </c>
      <c r="H194" s="170">
        <f>VALUE(LOOKUP(B194,'Company Database'!C$9:C$1248,'Company Database'!G$9:G$1248))</f>
        <v>87.2</v>
      </c>
      <c r="I194" s="86">
        <f>LOOKUP(B194,'Company Database'!C$9:C$1248,'Company Database'!H$9:H$1248)</f>
        <v>4</v>
      </c>
      <c r="J194" s="86">
        <f>LOOKUP(B194,'Company Database'!C$9:C$1248,'Company Database'!I$9:I$1248)</f>
        <v>20.11</v>
      </c>
      <c r="K194" s="86">
        <f>LOOKUP(B194,'Company Database'!C$9:C$1248,'Company Database'!J$9:J$1248)</f>
        <v>2.2000000000000002</v>
      </c>
    </row>
    <row r="195" spans="1:11" x14ac:dyDescent="0.2">
      <c r="A195">
        <v>181</v>
      </c>
      <c r="B195" s="146" t="s">
        <v>1580</v>
      </c>
      <c r="C195" s="1" t="e">
        <f>LOOKUP(B195,'Company Database'!C$9:C$1248,'Company Database'!#REF!)</f>
        <v>#REF!</v>
      </c>
      <c r="D195" s="1">
        <f>VALUE(LOOKUP(B195,'Company Database'!C$9:C$1248,'Company Database'!D$9:D$1248))</f>
        <v>11.18</v>
      </c>
      <c r="E195" s="1">
        <f>VALUE(LOOKUP(B195,'Company Database'!C$9:C$1248,'Company Database'!E$9:E$1248))</f>
        <v>13.1</v>
      </c>
      <c r="F195" s="1">
        <f>VALUE(LOOKUP(B195,'Company Database'!C$9:C$1248,'Company Database'!F$9:F$1248))</f>
        <v>15.2</v>
      </c>
      <c r="G195" s="115">
        <f t="shared" si="2"/>
        <v>17.48</v>
      </c>
      <c r="H195" s="170">
        <f>VALUE(LOOKUP(B195,'Company Database'!C$9:C$1248,'Company Database'!G$9:G$1248))</f>
        <v>75.75</v>
      </c>
      <c r="I195" s="86">
        <f>LOOKUP(B195,'Company Database'!C$9:C$1248,'Company Database'!H$9:H$1248)</f>
        <v>1.31</v>
      </c>
      <c r="J195" s="86">
        <f>LOOKUP(B195,'Company Database'!C$9:C$1248,'Company Database'!I$9:I$1248)</f>
        <v>15.7</v>
      </c>
      <c r="K195" s="86">
        <f>LOOKUP(B195,'Company Database'!C$9:C$1248,'Company Database'!J$9:J$1248)</f>
        <v>6.87</v>
      </c>
    </row>
    <row r="196" spans="1:11" x14ac:dyDescent="0.2">
      <c r="A196">
        <v>182</v>
      </c>
      <c r="B196" s="146" t="s">
        <v>1582</v>
      </c>
      <c r="C196" s="1" t="e">
        <f>LOOKUP(B196,'Company Database'!C$9:C$1248,'Company Database'!#REF!)</f>
        <v>#REF!</v>
      </c>
      <c r="D196" s="1">
        <f>VALUE(LOOKUP(B196,'Company Database'!C$9:C$1248,'Company Database'!D$9:D$1248))</f>
        <v>0</v>
      </c>
      <c r="E196" s="1">
        <f>VALUE(LOOKUP(B196,'Company Database'!C$9:C$1248,'Company Database'!E$9:E$1248))</f>
        <v>23.53</v>
      </c>
      <c r="F196" s="1">
        <f>VALUE(LOOKUP(B196,'Company Database'!C$9:C$1248,'Company Database'!F$9:F$1248))</f>
        <v>33.44</v>
      </c>
      <c r="G196" s="115">
        <f t="shared" si="2"/>
        <v>33.44</v>
      </c>
      <c r="H196" s="170">
        <f>VALUE(LOOKUP(B196,'Company Database'!C$9:C$1248,'Company Database'!G$9:G$1248))</f>
        <v>144.75</v>
      </c>
      <c r="I196" s="86">
        <f>LOOKUP(B196,'Company Database'!C$9:C$1248,'Company Database'!H$9:H$1248)</f>
        <v>0</v>
      </c>
      <c r="J196" s="86">
        <f>LOOKUP(B196,'Company Database'!C$9:C$1248,'Company Database'!I$9:I$1248)</f>
        <v>12.98</v>
      </c>
      <c r="K196" s="86">
        <f>LOOKUP(B196,'Company Database'!C$9:C$1248,'Company Database'!J$9:J$1248)</f>
        <v>6.21</v>
      </c>
    </row>
    <row r="197" spans="1:11" x14ac:dyDescent="0.2">
      <c r="A197">
        <v>183</v>
      </c>
      <c r="B197" s="146" t="s">
        <v>5311</v>
      </c>
      <c r="C197" s="1" t="e">
        <f>LOOKUP(B197,'Company Database'!C$9:C$1248,'Company Database'!#REF!)</f>
        <v>#REF!</v>
      </c>
      <c r="D197" s="1">
        <f>VALUE(LOOKUP(B197,'Company Database'!C$9:C$1248,'Company Database'!D$9:D$1248))</f>
        <v>0</v>
      </c>
      <c r="E197" s="1">
        <f>VALUE(LOOKUP(B197,'Company Database'!C$9:C$1248,'Company Database'!E$9:E$1248))</f>
        <v>7.03</v>
      </c>
      <c r="F197" s="1">
        <f>VALUE(LOOKUP(B197,'Company Database'!C$9:C$1248,'Company Database'!F$9:F$1248))</f>
        <v>9.0399999999999991</v>
      </c>
      <c r="G197" s="115">
        <f t="shared" si="2"/>
        <v>9.0399999999999991</v>
      </c>
      <c r="H197" s="170">
        <f>VALUE(LOOKUP(B197,'Company Database'!C$9:C$1248,'Company Database'!G$9:G$1248))</f>
        <v>85.05</v>
      </c>
      <c r="I197" s="86">
        <f>LOOKUP(B197,'Company Database'!C$9:C$1248,'Company Database'!H$9:H$1248)</f>
        <v>2.35</v>
      </c>
      <c r="J197" s="86">
        <f>LOOKUP(B197,'Company Database'!C$9:C$1248,'Company Database'!I$9:I$1248)</f>
        <v>27.11</v>
      </c>
      <c r="K197" s="86">
        <f>LOOKUP(B197,'Company Database'!C$9:C$1248,'Company Database'!J$9:J$1248)</f>
        <v>10.32</v>
      </c>
    </row>
    <row r="198" spans="1:11" x14ac:dyDescent="0.2">
      <c r="A198">
        <v>184</v>
      </c>
      <c r="B198" s="146" t="s">
        <v>5312</v>
      </c>
      <c r="C198" s="1" t="e">
        <f>LOOKUP(B198,'Company Database'!C$9:C$1248,'Company Database'!#REF!)</f>
        <v>#REF!</v>
      </c>
      <c r="D198" s="1">
        <f>VALUE(LOOKUP(B198,'Company Database'!C$9:C$1248,'Company Database'!D$9:D$1248))</f>
        <v>12.86</v>
      </c>
      <c r="E198" s="1">
        <f>VALUE(LOOKUP(B198,'Company Database'!C$9:C$1248,'Company Database'!E$9:E$1248))</f>
        <v>13.6</v>
      </c>
      <c r="F198" s="1">
        <f>VALUE(LOOKUP(B198,'Company Database'!C$9:C$1248,'Company Database'!F$9:F$1248))</f>
        <v>15.95</v>
      </c>
      <c r="G198" s="115">
        <f t="shared" si="2"/>
        <v>19.909999999999997</v>
      </c>
      <c r="H198" s="170">
        <f>VALUE(LOOKUP(B198,'Company Database'!C$9:C$1248,'Company Database'!G$9:G$1248))</f>
        <v>117.65</v>
      </c>
      <c r="I198" s="86">
        <f>LOOKUP(B198,'Company Database'!C$9:C$1248,'Company Database'!H$9:H$1248)</f>
        <v>0</v>
      </c>
      <c r="J198" s="86">
        <f>LOOKUP(B198,'Company Database'!C$9:C$1248,'Company Database'!I$9:I$1248)</f>
        <v>14.56</v>
      </c>
      <c r="K198" s="86">
        <f>LOOKUP(B198,'Company Database'!C$9:C$1248,'Company Database'!J$9:J$1248)</f>
        <v>9.48</v>
      </c>
    </row>
    <row r="199" spans="1:11" x14ac:dyDescent="0.2">
      <c r="A199">
        <v>185</v>
      </c>
      <c r="B199" s="146" t="s">
        <v>5313</v>
      </c>
      <c r="C199" s="1" t="e">
        <f>LOOKUP(B199,'Company Database'!C$9:C$1248,'Company Database'!#REF!)</f>
        <v>#REF!</v>
      </c>
      <c r="D199" s="1">
        <f>VALUE(LOOKUP(B199,'Company Database'!C$9:C$1248,'Company Database'!D$9:D$1248))</f>
        <v>0</v>
      </c>
      <c r="E199" s="1">
        <f>VALUE(LOOKUP(B199,'Company Database'!C$9:C$1248,'Company Database'!E$9:E$1248))</f>
        <v>15.4</v>
      </c>
      <c r="F199" s="1">
        <f>VALUE(LOOKUP(B199,'Company Database'!C$9:C$1248,'Company Database'!F$9:F$1248))</f>
        <v>20.2</v>
      </c>
      <c r="G199" s="115">
        <f t="shared" si="2"/>
        <v>20.2</v>
      </c>
      <c r="H199" s="170">
        <f>VALUE(LOOKUP(B199,'Company Database'!C$9:C$1248,'Company Database'!G$9:G$1248))</f>
        <v>106.3</v>
      </c>
      <c r="I199" s="86">
        <f>LOOKUP(B199,'Company Database'!C$9:C$1248,'Company Database'!H$9:H$1248)</f>
        <v>3.77</v>
      </c>
      <c r="J199" s="86">
        <f>LOOKUP(B199,'Company Database'!C$9:C$1248,'Company Database'!I$9:I$1248)</f>
        <v>9.1</v>
      </c>
      <c r="K199" s="86">
        <f>LOOKUP(B199,'Company Database'!C$9:C$1248,'Company Database'!J$9:J$1248)</f>
        <v>11.94</v>
      </c>
    </row>
    <row r="200" spans="1:11" x14ac:dyDescent="0.2">
      <c r="A200">
        <v>186</v>
      </c>
      <c r="B200" s="146" t="s">
        <v>5314</v>
      </c>
      <c r="C200" s="1" t="e">
        <f>LOOKUP(B200,'Company Database'!C$9:C$1248,'Company Database'!#REF!)</f>
        <v>#REF!</v>
      </c>
      <c r="D200" s="1">
        <f>VALUE(LOOKUP(B200,'Company Database'!C$9:C$1248,'Company Database'!D$9:D$1248))</f>
        <v>35.92</v>
      </c>
      <c r="E200" s="1">
        <f>VALUE(LOOKUP(B200,'Company Database'!C$9:C$1248,'Company Database'!E$9:E$1248))</f>
        <v>37.29</v>
      </c>
      <c r="F200" s="1">
        <f>VALUE(LOOKUP(B200,'Company Database'!C$9:C$1248,'Company Database'!F$9:F$1248))</f>
        <v>46.11</v>
      </c>
      <c r="G200" s="115">
        <f t="shared" si="2"/>
        <v>62.380000000000017</v>
      </c>
      <c r="H200" s="170">
        <f>VALUE(LOOKUP(B200,'Company Database'!C$9:C$1248,'Company Database'!G$9:G$1248))</f>
        <v>421.9</v>
      </c>
      <c r="I200" s="86">
        <f>LOOKUP(B200,'Company Database'!C$9:C$1248,'Company Database'!H$9:H$1248)</f>
        <v>0</v>
      </c>
      <c r="J200" s="86">
        <f>LOOKUP(B200,'Company Database'!C$9:C$1248,'Company Database'!I$9:I$1248)</f>
        <v>20.71</v>
      </c>
      <c r="K200" s="86">
        <f>LOOKUP(B200,'Company Database'!C$9:C$1248,'Company Database'!J$9:J$1248)</f>
        <v>10.79</v>
      </c>
    </row>
    <row r="201" spans="1:11" x14ac:dyDescent="0.2">
      <c r="A201">
        <v>187</v>
      </c>
      <c r="B201" s="146" t="s">
        <v>1584</v>
      </c>
      <c r="C201" s="1" t="e">
        <f>LOOKUP(B201,'Company Database'!C$9:C$1248,'Company Database'!#REF!)</f>
        <v>#REF!</v>
      </c>
      <c r="D201" s="1">
        <f>VALUE(LOOKUP(B201,'Company Database'!C$9:C$1248,'Company Database'!D$9:D$1248))</f>
        <v>6.91</v>
      </c>
      <c r="E201" s="1">
        <f>VALUE(LOOKUP(B201,'Company Database'!C$9:C$1248,'Company Database'!E$9:E$1248))</f>
        <v>8.39</v>
      </c>
      <c r="F201" s="1">
        <f>VALUE(LOOKUP(B201,'Company Database'!C$9:C$1248,'Company Database'!F$9:F$1248))</f>
        <v>10.29</v>
      </c>
      <c r="G201" s="115">
        <f t="shared" si="2"/>
        <v>12.609999999999996</v>
      </c>
      <c r="H201" s="170">
        <f>VALUE(LOOKUP(B201,'Company Database'!C$9:C$1248,'Company Database'!G$9:G$1248))</f>
        <v>16.600000000000001</v>
      </c>
      <c r="I201" s="86">
        <f>LOOKUP(B201,'Company Database'!C$9:C$1248,'Company Database'!H$9:H$1248)</f>
        <v>0</v>
      </c>
      <c r="J201" s="86">
        <f>LOOKUP(B201,'Company Database'!C$9:C$1248,'Company Database'!I$9:I$1248)</f>
        <v>0</v>
      </c>
      <c r="K201" s="86">
        <f>LOOKUP(B201,'Company Database'!C$9:C$1248,'Company Database'!J$9:J$1248)</f>
        <v>0</v>
      </c>
    </row>
    <row r="202" spans="1:11" x14ac:dyDescent="0.2">
      <c r="A202">
        <v>188</v>
      </c>
      <c r="B202" s="146" t="s">
        <v>5315</v>
      </c>
      <c r="C202" s="1" t="e">
        <f>LOOKUP(B202,'Company Database'!C$9:C$1248,'Company Database'!#REF!)</f>
        <v>#REF!</v>
      </c>
      <c r="D202" s="1">
        <f>VALUE(LOOKUP(B202,'Company Database'!C$9:C$1248,'Company Database'!D$9:D$1248))</f>
        <v>51.88</v>
      </c>
      <c r="E202" s="1">
        <f>VALUE(LOOKUP(B202,'Company Database'!C$9:C$1248,'Company Database'!E$9:E$1248))</f>
        <v>22.1</v>
      </c>
      <c r="F202" s="1">
        <f>VALUE(LOOKUP(B202,'Company Database'!C$9:C$1248,'Company Database'!F$9:F$1248))</f>
        <v>28.05</v>
      </c>
      <c r="G202" s="115">
        <f t="shared" si="2"/>
        <v>69.730000000000047</v>
      </c>
      <c r="H202" s="170">
        <f>VALUE(LOOKUP(B202,'Company Database'!C$9:C$1248,'Company Database'!G$9:G$1248))</f>
        <v>197.55</v>
      </c>
      <c r="I202" s="86">
        <f>LOOKUP(B202,'Company Database'!C$9:C$1248,'Company Database'!H$9:H$1248)</f>
        <v>0</v>
      </c>
      <c r="J202" s="86">
        <f>LOOKUP(B202,'Company Database'!C$9:C$1248,'Company Database'!I$9:I$1248)</f>
        <v>13.2</v>
      </c>
      <c r="K202" s="86">
        <f>LOOKUP(B202,'Company Database'!C$9:C$1248,'Company Database'!J$9:J$1248)</f>
        <v>0</v>
      </c>
    </row>
    <row r="203" spans="1:11" x14ac:dyDescent="0.2">
      <c r="A203">
        <v>189</v>
      </c>
      <c r="B203" s="146" t="s">
        <v>4408</v>
      </c>
      <c r="C203" s="1" t="e">
        <f>LOOKUP(B203,'Company Database'!C$9:C$1248,'Company Database'!#REF!)</f>
        <v>#REF!</v>
      </c>
      <c r="D203" s="1">
        <f>VALUE(LOOKUP(B203,'Company Database'!C$9:C$1248,'Company Database'!D$9:D$1248))</f>
        <v>0</v>
      </c>
      <c r="E203" s="1">
        <f>VALUE(LOOKUP(B203,'Company Database'!C$9:C$1248,'Company Database'!E$9:E$1248))</f>
        <v>12</v>
      </c>
      <c r="F203" s="1">
        <f>VALUE(LOOKUP(B203,'Company Database'!C$9:C$1248,'Company Database'!F$9:F$1248))</f>
        <v>14</v>
      </c>
      <c r="G203" s="115">
        <f t="shared" si="2"/>
        <v>14</v>
      </c>
      <c r="H203" s="170">
        <f>VALUE(LOOKUP(B203,'Company Database'!C$9:C$1248,'Company Database'!G$9:G$1248))</f>
        <v>314.39999999999998</v>
      </c>
      <c r="I203" s="86">
        <f>LOOKUP(B203,'Company Database'!C$9:C$1248,'Company Database'!H$9:H$1248)</f>
        <v>0</v>
      </c>
      <c r="J203" s="86">
        <f>LOOKUP(B203,'Company Database'!C$9:C$1248,'Company Database'!I$9:I$1248)</f>
        <v>6.15</v>
      </c>
      <c r="K203" s="86">
        <f>LOOKUP(B203,'Company Database'!C$9:C$1248,'Company Database'!J$9:J$1248)</f>
        <v>5.62</v>
      </c>
    </row>
    <row r="204" spans="1:11" x14ac:dyDescent="0.2">
      <c r="A204">
        <v>190</v>
      </c>
      <c r="B204" s="146" t="s">
        <v>5316</v>
      </c>
      <c r="C204" s="1" t="e">
        <f>LOOKUP(B204,'Company Database'!C$9:C$1248,'Company Database'!#REF!)</f>
        <v>#REF!</v>
      </c>
      <c r="D204" s="1">
        <f>VALUE(LOOKUP(B204,'Company Database'!C$9:C$1248,'Company Database'!D$9:D$1248))</f>
        <v>18.64</v>
      </c>
      <c r="E204" s="1">
        <f>VALUE(LOOKUP(B204,'Company Database'!C$9:C$1248,'Company Database'!E$9:E$1248))</f>
        <v>20.3</v>
      </c>
      <c r="F204" s="1">
        <f>VALUE(LOOKUP(B204,'Company Database'!C$9:C$1248,'Company Database'!F$9:F$1248))</f>
        <v>24.04</v>
      </c>
      <c r="G204" s="115">
        <f t="shared" si="2"/>
        <v>29.859999999999996</v>
      </c>
      <c r="H204" s="170">
        <f>VALUE(LOOKUP(B204,'Company Database'!C$9:C$1248,'Company Database'!G$9:G$1248))</f>
        <v>416.95</v>
      </c>
      <c r="I204" s="86">
        <f>LOOKUP(B204,'Company Database'!C$9:C$1248,'Company Database'!H$9:H$1248)</f>
        <v>0</v>
      </c>
      <c r="J204" s="86">
        <f>LOOKUP(B204,'Company Database'!C$9:C$1248,'Company Database'!I$9:I$1248)</f>
        <v>0</v>
      </c>
      <c r="K204" s="86">
        <f>LOOKUP(B204,'Company Database'!C$9:C$1248,'Company Database'!J$9:J$1248)</f>
        <v>0</v>
      </c>
    </row>
    <row r="205" spans="1:11" x14ac:dyDescent="0.2">
      <c r="A205">
        <v>191</v>
      </c>
      <c r="B205" s="146" t="s">
        <v>1086</v>
      </c>
      <c r="C205" s="1" t="e">
        <f>LOOKUP(B205,'Company Database'!C$9:C$1248,'Company Database'!#REF!)</f>
        <v>#REF!</v>
      </c>
      <c r="D205" s="1">
        <f>VALUE(LOOKUP(B205,'Company Database'!C$9:C$1248,'Company Database'!D$9:D$1248))</f>
        <v>10.8</v>
      </c>
      <c r="E205" s="1">
        <f>VALUE(LOOKUP(B205,'Company Database'!C$9:C$1248,'Company Database'!E$9:E$1248))</f>
        <v>11.8</v>
      </c>
      <c r="F205" s="1">
        <f>VALUE(LOOKUP(B205,'Company Database'!C$9:C$1248,'Company Database'!F$9:F$1248))</f>
        <v>14.7</v>
      </c>
      <c r="G205" s="115">
        <f t="shared" si="2"/>
        <v>19.499999999999996</v>
      </c>
      <c r="H205" s="170">
        <f>VALUE(LOOKUP(B205,'Company Database'!C$9:C$1248,'Company Database'!G$9:G$1248))</f>
        <v>162.19999999999999</v>
      </c>
      <c r="I205" s="86">
        <f>LOOKUP(B205,'Company Database'!C$9:C$1248,'Company Database'!H$9:H$1248)</f>
        <v>0</v>
      </c>
      <c r="J205" s="86">
        <f>LOOKUP(B205,'Company Database'!C$9:C$1248,'Company Database'!I$9:I$1248)</f>
        <v>24.75</v>
      </c>
      <c r="K205" s="86">
        <f>LOOKUP(B205,'Company Database'!C$9:C$1248,'Company Database'!J$9:J$1248)</f>
        <v>20.39</v>
      </c>
    </row>
    <row r="206" spans="1:11" x14ac:dyDescent="0.2">
      <c r="A206">
        <v>192</v>
      </c>
      <c r="B206" s="146" t="s">
        <v>5317</v>
      </c>
      <c r="C206" s="1" t="e">
        <f>LOOKUP(B206,'Company Database'!C$9:C$1248,'Company Database'!#REF!)</f>
        <v>#REF!</v>
      </c>
      <c r="D206" s="1">
        <f>VALUE(LOOKUP(B206,'Company Database'!C$9:C$1248,'Company Database'!D$9:D$1248))</f>
        <v>84.63</v>
      </c>
      <c r="E206" s="1">
        <f>VALUE(LOOKUP(B206,'Company Database'!C$9:C$1248,'Company Database'!E$9:E$1248))</f>
        <v>132.75</v>
      </c>
      <c r="F206" s="1">
        <f>VALUE(LOOKUP(B206,'Company Database'!C$9:C$1248,'Company Database'!F$9:F$1248))</f>
        <v>172.05</v>
      </c>
      <c r="G206" s="115">
        <f t="shared" si="2"/>
        <v>202.52999999999997</v>
      </c>
      <c r="H206" s="170">
        <f>VALUE(LOOKUP(B206,'Company Database'!C$9:C$1248,'Company Database'!G$9:G$1248))</f>
        <v>2194.85</v>
      </c>
      <c r="I206" s="86">
        <f>LOOKUP(B206,'Company Database'!C$9:C$1248,'Company Database'!H$9:H$1248)</f>
        <v>0</v>
      </c>
      <c r="J206" s="86">
        <f>LOOKUP(B206,'Company Database'!C$9:C$1248,'Company Database'!I$9:I$1248)</f>
        <v>11.73</v>
      </c>
      <c r="K206" s="86">
        <f>LOOKUP(B206,'Company Database'!C$9:C$1248,'Company Database'!J$9:J$1248)</f>
        <v>14.85</v>
      </c>
    </row>
    <row r="207" spans="1:11" x14ac:dyDescent="0.2">
      <c r="A207">
        <v>193</v>
      </c>
      <c r="B207" s="146" t="s">
        <v>1381</v>
      </c>
      <c r="C207" s="1" t="e">
        <f>LOOKUP(B207,'Company Database'!C$9:C$1248,'Company Database'!#REF!)</f>
        <v>#REF!</v>
      </c>
      <c r="D207" s="1">
        <f>VALUE(LOOKUP(B207,'Company Database'!C$9:C$1248,'Company Database'!D$9:D$1248))</f>
        <v>70.150000000000006</v>
      </c>
      <c r="E207" s="1">
        <f>VALUE(LOOKUP(B207,'Company Database'!C$9:C$1248,'Company Database'!E$9:E$1248))</f>
        <v>62.1</v>
      </c>
      <c r="F207" s="1">
        <f>VALUE(LOOKUP(B207,'Company Database'!C$9:C$1248,'Company Database'!F$9:F$1248))</f>
        <v>73.3</v>
      </c>
      <c r="G207" s="115">
        <f t="shared" ref="G207:G270" si="3">IF(TREND(D207:F207,$D$13:$F$14,$G$13:$G$14)&gt;1.1*F207,TREND(D207:F207,$D$13:$F$14,$G$13:$G$14),F207)</f>
        <v>103.75</v>
      </c>
      <c r="H207" s="170">
        <f>VALUE(LOOKUP(B207,'Company Database'!C$9:C$1248,'Company Database'!G$9:G$1248))</f>
        <v>1652.25</v>
      </c>
      <c r="I207" s="86">
        <f>LOOKUP(B207,'Company Database'!C$9:C$1248,'Company Database'!H$9:H$1248)</f>
        <v>0</v>
      </c>
      <c r="J207" s="86">
        <f>LOOKUP(B207,'Company Database'!C$9:C$1248,'Company Database'!I$9:I$1248)</f>
        <v>16.809999999999999</v>
      </c>
      <c r="K207" s="86">
        <f>LOOKUP(B207,'Company Database'!C$9:C$1248,'Company Database'!J$9:J$1248)</f>
        <v>25.37</v>
      </c>
    </row>
    <row r="208" spans="1:11" x14ac:dyDescent="0.2">
      <c r="A208">
        <v>194</v>
      </c>
      <c r="B208" s="146" t="s">
        <v>2923</v>
      </c>
      <c r="C208" s="1" t="e">
        <f>LOOKUP(B208,'Company Database'!C$9:C$1248,'Company Database'!#REF!)</f>
        <v>#REF!</v>
      </c>
      <c r="D208" s="1">
        <f>VALUE(LOOKUP(B208,'Company Database'!C$9:C$1248,'Company Database'!D$9:D$1248))</f>
        <v>14.69</v>
      </c>
      <c r="E208" s="1">
        <f>VALUE(LOOKUP(B208,'Company Database'!C$9:C$1248,'Company Database'!E$9:E$1248))</f>
        <v>19</v>
      </c>
      <c r="F208" s="1">
        <f>VALUE(LOOKUP(B208,'Company Database'!C$9:C$1248,'Company Database'!F$9:F$1248))</f>
        <v>22.3</v>
      </c>
      <c r="G208" s="115">
        <f t="shared" si="3"/>
        <v>24.590000000000003</v>
      </c>
      <c r="H208" s="170">
        <f>VALUE(LOOKUP(B208,'Company Database'!C$9:C$1248,'Company Database'!G$9:G$1248))</f>
        <v>214.05</v>
      </c>
      <c r="I208" s="86">
        <f>LOOKUP(B208,'Company Database'!C$9:C$1248,'Company Database'!H$9:H$1248)</f>
        <v>0</v>
      </c>
      <c r="J208" s="86">
        <f>LOOKUP(B208,'Company Database'!C$9:C$1248,'Company Database'!I$9:I$1248)</f>
        <v>19.52</v>
      </c>
      <c r="K208" s="86">
        <f>LOOKUP(B208,'Company Database'!C$9:C$1248,'Company Database'!J$9:J$1248)</f>
        <v>10.42</v>
      </c>
    </row>
    <row r="209" spans="1:11" x14ac:dyDescent="0.2">
      <c r="A209">
        <v>195</v>
      </c>
      <c r="B209" s="146" t="s">
        <v>2924</v>
      </c>
      <c r="C209" s="1" t="e">
        <f>LOOKUP(B209,'Company Database'!C$9:C$1248,'Company Database'!#REF!)</f>
        <v>#REF!</v>
      </c>
      <c r="D209" s="1">
        <f>VALUE(LOOKUP(B209,'Company Database'!C$9:C$1248,'Company Database'!D$9:D$1248))</f>
        <v>15.52</v>
      </c>
      <c r="E209" s="1">
        <f>VALUE(LOOKUP(B209,'Company Database'!C$9:C$1248,'Company Database'!E$9:E$1248))</f>
        <v>19.04</v>
      </c>
      <c r="F209" s="1">
        <f>VALUE(LOOKUP(B209,'Company Database'!C$9:C$1248,'Company Database'!F$9:F$1248))</f>
        <v>22.96</v>
      </c>
      <c r="G209" s="115">
        <f t="shared" si="3"/>
        <v>27.280000000000008</v>
      </c>
      <c r="H209" s="170">
        <f>VALUE(LOOKUP(B209,'Company Database'!C$9:C$1248,'Company Database'!G$9:G$1248))</f>
        <v>438.75</v>
      </c>
      <c r="I209" s="86">
        <f>LOOKUP(B209,'Company Database'!C$9:C$1248,'Company Database'!H$9:H$1248)</f>
        <v>0</v>
      </c>
      <c r="J209" s="86">
        <f>LOOKUP(B209,'Company Database'!C$9:C$1248,'Company Database'!I$9:I$1248)</f>
        <v>26.74</v>
      </c>
      <c r="K209" s="86">
        <f>LOOKUP(B209,'Company Database'!C$9:C$1248,'Company Database'!J$9:J$1248)</f>
        <v>24.17</v>
      </c>
    </row>
    <row r="210" spans="1:11" x14ac:dyDescent="0.2">
      <c r="A210">
        <v>196</v>
      </c>
      <c r="B210" s="146" t="s">
        <v>2258</v>
      </c>
      <c r="C210" s="1" t="e">
        <f>LOOKUP(B210,'Company Database'!C$9:C$1248,'Company Database'!#REF!)</f>
        <v>#REF!</v>
      </c>
      <c r="D210" s="1">
        <f>VALUE(LOOKUP(B210,'Company Database'!C$9:C$1248,'Company Database'!D$9:D$1248))</f>
        <v>15</v>
      </c>
      <c r="E210" s="1">
        <f>VALUE(LOOKUP(B210,'Company Database'!C$9:C$1248,'Company Database'!E$9:E$1248))</f>
        <v>7.85</v>
      </c>
      <c r="F210" s="1">
        <f>VALUE(LOOKUP(B210,'Company Database'!C$9:C$1248,'Company Database'!F$9:F$1248))</f>
        <v>8.6999999999999993</v>
      </c>
      <c r="G210" s="115">
        <f t="shared" si="3"/>
        <v>17.550000000000004</v>
      </c>
      <c r="H210" s="170">
        <f>VALUE(LOOKUP(B210,'Company Database'!C$9:C$1248,'Company Database'!G$9:G$1248))</f>
        <v>91.95</v>
      </c>
      <c r="I210" s="86">
        <f>LOOKUP(B210,'Company Database'!C$9:C$1248,'Company Database'!H$9:H$1248)</f>
        <v>2.17</v>
      </c>
      <c r="J210" s="86">
        <f>LOOKUP(B210,'Company Database'!C$9:C$1248,'Company Database'!I$9:I$1248)</f>
        <v>23.01</v>
      </c>
      <c r="K210" s="86">
        <f>LOOKUP(B210,'Company Database'!C$9:C$1248,'Company Database'!J$9:J$1248)</f>
        <v>6.2</v>
      </c>
    </row>
    <row r="211" spans="1:11" x14ac:dyDescent="0.2">
      <c r="A211">
        <v>197</v>
      </c>
      <c r="B211" s="146" t="s">
        <v>4865</v>
      </c>
      <c r="C211" s="1" t="e">
        <f>LOOKUP(B211,'Company Database'!C$9:C$1248,'Company Database'!#REF!)</f>
        <v>#REF!</v>
      </c>
      <c r="D211" s="1">
        <f>VALUE(LOOKUP(B211,'Company Database'!C$9:C$1248,'Company Database'!D$9:D$1248))</f>
        <v>9.3000000000000007</v>
      </c>
      <c r="E211" s="1">
        <f>VALUE(LOOKUP(B211,'Company Database'!C$9:C$1248,'Company Database'!E$9:E$1248))</f>
        <v>6.95</v>
      </c>
      <c r="F211" s="1">
        <f>VALUE(LOOKUP(B211,'Company Database'!C$9:C$1248,'Company Database'!F$9:F$1248))</f>
        <v>8.1</v>
      </c>
      <c r="G211" s="115">
        <f t="shared" si="3"/>
        <v>12.75</v>
      </c>
      <c r="H211" s="170">
        <f>VALUE(LOOKUP(B211,'Company Database'!C$9:C$1248,'Company Database'!G$9:G$1248))</f>
        <v>107</v>
      </c>
      <c r="I211" s="86">
        <f>LOOKUP(B211,'Company Database'!C$9:C$1248,'Company Database'!H$9:H$1248)</f>
        <v>0</v>
      </c>
      <c r="J211" s="86">
        <f>LOOKUP(B211,'Company Database'!C$9:C$1248,'Company Database'!I$9:I$1248)</f>
        <v>7.91</v>
      </c>
      <c r="K211" s="86">
        <f>LOOKUP(B211,'Company Database'!C$9:C$1248,'Company Database'!J$9:J$1248)</f>
        <v>15.49</v>
      </c>
    </row>
    <row r="212" spans="1:11" x14ac:dyDescent="0.2">
      <c r="A212">
        <v>198</v>
      </c>
      <c r="B212" s="146" t="s">
        <v>2260</v>
      </c>
      <c r="C212" s="1" t="e">
        <f>LOOKUP(B212,'Company Database'!C$9:C$1248,'Company Database'!#REF!)</f>
        <v>#REF!</v>
      </c>
      <c r="D212" s="1">
        <f>VALUE(LOOKUP(B212,'Company Database'!C$9:C$1248,'Company Database'!D$9:D$1248))</f>
        <v>40.51</v>
      </c>
      <c r="E212" s="1">
        <f>VALUE(LOOKUP(B212,'Company Database'!C$9:C$1248,'Company Database'!E$9:E$1248))</f>
        <v>23.3</v>
      </c>
      <c r="F212" s="1">
        <f>VALUE(LOOKUP(B212,'Company Database'!C$9:C$1248,'Company Database'!F$9:F$1248))</f>
        <v>41.9</v>
      </c>
      <c r="G212" s="115">
        <f t="shared" si="3"/>
        <v>96.310000000000088</v>
      </c>
      <c r="H212" s="170">
        <f>VALUE(LOOKUP(B212,'Company Database'!C$9:C$1248,'Company Database'!G$9:G$1248))</f>
        <v>222.45</v>
      </c>
      <c r="I212" s="86">
        <f>LOOKUP(B212,'Company Database'!C$9:C$1248,'Company Database'!H$9:H$1248)</f>
        <v>5.41</v>
      </c>
      <c r="J212" s="86">
        <f>LOOKUP(B212,'Company Database'!C$9:C$1248,'Company Database'!I$9:I$1248)</f>
        <v>8.25</v>
      </c>
      <c r="K212" s="86">
        <f>LOOKUP(B212,'Company Database'!C$9:C$1248,'Company Database'!J$9:J$1248)</f>
        <v>5.48</v>
      </c>
    </row>
    <row r="213" spans="1:11" x14ac:dyDescent="0.2">
      <c r="A213">
        <v>199</v>
      </c>
      <c r="B213" s="146" t="s">
        <v>1382</v>
      </c>
      <c r="C213" s="1" t="e">
        <f>LOOKUP(B213,'Company Database'!C$9:C$1248,'Company Database'!#REF!)</f>
        <v>#REF!</v>
      </c>
      <c r="D213" s="1">
        <f>VALUE(LOOKUP(B213,'Company Database'!C$9:C$1248,'Company Database'!D$9:D$1248))</f>
        <v>35.61</v>
      </c>
      <c r="E213" s="1">
        <f>VALUE(LOOKUP(B213,'Company Database'!C$9:C$1248,'Company Database'!E$9:E$1248))</f>
        <v>42.8</v>
      </c>
      <c r="F213" s="1">
        <f>VALUE(LOOKUP(B213,'Company Database'!C$9:C$1248,'Company Database'!F$9:F$1248))</f>
        <v>48</v>
      </c>
      <c r="G213" s="115">
        <f t="shared" si="3"/>
        <v>48</v>
      </c>
      <c r="H213" s="170">
        <f>VALUE(LOOKUP(B213,'Company Database'!C$9:C$1248,'Company Database'!G$9:G$1248))</f>
        <v>690.85</v>
      </c>
      <c r="I213" s="86">
        <f>LOOKUP(B213,'Company Database'!C$9:C$1248,'Company Database'!H$9:H$1248)</f>
        <v>1.38</v>
      </c>
      <c r="J213" s="86">
        <f>LOOKUP(B213,'Company Database'!C$9:C$1248,'Company Database'!I$9:I$1248)</f>
        <v>26.23</v>
      </c>
      <c r="K213" s="86">
        <f>LOOKUP(B213,'Company Database'!C$9:C$1248,'Company Database'!J$9:J$1248)</f>
        <v>20.309999999999999</v>
      </c>
    </row>
    <row r="214" spans="1:11" x14ac:dyDescent="0.2">
      <c r="A214">
        <v>200</v>
      </c>
      <c r="B214" s="146" t="s">
        <v>4200</v>
      </c>
      <c r="C214" s="1" t="e">
        <f>LOOKUP(B214,'Company Database'!C$9:C$1248,'Company Database'!#REF!)</f>
        <v>#REF!</v>
      </c>
      <c r="D214" s="1">
        <f>VALUE(LOOKUP(B214,'Company Database'!C$9:C$1248,'Company Database'!D$9:D$1248))</f>
        <v>40.21</v>
      </c>
      <c r="E214" s="1">
        <f>VALUE(LOOKUP(B214,'Company Database'!C$9:C$1248,'Company Database'!E$9:E$1248))</f>
        <v>45.4</v>
      </c>
      <c r="F214" s="1">
        <f>VALUE(LOOKUP(B214,'Company Database'!C$9:C$1248,'Company Database'!F$9:F$1248))</f>
        <v>49.7</v>
      </c>
      <c r="G214" s="115">
        <f t="shared" si="3"/>
        <v>49.7</v>
      </c>
      <c r="H214" s="170">
        <f>VALUE(LOOKUP(B214,'Company Database'!C$9:C$1248,'Company Database'!G$9:G$1248))</f>
        <v>360.05</v>
      </c>
      <c r="I214" s="86">
        <f>LOOKUP(B214,'Company Database'!C$9:C$1248,'Company Database'!H$9:H$1248)</f>
        <v>0</v>
      </c>
      <c r="J214" s="86">
        <f>LOOKUP(B214,'Company Database'!C$9:C$1248,'Company Database'!I$9:I$1248)</f>
        <v>16.850000000000001</v>
      </c>
      <c r="K214" s="86">
        <f>LOOKUP(B214,'Company Database'!C$9:C$1248,'Company Database'!J$9:J$1248)</f>
        <v>7.32</v>
      </c>
    </row>
    <row r="215" spans="1:11" x14ac:dyDescent="0.2">
      <c r="A215">
        <v>201</v>
      </c>
      <c r="B215" s="146" t="s">
        <v>1522</v>
      </c>
      <c r="C215" s="1" t="e">
        <f>LOOKUP(B215,'Company Database'!C$9:C$1248,'Company Database'!#REF!)</f>
        <v>#REF!</v>
      </c>
      <c r="D215" s="1">
        <f>VALUE(LOOKUP(B215,'Company Database'!C$9:C$1248,'Company Database'!D$9:D$1248))</f>
        <v>0</v>
      </c>
      <c r="E215" s="1">
        <f>VALUE(LOOKUP(B215,'Company Database'!C$9:C$1248,'Company Database'!E$9:E$1248))</f>
        <v>51.25</v>
      </c>
      <c r="F215" s="1">
        <f>VALUE(LOOKUP(B215,'Company Database'!C$9:C$1248,'Company Database'!F$9:F$1248))</f>
        <v>56.47</v>
      </c>
      <c r="G215" s="115">
        <f t="shared" si="3"/>
        <v>56.47</v>
      </c>
      <c r="H215" s="170">
        <f>VALUE(LOOKUP(B215,'Company Database'!C$9:C$1248,'Company Database'!G$9:G$1248))</f>
        <v>239.8</v>
      </c>
      <c r="I215" s="86">
        <f>LOOKUP(B215,'Company Database'!C$9:C$1248,'Company Database'!H$9:H$1248)</f>
        <v>0</v>
      </c>
      <c r="J215" s="86">
        <f>LOOKUP(B215,'Company Database'!C$9:C$1248,'Company Database'!I$9:I$1248)</f>
        <v>12.95</v>
      </c>
      <c r="K215" s="86">
        <f>LOOKUP(B215,'Company Database'!C$9:C$1248,'Company Database'!J$9:J$1248)</f>
        <v>3.24</v>
      </c>
    </row>
    <row r="216" spans="1:11" x14ac:dyDescent="0.2">
      <c r="A216">
        <v>202</v>
      </c>
      <c r="B216" s="146" t="s">
        <v>3623</v>
      </c>
      <c r="C216" s="1" t="e">
        <f>LOOKUP(B216,'Company Database'!C$9:C$1248,'Company Database'!#REF!)</f>
        <v>#REF!</v>
      </c>
      <c r="D216" s="1">
        <f>VALUE(LOOKUP(B216,'Company Database'!C$9:C$1248,'Company Database'!D$9:D$1248))</f>
        <v>1.43</v>
      </c>
      <c r="E216" s="1">
        <f>VALUE(LOOKUP(B216,'Company Database'!C$9:C$1248,'Company Database'!E$9:E$1248))</f>
        <v>6.18</v>
      </c>
      <c r="F216" s="1">
        <f>VALUE(LOOKUP(B216,'Company Database'!C$9:C$1248,'Company Database'!F$9:F$1248))</f>
        <v>8.4499999999999993</v>
      </c>
      <c r="G216" s="115">
        <f t="shared" si="3"/>
        <v>8.4499999999999993</v>
      </c>
      <c r="H216" s="170">
        <f>VALUE(LOOKUP(B216,'Company Database'!C$9:C$1248,'Company Database'!G$9:G$1248))</f>
        <v>50.5</v>
      </c>
      <c r="I216" s="86">
        <f>LOOKUP(B216,'Company Database'!C$9:C$1248,'Company Database'!H$9:H$1248)</f>
        <v>0</v>
      </c>
      <c r="J216" s="86">
        <f>LOOKUP(B216,'Company Database'!C$9:C$1248,'Company Database'!I$9:I$1248)</f>
        <v>3.12</v>
      </c>
      <c r="K216" s="86">
        <f>LOOKUP(B216,'Company Database'!C$9:C$1248,'Company Database'!J$9:J$1248)</f>
        <v>0</v>
      </c>
    </row>
    <row r="217" spans="1:11" x14ac:dyDescent="0.2">
      <c r="A217">
        <v>203</v>
      </c>
      <c r="B217" s="146" t="s">
        <v>3625</v>
      </c>
      <c r="C217" s="1" t="e">
        <f>LOOKUP(B217,'Company Database'!C$9:C$1248,'Company Database'!#REF!)</f>
        <v>#REF!</v>
      </c>
      <c r="D217" s="1">
        <f>VALUE(LOOKUP(B217,'Company Database'!C$9:C$1248,'Company Database'!D$9:D$1248))</f>
        <v>0</v>
      </c>
      <c r="E217" s="1">
        <f>VALUE(LOOKUP(B217,'Company Database'!C$9:C$1248,'Company Database'!E$9:E$1248))</f>
        <v>35.200000000000003</v>
      </c>
      <c r="F217" s="1">
        <f>VALUE(LOOKUP(B217,'Company Database'!C$9:C$1248,'Company Database'!F$9:F$1248))</f>
        <v>28.3</v>
      </c>
      <c r="G217" s="115">
        <f t="shared" si="3"/>
        <v>28.3</v>
      </c>
      <c r="H217" s="170">
        <f>VALUE(LOOKUP(B217,'Company Database'!C$9:C$1248,'Company Database'!G$9:G$1248))</f>
        <v>118.8</v>
      </c>
      <c r="I217" s="86">
        <f>LOOKUP(B217,'Company Database'!C$9:C$1248,'Company Database'!H$9:H$1248)</f>
        <v>0</v>
      </c>
      <c r="J217" s="86">
        <f>LOOKUP(B217,'Company Database'!C$9:C$1248,'Company Database'!I$9:I$1248)</f>
        <v>30.22</v>
      </c>
      <c r="K217" s="86">
        <f>LOOKUP(B217,'Company Database'!C$9:C$1248,'Company Database'!J$9:J$1248)</f>
        <v>8.35</v>
      </c>
    </row>
    <row r="218" spans="1:11" x14ac:dyDescent="0.2">
      <c r="A218">
        <v>204</v>
      </c>
      <c r="B218" s="146" t="s">
        <v>3627</v>
      </c>
      <c r="C218" s="1" t="e">
        <f>LOOKUP(B218,'Company Database'!C$9:C$1248,'Company Database'!#REF!)</f>
        <v>#REF!</v>
      </c>
      <c r="D218" s="1">
        <f>VALUE(LOOKUP(B218,'Company Database'!C$9:C$1248,'Company Database'!D$9:D$1248))</f>
        <v>12.41</v>
      </c>
      <c r="E218" s="1">
        <f>VALUE(LOOKUP(B218,'Company Database'!C$9:C$1248,'Company Database'!E$9:E$1248))</f>
        <v>20.2</v>
      </c>
      <c r="F218" s="1">
        <f>VALUE(LOOKUP(B218,'Company Database'!C$9:C$1248,'Company Database'!F$9:F$1248))</f>
        <v>20.100000000000001</v>
      </c>
      <c r="G218" s="115">
        <f t="shared" si="3"/>
        <v>20.100000000000001</v>
      </c>
      <c r="H218" s="170">
        <f>VALUE(LOOKUP(B218,'Company Database'!C$9:C$1248,'Company Database'!G$9:G$1248))</f>
        <v>131.35</v>
      </c>
      <c r="I218" s="86">
        <f>LOOKUP(B218,'Company Database'!C$9:C$1248,'Company Database'!H$9:H$1248)</f>
        <v>1.33</v>
      </c>
      <c r="J218" s="86">
        <f>LOOKUP(B218,'Company Database'!C$9:C$1248,'Company Database'!I$9:I$1248)</f>
        <v>14.56</v>
      </c>
      <c r="K218" s="86">
        <f>LOOKUP(B218,'Company Database'!C$9:C$1248,'Company Database'!J$9:J$1248)</f>
        <v>10.8</v>
      </c>
    </row>
    <row r="219" spans="1:11" x14ac:dyDescent="0.2">
      <c r="A219">
        <v>205</v>
      </c>
      <c r="B219" s="146" t="s">
        <v>1383</v>
      </c>
      <c r="C219" s="1" t="e">
        <f>LOOKUP(B219,'Company Database'!C$9:C$1248,'Company Database'!#REF!)</f>
        <v>#REF!</v>
      </c>
      <c r="D219" s="1">
        <f>VALUE(LOOKUP(B219,'Company Database'!C$9:C$1248,'Company Database'!D$9:D$1248))</f>
        <v>3.98</v>
      </c>
      <c r="E219" s="1">
        <f>VALUE(LOOKUP(B219,'Company Database'!C$9:C$1248,'Company Database'!E$9:E$1248))</f>
        <v>4.7</v>
      </c>
      <c r="F219" s="1">
        <f>VALUE(LOOKUP(B219,'Company Database'!C$9:C$1248,'Company Database'!F$9:F$1248))</f>
        <v>5.7</v>
      </c>
      <c r="G219" s="115">
        <f t="shared" si="3"/>
        <v>6.98</v>
      </c>
      <c r="H219" s="170">
        <f>VALUE(LOOKUP(B219,'Company Database'!C$9:C$1248,'Company Database'!G$9:G$1248))</f>
        <v>139.25</v>
      </c>
      <c r="I219" s="86">
        <f>LOOKUP(B219,'Company Database'!C$9:C$1248,'Company Database'!H$9:H$1248)</f>
        <v>0</v>
      </c>
      <c r="J219" s="86">
        <f>LOOKUP(B219,'Company Database'!C$9:C$1248,'Company Database'!I$9:I$1248)</f>
        <v>0</v>
      </c>
      <c r="K219" s="86">
        <f>LOOKUP(B219,'Company Database'!C$9:C$1248,'Company Database'!J$9:J$1248)</f>
        <v>0</v>
      </c>
    </row>
    <row r="220" spans="1:11" x14ac:dyDescent="0.2">
      <c r="A220">
        <v>206</v>
      </c>
      <c r="B220" s="146" t="s">
        <v>1384</v>
      </c>
      <c r="C220" s="1" t="e">
        <f>LOOKUP(B220,'Company Database'!C$9:C$1248,'Company Database'!#REF!)</f>
        <v>#REF!</v>
      </c>
      <c r="D220" s="1">
        <f>VALUE(LOOKUP(B220,'Company Database'!C$9:C$1248,'Company Database'!D$9:D$1248))</f>
        <v>86.45</v>
      </c>
      <c r="E220" s="1">
        <f>VALUE(LOOKUP(B220,'Company Database'!C$9:C$1248,'Company Database'!E$9:E$1248))</f>
        <v>80</v>
      </c>
      <c r="F220" s="1">
        <f>VALUE(LOOKUP(B220,'Company Database'!C$9:C$1248,'Company Database'!F$9:F$1248))</f>
        <v>95.21</v>
      </c>
      <c r="G220" s="115">
        <f t="shared" si="3"/>
        <v>132.07999999999998</v>
      </c>
      <c r="H220" s="170">
        <f>VALUE(LOOKUP(B220,'Company Database'!C$9:C$1248,'Company Database'!G$9:G$1248))</f>
        <v>1223.2</v>
      </c>
      <c r="I220" s="86">
        <f>LOOKUP(B220,'Company Database'!C$9:C$1248,'Company Database'!H$9:H$1248)</f>
        <v>0</v>
      </c>
      <c r="J220" s="86">
        <f>LOOKUP(B220,'Company Database'!C$9:C$1248,'Company Database'!I$9:I$1248)</f>
        <v>20.29</v>
      </c>
      <c r="K220" s="86">
        <f>LOOKUP(B220,'Company Database'!C$9:C$1248,'Company Database'!J$9:J$1248)</f>
        <v>15.43</v>
      </c>
    </row>
    <row r="221" spans="1:11" x14ac:dyDescent="0.2">
      <c r="A221">
        <v>207</v>
      </c>
      <c r="B221" s="146" t="s">
        <v>1385</v>
      </c>
      <c r="C221" s="1" t="e">
        <f>LOOKUP(B221,'Company Database'!C$9:C$1248,'Company Database'!#REF!)</f>
        <v>#REF!</v>
      </c>
      <c r="D221" s="1">
        <f>VALUE(LOOKUP(B221,'Company Database'!C$9:C$1248,'Company Database'!D$9:D$1248))</f>
        <v>0</v>
      </c>
      <c r="E221" s="1">
        <f>VALUE(LOOKUP(B221,'Company Database'!C$9:C$1248,'Company Database'!E$9:E$1248))</f>
        <v>0</v>
      </c>
      <c r="F221" s="1">
        <f>VALUE(LOOKUP(B221,'Company Database'!C$9:C$1248,'Company Database'!F$9:F$1248))</f>
        <v>0</v>
      </c>
      <c r="G221" s="115">
        <f t="shared" si="3"/>
        <v>0</v>
      </c>
      <c r="H221" s="170">
        <f>VALUE(LOOKUP(B221,'Company Database'!C$9:C$1248,'Company Database'!G$9:G$1248))</f>
        <v>404.05</v>
      </c>
      <c r="I221" s="86">
        <f>LOOKUP(B221,'Company Database'!C$9:C$1248,'Company Database'!H$9:H$1248)</f>
        <v>0</v>
      </c>
      <c r="J221" s="86">
        <f>LOOKUP(B221,'Company Database'!C$9:C$1248,'Company Database'!I$9:I$1248)</f>
        <v>0</v>
      </c>
      <c r="K221" s="86">
        <f>LOOKUP(B221,'Company Database'!C$9:C$1248,'Company Database'!J$9:J$1248)</f>
        <v>0</v>
      </c>
    </row>
    <row r="222" spans="1:11" x14ac:dyDescent="0.2">
      <c r="A222">
        <v>208</v>
      </c>
      <c r="B222" s="146" t="s">
        <v>1386</v>
      </c>
      <c r="C222" s="1" t="e">
        <f>LOOKUP(B222,'Company Database'!C$9:C$1248,'Company Database'!#REF!)</f>
        <v>#REF!</v>
      </c>
      <c r="D222" s="1">
        <f>VALUE(LOOKUP(B222,'Company Database'!C$9:C$1248,'Company Database'!D$9:D$1248))</f>
        <v>24.99</v>
      </c>
      <c r="E222" s="1">
        <f>VALUE(LOOKUP(B222,'Company Database'!C$9:C$1248,'Company Database'!E$9:E$1248))</f>
        <v>-7.89</v>
      </c>
      <c r="F222" s="1">
        <f>VALUE(LOOKUP(B222,'Company Database'!C$9:C$1248,'Company Database'!F$9:F$1248))</f>
        <v>10</v>
      </c>
      <c r="G222" s="115">
        <f t="shared" si="3"/>
        <v>78.660000000000068</v>
      </c>
      <c r="H222" s="170">
        <f>VALUE(LOOKUP(B222,'Company Database'!C$9:C$1248,'Company Database'!G$9:G$1248))</f>
        <v>100.05</v>
      </c>
      <c r="I222" s="86">
        <f>LOOKUP(B222,'Company Database'!C$9:C$1248,'Company Database'!H$9:H$1248)</f>
        <v>3.24</v>
      </c>
      <c r="J222" s="86">
        <f>LOOKUP(B222,'Company Database'!C$9:C$1248,'Company Database'!I$9:I$1248)</f>
        <v>8.19</v>
      </c>
      <c r="K222" s="86">
        <f>LOOKUP(B222,'Company Database'!C$9:C$1248,'Company Database'!J$9:J$1248)</f>
        <v>7.31</v>
      </c>
    </row>
    <row r="223" spans="1:11" x14ac:dyDescent="0.2">
      <c r="A223">
        <v>209</v>
      </c>
      <c r="B223" s="146" t="s">
        <v>4866</v>
      </c>
      <c r="C223" s="1" t="e">
        <f>LOOKUP(B223,'Company Database'!C$9:C$1248,'Company Database'!#REF!)</f>
        <v>#REF!</v>
      </c>
      <c r="D223" s="1">
        <f>VALUE(LOOKUP(B223,'Company Database'!C$9:C$1248,'Company Database'!D$9:D$1248))</f>
        <v>0</v>
      </c>
      <c r="E223" s="1">
        <f>VALUE(LOOKUP(B223,'Company Database'!C$9:C$1248,'Company Database'!E$9:E$1248))</f>
        <v>0</v>
      </c>
      <c r="F223" s="1">
        <f>VALUE(LOOKUP(B223,'Company Database'!C$9:C$1248,'Company Database'!F$9:F$1248))</f>
        <v>0</v>
      </c>
      <c r="G223" s="115">
        <f t="shared" si="3"/>
        <v>0</v>
      </c>
      <c r="H223" s="170">
        <f>VALUE(LOOKUP(B223,'Company Database'!C$9:C$1248,'Company Database'!G$9:G$1248))</f>
        <v>6</v>
      </c>
      <c r="I223" s="86">
        <f>LOOKUP(B223,'Company Database'!C$9:C$1248,'Company Database'!H$9:H$1248)</f>
        <v>0</v>
      </c>
      <c r="J223" s="86">
        <f>LOOKUP(B223,'Company Database'!C$9:C$1248,'Company Database'!I$9:I$1248)</f>
        <v>0</v>
      </c>
      <c r="K223" s="86">
        <f>LOOKUP(B223,'Company Database'!C$9:C$1248,'Company Database'!J$9:J$1248)</f>
        <v>0</v>
      </c>
    </row>
    <row r="224" spans="1:11" x14ac:dyDescent="0.2">
      <c r="A224">
        <v>210</v>
      </c>
      <c r="B224" s="146" t="s">
        <v>4867</v>
      </c>
      <c r="C224" s="1" t="e">
        <f>LOOKUP(B224,'Company Database'!C$9:C$1248,'Company Database'!#REF!)</f>
        <v>#REF!</v>
      </c>
      <c r="D224" s="1">
        <f>VALUE(LOOKUP(B224,'Company Database'!C$9:C$1248,'Company Database'!D$9:D$1248))</f>
        <v>-0.03</v>
      </c>
      <c r="E224" s="1">
        <f>VALUE(LOOKUP(B224,'Company Database'!C$9:C$1248,'Company Database'!E$9:E$1248))</f>
        <v>-1.7</v>
      </c>
      <c r="F224" s="1">
        <f>VALUE(LOOKUP(B224,'Company Database'!C$9:C$1248,'Company Database'!F$9:F$1248))</f>
        <v>0.78</v>
      </c>
      <c r="G224" s="115">
        <f t="shared" si="3"/>
        <v>7.4100000000000072</v>
      </c>
      <c r="H224" s="170">
        <f>VALUE(LOOKUP(B224,'Company Database'!C$9:C$1248,'Company Database'!G$9:G$1248))</f>
        <v>165.15</v>
      </c>
      <c r="I224" s="86">
        <f>LOOKUP(B224,'Company Database'!C$9:C$1248,'Company Database'!H$9:H$1248)</f>
        <v>0</v>
      </c>
      <c r="J224" s="86">
        <f>LOOKUP(B224,'Company Database'!C$9:C$1248,'Company Database'!I$9:I$1248)</f>
        <v>-0.1</v>
      </c>
      <c r="K224" s="86">
        <f>LOOKUP(B224,'Company Database'!C$9:C$1248,'Company Database'!J$9:J$1248)</f>
        <v>0</v>
      </c>
    </row>
    <row r="225" spans="1:11" x14ac:dyDescent="0.2">
      <c r="A225">
        <v>211</v>
      </c>
      <c r="B225" s="146" t="s">
        <v>4868</v>
      </c>
      <c r="C225" s="1" t="e">
        <f>LOOKUP(B225,'Company Database'!C$9:C$1248,'Company Database'!#REF!)</f>
        <v>#REF!</v>
      </c>
      <c r="D225" s="1">
        <f>VALUE(LOOKUP(B225,'Company Database'!C$9:C$1248,'Company Database'!D$9:D$1248))</f>
        <v>0</v>
      </c>
      <c r="E225" s="1">
        <f>VALUE(LOOKUP(B225,'Company Database'!C$9:C$1248,'Company Database'!E$9:E$1248))</f>
        <v>34.03</v>
      </c>
      <c r="F225" s="1">
        <f>VALUE(LOOKUP(B225,'Company Database'!C$9:C$1248,'Company Database'!F$9:F$1248))</f>
        <v>46.9</v>
      </c>
      <c r="G225" s="115">
        <f t="shared" si="3"/>
        <v>46.9</v>
      </c>
      <c r="H225" s="170">
        <f>VALUE(LOOKUP(B225,'Company Database'!C$9:C$1248,'Company Database'!G$9:G$1248))</f>
        <v>1046.55</v>
      </c>
      <c r="I225" s="86">
        <f>LOOKUP(B225,'Company Database'!C$9:C$1248,'Company Database'!H$9:H$1248)</f>
        <v>0</v>
      </c>
      <c r="J225" s="86">
        <f>LOOKUP(B225,'Company Database'!C$9:C$1248,'Company Database'!I$9:I$1248)</f>
        <v>6.25</v>
      </c>
      <c r="K225" s="86">
        <f>LOOKUP(B225,'Company Database'!C$9:C$1248,'Company Database'!J$9:J$1248)</f>
        <v>33.93</v>
      </c>
    </row>
    <row r="226" spans="1:11" x14ac:dyDescent="0.2">
      <c r="A226">
        <v>212</v>
      </c>
      <c r="B226" s="146" t="s">
        <v>4869</v>
      </c>
      <c r="C226" s="1" t="e">
        <f>LOOKUP(B226,'Company Database'!C$9:C$1248,'Company Database'!#REF!)</f>
        <v>#REF!</v>
      </c>
      <c r="D226" s="1">
        <f>VALUE(LOOKUP(B226,'Company Database'!C$9:C$1248,'Company Database'!D$9:D$1248))</f>
        <v>21.1</v>
      </c>
      <c r="E226" s="1">
        <f>VALUE(LOOKUP(B226,'Company Database'!C$9:C$1248,'Company Database'!E$9:E$1248))</f>
        <v>25.6</v>
      </c>
      <c r="F226" s="1">
        <f>VALUE(LOOKUP(B226,'Company Database'!C$9:C$1248,'Company Database'!F$9:F$1248))</f>
        <v>28.9</v>
      </c>
      <c r="G226" s="115">
        <f t="shared" si="3"/>
        <v>28.9</v>
      </c>
      <c r="H226" s="170">
        <f>VALUE(LOOKUP(B226,'Company Database'!C$9:C$1248,'Company Database'!G$9:G$1248))</f>
        <v>261</v>
      </c>
      <c r="I226" s="86">
        <f>LOOKUP(B226,'Company Database'!C$9:C$1248,'Company Database'!H$9:H$1248)</f>
        <v>1.53</v>
      </c>
      <c r="J226" s="86">
        <f>LOOKUP(B226,'Company Database'!C$9:C$1248,'Company Database'!I$9:I$1248)</f>
        <v>28.1</v>
      </c>
      <c r="K226" s="86">
        <f>LOOKUP(B226,'Company Database'!C$9:C$1248,'Company Database'!J$9:J$1248)</f>
        <v>11.91</v>
      </c>
    </row>
    <row r="227" spans="1:11" x14ac:dyDescent="0.2">
      <c r="A227">
        <v>213</v>
      </c>
      <c r="B227" s="146" t="s">
        <v>3061</v>
      </c>
      <c r="C227" s="1" t="e">
        <f>LOOKUP(B227,'Company Database'!C$9:C$1248,'Company Database'!#REF!)</f>
        <v>#REF!</v>
      </c>
      <c r="D227" s="1">
        <f>VALUE(LOOKUP(B227,'Company Database'!C$9:C$1248,'Company Database'!D$9:D$1248))</f>
        <v>187</v>
      </c>
      <c r="E227" s="1">
        <f>VALUE(LOOKUP(B227,'Company Database'!C$9:C$1248,'Company Database'!E$9:E$1248))</f>
        <v>270.64999999999998</v>
      </c>
      <c r="F227" s="1">
        <f>VALUE(LOOKUP(B227,'Company Database'!C$9:C$1248,'Company Database'!F$9:F$1248))</f>
        <v>313.89999999999998</v>
      </c>
      <c r="G227" s="115">
        <f t="shared" si="3"/>
        <v>313.89999999999998</v>
      </c>
      <c r="H227" s="170">
        <f>VALUE(LOOKUP(B227,'Company Database'!C$9:C$1248,'Company Database'!G$9:G$1248))</f>
        <v>6876.7</v>
      </c>
      <c r="I227" s="86">
        <f>LOOKUP(B227,'Company Database'!C$9:C$1248,'Company Database'!H$9:H$1248)</f>
        <v>0.57999999999999996</v>
      </c>
      <c r="J227" s="86">
        <f>LOOKUP(B227,'Company Database'!C$9:C$1248,'Company Database'!I$9:I$1248)</f>
        <v>16.75</v>
      </c>
      <c r="K227" s="86">
        <f>LOOKUP(B227,'Company Database'!C$9:C$1248,'Company Database'!J$9:J$1248)</f>
        <v>25.09</v>
      </c>
    </row>
    <row r="228" spans="1:11" x14ac:dyDescent="0.2">
      <c r="A228">
        <v>214</v>
      </c>
      <c r="B228" s="146" t="s">
        <v>1794</v>
      </c>
      <c r="C228" s="1" t="e">
        <f>LOOKUP(B228,'Company Database'!C$9:C$1248,'Company Database'!#REF!)</f>
        <v>#REF!</v>
      </c>
      <c r="D228" s="1">
        <f>VALUE(LOOKUP(B228,'Company Database'!C$9:C$1248,'Company Database'!D$9:D$1248))</f>
        <v>1.56</v>
      </c>
      <c r="E228" s="1">
        <f>VALUE(LOOKUP(B228,'Company Database'!C$9:C$1248,'Company Database'!E$9:E$1248))</f>
        <v>5.25</v>
      </c>
      <c r="F228" s="1">
        <f>VALUE(LOOKUP(B228,'Company Database'!C$9:C$1248,'Company Database'!F$9:F$1248))</f>
        <v>7.2</v>
      </c>
      <c r="G228" s="115">
        <f t="shared" si="3"/>
        <v>7.2</v>
      </c>
      <c r="H228" s="170">
        <f>VALUE(LOOKUP(B228,'Company Database'!C$9:C$1248,'Company Database'!G$9:G$1248))</f>
        <v>41</v>
      </c>
      <c r="I228" s="86">
        <f>LOOKUP(B228,'Company Database'!C$9:C$1248,'Company Database'!H$9:H$1248)</f>
        <v>0</v>
      </c>
      <c r="J228" s="86">
        <f>LOOKUP(B228,'Company Database'!C$9:C$1248,'Company Database'!I$9:I$1248)</f>
        <v>0</v>
      </c>
      <c r="K228" s="86">
        <f>LOOKUP(B228,'Company Database'!C$9:C$1248,'Company Database'!J$9:J$1248)</f>
        <v>24.8</v>
      </c>
    </row>
    <row r="229" spans="1:11" x14ac:dyDescent="0.2">
      <c r="A229">
        <v>215</v>
      </c>
      <c r="B229" s="146" t="s">
        <v>111</v>
      </c>
      <c r="C229" s="1" t="e">
        <f>LOOKUP(B229,'Company Database'!C$9:C$1248,'Company Database'!#REF!)</f>
        <v>#REF!</v>
      </c>
      <c r="D229" s="1">
        <f>VALUE(LOOKUP(B229,'Company Database'!C$9:C$1248,'Company Database'!D$9:D$1248))</f>
        <v>54.21</v>
      </c>
      <c r="E229" s="1">
        <f>VALUE(LOOKUP(B229,'Company Database'!C$9:C$1248,'Company Database'!E$9:E$1248))</f>
        <v>46.7</v>
      </c>
      <c r="F229" s="1">
        <f>VALUE(LOOKUP(B229,'Company Database'!C$9:C$1248,'Company Database'!F$9:F$1248))</f>
        <v>57.1</v>
      </c>
      <c r="G229" s="115">
        <f t="shared" si="3"/>
        <v>85.410000000000011</v>
      </c>
      <c r="H229" s="170">
        <f>VALUE(LOOKUP(B229,'Company Database'!C$9:C$1248,'Company Database'!G$9:G$1248))</f>
        <v>495.35</v>
      </c>
      <c r="I229" s="86">
        <f>LOOKUP(B229,'Company Database'!C$9:C$1248,'Company Database'!H$9:H$1248)</f>
        <v>0</v>
      </c>
      <c r="J229" s="86">
        <f>LOOKUP(B229,'Company Database'!C$9:C$1248,'Company Database'!I$9:I$1248)</f>
        <v>16.559999999999999</v>
      </c>
      <c r="K229" s="86">
        <f>LOOKUP(B229,'Company Database'!C$9:C$1248,'Company Database'!J$9:J$1248)</f>
        <v>11.18</v>
      </c>
    </row>
    <row r="230" spans="1:11" x14ac:dyDescent="0.2">
      <c r="A230">
        <v>216</v>
      </c>
      <c r="B230" s="146" t="s">
        <v>1795</v>
      </c>
      <c r="C230" s="1" t="e">
        <f>LOOKUP(B230,'Company Database'!C$9:C$1248,'Company Database'!#REF!)</f>
        <v>#REF!</v>
      </c>
      <c r="D230" s="1">
        <f>VALUE(LOOKUP(B230,'Company Database'!C$9:C$1248,'Company Database'!D$9:D$1248))</f>
        <v>0</v>
      </c>
      <c r="E230" s="1">
        <f>VALUE(LOOKUP(B230,'Company Database'!C$9:C$1248,'Company Database'!E$9:E$1248))</f>
        <v>-15.52</v>
      </c>
      <c r="F230" s="1">
        <f>VALUE(LOOKUP(B230,'Company Database'!C$9:C$1248,'Company Database'!F$9:F$1248))</f>
        <v>-1.43</v>
      </c>
      <c r="G230" s="115">
        <f t="shared" si="3"/>
        <v>42.270000000000039</v>
      </c>
      <c r="H230" s="170">
        <f>VALUE(LOOKUP(B230,'Company Database'!C$9:C$1248,'Company Database'!G$9:G$1248))</f>
        <v>40.700000000000003</v>
      </c>
      <c r="I230" s="86">
        <f>LOOKUP(B230,'Company Database'!C$9:C$1248,'Company Database'!H$9:H$1248)</f>
        <v>0</v>
      </c>
      <c r="J230" s="86">
        <f>LOOKUP(B230,'Company Database'!C$9:C$1248,'Company Database'!I$9:I$1248)</f>
        <v>-12.46</v>
      </c>
      <c r="K230" s="86">
        <f>LOOKUP(B230,'Company Database'!C$9:C$1248,'Company Database'!J$9:J$1248)</f>
        <v>0</v>
      </c>
    </row>
    <row r="231" spans="1:11" x14ac:dyDescent="0.2">
      <c r="A231">
        <v>217</v>
      </c>
      <c r="B231" s="146" t="s">
        <v>3771</v>
      </c>
      <c r="C231" s="1" t="e">
        <f>LOOKUP(B231,'Company Database'!C$9:C$1248,'Company Database'!#REF!)</f>
        <v>#REF!</v>
      </c>
      <c r="D231" s="1">
        <f>VALUE(LOOKUP(B231,'Company Database'!C$9:C$1248,'Company Database'!D$9:D$1248))</f>
        <v>0</v>
      </c>
      <c r="E231" s="1">
        <f>VALUE(LOOKUP(B231,'Company Database'!C$9:C$1248,'Company Database'!E$9:E$1248))</f>
        <v>0</v>
      </c>
      <c r="F231" s="1">
        <f>VALUE(LOOKUP(B231,'Company Database'!C$9:C$1248,'Company Database'!F$9:F$1248))</f>
        <v>0</v>
      </c>
      <c r="G231" s="115">
        <f t="shared" si="3"/>
        <v>0</v>
      </c>
      <c r="H231" s="170">
        <f>VALUE(LOOKUP(B231,'Company Database'!C$9:C$1248,'Company Database'!G$9:G$1248))</f>
        <v>215.35</v>
      </c>
      <c r="I231" s="86">
        <f>LOOKUP(B231,'Company Database'!C$9:C$1248,'Company Database'!H$9:H$1248)</f>
        <v>0.81</v>
      </c>
      <c r="J231" s="86">
        <f>LOOKUP(B231,'Company Database'!C$9:C$1248,'Company Database'!I$9:I$1248)</f>
        <v>18.63</v>
      </c>
      <c r="K231" s="86">
        <f>LOOKUP(B231,'Company Database'!C$9:C$1248,'Company Database'!J$9:J$1248)</f>
        <v>47.05</v>
      </c>
    </row>
    <row r="232" spans="1:11" x14ac:dyDescent="0.2">
      <c r="A232">
        <v>218</v>
      </c>
      <c r="B232" s="146" t="s">
        <v>1796</v>
      </c>
      <c r="C232" s="1" t="e">
        <f>LOOKUP(B232,'Company Database'!C$9:C$1248,'Company Database'!#REF!)</f>
        <v>#REF!</v>
      </c>
      <c r="D232" s="1">
        <f>VALUE(LOOKUP(B232,'Company Database'!C$9:C$1248,'Company Database'!D$9:D$1248))</f>
        <v>0</v>
      </c>
      <c r="E232" s="1">
        <f>VALUE(LOOKUP(B232,'Company Database'!C$9:C$1248,'Company Database'!E$9:E$1248))</f>
        <v>0</v>
      </c>
      <c r="F232" s="1">
        <f>VALUE(LOOKUP(B232,'Company Database'!C$9:C$1248,'Company Database'!F$9:F$1248))</f>
        <v>0</v>
      </c>
      <c r="G232" s="115">
        <f t="shared" si="3"/>
        <v>0</v>
      </c>
      <c r="H232" s="170">
        <f>VALUE(LOOKUP(B232,'Company Database'!C$9:C$1248,'Company Database'!G$9:G$1248))</f>
        <v>17.149999999999999</v>
      </c>
      <c r="I232" s="86">
        <f>LOOKUP(B232,'Company Database'!C$9:C$1248,'Company Database'!H$9:H$1248)</f>
        <v>0</v>
      </c>
      <c r="J232" s="86">
        <f>LOOKUP(B232,'Company Database'!C$9:C$1248,'Company Database'!I$9:I$1248)</f>
        <v>-4.5999999999999996</v>
      </c>
      <c r="K232" s="86">
        <f>LOOKUP(B232,'Company Database'!C$9:C$1248,'Company Database'!J$9:J$1248)</f>
        <v>0</v>
      </c>
    </row>
    <row r="233" spans="1:11" x14ac:dyDescent="0.2">
      <c r="A233">
        <v>219</v>
      </c>
      <c r="B233" s="146" t="s">
        <v>3773</v>
      </c>
      <c r="C233" s="1" t="e">
        <f>LOOKUP(B233,'Company Database'!C$9:C$1248,'Company Database'!#REF!)</f>
        <v>#REF!</v>
      </c>
      <c r="D233" s="1">
        <f>VALUE(LOOKUP(B233,'Company Database'!C$9:C$1248,'Company Database'!D$9:D$1248))</f>
        <v>0</v>
      </c>
      <c r="E233" s="1">
        <f>VALUE(LOOKUP(B233,'Company Database'!C$9:C$1248,'Company Database'!E$9:E$1248))</f>
        <v>5.38</v>
      </c>
      <c r="F233" s="1">
        <f>VALUE(LOOKUP(B233,'Company Database'!C$9:C$1248,'Company Database'!F$9:F$1248))</f>
        <v>6.2</v>
      </c>
      <c r="G233" s="115">
        <f t="shared" si="3"/>
        <v>6.2</v>
      </c>
      <c r="H233" s="170">
        <f>VALUE(LOOKUP(B233,'Company Database'!C$9:C$1248,'Company Database'!G$9:G$1248))</f>
        <v>73.95</v>
      </c>
      <c r="I233" s="86">
        <f>LOOKUP(B233,'Company Database'!C$9:C$1248,'Company Database'!H$9:H$1248)</f>
        <v>0</v>
      </c>
      <c r="J233" s="86">
        <f>LOOKUP(B233,'Company Database'!C$9:C$1248,'Company Database'!I$9:I$1248)</f>
        <v>0</v>
      </c>
      <c r="K233" s="86">
        <f>LOOKUP(B233,'Company Database'!C$9:C$1248,'Company Database'!J$9:J$1248)</f>
        <v>0</v>
      </c>
    </row>
    <row r="234" spans="1:11" x14ac:dyDescent="0.2">
      <c r="A234">
        <v>220</v>
      </c>
      <c r="B234" s="146" t="s">
        <v>3775</v>
      </c>
      <c r="C234" s="1" t="e">
        <f>LOOKUP(B234,'Company Database'!C$9:C$1248,'Company Database'!#REF!)</f>
        <v>#REF!</v>
      </c>
      <c r="D234" s="1">
        <f>VALUE(LOOKUP(B234,'Company Database'!C$9:C$1248,'Company Database'!D$9:D$1248))</f>
        <v>3.86</v>
      </c>
      <c r="E234" s="1">
        <f>VALUE(LOOKUP(B234,'Company Database'!C$9:C$1248,'Company Database'!E$9:E$1248))</f>
        <v>-21.01</v>
      </c>
      <c r="F234" s="1">
        <f>VALUE(LOOKUP(B234,'Company Database'!C$9:C$1248,'Company Database'!F$9:F$1248))</f>
        <v>-25.63</v>
      </c>
      <c r="G234" s="115">
        <f t="shared" si="3"/>
        <v>-9.9999999999999432</v>
      </c>
      <c r="H234" s="170">
        <f>VALUE(LOOKUP(B234,'Company Database'!C$9:C$1248,'Company Database'!G$9:G$1248))</f>
        <v>45.25</v>
      </c>
      <c r="I234" s="86">
        <f>LOOKUP(B234,'Company Database'!C$9:C$1248,'Company Database'!H$9:H$1248)</f>
        <v>0</v>
      </c>
      <c r="J234" s="86">
        <f>LOOKUP(B234,'Company Database'!C$9:C$1248,'Company Database'!I$9:I$1248)</f>
        <v>-31.99</v>
      </c>
      <c r="K234" s="86">
        <f>LOOKUP(B234,'Company Database'!C$9:C$1248,'Company Database'!J$9:J$1248)</f>
        <v>0</v>
      </c>
    </row>
    <row r="235" spans="1:11" x14ac:dyDescent="0.2">
      <c r="A235">
        <v>221</v>
      </c>
      <c r="B235" s="146" t="s">
        <v>3777</v>
      </c>
      <c r="C235" s="1" t="e">
        <f>LOOKUP(B235,'Company Database'!C$9:C$1248,'Company Database'!#REF!)</f>
        <v>#REF!</v>
      </c>
      <c r="D235" s="1">
        <f>VALUE(LOOKUP(B235,'Company Database'!C$9:C$1248,'Company Database'!D$9:D$1248))</f>
        <v>0</v>
      </c>
      <c r="E235" s="1">
        <f>VALUE(LOOKUP(B235,'Company Database'!C$9:C$1248,'Company Database'!E$9:E$1248))</f>
        <v>0</v>
      </c>
      <c r="F235" s="1">
        <f>VALUE(LOOKUP(B235,'Company Database'!C$9:C$1248,'Company Database'!F$9:F$1248))</f>
        <v>0</v>
      </c>
      <c r="G235" s="115">
        <f t="shared" si="3"/>
        <v>0</v>
      </c>
      <c r="H235" s="170">
        <f>VALUE(LOOKUP(B235,'Company Database'!C$9:C$1248,'Company Database'!G$9:G$1248))</f>
        <v>43.7</v>
      </c>
      <c r="I235" s="86">
        <f>LOOKUP(B235,'Company Database'!C$9:C$1248,'Company Database'!H$9:H$1248)</f>
        <v>2.2799999999999998</v>
      </c>
      <c r="J235" s="86">
        <f>LOOKUP(B235,'Company Database'!C$9:C$1248,'Company Database'!I$9:I$1248)</f>
        <v>10.29</v>
      </c>
      <c r="K235" s="86">
        <f>LOOKUP(B235,'Company Database'!C$9:C$1248,'Company Database'!J$9:J$1248)</f>
        <v>5.17</v>
      </c>
    </row>
    <row r="236" spans="1:11" x14ac:dyDescent="0.2">
      <c r="A236">
        <v>222</v>
      </c>
      <c r="B236" s="146" t="s">
        <v>1797</v>
      </c>
      <c r="C236" s="1" t="e">
        <f>LOOKUP(B236,'Company Database'!C$9:C$1248,'Company Database'!#REF!)</f>
        <v>#REF!</v>
      </c>
      <c r="D236" s="1">
        <f>VALUE(LOOKUP(B236,'Company Database'!C$9:C$1248,'Company Database'!D$9:D$1248))</f>
        <v>7.5</v>
      </c>
      <c r="E236" s="1">
        <f>VALUE(LOOKUP(B236,'Company Database'!C$9:C$1248,'Company Database'!E$9:E$1248))</f>
        <v>7.8</v>
      </c>
      <c r="F236" s="1">
        <f>VALUE(LOOKUP(B236,'Company Database'!C$9:C$1248,'Company Database'!F$9:F$1248))</f>
        <v>9.06</v>
      </c>
      <c r="G236" s="115">
        <f t="shared" si="3"/>
        <v>11.280000000000003</v>
      </c>
      <c r="H236" s="170">
        <f>VALUE(LOOKUP(B236,'Company Database'!C$9:C$1248,'Company Database'!G$9:G$1248))</f>
        <v>88.7</v>
      </c>
      <c r="I236" s="86">
        <f>LOOKUP(B236,'Company Database'!C$9:C$1248,'Company Database'!H$9:H$1248)</f>
        <v>1.47</v>
      </c>
      <c r="J236" s="86">
        <f>LOOKUP(B236,'Company Database'!C$9:C$1248,'Company Database'!I$9:I$1248)</f>
        <v>8.34</v>
      </c>
      <c r="K236" s="86">
        <f>LOOKUP(B236,'Company Database'!C$9:C$1248,'Company Database'!J$9:J$1248)</f>
        <v>9.7799999999999994</v>
      </c>
    </row>
    <row r="237" spans="1:11" x14ac:dyDescent="0.2">
      <c r="A237">
        <v>223</v>
      </c>
      <c r="B237" s="146" t="s">
        <v>1798</v>
      </c>
      <c r="C237" s="1" t="e">
        <f>LOOKUP(B237,'Company Database'!C$9:C$1248,'Company Database'!#REF!)</f>
        <v>#REF!</v>
      </c>
      <c r="D237" s="1">
        <f>VALUE(LOOKUP(B237,'Company Database'!C$9:C$1248,'Company Database'!D$9:D$1248))</f>
        <v>0</v>
      </c>
      <c r="E237" s="1">
        <f>VALUE(LOOKUP(B237,'Company Database'!C$9:C$1248,'Company Database'!E$9:E$1248))</f>
        <v>7.62</v>
      </c>
      <c r="F237" s="1">
        <f>VALUE(LOOKUP(B237,'Company Database'!C$9:C$1248,'Company Database'!F$9:F$1248))</f>
        <v>10.65</v>
      </c>
      <c r="G237" s="115">
        <f t="shared" si="3"/>
        <v>10.65</v>
      </c>
      <c r="H237" s="170">
        <f>VALUE(LOOKUP(B237,'Company Database'!C$9:C$1248,'Company Database'!G$9:G$1248))</f>
        <v>55.35</v>
      </c>
      <c r="I237" s="86">
        <f>LOOKUP(B237,'Company Database'!C$9:C$1248,'Company Database'!H$9:H$1248)</f>
        <v>1.76</v>
      </c>
      <c r="J237" s="86">
        <f>LOOKUP(B237,'Company Database'!C$9:C$1248,'Company Database'!I$9:I$1248)</f>
        <v>3.29</v>
      </c>
      <c r="K237" s="86">
        <f>LOOKUP(B237,'Company Database'!C$9:C$1248,'Company Database'!J$9:J$1248)</f>
        <v>11.63</v>
      </c>
    </row>
    <row r="238" spans="1:11" x14ac:dyDescent="0.2">
      <c r="A238">
        <v>224</v>
      </c>
      <c r="B238" s="146" t="s">
        <v>3779</v>
      </c>
      <c r="C238" s="1" t="e">
        <f>LOOKUP(B238,'Company Database'!C$9:C$1248,'Company Database'!#REF!)</f>
        <v>#REF!</v>
      </c>
      <c r="D238" s="1">
        <f>VALUE(LOOKUP(B238,'Company Database'!C$9:C$1248,'Company Database'!D$9:D$1248))</f>
        <v>12.92</v>
      </c>
      <c r="E238" s="1">
        <f>VALUE(LOOKUP(B238,'Company Database'!C$9:C$1248,'Company Database'!E$9:E$1248))</f>
        <v>17.809999999999999</v>
      </c>
      <c r="F238" s="1">
        <f>VALUE(LOOKUP(B238,'Company Database'!C$9:C$1248,'Company Database'!F$9:F$1248))</f>
        <v>23.2</v>
      </c>
      <c r="G238" s="115">
        <f t="shared" si="3"/>
        <v>29.089999999999996</v>
      </c>
      <c r="H238" s="170">
        <f>VALUE(LOOKUP(B238,'Company Database'!C$9:C$1248,'Company Database'!G$9:G$1248))</f>
        <v>88</v>
      </c>
      <c r="I238" s="86">
        <f>LOOKUP(B238,'Company Database'!C$9:C$1248,'Company Database'!H$9:H$1248)</f>
        <v>1.42</v>
      </c>
      <c r="J238" s="86">
        <f>LOOKUP(B238,'Company Database'!C$9:C$1248,'Company Database'!I$9:I$1248)</f>
        <v>7.26</v>
      </c>
      <c r="K238" s="86">
        <f>LOOKUP(B238,'Company Database'!C$9:C$1248,'Company Database'!J$9:J$1248)</f>
        <v>27.82</v>
      </c>
    </row>
    <row r="239" spans="1:11" x14ac:dyDescent="0.2">
      <c r="A239">
        <v>225</v>
      </c>
      <c r="B239" s="146" t="s">
        <v>1799</v>
      </c>
      <c r="C239" s="1" t="e">
        <f>LOOKUP(B239,'Company Database'!C$9:C$1248,'Company Database'!#REF!)</f>
        <v>#REF!</v>
      </c>
      <c r="D239" s="1">
        <f>VALUE(LOOKUP(B239,'Company Database'!C$9:C$1248,'Company Database'!D$9:D$1248))</f>
        <v>0</v>
      </c>
      <c r="E239" s="1">
        <f>VALUE(LOOKUP(B239,'Company Database'!C$9:C$1248,'Company Database'!E$9:E$1248))</f>
        <v>3</v>
      </c>
      <c r="F239" s="1">
        <f>VALUE(LOOKUP(B239,'Company Database'!C$9:C$1248,'Company Database'!F$9:F$1248))</f>
        <v>4</v>
      </c>
      <c r="G239" s="115">
        <f t="shared" si="3"/>
        <v>4</v>
      </c>
      <c r="H239" s="170">
        <f>VALUE(LOOKUP(B239,'Company Database'!C$9:C$1248,'Company Database'!G$9:G$1248))</f>
        <v>61.65</v>
      </c>
      <c r="I239" s="86">
        <f>LOOKUP(B239,'Company Database'!C$9:C$1248,'Company Database'!H$9:H$1248)</f>
        <v>0</v>
      </c>
      <c r="J239" s="86">
        <f>LOOKUP(B239,'Company Database'!C$9:C$1248,'Company Database'!I$9:I$1248)</f>
        <v>0</v>
      </c>
      <c r="K239" s="86">
        <f>LOOKUP(B239,'Company Database'!C$9:C$1248,'Company Database'!J$9:J$1248)</f>
        <v>0</v>
      </c>
    </row>
    <row r="240" spans="1:11" x14ac:dyDescent="0.2">
      <c r="A240">
        <v>226</v>
      </c>
      <c r="B240" s="146" t="s">
        <v>3782</v>
      </c>
      <c r="C240" s="1" t="e">
        <f>LOOKUP(B240,'Company Database'!C$9:C$1248,'Company Database'!#REF!)</f>
        <v>#REF!</v>
      </c>
      <c r="D240" s="1">
        <f>VALUE(LOOKUP(B240,'Company Database'!C$9:C$1248,'Company Database'!D$9:D$1248))</f>
        <v>-3.26</v>
      </c>
      <c r="E240" s="1">
        <f>VALUE(LOOKUP(B240,'Company Database'!C$9:C$1248,'Company Database'!E$9:E$1248))</f>
        <v>-14.42</v>
      </c>
      <c r="F240" s="1">
        <f>VALUE(LOOKUP(B240,'Company Database'!C$9:C$1248,'Company Database'!F$9:F$1248))</f>
        <v>-10.7</v>
      </c>
      <c r="G240" s="115">
        <f t="shared" si="3"/>
        <v>7.900000000000027</v>
      </c>
      <c r="H240" s="170">
        <f>VALUE(LOOKUP(B240,'Company Database'!C$9:C$1248,'Company Database'!G$9:G$1248))</f>
        <v>60.5</v>
      </c>
      <c r="I240" s="86">
        <f>LOOKUP(B240,'Company Database'!C$9:C$1248,'Company Database'!H$9:H$1248)</f>
        <v>0</v>
      </c>
      <c r="J240" s="86">
        <f>LOOKUP(B240,'Company Database'!C$9:C$1248,'Company Database'!I$9:I$1248)</f>
        <v>-16.25</v>
      </c>
      <c r="K240" s="86">
        <f>LOOKUP(B240,'Company Database'!C$9:C$1248,'Company Database'!J$9:J$1248)</f>
        <v>0</v>
      </c>
    </row>
    <row r="241" spans="1:11" x14ac:dyDescent="0.2">
      <c r="A241">
        <v>227</v>
      </c>
      <c r="B241" s="146" t="s">
        <v>3784</v>
      </c>
      <c r="C241" s="1" t="e">
        <f>LOOKUP(B241,'Company Database'!C$9:C$1248,'Company Database'!#REF!)</f>
        <v>#REF!</v>
      </c>
      <c r="D241" s="1">
        <f>VALUE(LOOKUP(B241,'Company Database'!C$9:C$1248,'Company Database'!D$9:D$1248))</f>
        <v>67.94</v>
      </c>
      <c r="E241" s="1">
        <f>VALUE(LOOKUP(B241,'Company Database'!C$9:C$1248,'Company Database'!E$9:E$1248))</f>
        <v>83.67</v>
      </c>
      <c r="F241" s="1">
        <f>VALUE(LOOKUP(B241,'Company Database'!C$9:C$1248,'Company Database'!F$9:F$1248))</f>
        <v>101.34</v>
      </c>
      <c r="G241" s="115">
        <f t="shared" si="3"/>
        <v>120.94999999999999</v>
      </c>
      <c r="H241" s="170">
        <f>VALUE(LOOKUP(B241,'Company Database'!C$9:C$1248,'Company Database'!G$9:G$1248))</f>
        <v>4056.65</v>
      </c>
      <c r="I241" s="86">
        <f>LOOKUP(B241,'Company Database'!C$9:C$1248,'Company Database'!H$9:H$1248)</f>
        <v>1.19</v>
      </c>
      <c r="J241" s="86">
        <f>LOOKUP(B241,'Company Database'!C$9:C$1248,'Company Database'!I$9:I$1248)</f>
        <v>96.63</v>
      </c>
      <c r="K241" s="86">
        <f>LOOKUP(B241,'Company Database'!C$9:C$1248,'Company Database'!J$9:J$1248)</f>
        <v>47.94</v>
      </c>
    </row>
    <row r="242" spans="1:11" x14ac:dyDescent="0.2">
      <c r="A242">
        <v>228</v>
      </c>
      <c r="B242" s="146" t="s">
        <v>2830</v>
      </c>
      <c r="C242" s="1" t="e">
        <f>LOOKUP(B242,'Company Database'!C$9:C$1248,'Company Database'!#REF!)</f>
        <v>#REF!</v>
      </c>
      <c r="D242" s="1">
        <f>VALUE(LOOKUP(B242,'Company Database'!C$9:C$1248,'Company Database'!D$9:D$1248))</f>
        <v>7.44</v>
      </c>
      <c r="E242" s="1">
        <f>VALUE(LOOKUP(B242,'Company Database'!C$9:C$1248,'Company Database'!E$9:E$1248))</f>
        <v>7.8</v>
      </c>
      <c r="F242" s="1">
        <f>VALUE(LOOKUP(B242,'Company Database'!C$9:C$1248,'Company Database'!F$9:F$1248))</f>
        <v>8.6999999999999993</v>
      </c>
      <c r="G242" s="115">
        <f t="shared" si="3"/>
        <v>10.14</v>
      </c>
      <c r="H242" s="170">
        <f>VALUE(LOOKUP(B242,'Company Database'!C$9:C$1248,'Company Database'!G$9:G$1248))</f>
        <v>103.5</v>
      </c>
      <c r="I242" s="86">
        <f>LOOKUP(B242,'Company Database'!C$9:C$1248,'Company Database'!H$9:H$1248)</f>
        <v>1.94</v>
      </c>
      <c r="J242" s="86">
        <f>LOOKUP(B242,'Company Database'!C$9:C$1248,'Company Database'!I$9:I$1248)</f>
        <v>12.71</v>
      </c>
      <c r="K242" s="86">
        <f>LOOKUP(B242,'Company Database'!C$9:C$1248,'Company Database'!J$9:J$1248)</f>
        <v>13.88</v>
      </c>
    </row>
    <row r="243" spans="1:11" x14ac:dyDescent="0.2">
      <c r="A243">
        <v>229</v>
      </c>
      <c r="B243" s="146" t="s">
        <v>2077</v>
      </c>
      <c r="C243" s="1" t="e">
        <f>LOOKUP(B243,'Company Database'!C$9:C$1248,'Company Database'!#REF!)</f>
        <v>#REF!</v>
      </c>
      <c r="D243" s="1">
        <f>VALUE(LOOKUP(B243,'Company Database'!C$9:C$1248,'Company Database'!D$9:D$1248))</f>
        <v>23.43</v>
      </c>
      <c r="E243" s="1">
        <f>VALUE(LOOKUP(B243,'Company Database'!C$9:C$1248,'Company Database'!E$9:E$1248))</f>
        <v>25.24</v>
      </c>
      <c r="F243" s="1">
        <f>VALUE(LOOKUP(B243,'Company Database'!C$9:C$1248,'Company Database'!F$9:F$1248))</f>
        <v>25.7</v>
      </c>
      <c r="G243" s="115">
        <f t="shared" si="3"/>
        <v>25.7</v>
      </c>
      <c r="H243" s="170">
        <f>VALUE(LOOKUP(B243,'Company Database'!C$9:C$1248,'Company Database'!G$9:G$1248))</f>
        <v>387.4</v>
      </c>
      <c r="I243" s="86">
        <f>LOOKUP(B243,'Company Database'!C$9:C$1248,'Company Database'!H$9:H$1248)</f>
        <v>0</v>
      </c>
      <c r="J243" s="86">
        <f>LOOKUP(B243,'Company Database'!C$9:C$1248,'Company Database'!I$9:I$1248)</f>
        <v>30.33</v>
      </c>
      <c r="K243" s="86">
        <f>LOOKUP(B243,'Company Database'!C$9:C$1248,'Company Database'!J$9:J$1248)</f>
        <v>0.51</v>
      </c>
    </row>
    <row r="244" spans="1:11" x14ac:dyDescent="0.2">
      <c r="A244">
        <v>230</v>
      </c>
      <c r="B244" s="146" t="s">
        <v>2079</v>
      </c>
      <c r="C244" s="1" t="e">
        <f>LOOKUP(B244,'Company Database'!C$9:C$1248,'Company Database'!#REF!)</f>
        <v>#REF!</v>
      </c>
      <c r="D244" s="1">
        <f>VALUE(LOOKUP(B244,'Company Database'!C$9:C$1248,'Company Database'!D$9:D$1248))</f>
        <v>4.25</v>
      </c>
      <c r="E244" s="1">
        <f>VALUE(LOOKUP(B244,'Company Database'!C$9:C$1248,'Company Database'!E$9:E$1248))</f>
        <v>5</v>
      </c>
      <c r="F244" s="1">
        <f>VALUE(LOOKUP(B244,'Company Database'!C$9:C$1248,'Company Database'!F$9:F$1248))</f>
        <v>6.4</v>
      </c>
      <c r="G244" s="115">
        <f t="shared" si="3"/>
        <v>8.4500000000000028</v>
      </c>
      <c r="H244" s="170">
        <f>VALUE(LOOKUP(B244,'Company Database'!C$9:C$1248,'Company Database'!G$9:G$1248))</f>
        <v>55.9</v>
      </c>
      <c r="I244" s="86">
        <f>LOOKUP(B244,'Company Database'!C$9:C$1248,'Company Database'!H$9:H$1248)</f>
        <v>0</v>
      </c>
      <c r="J244" s="86">
        <f>LOOKUP(B244,'Company Database'!C$9:C$1248,'Company Database'!I$9:I$1248)</f>
        <v>8.68</v>
      </c>
      <c r="K244" s="86">
        <f>LOOKUP(B244,'Company Database'!C$9:C$1248,'Company Database'!J$9:J$1248)</f>
        <v>18.59</v>
      </c>
    </row>
    <row r="245" spans="1:11" x14ac:dyDescent="0.2">
      <c r="A245">
        <v>231</v>
      </c>
      <c r="B245" s="146" t="s">
        <v>1800</v>
      </c>
      <c r="C245" s="1" t="e">
        <f>LOOKUP(B245,'Company Database'!C$9:C$1248,'Company Database'!#REF!)</f>
        <v>#REF!</v>
      </c>
      <c r="D245" s="1">
        <f>VALUE(LOOKUP(B245,'Company Database'!C$9:C$1248,'Company Database'!D$9:D$1248))</f>
        <v>-2.71</v>
      </c>
      <c r="E245" s="1">
        <f>VALUE(LOOKUP(B245,'Company Database'!C$9:C$1248,'Company Database'!E$9:E$1248))</f>
        <v>5.9</v>
      </c>
      <c r="F245" s="1">
        <f>VALUE(LOOKUP(B245,'Company Database'!C$9:C$1248,'Company Database'!F$9:F$1248))</f>
        <v>9.4</v>
      </c>
      <c r="G245" s="115">
        <f t="shared" si="3"/>
        <v>9.4</v>
      </c>
      <c r="H245" s="170">
        <f>VALUE(LOOKUP(B245,'Company Database'!C$9:C$1248,'Company Database'!G$9:G$1248))</f>
        <v>59.05</v>
      </c>
      <c r="I245" s="86">
        <f>LOOKUP(B245,'Company Database'!C$9:C$1248,'Company Database'!H$9:H$1248)</f>
        <v>0</v>
      </c>
      <c r="J245" s="86">
        <f>LOOKUP(B245,'Company Database'!C$9:C$1248,'Company Database'!I$9:I$1248)</f>
        <v>-0.65</v>
      </c>
      <c r="K245" s="86">
        <f>LOOKUP(B245,'Company Database'!C$9:C$1248,'Company Database'!J$9:J$1248)</f>
        <v>7.19</v>
      </c>
    </row>
    <row r="246" spans="1:11" x14ac:dyDescent="0.2">
      <c r="A246">
        <v>232</v>
      </c>
      <c r="B246" s="146" t="s">
        <v>1801</v>
      </c>
      <c r="C246" s="1" t="e">
        <f>LOOKUP(B246,'Company Database'!C$9:C$1248,'Company Database'!#REF!)</f>
        <v>#REF!</v>
      </c>
      <c r="D246" s="1">
        <f>VALUE(LOOKUP(B246,'Company Database'!C$9:C$1248,'Company Database'!D$9:D$1248))</f>
        <v>0</v>
      </c>
      <c r="E246" s="1">
        <f>VALUE(LOOKUP(B246,'Company Database'!C$9:C$1248,'Company Database'!E$9:E$1248))</f>
        <v>1.9</v>
      </c>
      <c r="F246" s="1">
        <f>VALUE(LOOKUP(B246,'Company Database'!C$9:C$1248,'Company Database'!F$9:F$1248))</f>
        <v>2.5</v>
      </c>
      <c r="G246" s="115">
        <f t="shared" si="3"/>
        <v>2.5</v>
      </c>
      <c r="H246" s="170">
        <f>VALUE(LOOKUP(B246,'Company Database'!C$9:C$1248,'Company Database'!G$9:G$1248))</f>
        <v>25.65</v>
      </c>
      <c r="I246" s="86">
        <f>LOOKUP(B246,'Company Database'!C$9:C$1248,'Company Database'!H$9:H$1248)</f>
        <v>0</v>
      </c>
      <c r="J246" s="86">
        <f>LOOKUP(B246,'Company Database'!C$9:C$1248,'Company Database'!I$9:I$1248)</f>
        <v>6.34</v>
      </c>
      <c r="K246" s="86">
        <f>LOOKUP(B246,'Company Database'!C$9:C$1248,'Company Database'!J$9:J$1248)</f>
        <v>12.69</v>
      </c>
    </row>
    <row r="247" spans="1:11" x14ac:dyDescent="0.2">
      <c r="A247">
        <v>233</v>
      </c>
      <c r="B247" s="146" t="s">
        <v>4346</v>
      </c>
      <c r="C247" s="1" t="e">
        <f>LOOKUP(B247,'Company Database'!C$9:C$1248,'Company Database'!#REF!)</f>
        <v>#REF!</v>
      </c>
      <c r="D247" s="1">
        <f>VALUE(LOOKUP(B247,'Company Database'!C$9:C$1248,'Company Database'!D$9:D$1248))</f>
        <v>36.29</v>
      </c>
      <c r="E247" s="1">
        <f>VALUE(LOOKUP(B247,'Company Database'!C$9:C$1248,'Company Database'!E$9:E$1248))</f>
        <v>42.59</v>
      </c>
      <c r="F247" s="1">
        <f>VALUE(LOOKUP(B247,'Company Database'!C$9:C$1248,'Company Database'!F$9:F$1248))</f>
        <v>47.05</v>
      </c>
      <c r="G247" s="115">
        <f t="shared" si="3"/>
        <v>47.05</v>
      </c>
      <c r="H247" s="170">
        <f>VALUE(LOOKUP(B247,'Company Database'!C$9:C$1248,'Company Database'!G$9:G$1248))</f>
        <v>217.15</v>
      </c>
      <c r="I247" s="86">
        <f>LOOKUP(B247,'Company Database'!C$9:C$1248,'Company Database'!H$9:H$1248)</f>
        <v>1.41</v>
      </c>
      <c r="J247" s="86">
        <f>LOOKUP(B247,'Company Database'!C$9:C$1248,'Company Database'!I$9:I$1248)</f>
        <v>19.66</v>
      </c>
      <c r="K247" s="86">
        <f>LOOKUP(B247,'Company Database'!C$9:C$1248,'Company Database'!J$9:J$1248)</f>
        <v>19.510000000000002</v>
      </c>
    </row>
    <row r="248" spans="1:11" x14ac:dyDescent="0.2">
      <c r="A248">
        <v>234</v>
      </c>
      <c r="B248" s="146" t="s">
        <v>4348</v>
      </c>
      <c r="C248" s="1" t="e">
        <f>LOOKUP(B248,'Company Database'!C$9:C$1248,'Company Database'!#REF!)</f>
        <v>#REF!</v>
      </c>
      <c r="D248" s="1">
        <f>VALUE(LOOKUP(B248,'Company Database'!C$9:C$1248,'Company Database'!D$9:D$1248))</f>
        <v>10.59</v>
      </c>
      <c r="E248" s="1">
        <f>VALUE(LOOKUP(B248,'Company Database'!C$9:C$1248,'Company Database'!E$9:E$1248))</f>
        <v>10.6</v>
      </c>
      <c r="F248" s="1">
        <f>VALUE(LOOKUP(B248,'Company Database'!C$9:C$1248,'Company Database'!F$9:F$1248))</f>
        <v>12</v>
      </c>
      <c r="G248" s="115">
        <f t="shared" si="3"/>
        <v>14.790000000000001</v>
      </c>
      <c r="H248" s="170">
        <f>VALUE(LOOKUP(B248,'Company Database'!C$9:C$1248,'Company Database'!G$9:G$1248))</f>
        <v>172.8</v>
      </c>
      <c r="I248" s="86">
        <f>LOOKUP(B248,'Company Database'!C$9:C$1248,'Company Database'!H$9:H$1248)</f>
        <v>0</v>
      </c>
      <c r="J248" s="86">
        <f>LOOKUP(B248,'Company Database'!C$9:C$1248,'Company Database'!I$9:I$1248)</f>
        <v>12.7</v>
      </c>
      <c r="K248" s="86">
        <f>LOOKUP(B248,'Company Database'!C$9:C$1248,'Company Database'!J$9:J$1248)</f>
        <v>15.7</v>
      </c>
    </row>
    <row r="249" spans="1:11" x14ac:dyDescent="0.2">
      <c r="A249">
        <v>235</v>
      </c>
      <c r="B249" s="146" t="s">
        <v>4350</v>
      </c>
      <c r="C249" s="1" t="e">
        <f>LOOKUP(B249,'Company Database'!C$9:C$1248,'Company Database'!#REF!)</f>
        <v>#REF!</v>
      </c>
      <c r="D249" s="1">
        <f>VALUE(LOOKUP(B249,'Company Database'!C$9:C$1248,'Company Database'!D$9:D$1248))</f>
        <v>0</v>
      </c>
      <c r="E249" s="1">
        <f>VALUE(LOOKUP(B249,'Company Database'!C$9:C$1248,'Company Database'!E$9:E$1248))</f>
        <v>0</v>
      </c>
      <c r="F249" s="1">
        <f>VALUE(LOOKUP(B249,'Company Database'!C$9:C$1248,'Company Database'!F$9:F$1248))</f>
        <v>0</v>
      </c>
      <c r="G249" s="115">
        <f t="shared" si="3"/>
        <v>0</v>
      </c>
      <c r="H249" s="170">
        <f>VALUE(LOOKUP(B249,'Company Database'!C$9:C$1248,'Company Database'!G$9:G$1248))</f>
        <v>100.8</v>
      </c>
      <c r="I249" s="86">
        <f>LOOKUP(B249,'Company Database'!C$9:C$1248,'Company Database'!H$9:H$1248)</f>
        <v>0</v>
      </c>
      <c r="J249" s="86">
        <f>LOOKUP(B249,'Company Database'!C$9:C$1248,'Company Database'!I$9:I$1248)</f>
        <v>19.37</v>
      </c>
      <c r="K249" s="86">
        <f>LOOKUP(B249,'Company Database'!C$9:C$1248,'Company Database'!J$9:J$1248)</f>
        <v>5.01</v>
      </c>
    </row>
    <row r="250" spans="1:11" x14ac:dyDescent="0.2">
      <c r="A250">
        <v>236</v>
      </c>
      <c r="B250" s="146" t="s">
        <v>2801</v>
      </c>
      <c r="C250" s="1" t="e">
        <f>LOOKUP(B250,'Company Database'!C$9:C$1248,'Company Database'!#REF!)</f>
        <v>#REF!</v>
      </c>
      <c r="D250" s="1">
        <f>VALUE(LOOKUP(B250,'Company Database'!C$9:C$1248,'Company Database'!D$9:D$1248))</f>
        <v>0</v>
      </c>
      <c r="E250" s="1">
        <f>VALUE(LOOKUP(B250,'Company Database'!C$9:C$1248,'Company Database'!E$9:E$1248))</f>
        <v>0</v>
      </c>
      <c r="F250" s="1">
        <f>VALUE(LOOKUP(B250,'Company Database'!C$9:C$1248,'Company Database'!F$9:F$1248))</f>
        <v>0</v>
      </c>
      <c r="G250" s="115">
        <f t="shared" si="3"/>
        <v>0</v>
      </c>
      <c r="H250" s="170">
        <f>VALUE(LOOKUP(B250,'Company Database'!C$9:C$1248,'Company Database'!G$9:G$1248))</f>
        <v>40.549999999999997</v>
      </c>
      <c r="I250" s="86">
        <f>LOOKUP(B250,'Company Database'!C$9:C$1248,'Company Database'!H$9:H$1248)</f>
        <v>3.64</v>
      </c>
      <c r="J250" s="86">
        <f>LOOKUP(B250,'Company Database'!C$9:C$1248,'Company Database'!I$9:I$1248)</f>
        <v>6.33</v>
      </c>
      <c r="K250" s="86">
        <f>LOOKUP(B250,'Company Database'!C$9:C$1248,'Company Database'!J$9:J$1248)</f>
        <v>6.21</v>
      </c>
    </row>
    <row r="251" spans="1:11" x14ac:dyDescent="0.2">
      <c r="A251">
        <v>237</v>
      </c>
      <c r="B251" s="146" t="s">
        <v>3412</v>
      </c>
      <c r="C251" s="1" t="e">
        <f>LOOKUP(B251,'Company Database'!C$9:C$1248,'Company Database'!#REF!)</f>
        <v>#REF!</v>
      </c>
      <c r="D251" s="1">
        <f>VALUE(LOOKUP(B251,'Company Database'!C$9:C$1248,'Company Database'!D$9:D$1248))</f>
        <v>22.68</v>
      </c>
      <c r="E251" s="1">
        <f>VALUE(LOOKUP(B251,'Company Database'!C$9:C$1248,'Company Database'!E$9:E$1248))</f>
        <v>28.9</v>
      </c>
      <c r="F251" s="1">
        <f>VALUE(LOOKUP(B251,'Company Database'!C$9:C$1248,'Company Database'!F$9:F$1248))</f>
        <v>31.48</v>
      </c>
      <c r="G251" s="115">
        <f t="shared" si="3"/>
        <v>31.48</v>
      </c>
      <c r="H251" s="170">
        <f>VALUE(LOOKUP(B251,'Company Database'!C$9:C$1248,'Company Database'!G$9:G$1248))</f>
        <v>273.95</v>
      </c>
      <c r="I251" s="86">
        <f>LOOKUP(B251,'Company Database'!C$9:C$1248,'Company Database'!H$9:H$1248)</f>
        <v>6.02</v>
      </c>
      <c r="J251" s="86">
        <f>LOOKUP(B251,'Company Database'!C$9:C$1248,'Company Database'!I$9:I$1248)</f>
        <v>18.84</v>
      </c>
      <c r="K251" s="86">
        <f>LOOKUP(B251,'Company Database'!C$9:C$1248,'Company Database'!J$9:J$1248)</f>
        <v>13.98</v>
      </c>
    </row>
    <row r="252" spans="1:11" x14ac:dyDescent="0.2">
      <c r="A252">
        <v>238</v>
      </c>
      <c r="B252" s="146" t="s">
        <v>2804</v>
      </c>
      <c r="C252" s="1" t="e">
        <f>LOOKUP(B252,'Company Database'!C$9:C$1248,'Company Database'!#REF!)</f>
        <v>#REF!</v>
      </c>
      <c r="D252" s="1">
        <f>VALUE(LOOKUP(B252,'Company Database'!C$9:C$1248,'Company Database'!D$9:D$1248))</f>
        <v>-78.599999999999994</v>
      </c>
      <c r="E252" s="1">
        <f>VALUE(LOOKUP(B252,'Company Database'!C$9:C$1248,'Company Database'!E$9:E$1248))</f>
        <v>16.14</v>
      </c>
      <c r="F252" s="1">
        <f>VALUE(LOOKUP(B252,'Company Database'!C$9:C$1248,'Company Database'!F$9:F$1248))</f>
        <v>19.87</v>
      </c>
      <c r="G252" s="115">
        <f t="shared" si="3"/>
        <v>19.87</v>
      </c>
      <c r="H252" s="170">
        <f>VALUE(LOOKUP(B252,'Company Database'!C$9:C$1248,'Company Database'!G$9:G$1248))</f>
        <v>283.89999999999998</v>
      </c>
      <c r="I252" s="86">
        <f>LOOKUP(B252,'Company Database'!C$9:C$1248,'Company Database'!H$9:H$1248)</f>
        <v>0</v>
      </c>
      <c r="J252" s="86">
        <f>LOOKUP(B252,'Company Database'!C$9:C$1248,'Company Database'!I$9:I$1248)</f>
        <v>0</v>
      </c>
      <c r="K252" s="86">
        <f>LOOKUP(B252,'Company Database'!C$9:C$1248,'Company Database'!J$9:J$1248)</f>
        <v>0</v>
      </c>
    </row>
    <row r="253" spans="1:11" x14ac:dyDescent="0.2">
      <c r="A253">
        <v>239</v>
      </c>
      <c r="B253" s="146" t="s">
        <v>1802</v>
      </c>
      <c r="C253" s="1" t="e">
        <f>LOOKUP(B253,'Company Database'!C$9:C$1248,'Company Database'!#REF!)</f>
        <v>#REF!</v>
      </c>
      <c r="D253" s="1">
        <f>VALUE(LOOKUP(B253,'Company Database'!C$9:C$1248,'Company Database'!D$9:D$1248))</f>
        <v>45.29</v>
      </c>
      <c r="E253" s="1">
        <f>VALUE(LOOKUP(B253,'Company Database'!C$9:C$1248,'Company Database'!E$9:E$1248))</f>
        <v>61.22</v>
      </c>
      <c r="F253" s="1">
        <f>VALUE(LOOKUP(B253,'Company Database'!C$9:C$1248,'Company Database'!F$9:F$1248))</f>
        <v>70.7</v>
      </c>
      <c r="G253" s="115">
        <f t="shared" si="3"/>
        <v>70.7</v>
      </c>
      <c r="H253" s="170">
        <f>VALUE(LOOKUP(B253,'Company Database'!C$9:C$1248,'Company Database'!G$9:G$1248))</f>
        <v>338.7</v>
      </c>
      <c r="I253" s="86">
        <f>LOOKUP(B253,'Company Database'!C$9:C$1248,'Company Database'!H$9:H$1248)</f>
        <v>0</v>
      </c>
      <c r="J253" s="86">
        <f>LOOKUP(B253,'Company Database'!C$9:C$1248,'Company Database'!I$9:I$1248)</f>
        <v>15.49</v>
      </c>
      <c r="K253" s="86">
        <f>LOOKUP(B253,'Company Database'!C$9:C$1248,'Company Database'!J$9:J$1248)</f>
        <v>6.58</v>
      </c>
    </row>
    <row r="254" spans="1:11" x14ac:dyDescent="0.2">
      <c r="A254">
        <v>240</v>
      </c>
      <c r="B254" s="146" t="s">
        <v>1803</v>
      </c>
      <c r="C254" s="1" t="e">
        <f>LOOKUP(B254,'Company Database'!C$9:C$1248,'Company Database'!#REF!)</f>
        <v>#REF!</v>
      </c>
      <c r="D254" s="1">
        <f>VALUE(LOOKUP(B254,'Company Database'!C$9:C$1248,'Company Database'!D$9:D$1248))</f>
        <v>8.26</v>
      </c>
      <c r="E254" s="1">
        <f>VALUE(LOOKUP(B254,'Company Database'!C$9:C$1248,'Company Database'!E$9:E$1248))</f>
        <v>6.6</v>
      </c>
      <c r="F254" s="1">
        <f>VALUE(LOOKUP(B254,'Company Database'!C$9:C$1248,'Company Database'!F$9:F$1248))</f>
        <v>9</v>
      </c>
      <c r="G254" s="115">
        <f t="shared" si="3"/>
        <v>15.460000000000008</v>
      </c>
      <c r="H254" s="170">
        <f>VALUE(LOOKUP(B254,'Company Database'!C$9:C$1248,'Company Database'!G$9:G$1248))</f>
        <v>58</v>
      </c>
      <c r="I254" s="86">
        <f>LOOKUP(B254,'Company Database'!C$9:C$1248,'Company Database'!H$9:H$1248)</f>
        <v>0</v>
      </c>
      <c r="J254" s="86">
        <f>LOOKUP(B254,'Company Database'!C$9:C$1248,'Company Database'!I$9:I$1248)</f>
        <v>20.41</v>
      </c>
      <c r="K254" s="86">
        <f>LOOKUP(B254,'Company Database'!C$9:C$1248,'Company Database'!J$9:J$1248)</f>
        <v>7.84</v>
      </c>
    </row>
    <row r="255" spans="1:11" x14ac:dyDescent="0.2">
      <c r="A255">
        <v>241</v>
      </c>
      <c r="B255" s="146" t="s">
        <v>4210</v>
      </c>
      <c r="C255" s="1" t="e">
        <f>LOOKUP(B255,'Company Database'!C$9:C$1248,'Company Database'!#REF!)</f>
        <v>#REF!</v>
      </c>
      <c r="D255" s="1">
        <f>VALUE(LOOKUP(B255,'Company Database'!C$9:C$1248,'Company Database'!D$9:D$1248))</f>
        <v>10.15</v>
      </c>
      <c r="E255" s="1">
        <f>VALUE(LOOKUP(B255,'Company Database'!C$9:C$1248,'Company Database'!E$9:E$1248))</f>
        <v>16.100000000000001</v>
      </c>
      <c r="F255" s="1">
        <f>VALUE(LOOKUP(B255,'Company Database'!C$9:C$1248,'Company Database'!F$9:F$1248))</f>
        <v>18.3</v>
      </c>
      <c r="G255" s="115">
        <f t="shared" si="3"/>
        <v>18.3</v>
      </c>
      <c r="H255" s="170">
        <f>VALUE(LOOKUP(B255,'Company Database'!C$9:C$1248,'Company Database'!G$9:G$1248))</f>
        <v>181.8</v>
      </c>
      <c r="I255" s="86">
        <f>LOOKUP(B255,'Company Database'!C$9:C$1248,'Company Database'!H$9:H$1248)</f>
        <v>0</v>
      </c>
      <c r="J255" s="86">
        <f>LOOKUP(B255,'Company Database'!C$9:C$1248,'Company Database'!I$9:I$1248)</f>
        <v>2.62</v>
      </c>
      <c r="K255" s="86">
        <f>LOOKUP(B255,'Company Database'!C$9:C$1248,'Company Database'!J$9:J$1248)</f>
        <v>8.24</v>
      </c>
    </row>
    <row r="256" spans="1:11" x14ac:dyDescent="0.2">
      <c r="A256">
        <v>242</v>
      </c>
      <c r="B256" s="146" t="s">
        <v>1804</v>
      </c>
      <c r="C256" s="1" t="e">
        <f>LOOKUP(B256,'Company Database'!C$9:C$1248,'Company Database'!#REF!)</f>
        <v>#REF!</v>
      </c>
      <c r="D256" s="1">
        <f>VALUE(LOOKUP(B256,'Company Database'!C$9:C$1248,'Company Database'!D$9:D$1248))</f>
        <v>0</v>
      </c>
      <c r="E256" s="1">
        <f>VALUE(LOOKUP(B256,'Company Database'!C$9:C$1248,'Company Database'!E$9:E$1248))</f>
        <v>0</v>
      </c>
      <c r="F256" s="1">
        <f>VALUE(LOOKUP(B256,'Company Database'!C$9:C$1248,'Company Database'!F$9:F$1248))</f>
        <v>0</v>
      </c>
      <c r="G256" s="115">
        <f t="shared" si="3"/>
        <v>0</v>
      </c>
      <c r="H256" s="170">
        <f>VALUE(LOOKUP(B256,'Company Database'!C$9:C$1248,'Company Database'!G$9:G$1248))</f>
        <v>3.95</v>
      </c>
      <c r="I256" s="86">
        <f>LOOKUP(B256,'Company Database'!C$9:C$1248,'Company Database'!H$9:H$1248)</f>
        <v>0</v>
      </c>
      <c r="J256" s="86">
        <f>LOOKUP(B256,'Company Database'!C$9:C$1248,'Company Database'!I$9:I$1248)</f>
        <v>0.14000000000000001</v>
      </c>
      <c r="K256" s="86">
        <f>LOOKUP(B256,'Company Database'!C$9:C$1248,'Company Database'!J$9:J$1248)</f>
        <v>0</v>
      </c>
    </row>
    <row r="257" spans="1:11" x14ac:dyDescent="0.2">
      <c r="A257">
        <v>243</v>
      </c>
      <c r="B257" s="146" t="s">
        <v>5353</v>
      </c>
      <c r="C257" s="1" t="e">
        <f>LOOKUP(B257,'Company Database'!C$9:C$1248,'Company Database'!#REF!)</f>
        <v>#REF!</v>
      </c>
      <c r="D257" s="1">
        <f>VALUE(LOOKUP(B257,'Company Database'!C$9:C$1248,'Company Database'!D$9:D$1248))</f>
        <v>46.44</v>
      </c>
      <c r="E257" s="1">
        <f>VALUE(LOOKUP(B257,'Company Database'!C$9:C$1248,'Company Database'!E$9:E$1248))</f>
        <v>38.950000000000003</v>
      </c>
      <c r="F257" s="1">
        <f>VALUE(LOOKUP(B257,'Company Database'!C$9:C$1248,'Company Database'!F$9:F$1248))</f>
        <v>42.25</v>
      </c>
      <c r="G257" s="115">
        <f t="shared" si="3"/>
        <v>56.34</v>
      </c>
      <c r="H257" s="170">
        <f>VALUE(LOOKUP(B257,'Company Database'!C$9:C$1248,'Company Database'!G$9:G$1248))</f>
        <v>323.39999999999998</v>
      </c>
      <c r="I257" s="86">
        <f>LOOKUP(B257,'Company Database'!C$9:C$1248,'Company Database'!H$9:H$1248)</f>
        <v>0</v>
      </c>
      <c r="J257" s="86">
        <f>LOOKUP(B257,'Company Database'!C$9:C$1248,'Company Database'!I$9:I$1248)</f>
        <v>17.03</v>
      </c>
      <c r="K257" s="86">
        <f>LOOKUP(B257,'Company Database'!C$9:C$1248,'Company Database'!J$9:J$1248)</f>
        <v>6.6</v>
      </c>
    </row>
    <row r="258" spans="1:11" x14ac:dyDescent="0.2">
      <c r="A258">
        <v>244</v>
      </c>
      <c r="B258" s="146" t="s">
        <v>5354</v>
      </c>
      <c r="C258" s="1" t="e">
        <f>LOOKUP(B258,'Company Database'!C$9:C$1248,'Company Database'!#REF!)</f>
        <v>#REF!</v>
      </c>
      <c r="D258" s="1">
        <f>VALUE(LOOKUP(B258,'Company Database'!C$9:C$1248,'Company Database'!D$9:D$1248))</f>
        <v>30.21</v>
      </c>
      <c r="E258" s="1">
        <f>VALUE(LOOKUP(B258,'Company Database'!C$9:C$1248,'Company Database'!E$9:E$1248))</f>
        <v>20.350000000000001</v>
      </c>
      <c r="F258" s="1">
        <f>VALUE(LOOKUP(B258,'Company Database'!C$9:C$1248,'Company Database'!F$9:F$1248))</f>
        <v>26.7</v>
      </c>
      <c r="G258" s="115">
        <f t="shared" si="3"/>
        <v>49.260000000000019</v>
      </c>
      <c r="H258" s="170">
        <f>VALUE(LOOKUP(B258,'Company Database'!C$9:C$1248,'Company Database'!G$9:G$1248))</f>
        <v>136.69999999999999</v>
      </c>
      <c r="I258" s="86">
        <f>LOOKUP(B258,'Company Database'!C$9:C$1248,'Company Database'!H$9:H$1248)</f>
        <v>0</v>
      </c>
      <c r="J258" s="86">
        <f>LOOKUP(B258,'Company Database'!C$9:C$1248,'Company Database'!I$9:I$1248)</f>
        <v>10</v>
      </c>
      <c r="K258" s="86">
        <f>LOOKUP(B258,'Company Database'!C$9:C$1248,'Company Database'!J$9:J$1248)</f>
        <v>9.5299999999999994</v>
      </c>
    </row>
    <row r="259" spans="1:11" x14ac:dyDescent="0.2">
      <c r="A259">
        <v>245</v>
      </c>
      <c r="B259" s="146" t="s">
        <v>4005</v>
      </c>
      <c r="C259" s="1" t="e">
        <f>LOOKUP(B259,'Company Database'!C$9:C$1248,'Company Database'!#REF!)</f>
        <v>#REF!</v>
      </c>
      <c r="D259" s="1">
        <f>VALUE(LOOKUP(B259,'Company Database'!C$9:C$1248,'Company Database'!D$9:D$1248))</f>
        <v>0</v>
      </c>
      <c r="E259" s="1">
        <f>VALUE(LOOKUP(B259,'Company Database'!C$9:C$1248,'Company Database'!E$9:E$1248))</f>
        <v>52.65</v>
      </c>
      <c r="F259" s="1">
        <f>VALUE(LOOKUP(B259,'Company Database'!C$9:C$1248,'Company Database'!F$9:F$1248))</f>
        <v>25.1</v>
      </c>
      <c r="G259" s="115">
        <f t="shared" si="3"/>
        <v>25.1</v>
      </c>
      <c r="H259" s="170">
        <f>VALUE(LOOKUP(B259,'Company Database'!C$9:C$1248,'Company Database'!G$9:G$1248))</f>
        <v>96.5</v>
      </c>
      <c r="I259" s="86">
        <f>LOOKUP(B259,'Company Database'!C$9:C$1248,'Company Database'!H$9:H$1248)</f>
        <v>0</v>
      </c>
      <c r="J259" s="86">
        <f>LOOKUP(B259,'Company Database'!C$9:C$1248,'Company Database'!I$9:I$1248)</f>
        <v>38.75</v>
      </c>
      <c r="K259" s="86">
        <f>LOOKUP(B259,'Company Database'!C$9:C$1248,'Company Database'!J$9:J$1248)</f>
        <v>0</v>
      </c>
    </row>
    <row r="260" spans="1:11" x14ac:dyDescent="0.2">
      <c r="A260">
        <v>246</v>
      </c>
      <c r="B260" s="146" t="s">
        <v>4007</v>
      </c>
      <c r="C260" s="1" t="e">
        <f>LOOKUP(B260,'Company Database'!C$9:C$1248,'Company Database'!#REF!)</f>
        <v>#REF!</v>
      </c>
      <c r="D260" s="1">
        <f>VALUE(LOOKUP(B260,'Company Database'!C$9:C$1248,'Company Database'!D$9:D$1248))</f>
        <v>5.39</v>
      </c>
      <c r="E260" s="1">
        <f>VALUE(LOOKUP(B260,'Company Database'!C$9:C$1248,'Company Database'!E$9:E$1248))</f>
        <v>7.2</v>
      </c>
      <c r="F260" s="1">
        <f>VALUE(LOOKUP(B260,'Company Database'!C$9:C$1248,'Company Database'!F$9:F$1248))</f>
        <v>8.6999999999999993</v>
      </c>
      <c r="G260" s="115">
        <f t="shared" si="3"/>
        <v>9.889999999999997</v>
      </c>
      <c r="H260" s="170">
        <f>VALUE(LOOKUP(B260,'Company Database'!C$9:C$1248,'Company Database'!G$9:G$1248))</f>
        <v>134.15</v>
      </c>
      <c r="I260" s="86">
        <f>LOOKUP(B260,'Company Database'!C$9:C$1248,'Company Database'!H$9:H$1248)</f>
        <v>0</v>
      </c>
      <c r="J260" s="86">
        <f>LOOKUP(B260,'Company Database'!C$9:C$1248,'Company Database'!I$9:I$1248)</f>
        <v>15.78</v>
      </c>
      <c r="K260" s="86">
        <f>LOOKUP(B260,'Company Database'!C$9:C$1248,'Company Database'!J$9:J$1248)</f>
        <v>16.260000000000002</v>
      </c>
    </row>
    <row r="261" spans="1:11" x14ac:dyDescent="0.2">
      <c r="A261">
        <v>247</v>
      </c>
      <c r="B261" s="146" t="s">
        <v>1387</v>
      </c>
      <c r="C261" s="1" t="e">
        <f>LOOKUP(B261,'Company Database'!C$9:C$1248,'Company Database'!#REF!)</f>
        <v>#REF!</v>
      </c>
      <c r="D261" s="1">
        <f>VALUE(LOOKUP(B261,'Company Database'!C$9:C$1248,'Company Database'!D$9:D$1248))</f>
        <v>54.69</v>
      </c>
      <c r="E261" s="1">
        <f>VALUE(LOOKUP(B261,'Company Database'!C$9:C$1248,'Company Database'!E$9:E$1248))</f>
        <v>62.75</v>
      </c>
      <c r="F261" s="1">
        <f>VALUE(LOOKUP(B261,'Company Database'!C$9:C$1248,'Company Database'!F$9:F$1248))</f>
        <v>73.599999999999994</v>
      </c>
      <c r="G261" s="115">
        <f t="shared" si="3"/>
        <v>87.239999999999981</v>
      </c>
      <c r="H261" s="170">
        <f>VALUE(LOOKUP(B261,'Company Database'!C$9:C$1248,'Company Database'!G$9:G$1248))</f>
        <v>1295.2</v>
      </c>
      <c r="I261" s="86">
        <f>LOOKUP(B261,'Company Database'!C$9:C$1248,'Company Database'!H$9:H$1248)</f>
        <v>0</v>
      </c>
      <c r="J261" s="86">
        <f>LOOKUP(B261,'Company Database'!C$9:C$1248,'Company Database'!I$9:I$1248)</f>
        <v>15.79</v>
      </c>
      <c r="K261" s="86">
        <f>LOOKUP(B261,'Company Database'!C$9:C$1248,'Company Database'!J$9:J$1248)</f>
        <v>17.11</v>
      </c>
    </row>
    <row r="262" spans="1:11" x14ac:dyDescent="0.2">
      <c r="A262">
        <v>248</v>
      </c>
      <c r="B262" s="146" t="s">
        <v>1805</v>
      </c>
      <c r="C262" s="1" t="e">
        <f>LOOKUP(B262,'Company Database'!C$9:C$1248,'Company Database'!#REF!)</f>
        <v>#REF!</v>
      </c>
      <c r="D262" s="1">
        <f>VALUE(LOOKUP(B262,'Company Database'!C$9:C$1248,'Company Database'!D$9:D$1248))</f>
        <v>0</v>
      </c>
      <c r="E262" s="1">
        <f>VALUE(LOOKUP(B262,'Company Database'!C$9:C$1248,'Company Database'!E$9:E$1248))</f>
        <v>150.19999999999999</v>
      </c>
      <c r="F262" s="1">
        <f>VALUE(LOOKUP(B262,'Company Database'!C$9:C$1248,'Company Database'!F$9:F$1248))</f>
        <v>137.69999999999999</v>
      </c>
      <c r="G262" s="115">
        <f t="shared" si="3"/>
        <v>137.69999999999999</v>
      </c>
      <c r="H262" s="170">
        <f>VALUE(LOOKUP(B262,'Company Database'!C$9:C$1248,'Company Database'!G$9:G$1248))</f>
        <v>195.95</v>
      </c>
      <c r="I262" s="86">
        <f>LOOKUP(B262,'Company Database'!C$9:C$1248,'Company Database'!H$9:H$1248)</f>
        <v>4.08</v>
      </c>
      <c r="J262" s="86">
        <f>LOOKUP(B262,'Company Database'!C$9:C$1248,'Company Database'!I$9:I$1248)</f>
        <v>30.47</v>
      </c>
      <c r="K262" s="86">
        <f>LOOKUP(B262,'Company Database'!C$9:C$1248,'Company Database'!J$9:J$1248)</f>
        <v>10.45</v>
      </c>
    </row>
    <row r="263" spans="1:11" x14ac:dyDescent="0.2">
      <c r="A263">
        <v>249</v>
      </c>
      <c r="B263" s="146" t="s">
        <v>4725</v>
      </c>
      <c r="C263" s="1" t="e">
        <f>LOOKUP(B263,'Company Database'!C$9:C$1248,'Company Database'!#REF!)</f>
        <v>#REF!</v>
      </c>
      <c r="D263" s="1">
        <f>VALUE(LOOKUP(B263,'Company Database'!C$9:C$1248,'Company Database'!D$9:D$1248))</f>
        <v>15.34</v>
      </c>
      <c r="E263" s="1">
        <f>VALUE(LOOKUP(B263,'Company Database'!C$9:C$1248,'Company Database'!E$9:E$1248))</f>
        <v>20.059999999999999</v>
      </c>
      <c r="F263" s="1">
        <f>VALUE(LOOKUP(B263,'Company Database'!C$9:C$1248,'Company Database'!F$9:F$1248))</f>
        <v>22.2</v>
      </c>
      <c r="G263" s="115">
        <f t="shared" si="3"/>
        <v>22.2</v>
      </c>
      <c r="H263" s="170">
        <f>VALUE(LOOKUP(B263,'Company Database'!C$9:C$1248,'Company Database'!G$9:G$1248))</f>
        <v>191.7</v>
      </c>
      <c r="I263" s="86">
        <f>LOOKUP(B263,'Company Database'!C$9:C$1248,'Company Database'!H$9:H$1248)</f>
        <v>0</v>
      </c>
      <c r="J263" s="86">
        <f>LOOKUP(B263,'Company Database'!C$9:C$1248,'Company Database'!I$9:I$1248)</f>
        <v>19.440000000000001</v>
      </c>
      <c r="K263" s="86">
        <f>LOOKUP(B263,'Company Database'!C$9:C$1248,'Company Database'!J$9:J$1248)</f>
        <v>10.14</v>
      </c>
    </row>
    <row r="264" spans="1:11" x14ac:dyDescent="0.2">
      <c r="A264">
        <v>250</v>
      </c>
      <c r="B264" s="146" t="s">
        <v>4011</v>
      </c>
      <c r="C264" s="1" t="e">
        <f>LOOKUP(B264,'Company Database'!C$9:C$1248,'Company Database'!#REF!)</f>
        <v>#REF!</v>
      </c>
      <c r="D264" s="1">
        <f>VALUE(LOOKUP(B264,'Company Database'!C$9:C$1248,'Company Database'!D$9:D$1248))</f>
        <v>3.27</v>
      </c>
      <c r="E264" s="1">
        <f>VALUE(LOOKUP(B264,'Company Database'!C$9:C$1248,'Company Database'!E$9:E$1248))</f>
        <v>4.2</v>
      </c>
      <c r="F264" s="1">
        <f>VALUE(LOOKUP(B264,'Company Database'!C$9:C$1248,'Company Database'!F$9:F$1248))</f>
        <v>5.0999999999999996</v>
      </c>
      <c r="G264" s="115">
        <f t="shared" si="3"/>
        <v>5.9699999999999989</v>
      </c>
      <c r="H264" s="170">
        <f>VALUE(LOOKUP(B264,'Company Database'!C$9:C$1248,'Company Database'!G$9:G$1248))</f>
        <v>85.05</v>
      </c>
      <c r="I264" s="86">
        <f>LOOKUP(B264,'Company Database'!C$9:C$1248,'Company Database'!H$9:H$1248)</f>
        <v>0</v>
      </c>
      <c r="J264" s="86">
        <f>LOOKUP(B264,'Company Database'!C$9:C$1248,'Company Database'!I$9:I$1248)</f>
        <v>3.73</v>
      </c>
      <c r="K264" s="86">
        <f>LOOKUP(B264,'Company Database'!C$9:C$1248,'Company Database'!J$9:J$1248)</f>
        <v>17.989999999999998</v>
      </c>
    </row>
    <row r="265" spans="1:11" x14ac:dyDescent="0.2">
      <c r="A265">
        <v>251</v>
      </c>
      <c r="B265" s="146" t="s">
        <v>1806</v>
      </c>
      <c r="C265" s="1" t="e">
        <f>LOOKUP(B265,'Company Database'!C$9:C$1248,'Company Database'!#REF!)</f>
        <v>#REF!</v>
      </c>
      <c r="D265" s="1">
        <f>VALUE(LOOKUP(B265,'Company Database'!C$9:C$1248,'Company Database'!D$9:D$1248))</f>
        <v>0</v>
      </c>
      <c r="E265" s="1">
        <f>VALUE(LOOKUP(B265,'Company Database'!C$9:C$1248,'Company Database'!E$9:E$1248))</f>
        <v>0</v>
      </c>
      <c r="F265" s="1">
        <f>VALUE(LOOKUP(B265,'Company Database'!C$9:C$1248,'Company Database'!F$9:F$1248))</f>
        <v>0</v>
      </c>
      <c r="G265" s="115">
        <f t="shared" si="3"/>
        <v>0</v>
      </c>
      <c r="H265" s="170">
        <f>VALUE(LOOKUP(B265,'Company Database'!C$9:C$1248,'Company Database'!G$9:G$1248))</f>
        <v>11.6</v>
      </c>
      <c r="I265" s="86">
        <f>LOOKUP(B265,'Company Database'!C$9:C$1248,'Company Database'!H$9:H$1248)</f>
        <v>0</v>
      </c>
      <c r="J265" s="86">
        <f>LOOKUP(B265,'Company Database'!C$9:C$1248,'Company Database'!I$9:I$1248)</f>
        <v>0.32</v>
      </c>
      <c r="K265" s="86">
        <f>LOOKUP(B265,'Company Database'!C$9:C$1248,'Company Database'!J$9:J$1248)</f>
        <v>323.95</v>
      </c>
    </row>
    <row r="266" spans="1:11" x14ac:dyDescent="0.2">
      <c r="A266">
        <v>252</v>
      </c>
      <c r="B266" s="146" t="s">
        <v>236</v>
      </c>
      <c r="C266" s="1" t="e">
        <f>LOOKUP(B266,'Company Database'!C$9:C$1248,'Company Database'!#REF!)</f>
        <v>#REF!</v>
      </c>
      <c r="D266" s="1">
        <f>VALUE(LOOKUP(B266,'Company Database'!C$9:C$1248,'Company Database'!D$9:D$1248))</f>
        <v>0</v>
      </c>
      <c r="E266" s="1">
        <f>VALUE(LOOKUP(B266,'Company Database'!C$9:C$1248,'Company Database'!E$9:E$1248))</f>
        <v>0</v>
      </c>
      <c r="F266" s="1">
        <f>VALUE(LOOKUP(B266,'Company Database'!C$9:C$1248,'Company Database'!F$9:F$1248))</f>
        <v>0</v>
      </c>
      <c r="G266" s="115">
        <f t="shared" si="3"/>
        <v>0</v>
      </c>
      <c r="H266" s="170">
        <f>VALUE(LOOKUP(B266,'Company Database'!C$9:C$1248,'Company Database'!G$9:G$1248))</f>
        <v>19.5</v>
      </c>
      <c r="I266" s="86">
        <f>LOOKUP(B266,'Company Database'!C$9:C$1248,'Company Database'!H$9:H$1248)</f>
        <v>2.0699999999999998</v>
      </c>
      <c r="J266" s="86">
        <f>LOOKUP(B266,'Company Database'!C$9:C$1248,'Company Database'!I$9:I$1248)</f>
        <v>19.510000000000002</v>
      </c>
      <c r="K266" s="86">
        <f>LOOKUP(B266,'Company Database'!C$9:C$1248,'Company Database'!J$9:J$1248)</f>
        <v>6.83</v>
      </c>
    </row>
    <row r="267" spans="1:11" x14ac:dyDescent="0.2">
      <c r="A267">
        <v>253</v>
      </c>
      <c r="B267" s="146" t="s">
        <v>1810</v>
      </c>
      <c r="C267" s="1" t="e">
        <f>LOOKUP(B267,'Company Database'!C$9:C$1248,'Company Database'!#REF!)</f>
        <v>#REF!</v>
      </c>
      <c r="D267" s="1">
        <f>VALUE(LOOKUP(B267,'Company Database'!C$9:C$1248,'Company Database'!D$9:D$1248))</f>
        <v>0</v>
      </c>
      <c r="E267" s="1">
        <f>VALUE(LOOKUP(B267,'Company Database'!C$9:C$1248,'Company Database'!E$9:E$1248))</f>
        <v>22.91</v>
      </c>
      <c r="F267" s="1">
        <f>VALUE(LOOKUP(B267,'Company Database'!C$9:C$1248,'Company Database'!F$9:F$1248))</f>
        <v>24.5</v>
      </c>
      <c r="G267" s="115">
        <f t="shared" si="3"/>
        <v>24.5</v>
      </c>
      <c r="H267" s="170">
        <f>VALUE(LOOKUP(B267,'Company Database'!C$9:C$1248,'Company Database'!G$9:G$1248))</f>
        <v>129.35</v>
      </c>
      <c r="I267" s="86">
        <f>LOOKUP(B267,'Company Database'!C$9:C$1248,'Company Database'!H$9:H$1248)</f>
        <v>0</v>
      </c>
      <c r="J267" s="86">
        <f>LOOKUP(B267,'Company Database'!C$9:C$1248,'Company Database'!I$9:I$1248)</f>
        <v>11.99</v>
      </c>
      <c r="K267" s="86">
        <f>LOOKUP(B267,'Company Database'!C$9:C$1248,'Company Database'!J$9:J$1248)</f>
        <v>4.79</v>
      </c>
    </row>
    <row r="268" spans="1:11" x14ac:dyDescent="0.2">
      <c r="A268">
        <v>254</v>
      </c>
      <c r="B268" s="146" t="s">
        <v>1811</v>
      </c>
      <c r="C268" s="1" t="e">
        <f>LOOKUP(B268,'Company Database'!C$9:C$1248,'Company Database'!#REF!)</f>
        <v>#REF!</v>
      </c>
      <c r="D268" s="1">
        <f>VALUE(LOOKUP(B268,'Company Database'!C$9:C$1248,'Company Database'!D$9:D$1248))</f>
        <v>0</v>
      </c>
      <c r="E268" s="1">
        <f>VALUE(LOOKUP(B268,'Company Database'!C$9:C$1248,'Company Database'!E$9:E$1248))</f>
        <v>0</v>
      </c>
      <c r="F268" s="1">
        <f>VALUE(LOOKUP(B268,'Company Database'!C$9:C$1248,'Company Database'!F$9:F$1248))</f>
        <v>0</v>
      </c>
      <c r="G268" s="115">
        <f t="shared" si="3"/>
        <v>0</v>
      </c>
      <c r="H268" s="170">
        <f>VALUE(LOOKUP(B268,'Company Database'!C$9:C$1248,'Company Database'!G$9:G$1248))</f>
        <v>36.049999999999997</v>
      </c>
      <c r="I268" s="86">
        <f>LOOKUP(B268,'Company Database'!C$9:C$1248,'Company Database'!H$9:H$1248)</f>
        <v>0</v>
      </c>
      <c r="J268" s="86">
        <f>LOOKUP(B268,'Company Database'!C$9:C$1248,'Company Database'!I$9:I$1248)</f>
        <v>35.32</v>
      </c>
      <c r="K268" s="86">
        <f>LOOKUP(B268,'Company Database'!C$9:C$1248,'Company Database'!J$9:J$1248)</f>
        <v>11.92</v>
      </c>
    </row>
    <row r="269" spans="1:11" x14ac:dyDescent="0.2">
      <c r="A269">
        <v>255</v>
      </c>
      <c r="B269" s="146" t="s">
        <v>238</v>
      </c>
      <c r="C269" s="1" t="e">
        <f>LOOKUP(B269,'Company Database'!C$9:C$1248,'Company Database'!#REF!)</f>
        <v>#REF!</v>
      </c>
      <c r="D269" s="1">
        <f>VALUE(LOOKUP(B269,'Company Database'!C$9:C$1248,'Company Database'!D$9:D$1248))</f>
        <v>55.38</v>
      </c>
      <c r="E269" s="1">
        <f>VALUE(LOOKUP(B269,'Company Database'!C$9:C$1248,'Company Database'!E$9:E$1248))</f>
        <v>77.25</v>
      </c>
      <c r="F269" s="1">
        <f>VALUE(LOOKUP(B269,'Company Database'!C$9:C$1248,'Company Database'!F$9:F$1248))</f>
        <v>85.6</v>
      </c>
      <c r="G269" s="115">
        <f t="shared" si="3"/>
        <v>85.6</v>
      </c>
      <c r="H269" s="170">
        <f>VALUE(LOOKUP(B269,'Company Database'!C$9:C$1248,'Company Database'!G$9:G$1248))</f>
        <v>1970.05</v>
      </c>
      <c r="I269" s="86">
        <f>LOOKUP(B269,'Company Database'!C$9:C$1248,'Company Database'!H$9:H$1248)</f>
        <v>1.1399999999999999</v>
      </c>
      <c r="J269" s="86">
        <f>LOOKUP(B269,'Company Database'!C$9:C$1248,'Company Database'!I$9:I$1248)</f>
        <v>33.97</v>
      </c>
      <c r="K269" s="86">
        <f>LOOKUP(B269,'Company Database'!C$9:C$1248,'Company Database'!J$9:J$1248)</f>
        <v>35.75</v>
      </c>
    </row>
    <row r="270" spans="1:11" x14ac:dyDescent="0.2">
      <c r="A270">
        <v>256</v>
      </c>
      <c r="B270" s="146" t="s">
        <v>1812</v>
      </c>
      <c r="C270" s="1" t="e">
        <f>LOOKUP(B270,'Company Database'!C$9:C$1248,'Company Database'!#REF!)</f>
        <v>#REF!</v>
      </c>
      <c r="D270" s="1">
        <f>VALUE(LOOKUP(B270,'Company Database'!C$9:C$1248,'Company Database'!D$9:D$1248))</f>
        <v>24.75</v>
      </c>
      <c r="E270" s="1">
        <f>VALUE(LOOKUP(B270,'Company Database'!C$9:C$1248,'Company Database'!E$9:E$1248))</f>
        <v>18.2</v>
      </c>
      <c r="F270" s="1">
        <f>VALUE(LOOKUP(B270,'Company Database'!C$9:C$1248,'Company Database'!F$9:F$1248))</f>
        <v>20.04</v>
      </c>
      <c r="G270" s="115">
        <f t="shared" si="3"/>
        <v>30.270000000000017</v>
      </c>
      <c r="H270" s="170">
        <f>VALUE(LOOKUP(B270,'Company Database'!C$9:C$1248,'Company Database'!G$9:G$1248))</f>
        <v>72.150000000000006</v>
      </c>
      <c r="I270" s="86">
        <f>LOOKUP(B270,'Company Database'!C$9:C$1248,'Company Database'!H$9:H$1248)</f>
        <v>0</v>
      </c>
      <c r="J270" s="86">
        <f>LOOKUP(B270,'Company Database'!C$9:C$1248,'Company Database'!I$9:I$1248)</f>
        <v>10.53</v>
      </c>
      <c r="K270" s="86">
        <f>LOOKUP(B270,'Company Database'!C$9:C$1248,'Company Database'!J$9:J$1248)</f>
        <v>5.0999999999999996</v>
      </c>
    </row>
    <row r="271" spans="1:11" x14ac:dyDescent="0.2">
      <c r="A271">
        <v>257</v>
      </c>
      <c r="B271" s="146" t="s">
        <v>2280</v>
      </c>
      <c r="C271" s="1" t="e">
        <f>LOOKUP(B271,'Company Database'!C$9:C$1248,'Company Database'!#REF!)</f>
        <v>#REF!</v>
      </c>
      <c r="D271" s="1">
        <f>VALUE(LOOKUP(B271,'Company Database'!C$9:C$1248,'Company Database'!D$9:D$1248))</f>
        <v>119.01</v>
      </c>
      <c r="E271" s="1">
        <f>VALUE(LOOKUP(B271,'Company Database'!C$9:C$1248,'Company Database'!E$9:E$1248))</f>
        <v>139.85</v>
      </c>
      <c r="F271" s="1">
        <f>VALUE(LOOKUP(B271,'Company Database'!C$9:C$1248,'Company Database'!F$9:F$1248))</f>
        <v>171.1</v>
      </c>
      <c r="G271" s="115">
        <f t="shared" ref="G271:G334" si="4">IF(TREND(D271:F271,$D$13:$F$14,$G$13:$G$14)&gt;1.1*F271,TREND(D271:F271,$D$13:$F$14,$G$13:$G$14),F271)</f>
        <v>212.76000000000005</v>
      </c>
      <c r="H271" s="170">
        <f>VALUE(LOOKUP(B271,'Company Database'!C$9:C$1248,'Company Database'!G$9:G$1248))</f>
        <v>1033.55</v>
      </c>
      <c r="I271" s="86">
        <f>LOOKUP(B271,'Company Database'!C$9:C$1248,'Company Database'!H$9:H$1248)</f>
        <v>0</v>
      </c>
      <c r="J271" s="86">
        <f>LOOKUP(B271,'Company Database'!C$9:C$1248,'Company Database'!I$9:I$1248)</f>
        <v>24.04</v>
      </c>
      <c r="K271" s="86">
        <f>LOOKUP(B271,'Company Database'!C$9:C$1248,'Company Database'!J$9:J$1248)</f>
        <v>7.41</v>
      </c>
    </row>
    <row r="272" spans="1:11" x14ac:dyDescent="0.2">
      <c r="A272">
        <v>258</v>
      </c>
      <c r="B272" s="146" t="s">
        <v>471</v>
      </c>
      <c r="C272" s="1" t="e">
        <f>LOOKUP(B272,'Company Database'!C$9:C$1248,'Company Database'!#REF!)</f>
        <v>#REF!</v>
      </c>
      <c r="D272" s="1">
        <f>VALUE(LOOKUP(B272,'Company Database'!C$9:C$1248,'Company Database'!D$9:D$1248))</f>
        <v>6.64</v>
      </c>
      <c r="E272" s="1">
        <f>VALUE(LOOKUP(B272,'Company Database'!C$9:C$1248,'Company Database'!E$9:E$1248))</f>
        <v>2.6</v>
      </c>
      <c r="F272" s="1">
        <f>VALUE(LOOKUP(B272,'Company Database'!C$9:C$1248,'Company Database'!F$9:F$1248))</f>
        <v>5.65</v>
      </c>
      <c r="G272" s="115">
        <f t="shared" si="4"/>
        <v>15.79000000000001</v>
      </c>
      <c r="H272" s="170">
        <f>VALUE(LOOKUP(B272,'Company Database'!C$9:C$1248,'Company Database'!G$9:G$1248))</f>
        <v>56.85</v>
      </c>
      <c r="I272" s="86">
        <f>LOOKUP(B272,'Company Database'!C$9:C$1248,'Company Database'!H$9:H$1248)</f>
        <v>0.26</v>
      </c>
      <c r="J272" s="86">
        <f>LOOKUP(B272,'Company Database'!C$9:C$1248,'Company Database'!I$9:I$1248)</f>
        <v>4.33</v>
      </c>
      <c r="K272" s="86">
        <f>LOOKUP(B272,'Company Database'!C$9:C$1248,'Company Database'!J$9:J$1248)</f>
        <v>5.13</v>
      </c>
    </row>
    <row r="273" spans="1:11" x14ac:dyDescent="0.2">
      <c r="A273">
        <v>259</v>
      </c>
      <c r="B273" s="146" t="s">
        <v>240</v>
      </c>
      <c r="C273" s="1" t="e">
        <f>LOOKUP(B273,'Company Database'!C$9:C$1248,'Company Database'!#REF!)</f>
        <v>#REF!</v>
      </c>
      <c r="D273" s="1">
        <f>VALUE(LOOKUP(B273,'Company Database'!C$9:C$1248,'Company Database'!D$9:D$1248))</f>
        <v>0</v>
      </c>
      <c r="E273" s="1">
        <f>VALUE(LOOKUP(B273,'Company Database'!C$9:C$1248,'Company Database'!E$9:E$1248))</f>
        <v>0</v>
      </c>
      <c r="F273" s="1">
        <f>VALUE(LOOKUP(B273,'Company Database'!C$9:C$1248,'Company Database'!F$9:F$1248))</f>
        <v>0</v>
      </c>
      <c r="G273" s="115">
        <f t="shared" si="4"/>
        <v>0</v>
      </c>
      <c r="H273" s="170">
        <f>VALUE(LOOKUP(B273,'Company Database'!C$9:C$1248,'Company Database'!G$9:G$1248))</f>
        <v>95.5</v>
      </c>
      <c r="I273" s="86">
        <f>LOOKUP(B273,'Company Database'!C$9:C$1248,'Company Database'!H$9:H$1248)</f>
        <v>0</v>
      </c>
      <c r="J273" s="86">
        <f>LOOKUP(B273,'Company Database'!C$9:C$1248,'Company Database'!I$9:I$1248)</f>
        <v>0</v>
      </c>
      <c r="K273" s="86">
        <f>LOOKUP(B273,'Company Database'!C$9:C$1248,'Company Database'!J$9:J$1248)</f>
        <v>0</v>
      </c>
    </row>
    <row r="274" spans="1:11" x14ac:dyDescent="0.2">
      <c r="A274">
        <v>260</v>
      </c>
      <c r="B274" s="146" t="s">
        <v>242</v>
      </c>
      <c r="C274" s="1" t="e">
        <f>LOOKUP(B274,'Company Database'!C$9:C$1248,'Company Database'!#REF!)</f>
        <v>#REF!</v>
      </c>
      <c r="D274" s="1">
        <f>VALUE(LOOKUP(B274,'Company Database'!C$9:C$1248,'Company Database'!D$9:D$1248))</f>
        <v>0.56999999999999995</v>
      </c>
      <c r="E274" s="1">
        <f>VALUE(LOOKUP(B274,'Company Database'!C$9:C$1248,'Company Database'!E$9:E$1248))</f>
        <v>5.25</v>
      </c>
      <c r="F274" s="1">
        <f>VALUE(LOOKUP(B274,'Company Database'!C$9:C$1248,'Company Database'!F$9:F$1248))</f>
        <v>9.75</v>
      </c>
      <c r="G274" s="115">
        <f t="shared" si="4"/>
        <v>14.070000000000002</v>
      </c>
      <c r="H274" s="170">
        <f>VALUE(LOOKUP(B274,'Company Database'!C$9:C$1248,'Company Database'!G$9:G$1248))</f>
        <v>98.7</v>
      </c>
      <c r="I274" s="86">
        <f>LOOKUP(B274,'Company Database'!C$9:C$1248,'Company Database'!H$9:H$1248)</f>
        <v>1.01</v>
      </c>
      <c r="J274" s="86">
        <f>LOOKUP(B274,'Company Database'!C$9:C$1248,'Company Database'!I$9:I$1248)</f>
        <v>-0.04</v>
      </c>
      <c r="K274" s="86">
        <f>LOOKUP(B274,'Company Database'!C$9:C$1248,'Company Database'!J$9:J$1248)</f>
        <v>1038.3599999999999</v>
      </c>
    </row>
    <row r="275" spans="1:11" x14ac:dyDescent="0.2">
      <c r="A275">
        <v>261</v>
      </c>
      <c r="B275" s="146" t="s">
        <v>1388</v>
      </c>
      <c r="C275" s="1" t="e">
        <f>LOOKUP(B275,'Company Database'!C$9:C$1248,'Company Database'!#REF!)</f>
        <v>#REF!</v>
      </c>
      <c r="D275" s="1">
        <f>VALUE(LOOKUP(B275,'Company Database'!C$9:C$1248,'Company Database'!D$9:D$1248))</f>
        <v>21.05</v>
      </c>
      <c r="E275" s="1">
        <f>VALUE(LOOKUP(B275,'Company Database'!C$9:C$1248,'Company Database'!E$9:E$1248))</f>
        <v>27.7</v>
      </c>
      <c r="F275" s="1">
        <f>VALUE(LOOKUP(B275,'Company Database'!C$9:C$1248,'Company Database'!F$9:F$1248))</f>
        <v>27.11</v>
      </c>
      <c r="G275" s="115">
        <f t="shared" si="4"/>
        <v>27.11</v>
      </c>
      <c r="H275" s="170">
        <f>VALUE(LOOKUP(B275,'Company Database'!C$9:C$1248,'Company Database'!G$9:G$1248))</f>
        <v>498.25</v>
      </c>
      <c r="I275" s="86">
        <f>LOOKUP(B275,'Company Database'!C$9:C$1248,'Company Database'!H$9:H$1248)</f>
        <v>0.4</v>
      </c>
      <c r="J275" s="86">
        <f>LOOKUP(B275,'Company Database'!C$9:C$1248,'Company Database'!I$9:I$1248)</f>
        <v>14.33</v>
      </c>
      <c r="K275" s="86">
        <f>LOOKUP(B275,'Company Database'!C$9:C$1248,'Company Database'!J$9:J$1248)</f>
        <v>18.29</v>
      </c>
    </row>
    <row r="276" spans="1:11" x14ac:dyDescent="0.2">
      <c r="A276">
        <v>262</v>
      </c>
      <c r="B276" s="146" t="s">
        <v>113</v>
      </c>
      <c r="C276" s="1" t="e">
        <f>LOOKUP(B276,'Company Database'!C$9:C$1248,'Company Database'!#REF!)</f>
        <v>#REF!</v>
      </c>
      <c r="D276" s="1">
        <f>VALUE(LOOKUP(B276,'Company Database'!C$9:C$1248,'Company Database'!D$9:D$1248))</f>
        <v>17.95</v>
      </c>
      <c r="E276" s="1">
        <f>VALUE(LOOKUP(B276,'Company Database'!C$9:C$1248,'Company Database'!E$9:E$1248))</f>
        <v>18.149999999999999</v>
      </c>
      <c r="F276" s="1">
        <f>VALUE(LOOKUP(B276,'Company Database'!C$9:C$1248,'Company Database'!F$9:F$1248))</f>
        <v>21.6</v>
      </c>
      <c r="G276" s="115">
        <f t="shared" si="4"/>
        <v>28.300000000000011</v>
      </c>
      <c r="H276" s="170">
        <f>VALUE(LOOKUP(B276,'Company Database'!C$9:C$1248,'Company Database'!G$9:G$1248))</f>
        <v>120</v>
      </c>
      <c r="I276" s="86">
        <f>LOOKUP(B276,'Company Database'!C$9:C$1248,'Company Database'!H$9:H$1248)</f>
        <v>1.83</v>
      </c>
      <c r="J276" s="86">
        <f>LOOKUP(B276,'Company Database'!C$9:C$1248,'Company Database'!I$9:I$1248)</f>
        <v>18.149999999999999</v>
      </c>
      <c r="K276" s="86">
        <f>LOOKUP(B276,'Company Database'!C$9:C$1248,'Company Database'!J$9:J$1248)</f>
        <v>6.83</v>
      </c>
    </row>
    <row r="277" spans="1:11" x14ac:dyDescent="0.2">
      <c r="A277">
        <v>263</v>
      </c>
      <c r="B277" s="146" t="s">
        <v>1389</v>
      </c>
      <c r="C277" s="1" t="e">
        <f>LOOKUP(B277,'Company Database'!C$9:C$1248,'Company Database'!#REF!)</f>
        <v>#REF!</v>
      </c>
      <c r="D277" s="1">
        <f>VALUE(LOOKUP(B277,'Company Database'!C$9:C$1248,'Company Database'!D$9:D$1248))</f>
        <v>4.41</v>
      </c>
      <c r="E277" s="1">
        <f>VALUE(LOOKUP(B277,'Company Database'!C$9:C$1248,'Company Database'!E$9:E$1248))</f>
        <v>22.3</v>
      </c>
      <c r="F277" s="1">
        <f>VALUE(LOOKUP(B277,'Company Database'!C$9:C$1248,'Company Database'!F$9:F$1248))</f>
        <v>22.5</v>
      </c>
      <c r="G277" s="115">
        <f t="shared" si="4"/>
        <v>22.5</v>
      </c>
      <c r="H277" s="170">
        <f>VALUE(LOOKUP(B277,'Company Database'!C$9:C$1248,'Company Database'!G$9:G$1248))</f>
        <v>344.2</v>
      </c>
      <c r="I277" s="86">
        <f>LOOKUP(B277,'Company Database'!C$9:C$1248,'Company Database'!H$9:H$1248)</f>
        <v>0.28999999999999998</v>
      </c>
      <c r="J277" s="86">
        <f>LOOKUP(B277,'Company Database'!C$9:C$1248,'Company Database'!I$9:I$1248)</f>
        <v>11.21</v>
      </c>
      <c r="K277" s="86">
        <f>LOOKUP(B277,'Company Database'!C$9:C$1248,'Company Database'!J$9:J$1248)</f>
        <v>0</v>
      </c>
    </row>
    <row r="278" spans="1:11" x14ac:dyDescent="0.2">
      <c r="A278">
        <v>264</v>
      </c>
      <c r="B278" s="146" t="s">
        <v>474</v>
      </c>
      <c r="C278" s="1" t="e">
        <f>LOOKUP(B278,'Company Database'!C$9:C$1248,'Company Database'!#REF!)</f>
        <v>#REF!</v>
      </c>
      <c r="D278" s="1">
        <f>VALUE(LOOKUP(B278,'Company Database'!C$9:C$1248,'Company Database'!D$9:D$1248))</f>
        <v>0</v>
      </c>
      <c r="E278" s="1">
        <f>VALUE(LOOKUP(B278,'Company Database'!C$9:C$1248,'Company Database'!E$9:E$1248))</f>
        <v>2.8</v>
      </c>
      <c r="F278" s="1">
        <f>VALUE(LOOKUP(B278,'Company Database'!C$9:C$1248,'Company Database'!F$9:F$1248))</f>
        <v>3.71</v>
      </c>
      <c r="G278" s="115">
        <f t="shared" si="4"/>
        <v>3.71</v>
      </c>
      <c r="H278" s="170">
        <f>VALUE(LOOKUP(B278,'Company Database'!C$9:C$1248,'Company Database'!G$9:G$1248))</f>
        <v>26.85</v>
      </c>
      <c r="I278" s="86">
        <f>LOOKUP(B278,'Company Database'!C$9:C$1248,'Company Database'!H$9:H$1248)</f>
        <v>1.1200000000000001</v>
      </c>
      <c r="J278" s="86">
        <f>LOOKUP(B278,'Company Database'!C$9:C$1248,'Company Database'!I$9:I$1248)</f>
        <v>17.170000000000002</v>
      </c>
      <c r="K278" s="86">
        <f>LOOKUP(B278,'Company Database'!C$9:C$1248,'Company Database'!J$9:J$1248)</f>
        <v>16.34</v>
      </c>
    </row>
    <row r="279" spans="1:11" x14ac:dyDescent="0.2">
      <c r="A279">
        <v>265</v>
      </c>
      <c r="B279" s="146" t="s">
        <v>1390</v>
      </c>
      <c r="C279" s="1" t="e">
        <f>LOOKUP(B279,'Company Database'!C$9:C$1248,'Company Database'!#REF!)</f>
        <v>#REF!</v>
      </c>
      <c r="D279" s="1">
        <f>VALUE(LOOKUP(B279,'Company Database'!C$9:C$1248,'Company Database'!D$9:D$1248))</f>
        <v>21.79</v>
      </c>
      <c r="E279" s="1">
        <f>VALUE(LOOKUP(B279,'Company Database'!C$9:C$1248,'Company Database'!E$9:E$1248))</f>
        <v>7.2</v>
      </c>
      <c r="F279" s="1">
        <f>VALUE(LOOKUP(B279,'Company Database'!C$9:C$1248,'Company Database'!F$9:F$1248))</f>
        <v>7.9</v>
      </c>
      <c r="G279" s="115">
        <f t="shared" si="4"/>
        <v>23.890000000000036</v>
      </c>
      <c r="H279" s="170">
        <f>VALUE(LOOKUP(B279,'Company Database'!C$9:C$1248,'Company Database'!G$9:G$1248))</f>
        <v>83.9</v>
      </c>
      <c r="I279" s="86">
        <f>LOOKUP(B279,'Company Database'!C$9:C$1248,'Company Database'!H$9:H$1248)</f>
        <v>1.01</v>
      </c>
      <c r="J279" s="86">
        <f>LOOKUP(B279,'Company Database'!C$9:C$1248,'Company Database'!I$9:I$1248)</f>
        <v>-2.33</v>
      </c>
      <c r="K279" s="86">
        <f>LOOKUP(B279,'Company Database'!C$9:C$1248,'Company Database'!J$9:J$1248)</f>
        <v>36.14</v>
      </c>
    </row>
    <row r="280" spans="1:11" x14ac:dyDescent="0.2">
      <c r="A280">
        <v>266</v>
      </c>
      <c r="B280" s="146" t="s">
        <v>1391</v>
      </c>
      <c r="C280" s="1" t="e">
        <f>LOOKUP(B280,'Company Database'!C$9:C$1248,'Company Database'!#REF!)</f>
        <v>#REF!</v>
      </c>
      <c r="D280" s="1">
        <f>VALUE(LOOKUP(B280,'Company Database'!C$9:C$1248,'Company Database'!D$9:D$1248))</f>
        <v>53.4</v>
      </c>
      <c r="E280" s="1">
        <f>VALUE(LOOKUP(B280,'Company Database'!C$9:C$1248,'Company Database'!E$9:E$1248))</f>
        <v>63.6</v>
      </c>
      <c r="F280" s="1">
        <f>VALUE(LOOKUP(B280,'Company Database'!C$9:C$1248,'Company Database'!F$9:F$1248))</f>
        <v>74.22</v>
      </c>
      <c r="G280" s="115">
        <f t="shared" si="4"/>
        <v>85.259999999999991</v>
      </c>
      <c r="H280" s="170">
        <f>VALUE(LOOKUP(B280,'Company Database'!C$9:C$1248,'Company Database'!G$9:G$1248))</f>
        <v>923.2</v>
      </c>
      <c r="I280" s="86">
        <f>LOOKUP(B280,'Company Database'!C$9:C$1248,'Company Database'!H$9:H$1248)</f>
        <v>0.87</v>
      </c>
      <c r="J280" s="86">
        <f>LOOKUP(B280,'Company Database'!C$9:C$1248,'Company Database'!I$9:I$1248)</f>
        <v>13.42</v>
      </c>
      <c r="K280" s="86">
        <f>LOOKUP(B280,'Company Database'!C$9:C$1248,'Company Database'!J$9:J$1248)</f>
        <v>14.87</v>
      </c>
    </row>
    <row r="281" spans="1:11" x14ac:dyDescent="0.2">
      <c r="A281">
        <v>267</v>
      </c>
      <c r="B281" s="146" t="s">
        <v>4364</v>
      </c>
      <c r="C281" s="1" t="e">
        <f>LOOKUP(B281,'Company Database'!C$9:C$1248,'Company Database'!#REF!)</f>
        <v>#REF!</v>
      </c>
      <c r="D281" s="1">
        <f>VALUE(LOOKUP(B281,'Company Database'!C$9:C$1248,'Company Database'!D$9:D$1248))</f>
        <v>0</v>
      </c>
      <c r="E281" s="1">
        <f>VALUE(LOOKUP(B281,'Company Database'!C$9:C$1248,'Company Database'!E$9:E$1248))</f>
        <v>0</v>
      </c>
      <c r="F281" s="1">
        <f>VALUE(LOOKUP(B281,'Company Database'!C$9:C$1248,'Company Database'!F$9:F$1248))</f>
        <v>0</v>
      </c>
      <c r="G281" s="115">
        <f t="shared" si="4"/>
        <v>0</v>
      </c>
      <c r="H281" s="170">
        <f>VALUE(LOOKUP(B281,'Company Database'!C$9:C$1248,'Company Database'!G$9:G$1248))</f>
        <v>130.94999999999999</v>
      </c>
      <c r="I281" s="86">
        <f>LOOKUP(B281,'Company Database'!C$9:C$1248,'Company Database'!H$9:H$1248)</f>
        <v>0</v>
      </c>
      <c r="J281" s="86">
        <f>LOOKUP(B281,'Company Database'!C$9:C$1248,'Company Database'!I$9:I$1248)</f>
        <v>0</v>
      </c>
      <c r="K281" s="86">
        <f>LOOKUP(B281,'Company Database'!C$9:C$1248,'Company Database'!J$9:J$1248)</f>
        <v>0</v>
      </c>
    </row>
    <row r="282" spans="1:11" x14ac:dyDescent="0.2">
      <c r="A282">
        <v>268</v>
      </c>
      <c r="B282" s="146" t="s">
        <v>4262</v>
      </c>
      <c r="C282" s="1" t="e">
        <f>LOOKUP(B282,'Company Database'!C$9:C$1248,'Company Database'!#REF!)</f>
        <v>#REF!</v>
      </c>
      <c r="D282" s="1">
        <f>VALUE(LOOKUP(B282,'Company Database'!C$9:C$1248,'Company Database'!D$9:D$1248))</f>
        <v>10.29</v>
      </c>
      <c r="E282" s="1">
        <f>VALUE(LOOKUP(B282,'Company Database'!C$9:C$1248,'Company Database'!E$9:E$1248))</f>
        <v>8.4</v>
      </c>
      <c r="F282" s="1">
        <f>VALUE(LOOKUP(B282,'Company Database'!C$9:C$1248,'Company Database'!F$9:F$1248))</f>
        <v>10.49</v>
      </c>
      <c r="G282" s="115">
        <f t="shared" si="4"/>
        <v>16.559999999999999</v>
      </c>
      <c r="H282" s="170">
        <f>VALUE(LOOKUP(B282,'Company Database'!C$9:C$1248,'Company Database'!G$9:G$1248))</f>
        <v>59.55</v>
      </c>
      <c r="I282" s="86">
        <f>LOOKUP(B282,'Company Database'!C$9:C$1248,'Company Database'!H$9:H$1248)</f>
        <v>1.68</v>
      </c>
      <c r="J282" s="86">
        <f>LOOKUP(B282,'Company Database'!C$9:C$1248,'Company Database'!I$9:I$1248)</f>
        <v>18.760000000000002</v>
      </c>
      <c r="K282" s="86">
        <f>LOOKUP(B282,'Company Database'!C$9:C$1248,'Company Database'!J$9:J$1248)</f>
        <v>9.76</v>
      </c>
    </row>
    <row r="283" spans="1:11" x14ac:dyDescent="0.2">
      <c r="A283">
        <v>269</v>
      </c>
      <c r="B283" s="146" t="s">
        <v>2954</v>
      </c>
      <c r="C283" s="1" t="e">
        <f>LOOKUP(B283,'Company Database'!C$9:C$1248,'Company Database'!#REF!)</f>
        <v>#REF!</v>
      </c>
      <c r="D283" s="1">
        <f>VALUE(LOOKUP(B283,'Company Database'!C$9:C$1248,'Company Database'!D$9:D$1248))</f>
        <v>0</v>
      </c>
      <c r="E283" s="1">
        <f>VALUE(LOOKUP(B283,'Company Database'!C$9:C$1248,'Company Database'!E$9:E$1248))</f>
        <v>1.2</v>
      </c>
      <c r="F283" s="1">
        <f>VALUE(LOOKUP(B283,'Company Database'!C$9:C$1248,'Company Database'!F$9:F$1248))</f>
        <v>1.8</v>
      </c>
      <c r="G283" s="115">
        <f t="shared" si="4"/>
        <v>1.8</v>
      </c>
      <c r="H283" s="170">
        <f>VALUE(LOOKUP(B283,'Company Database'!C$9:C$1248,'Company Database'!G$9:G$1248))</f>
        <v>17.149999999999999</v>
      </c>
      <c r="I283" s="86">
        <f>LOOKUP(B283,'Company Database'!C$9:C$1248,'Company Database'!H$9:H$1248)</f>
        <v>0.87</v>
      </c>
      <c r="J283" s="86">
        <f>LOOKUP(B283,'Company Database'!C$9:C$1248,'Company Database'!I$9:I$1248)</f>
        <v>7.0000000000000007E-2</v>
      </c>
      <c r="K283" s="86">
        <f>LOOKUP(B283,'Company Database'!C$9:C$1248,'Company Database'!J$9:J$1248)</f>
        <v>38.33</v>
      </c>
    </row>
    <row r="284" spans="1:11" x14ac:dyDescent="0.2">
      <c r="A284">
        <v>270</v>
      </c>
      <c r="B284" s="146" t="s">
        <v>475</v>
      </c>
      <c r="C284" s="1" t="e">
        <f>LOOKUP(B284,'Company Database'!C$9:C$1248,'Company Database'!#REF!)</f>
        <v>#REF!</v>
      </c>
      <c r="D284" s="1">
        <f>VALUE(LOOKUP(B284,'Company Database'!C$9:C$1248,'Company Database'!D$9:D$1248))</f>
        <v>34.78</v>
      </c>
      <c r="E284" s="1">
        <f>VALUE(LOOKUP(B284,'Company Database'!C$9:C$1248,'Company Database'!E$9:E$1248))</f>
        <v>59.75</v>
      </c>
      <c r="F284" s="1">
        <f>VALUE(LOOKUP(B284,'Company Database'!C$9:C$1248,'Company Database'!F$9:F$1248))</f>
        <v>80.150000000000006</v>
      </c>
      <c r="G284" s="115">
        <f t="shared" si="4"/>
        <v>95.980000000000018</v>
      </c>
      <c r="H284" s="170">
        <f>VALUE(LOOKUP(B284,'Company Database'!C$9:C$1248,'Company Database'!G$9:G$1248))</f>
        <v>331.15</v>
      </c>
      <c r="I284" s="86">
        <f>LOOKUP(B284,'Company Database'!C$9:C$1248,'Company Database'!H$9:H$1248)</f>
        <v>0</v>
      </c>
      <c r="J284" s="86">
        <f>LOOKUP(B284,'Company Database'!C$9:C$1248,'Company Database'!I$9:I$1248)</f>
        <v>20.68</v>
      </c>
      <c r="K284" s="86">
        <f>LOOKUP(B284,'Company Database'!C$9:C$1248,'Company Database'!J$9:J$1248)</f>
        <v>2.2400000000000002</v>
      </c>
    </row>
    <row r="285" spans="1:11" x14ac:dyDescent="0.2">
      <c r="A285">
        <v>271</v>
      </c>
      <c r="B285" s="146" t="s">
        <v>3649</v>
      </c>
      <c r="C285" s="1" t="e">
        <f>LOOKUP(B285,'Company Database'!C$9:C$1248,'Company Database'!#REF!)</f>
        <v>#REF!</v>
      </c>
      <c r="D285" s="1">
        <f>VALUE(LOOKUP(B285,'Company Database'!C$9:C$1248,'Company Database'!D$9:D$1248))</f>
        <v>15.7</v>
      </c>
      <c r="E285" s="1">
        <f>VALUE(LOOKUP(B285,'Company Database'!C$9:C$1248,'Company Database'!E$9:E$1248))</f>
        <v>18.600000000000001</v>
      </c>
      <c r="F285" s="1">
        <f>VALUE(LOOKUP(B285,'Company Database'!C$9:C$1248,'Company Database'!F$9:F$1248))</f>
        <v>20.58</v>
      </c>
      <c r="G285" s="115">
        <f t="shared" si="4"/>
        <v>20.58</v>
      </c>
      <c r="H285" s="170">
        <f>VALUE(LOOKUP(B285,'Company Database'!C$9:C$1248,'Company Database'!G$9:G$1248))</f>
        <v>135.1</v>
      </c>
      <c r="I285" s="86">
        <f>LOOKUP(B285,'Company Database'!C$9:C$1248,'Company Database'!H$9:H$1248)</f>
        <v>2.41</v>
      </c>
      <c r="J285" s="86">
        <f>LOOKUP(B285,'Company Database'!C$9:C$1248,'Company Database'!I$9:I$1248)</f>
        <v>18.93</v>
      </c>
      <c r="K285" s="86">
        <f>LOOKUP(B285,'Company Database'!C$9:C$1248,'Company Database'!J$9:J$1248)</f>
        <v>6.03</v>
      </c>
    </row>
    <row r="286" spans="1:11" x14ac:dyDescent="0.2">
      <c r="A286">
        <v>272</v>
      </c>
      <c r="B286" s="146" t="s">
        <v>476</v>
      </c>
      <c r="C286" s="1" t="e">
        <f>LOOKUP(B286,'Company Database'!C$9:C$1248,'Company Database'!#REF!)</f>
        <v>#REF!</v>
      </c>
      <c r="D286" s="1">
        <f>VALUE(LOOKUP(B286,'Company Database'!C$9:C$1248,'Company Database'!D$9:D$1248))</f>
        <v>0</v>
      </c>
      <c r="E286" s="1">
        <f>VALUE(LOOKUP(B286,'Company Database'!C$9:C$1248,'Company Database'!E$9:E$1248))</f>
        <v>0</v>
      </c>
      <c r="F286" s="1">
        <f>VALUE(LOOKUP(B286,'Company Database'!C$9:C$1248,'Company Database'!F$9:F$1248))</f>
        <v>0</v>
      </c>
      <c r="G286" s="115">
        <f t="shared" si="4"/>
        <v>0</v>
      </c>
      <c r="H286" s="170">
        <f>VALUE(LOOKUP(B286,'Company Database'!C$9:C$1248,'Company Database'!G$9:G$1248))</f>
        <v>271.55</v>
      </c>
      <c r="I286" s="86">
        <f>LOOKUP(B286,'Company Database'!C$9:C$1248,'Company Database'!H$9:H$1248)</f>
        <v>0</v>
      </c>
      <c r="J286" s="86">
        <f>LOOKUP(B286,'Company Database'!C$9:C$1248,'Company Database'!I$9:I$1248)</f>
        <v>0</v>
      </c>
      <c r="K286" s="86">
        <f>LOOKUP(B286,'Company Database'!C$9:C$1248,'Company Database'!J$9:J$1248)</f>
        <v>0</v>
      </c>
    </row>
    <row r="287" spans="1:11" x14ac:dyDescent="0.2">
      <c r="A287">
        <v>273</v>
      </c>
      <c r="B287" s="146" t="s">
        <v>1416</v>
      </c>
      <c r="C287" s="1" t="e">
        <f>LOOKUP(B287,'Company Database'!C$9:C$1248,'Company Database'!#REF!)</f>
        <v>#REF!</v>
      </c>
      <c r="D287" s="1">
        <f>VALUE(LOOKUP(B287,'Company Database'!C$9:C$1248,'Company Database'!D$9:D$1248))</f>
        <v>16.350000000000001</v>
      </c>
      <c r="E287" s="1">
        <f>VALUE(LOOKUP(B287,'Company Database'!C$9:C$1248,'Company Database'!E$9:E$1248))</f>
        <v>14.5</v>
      </c>
      <c r="F287" s="1">
        <f>VALUE(LOOKUP(B287,'Company Database'!C$9:C$1248,'Company Database'!F$9:F$1248))</f>
        <v>17.149999999999999</v>
      </c>
      <c r="G287" s="115">
        <f t="shared" si="4"/>
        <v>24.300000000000004</v>
      </c>
      <c r="H287" s="170">
        <f>VALUE(LOOKUP(B287,'Company Database'!C$9:C$1248,'Company Database'!G$9:G$1248))</f>
        <v>142.6</v>
      </c>
      <c r="I287" s="86">
        <f>LOOKUP(B287,'Company Database'!C$9:C$1248,'Company Database'!H$9:H$1248)</f>
        <v>0</v>
      </c>
      <c r="J287" s="86">
        <f>LOOKUP(B287,'Company Database'!C$9:C$1248,'Company Database'!I$9:I$1248)</f>
        <v>19.03</v>
      </c>
      <c r="K287" s="86">
        <f>LOOKUP(B287,'Company Database'!C$9:C$1248,'Company Database'!J$9:J$1248)</f>
        <v>12.07</v>
      </c>
    </row>
    <row r="288" spans="1:11" x14ac:dyDescent="0.2">
      <c r="A288">
        <v>274</v>
      </c>
      <c r="B288" s="146" t="s">
        <v>478</v>
      </c>
      <c r="C288" s="1" t="e">
        <f>LOOKUP(B288,'Company Database'!C$9:C$1248,'Company Database'!#REF!)</f>
        <v>#REF!</v>
      </c>
      <c r="D288" s="1">
        <f>VALUE(LOOKUP(B288,'Company Database'!C$9:C$1248,'Company Database'!D$9:D$1248))</f>
        <v>20.89</v>
      </c>
      <c r="E288" s="1">
        <f>VALUE(LOOKUP(B288,'Company Database'!C$9:C$1248,'Company Database'!E$9:E$1248))</f>
        <v>20</v>
      </c>
      <c r="F288" s="1">
        <f>VALUE(LOOKUP(B288,'Company Database'!C$9:C$1248,'Company Database'!F$9:F$1248))</f>
        <v>22.3</v>
      </c>
      <c r="G288" s="115">
        <f t="shared" si="4"/>
        <v>27.790000000000006</v>
      </c>
      <c r="H288" s="170">
        <f>VALUE(LOOKUP(B288,'Company Database'!C$9:C$1248,'Company Database'!G$9:G$1248))</f>
        <v>117.8</v>
      </c>
      <c r="I288" s="86">
        <f>LOOKUP(B288,'Company Database'!C$9:C$1248,'Company Database'!H$9:H$1248)</f>
        <v>2.54</v>
      </c>
      <c r="J288" s="86">
        <f>LOOKUP(B288,'Company Database'!C$9:C$1248,'Company Database'!I$9:I$1248)</f>
        <v>17.48</v>
      </c>
      <c r="K288" s="86">
        <f>LOOKUP(B288,'Company Database'!C$9:C$1248,'Company Database'!J$9:J$1248)</f>
        <v>5.65</v>
      </c>
    </row>
    <row r="289" spans="1:11" x14ac:dyDescent="0.2">
      <c r="A289">
        <v>275</v>
      </c>
      <c r="B289" s="146" t="s">
        <v>480</v>
      </c>
      <c r="C289" s="1" t="e">
        <f>LOOKUP(B289,'Company Database'!C$9:C$1248,'Company Database'!#REF!)</f>
        <v>#REF!</v>
      </c>
      <c r="D289" s="1">
        <f>VALUE(LOOKUP(B289,'Company Database'!C$9:C$1248,'Company Database'!D$9:D$1248))</f>
        <v>26.62</v>
      </c>
      <c r="E289" s="1">
        <f>VALUE(LOOKUP(B289,'Company Database'!C$9:C$1248,'Company Database'!E$9:E$1248))</f>
        <v>27.5</v>
      </c>
      <c r="F289" s="1">
        <f>VALUE(LOOKUP(B289,'Company Database'!C$9:C$1248,'Company Database'!F$9:F$1248))</f>
        <v>32.5</v>
      </c>
      <c r="G289" s="115">
        <f t="shared" si="4"/>
        <v>41.620000000000005</v>
      </c>
      <c r="H289" s="170">
        <f>VALUE(LOOKUP(B289,'Company Database'!C$9:C$1248,'Company Database'!G$9:G$1248))</f>
        <v>155.44999999999999</v>
      </c>
      <c r="I289" s="86">
        <f>LOOKUP(B289,'Company Database'!C$9:C$1248,'Company Database'!H$9:H$1248)</f>
        <v>0</v>
      </c>
      <c r="J289" s="86">
        <f>LOOKUP(B289,'Company Database'!C$9:C$1248,'Company Database'!I$9:I$1248)</f>
        <v>12.16</v>
      </c>
      <c r="K289" s="86">
        <f>LOOKUP(B289,'Company Database'!C$9:C$1248,'Company Database'!J$9:J$1248)</f>
        <v>4.55</v>
      </c>
    </row>
    <row r="290" spans="1:11" x14ac:dyDescent="0.2">
      <c r="A290">
        <v>276</v>
      </c>
      <c r="B290" s="146" t="s">
        <v>1392</v>
      </c>
      <c r="C290" s="1" t="e">
        <f>LOOKUP(B290,'Company Database'!C$9:C$1248,'Company Database'!#REF!)</f>
        <v>#REF!</v>
      </c>
      <c r="D290" s="1">
        <f>VALUE(LOOKUP(B290,'Company Database'!C$9:C$1248,'Company Database'!D$9:D$1248))</f>
        <v>-1.1399999999999999</v>
      </c>
      <c r="E290" s="1">
        <f>VALUE(LOOKUP(B290,'Company Database'!C$9:C$1248,'Company Database'!E$9:E$1248))</f>
        <v>2.87</v>
      </c>
      <c r="F290" s="1">
        <f>VALUE(LOOKUP(B290,'Company Database'!C$9:C$1248,'Company Database'!F$9:F$1248))</f>
        <v>4.6399999999999997</v>
      </c>
      <c r="G290" s="115">
        <f t="shared" si="4"/>
        <v>4.6399999999999997</v>
      </c>
      <c r="H290" s="170">
        <f>VALUE(LOOKUP(B290,'Company Database'!C$9:C$1248,'Company Database'!G$9:G$1248))</f>
        <v>76.900000000000006</v>
      </c>
      <c r="I290" s="86">
        <f>LOOKUP(B290,'Company Database'!C$9:C$1248,'Company Database'!H$9:H$1248)</f>
        <v>0</v>
      </c>
      <c r="J290" s="86">
        <f>LOOKUP(B290,'Company Database'!C$9:C$1248,'Company Database'!I$9:I$1248)</f>
        <v>1.21</v>
      </c>
      <c r="K290" s="86">
        <f>LOOKUP(B290,'Company Database'!C$9:C$1248,'Company Database'!J$9:J$1248)</f>
        <v>0</v>
      </c>
    </row>
    <row r="291" spans="1:11" x14ac:dyDescent="0.2">
      <c r="A291">
        <v>277</v>
      </c>
      <c r="B291" s="146" t="s">
        <v>481</v>
      </c>
      <c r="C291" s="1" t="e">
        <f>LOOKUP(B291,'Company Database'!C$9:C$1248,'Company Database'!#REF!)</f>
        <v>#REF!</v>
      </c>
      <c r="D291" s="1">
        <f>VALUE(LOOKUP(B291,'Company Database'!C$9:C$1248,'Company Database'!D$9:D$1248))</f>
        <v>0</v>
      </c>
      <c r="E291" s="1">
        <f>VALUE(LOOKUP(B291,'Company Database'!C$9:C$1248,'Company Database'!E$9:E$1248))</f>
        <v>65.94</v>
      </c>
      <c r="F291" s="1">
        <f>VALUE(LOOKUP(B291,'Company Database'!C$9:C$1248,'Company Database'!F$9:F$1248))</f>
        <v>73.72</v>
      </c>
      <c r="G291" s="115">
        <f t="shared" si="4"/>
        <v>73.72</v>
      </c>
      <c r="H291" s="170">
        <f>VALUE(LOOKUP(B291,'Company Database'!C$9:C$1248,'Company Database'!G$9:G$1248))</f>
        <v>549.79999999999995</v>
      </c>
      <c r="I291" s="86">
        <f>LOOKUP(B291,'Company Database'!C$9:C$1248,'Company Database'!H$9:H$1248)</f>
        <v>0</v>
      </c>
      <c r="J291" s="86">
        <f>LOOKUP(B291,'Company Database'!C$9:C$1248,'Company Database'!I$9:I$1248)</f>
        <v>25.62</v>
      </c>
      <c r="K291" s="86">
        <f>LOOKUP(B291,'Company Database'!C$9:C$1248,'Company Database'!J$9:J$1248)</f>
        <v>7.34</v>
      </c>
    </row>
    <row r="292" spans="1:11" x14ac:dyDescent="0.2">
      <c r="A292">
        <v>278</v>
      </c>
      <c r="B292" s="146" t="s">
        <v>4524</v>
      </c>
      <c r="C292" s="1" t="e">
        <f>LOOKUP(B292,'Company Database'!C$9:C$1248,'Company Database'!#REF!)</f>
        <v>#REF!</v>
      </c>
      <c r="D292" s="1">
        <f>VALUE(LOOKUP(B292,'Company Database'!C$9:C$1248,'Company Database'!D$9:D$1248))</f>
        <v>26.65</v>
      </c>
      <c r="E292" s="1">
        <f>VALUE(LOOKUP(B292,'Company Database'!C$9:C$1248,'Company Database'!E$9:E$1248))</f>
        <v>18.7</v>
      </c>
      <c r="F292" s="1">
        <f>VALUE(LOOKUP(B292,'Company Database'!C$9:C$1248,'Company Database'!F$9:F$1248))</f>
        <v>23.2</v>
      </c>
      <c r="G292" s="115">
        <f t="shared" si="4"/>
        <v>40.150000000000013</v>
      </c>
      <c r="H292" s="170">
        <f>VALUE(LOOKUP(B292,'Company Database'!C$9:C$1248,'Company Database'!G$9:G$1248))</f>
        <v>160.80000000000001</v>
      </c>
      <c r="I292" s="86">
        <f>LOOKUP(B292,'Company Database'!C$9:C$1248,'Company Database'!H$9:H$1248)</f>
        <v>0</v>
      </c>
      <c r="J292" s="86">
        <f>LOOKUP(B292,'Company Database'!C$9:C$1248,'Company Database'!I$9:I$1248)</f>
        <v>23.34</v>
      </c>
      <c r="K292" s="86">
        <f>LOOKUP(B292,'Company Database'!C$9:C$1248,'Company Database'!J$9:J$1248)</f>
        <v>9.7899999999999991</v>
      </c>
    </row>
    <row r="293" spans="1:11" x14ac:dyDescent="0.2">
      <c r="A293">
        <v>279</v>
      </c>
      <c r="B293" s="146" t="s">
        <v>4526</v>
      </c>
      <c r="C293" s="1" t="e">
        <f>LOOKUP(B293,'Company Database'!C$9:C$1248,'Company Database'!#REF!)</f>
        <v>#REF!</v>
      </c>
      <c r="D293" s="1">
        <f>VALUE(LOOKUP(B293,'Company Database'!C$9:C$1248,'Company Database'!D$9:D$1248))</f>
        <v>8.9</v>
      </c>
      <c r="E293" s="1">
        <f>VALUE(LOOKUP(B293,'Company Database'!C$9:C$1248,'Company Database'!E$9:E$1248))</f>
        <v>15.05</v>
      </c>
      <c r="F293" s="1">
        <f>VALUE(LOOKUP(B293,'Company Database'!C$9:C$1248,'Company Database'!F$9:F$1248))</f>
        <v>11.15</v>
      </c>
      <c r="G293" s="115">
        <f t="shared" si="4"/>
        <v>11.15</v>
      </c>
      <c r="H293" s="170">
        <f>VALUE(LOOKUP(B293,'Company Database'!C$9:C$1248,'Company Database'!G$9:G$1248))</f>
        <v>104.4</v>
      </c>
      <c r="I293" s="86">
        <f>LOOKUP(B293,'Company Database'!C$9:C$1248,'Company Database'!H$9:H$1248)</f>
        <v>4.8</v>
      </c>
      <c r="J293" s="86">
        <f>LOOKUP(B293,'Company Database'!C$9:C$1248,'Company Database'!I$9:I$1248)</f>
        <v>3.94</v>
      </c>
      <c r="K293" s="86">
        <f>LOOKUP(B293,'Company Database'!C$9:C$1248,'Company Database'!J$9:J$1248)</f>
        <v>12.88</v>
      </c>
    </row>
    <row r="294" spans="1:11" x14ac:dyDescent="0.2">
      <c r="A294">
        <v>280</v>
      </c>
      <c r="B294" s="146" t="s">
        <v>482</v>
      </c>
      <c r="C294" s="1" t="e">
        <f>LOOKUP(B294,'Company Database'!C$9:C$1248,'Company Database'!#REF!)</f>
        <v>#REF!</v>
      </c>
      <c r="D294" s="1">
        <f>VALUE(LOOKUP(B294,'Company Database'!C$9:C$1248,'Company Database'!D$9:D$1248))</f>
        <v>18</v>
      </c>
      <c r="E294" s="1">
        <f>VALUE(LOOKUP(B294,'Company Database'!C$9:C$1248,'Company Database'!E$9:E$1248))</f>
        <v>19</v>
      </c>
      <c r="F294" s="1">
        <f>VALUE(LOOKUP(B294,'Company Database'!C$9:C$1248,'Company Database'!F$9:F$1248))</f>
        <v>29.18</v>
      </c>
      <c r="G294" s="115">
        <f t="shared" si="4"/>
        <v>48.540000000000013</v>
      </c>
      <c r="H294" s="170">
        <f>VALUE(LOOKUP(B294,'Company Database'!C$9:C$1248,'Company Database'!G$9:G$1248))</f>
        <v>337.2</v>
      </c>
      <c r="I294" s="86">
        <f>LOOKUP(B294,'Company Database'!C$9:C$1248,'Company Database'!H$9:H$1248)</f>
        <v>0</v>
      </c>
      <c r="J294" s="86">
        <f>LOOKUP(B294,'Company Database'!C$9:C$1248,'Company Database'!I$9:I$1248)</f>
        <v>57.31</v>
      </c>
      <c r="K294" s="86">
        <f>LOOKUP(B294,'Company Database'!C$9:C$1248,'Company Database'!J$9:J$1248)</f>
        <v>18.059999999999999</v>
      </c>
    </row>
    <row r="295" spans="1:11" x14ac:dyDescent="0.2">
      <c r="A295">
        <v>281</v>
      </c>
      <c r="B295" s="146" t="s">
        <v>5326</v>
      </c>
      <c r="C295" s="1" t="e">
        <f>LOOKUP(B295,'Company Database'!C$9:C$1248,'Company Database'!#REF!)</f>
        <v>#REF!</v>
      </c>
      <c r="D295" s="1">
        <f>VALUE(LOOKUP(B295,'Company Database'!C$9:C$1248,'Company Database'!D$9:D$1248))</f>
        <v>31.62</v>
      </c>
      <c r="E295" s="1">
        <f>VALUE(LOOKUP(B295,'Company Database'!C$9:C$1248,'Company Database'!E$9:E$1248))</f>
        <v>48.5</v>
      </c>
      <c r="F295" s="1">
        <f>VALUE(LOOKUP(B295,'Company Database'!C$9:C$1248,'Company Database'!F$9:F$1248))</f>
        <v>53.4</v>
      </c>
      <c r="G295" s="115">
        <f t="shared" si="4"/>
        <v>53.4</v>
      </c>
      <c r="H295" s="170">
        <f>VALUE(LOOKUP(B295,'Company Database'!C$9:C$1248,'Company Database'!G$9:G$1248))</f>
        <v>293.14999999999998</v>
      </c>
      <c r="I295" s="86">
        <f>LOOKUP(B295,'Company Database'!C$9:C$1248,'Company Database'!H$9:H$1248)</f>
        <v>0</v>
      </c>
      <c r="J295" s="86">
        <f>LOOKUP(B295,'Company Database'!C$9:C$1248,'Company Database'!I$9:I$1248)</f>
        <v>26.35</v>
      </c>
      <c r="K295" s="86">
        <f>LOOKUP(B295,'Company Database'!C$9:C$1248,'Company Database'!J$9:J$1248)</f>
        <v>7.44</v>
      </c>
    </row>
    <row r="296" spans="1:11" x14ac:dyDescent="0.2">
      <c r="A296">
        <v>282</v>
      </c>
      <c r="B296" s="146" t="s">
        <v>4528</v>
      </c>
      <c r="C296" s="1" t="e">
        <f>LOOKUP(B296,'Company Database'!C$9:C$1248,'Company Database'!#REF!)</f>
        <v>#REF!</v>
      </c>
      <c r="D296" s="1">
        <f>VALUE(LOOKUP(B296,'Company Database'!C$9:C$1248,'Company Database'!D$9:D$1248))</f>
        <v>1.98</v>
      </c>
      <c r="E296" s="1">
        <f>VALUE(LOOKUP(B296,'Company Database'!C$9:C$1248,'Company Database'!E$9:E$1248))</f>
        <v>3.15</v>
      </c>
      <c r="F296" s="1">
        <f>VALUE(LOOKUP(B296,'Company Database'!C$9:C$1248,'Company Database'!F$9:F$1248))</f>
        <v>4.4000000000000004</v>
      </c>
      <c r="G296" s="115">
        <f t="shared" si="4"/>
        <v>5.7300000000000022</v>
      </c>
      <c r="H296" s="170">
        <f>VALUE(LOOKUP(B296,'Company Database'!C$9:C$1248,'Company Database'!G$9:G$1248))</f>
        <v>38.049999999999997</v>
      </c>
      <c r="I296" s="86">
        <f>LOOKUP(B296,'Company Database'!C$9:C$1248,'Company Database'!H$9:H$1248)</f>
        <v>0</v>
      </c>
      <c r="J296" s="86">
        <f>LOOKUP(B296,'Company Database'!C$9:C$1248,'Company Database'!I$9:I$1248)</f>
        <v>7.53</v>
      </c>
      <c r="K296" s="86">
        <f>LOOKUP(B296,'Company Database'!C$9:C$1248,'Company Database'!J$9:J$1248)</f>
        <v>11.16</v>
      </c>
    </row>
    <row r="297" spans="1:11" x14ac:dyDescent="0.2">
      <c r="A297">
        <v>283</v>
      </c>
      <c r="B297" s="146" t="s">
        <v>483</v>
      </c>
      <c r="C297" s="1" t="e">
        <f>LOOKUP(B297,'Company Database'!C$9:C$1248,'Company Database'!#REF!)</f>
        <v>#REF!</v>
      </c>
      <c r="D297" s="1">
        <f>VALUE(LOOKUP(B297,'Company Database'!C$9:C$1248,'Company Database'!D$9:D$1248))</f>
        <v>45.71</v>
      </c>
      <c r="E297" s="1">
        <f>VALUE(LOOKUP(B297,'Company Database'!C$9:C$1248,'Company Database'!E$9:E$1248))</f>
        <v>49.3</v>
      </c>
      <c r="F297" s="1">
        <f>VALUE(LOOKUP(B297,'Company Database'!C$9:C$1248,'Company Database'!F$9:F$1248))</f>
        <v>58.77</v>
      </c>
      <c r="G297" s="115">
        <f t="shared" si="4"/>
        <v>74.120000000000019</v>
      </c>
      <c r="H297" s="170">
        <f>VALUE(LOOKUP(B297,'Company Database'!C$9:C$1248,'Company Database'!G$9:G$1248))</f>
        <v>269.05</v>
      </c>
      <c r="I297" s="86">
        <f>LOOKUP(B297,'Company Database'!C$9:C$1248,'Company Database'!H$9:H$1248)</f>
        <v>0</v>
      </c>
      <c r="J297" s="86">
        <f>LOOKUP(B297,'Company Database'!C$9:C$1248,'Company Database'!I$9:I$1248)</f>
        <v>9.74</v>
      </c>
      <c r="K297" s="86">
        <f>LOOKUP(B297,'Company Database'!C$9:C$1248,'Company Database'!J$9:J$1248)</f>
        <v>29.74</v>
      </c>
    </row>
    <row r="298" spans="1:11" x14ac:dyDescent="0.2">
      <c r="A298">
        <v>284</v>
      </c>
      <c r="B298" s="146" t="s">
        <v>484</v>
      </c>
      <c r="C298" s="1" t="e">
        <f>LOOKUP(B298,'Company Database'!C$9:C$1248,'Company Database'!#REF!)</f>
        <v>#REF!</v>
      </c>
      <c r="D298" s="1">
        <f>VALUE(LOOKUP(B298,'Company Database'!C$9:C$1248,'Company Database'!D$9:D$1248))</f>
        <v>5.12</v>
      </c>
      <c r="E298" s="1">
        <f>VALUE(LOOKUP(B298,'Company Database'!C$9:C$1248,'Company Database'!E$9:E$1248))</f>
        <v>8</v>
      </c>
      <c r="F298" s="1">
        <f>VALUE(LOOKUP(B298,'Company Database'!C$9:C$1248,'Company Database'!F$9:F$1248))</f>
        <v>11</v>
      </c>
      <c r="G298" s="115">
        <f t="shared" si="4"/>
        <v>14.120000000000001</v>
      </c>
      <c r="H298" s="170">
        <f>VALUE(LOOKUP(B298,'Company Database'!C$9:C$1248,'Company Database'!G$9:G$1248))</f>
        <v>381.15</v>
      </c>
      <c r="I298" s="86">
        <f>LOOKUP(B298,'Company Database'!C$9:C$1248,'Company Database'!H$9:H$1248)</f>
        <v>0</v>
      </c>
      <c r="J298" s="86">
        <f>LOOKUP(B298,'Company Database'!C$9:C$1248,'Company Database'!I$9:I$1248)</f>
        <v>17.32</v>
      </c>
      <c r="K298" s="86">
        <f>LOOKUP(B298,'Company Database'!C$9:C$1248,'Company Database'!J$9:J$1248)</f>
        <v>41.57</v>
      </c>
    </row>
    <row r="299" spans="1:11" x14ac:dyDescent="0.2">
      <c r="A299">
        <v>285</v>
      </c>
      <c r="B299" s="146" t="s">
        <v>1393</v>
      </c>
      <c r="C299" s="1" t="e">
        <f>LOOKUP(B299,'Company Database'!C$9:C$1248,'Company Database'!#REF!)</f>
        <v>#REF!</v>
      </c>
      <c r="D299" s="1">
        <f>VALUE(LOOKUP(B299,'Company Database'!C$9:C$1248,'Company Database'!D$9:D$1248))</f>
        <v>212.31</v>
      </c>
      <c r="E299" s="1">
        <f>VALUE(LOOKUP(B299,'Company Database'!C$9:C$1248,'Company Database'!E$9:E$1248))</f>
        <v>123.5</v>
      </c>
      <c r="F299" s="1">
        <f>VALUE(LOOKUP(B299,'Company Database'!C$9:C$1248,'Company Database'!F$9:F$1248))</f>
        <v>166.4</v>
      </c>
      <c r="G299" s="115">
        <f t="shared" si="4"/>
        <v>341.01000000000016</v>
      </c>
      <c r="H299" s="170">
        <f>VALUE(LOOKUP(B299,'Company Database'!C$9:C$1248,'Company Database'!G$9:G$1248))</f>
        <v>1846</v>
      </c>
      <c r="I299" s="86">
        <f>LOOKUP(B299,'Company Database'!C$9:C$1248,'Company Database'!H$9:H$1248)</f>
        <v>0</v>
      </c>
      <c r="J299" s="86">
        <f>LOOKUP(B299,'Company Database'!C$9:C$1248,'Company Database'!I$9:I$1248)</f>
        <v>0</v>
      </c>
      <c r="K299" s="86">
        <f>LOOKUP(B299,'Company Database'!C$9:C$1248,'Company Database'!J$9:J$1248)</f>
        <v>0</v>
      </c>
    </row>
    <row r="300" spans="1:11" x14ac:dyDescent="0.2">
      <c r="A300">
        <v>286</v>
      </c>
      <c r="B300" s="146" t="s">
        <v>485</v>
      </c>
      <c r="C300" s="1" t="e">
        <f>LOOKUP(B300,'Company Database'!C$9:C$1248,'Company Database'!#REF!)</f>
        <v>#REF!</v>
      </c>
      <c r="D300" s="1">
        <f>VALUE(LOOKUP(B300,'Company Database'!C$9:C$1248,'Company Database'!D$9:D$1248))</f>
        <v>0</v>
      </c>
      <c r="E300" s="1">
        <f>VALUE(LOOKUP(B300,'Company Database'!C$9:C$1248,'Company Database'!E$9:E$1248))</f>
        <v>-1</v>
      </c>
      <c r="F300" s="1">
        <f>VALUE(LOOKUP(B300,'Company Database'!C$9:C$1248,'Company Database'!F$9:F$1248))</f>
        <v>-0.4</v>
      </c>
      <c r="G300" s="115">
        <f t="shared" si="4"/>
        <v>1.8000000000000025</v>
      </c>
      <c r="H300" s="170">
        <f>VALUE(LOOKUP(B300,'Company Database'!C$9:C$1248,'Company Database'!G$9:G$1248))</f>
        <v>46.3</v>
      </c>
      <c r="I300" s="86">
        <f>LOOKUP(B300,'Company Database'!C$9:C$1248,'Company Database'!H$9:H$1248)</f>
        <v>0</v>
      </c>
      <c r="J300" s="86">
        <f>LOOKUP(B300,'Company Database'!C$9:C$1248,'Company Database'!I$9:I$1248)</f>
        <v>-8.18</v>
      </c>
      <c r="K300" s="86">
        <f>LOOKUP(B300,'Company Database'!C$9:C$1248,'Company Database'!J$9:J$1248)</f>
        <v>0</v>
      </c>
    </row>
    <row r="301" spans="1:11" x14ac:dyDescent="0.2">
      <c r="A301">
        <v>287</v>
      </c>
      <c r="B301" s="146" t="s">
        <v>486</v>
      </c>
      <c r="C301" s="1" t="e">
        <f>LOOKUP(B301,'Company Database'!C$9:C$1248,'Company Database'!#REF!)</f>
        <v>#REF!</v>
      </c>
      <c r="D301" s="1">
        <f>VALUE(LOOKUP(B301,'Company Database'!C$9:C$1248,'Company Database'!D$9:D$1248))</f>
        <v>40.909999999999997</v>
      </c>
      <c r="E301" s="1">
        <f>VALUE(LOOKUP(B301,'Company Database'!C$9:C$1248,'Company Database'!E$9:E$1248))</f>
        <v>54.4</v>
      </c>
      <c r="F301" s="1">
        <f>VALUE(LOOKUP(B301,'Company Database'!C$9:C$1248,'Company Database'!F$9:F$1248))</f>
        <v>67.34</v>
      </c>
      <c r="G301" s="115">
        <f t="shared" si="4"/>
        <v>79.72999999999999</v>
      </c>
      <c r="H301" s="170">
        <f>VALUE(LOOKUP(B301,'Company Database'!C$9:C$1248,'Company Database'!G$9:G$1248))</f>
        <v>686.4</v>
      </c>
      <c r="I301" s="86">
        <f>LOOKUP(B301,'Company Database'!C$9:C$1248,'Company Database'!H$9:H$1248)</f>
        <v>0</v>
      </c>
      <c r="J301" s="86">
        <f>LOOKUP(B301,'Company Database'!C$9:C$1248,'Company Database'!I$9:I$1248)</f>
        <v>22.5</v>
      </c>
      <c r="K301" s="86">
        <f>LOOKUP(B301,'Company Database'!C$9:C$1248,'Company Database'!J$9:J$1248)</f>
        <v>12.57</v>
      </c>
    </row>
    <row r="302" spans="1:11" x14ac:dyDescent="0.2">
      <c r="A302">
        <v>288</v>
      </c>
      <c r="B302" s="146" t="s">
        <v>5327</v>
      </c>
      <c r="C302" s="1" t="e">
        <f>LOOKUP(B302,'Company Database'!C$9:C$1248,'Company Database'!#REF!)</f>
        <v>#REF!</v>
      </c>
      <c r="D302" s="1">
        <f>VALUE(LOOKUP(B302,'Company Database'!C$9:C$1248,'Company Database'!D$9:D$1248))</f>
        <v>22.48</v>
      </c>
      <c r="E302" s="1">
        <f>VALUE(LOOKUP(B302,'Company Database'!C$9:C$1248,'Company Database'!E$9:E$1248))</f>
        <v>28.75</v>
      </c>
      <c r="F302" s="1">
        <f>VALUE(LOOKUP(B302,'Company Database'!C$9:C$1248,'Company Database'!F$9:F$1248))</f>
        <v>34</v>
      </c>
      <c r="G302" s="115">
        <f t="shared" si="4"/>
        <v>38.230000000000004</v>
      </c>
      <c r="H302" s="170">
        <f>VALUE(LOOKUP(B302,'Company Database'!C$9:C$1248,'Company Database'!G$9:G$1248))</f>
        <v>862.7</v>
      </c>
      <c r="I302" s="86">
        <f>LOOKUP(B302,'Company Database'!C$9:C$1248,'Company Database'!H$9:H$1248)</f>
        <v>0.57999999999999996</v>
      </c>
      <c r="J302" s="86">
        <f>LOOKUP(B302,'Company Database'!C$9:C$1248,'Company Database'!I$9:I$1248)</f>
        <v>24.97</v>
      </c>
      <c r="K302" s="86">
        <f>LOOKUP(B302,'Company Database'!C$9:C$1248,'Company Database'!J$9:J$1248)</f>
        <v>35.49</v>
      </c>
    </row>
    <row r="303" spans="1:11" x14ac:dyDescent="0.2">
      <c r="A303">
        <v>289</v>
      </c>
      <c r="B303" s="146" t="s">
        <v>3830</v>
      </c>
      <c r="C303" s="1" t="e">
        <f>LOOKUP(B303,'Company Database'!C$9:C$1248,'Company Database'!#REF!)</f>
        <v>#REF!</v>
      </c>
      <c r="D303" s="1">
        <f>VALUE(LOOKUP(B303,'Company Database'!C$9:C$1248,'Company Database'!D$9:D$1248))</f>
        <v>12.14</v>
      </c>
      <c r="E303" s="1">
        <f>VALUE(LOOKUP(B303,'Company Database'!C$9:C$1248,'Company Database'!E$9:E$1248))</f>
        <v>15.15</v>
      </c>
      <c r="F303" s="1">
        <f>VALUE(LOOKUP(B303,'Company Database'!C$9:C$1248,'Company Database'!F$9:F$1248))</f>
        <v>19.09</v>
      </c>
      <c r="G303" s="115">
        <f t="shared" si="4"/>
        <v>23.96</v>
      </c>
      <c r="H303" s="170">
        <f>VALUE(LOOKUP(B303,'Company Database'!C$9:C$1248,'Company Database'!G$9:G$1248))</f>
        <v>174.05</v>
      </c>
      <c r="I303" s="86">
        <f>LOOKUP(B303,'Company Database'!C$9:C$1248,'Company Database'!H$9:H$1248)</f>
        <v>0</v>
      </c>
      <c r="J303" s="86">
        <f>LOOKUP(B303,'Company Database'!C$9:C$1248,'Company Database'!I$9:I$1248)</f>
        <v>0</v>
      </c>
      <c r="K303" s="86">
        <f>LOOKUP(B303,'Company Database'!C$9:C$1248,'Company Database'!J$9:J$1248)</f>
        <v>0</v>
      </c>
    </row>
    <row r="304" spans="1:11" x14ac:dyDescent="0.2">
      <c r="A304">
        <v>290</v>
      </c>
      <c r="B304" s="146" t="s">
        <v>4531</v>
      </c>
      <c r="C304" s="1" t="e">
        <f>LOOKUP(B304,'Company Database'!C$9:C$1248,'Company Database'!#REF!)</f>
        <v>#REF!</v>
      </c>
      <c r="D304" s="1">
        <f>VALUE(LOOKUP(B304,'Company Database'!C$9:C$1248,'Company Database'!D$9:D$1248))</f>
        <v>33.6</v>
      </c>
      <c r="E304" s="1">
        <f>VALUE(LOOKUP(B304,'Company Database'!C$9:C$1248,'Company Database'!E$9:E$1248))</f>
        <v>41.9</v>
      </c>
      <c r="F304" s="1">
        <f>VALUE(LOOKUP(B304,'Company Database'!C$9:C$1248,'Company Database'!F$9:F$1248))</f>
        <v>49.7</v>
      </c>
      <c r="G304" s="115">
        <f t="shared" si="4"/>
        <v>57.000000000000028</v>
      </c>
      <c r="H304" s="170">
        <f>VALUE(LOOKUP(B304,'Company Database'!C$9:C$1248,'Company Database'!G$9:G$1248))</f>
        <v>627.6</v>
      </c>
      <c r="I304" s="86">
        <f>LOOKUP(B304,'Company Database'!C$9:C$1248,'Company Database'!H$9:H$1248)</f>
        <v>1.1200000000000001</v>
      </c>
      <c r="J304" s="86">
        <f>LOOKUP(B304,'Company Database'!C$9:C$1248,'Company Database'!I$9:I$1248)</f>
        <v>20.39</v>
      </c>
      <c r="K304" s="86">
        <f>LOOKUP(B304,'Company Database'!C$9:C$1248,'Company Database'!J$9:J$1248)</f>
        <v>18.68</v>
      </c>
    </row>
    <row r="305" spans="1:11" x14ac:dyDescent="0.2">
      <c r="A305">
        <v>291</v>
      </c>
      <c r="B305" s="146" t="s">
        <v>4533</v>
      </c>
      <c r="C305" s="1" t="e">
        <f>LOOKUP(B305,'Company Database'!C$9:C$1248,'Company Database'!#REF!)</f>
        <v>#REF!</v>
      </c>
      <c r="D305" s="1">
        <f>VALUE(LOOKUP(B305,'Company Database'!C$9:C$1248,'Company Database'!D$9:D$1248))</f>
        <v>9.33</v>
      </c>
      <c r="E305" s="1">
        <f>VALUE(LOOKUP(B305,'Company Database'!C$9:C$1248,'Company Database'!E$9:E$1248))</f>
        <v>11.07</v>
      </c>
      <c r="F305" s="1">
        <f>VALUE(LOOKUP(B305,'Company Database'!C$9:C$1248,'Company Database'!F$9:F$1248))</f>
        <v>14</v>
      </c>
      <c r="G305" s="115">
        <f t="shared" si="4"/>
        <v>18.119999999999997</v>
      </c>
      <c r="H305" s="170">
        <f>VALUE(LOOKUP(B305,'Company Database'!C$9:C$1248,'Company Database'!G$9:G$1248))</f>
        <v>58.4</v>
      </c>
      <c r="I305" s="86">
        <f>LOOKUP(B305,'Company Database'!C$9:C$1248,'Company Database'!H$9:H$1248)</f>
        <v>0</v>
      </c>
      <c r="J305" s="86">
        <f>LOOKUP(B305,'Company Database'!C$9:C$1248,'Company Database'!I$9:I$1248)</f>
        <v>11.18</v>
      </c>
      <c r="K305" s="86">
        <f>LOOKUP(B305,'Company Database'!C$9:C$1248,'Company Database'!J$9:J$1248)</f>
        <v>14.59</v>
      </c>
    </row>
    <row r="306" spans="1:11" x14ac:dyDescent="0.2">
      <c r="A306">
        <v>292</v>
      </c>
      <c r="B306" s="146" t="s">
        <v>4535</v>
      </c>
      <c r="C306" s="1" t="e">
        <f>LOOKUP(B306,'Company Database'!C$9:C$1248,'Company Database'!#REF!)</f>
        <v>#REF!</v>
      </c>
      <c r="D306" s="1">
        <f>VALUE(LOOKUP(B306,'Company Database'!C$9:C$1248,'Company Database'!D$9:D$1248))</f>
        <v>71.3</v>
      </c>
      <c r="E306" s="1">
        <f>VALUE(LOOKUP(B306,'Company Database'!C$9:C$1248,'Company Database'!E$9:E$1248))</f>
        <v>85.3</v>
      </c>
      <c r="F306" s="1">
        <f>VALUE(LOOKUP(B306,'Company Database'!C$9:C$1248,'Company Database'!F$9:F$1248))</f>
        <v>102.2</v>
      </c>
      <c r="G306" s="115">
        <f t="shared" si="4"/>
        <v>122</v>
      </c>
      <c r="H306" s="170">
        <f>VALUE(LOOKUP(B306,'Company Database'!C$9:C$1248,'Company Database'!G$9:G$1248))</f>
        <v>2196.1999999999998</v>
      </c>
      <c r="I306" s="86">
        <f>LOOKUP(B306,'Company Database'!C$9:C$1248,'Company Database'!H$9:H$1248)</f>
        <v>2.27</v>
      </c>
      <c r="J306" s="86">
        <f>LOOKUP(B306,'Company Database'!C$9:C$1248,'Company Database'!I$9:I$1248)</f>
        <v>31.68</v>
      </c>
      <c r="K306" s="86">
        <f>LOOKUP(B306,'Company Database'!C$9:C$1248,'Company Database'!J$9:J$1248)</f>
        <v>30.87</v>
      </c>
    </row>
    <row r="307" spans="1:11" x14ac:dyDescent="0.2">
      <c r="A307">
        <v>293</v>
      </c>
      <c r="B307" s="146" t="s">
        <v>4812</v>
      </c>
      <c r="C307" s="1" t="e">
        <f>LOOKUP(B307,'Company Database'!C$9:C$1248,'Company Database'!#REF!)</f>
        <v>#REF!</v>
      </c>
      <c r="D307" s="1">
        <f>VALUE(LOOKUP(B307,'Company Database'!C$9:C$1248,'Company Database'!D$9:D$1248))</f>
        <v>0</v>
      </c>
      <c r="E307" s="1">
        <f>VALUE(LOOKUP(B307,'Company Database'!C$9:C$1248,'Company Database'!E$9:E$1248))</f>
        <v>0</v>
      </c>
      <c r="F307" s="1">
        <f>VALUE(LOOKUP(B307,'Company Database'!C$9:C$1248,'Company Database'!F$9:F$1248))</f>
        <v>0</v>
      </c>
      <c r="G307" s="115">
        <f t="shared" si="4"/>
        <v>0</v>
      </c>
      <c r="H307" s="170">
        <f>VALUE(LOOKUP(B307,'Company Database'!C$9:C$1248,'Company Database'!G$9:G$1248))</f>
        <v>37.35</v>
      </c>
      <c r="I307" s="86">
        <f>LOOKUP(B307,'Company Database'!C$9:C$1248,'Company Database'!H$9:H$1248)</f>
        <v>0</v>
      </c>
      <c r="J307" s="86">
        <f>LOOKUP(B307,'Company Database'!C$9:C$1248,'Company Database'!I$9:I$1248)</f>
        <v>21.76</v>
      </c>
      <c r="K307" s="86">
        <f>LOOKUP(B307,'Company Database'!C$9:C$1248,'Company Database'!J$9:J$1248)</f>
        <v>6.33</v>
      </c>
    </row>
    <row r="308" spans="1:11" x14ac:dyDescent="0.2">
      <c r="A308">
        <v>294</v>
      </c>
      <c r="B308" s="146" t="s">
        <v>3050</v>
      </c>
      <c r="C308" s="1" t="e">
        <f>LOOKUP(B308,'Company Database'!C$9:C$1248,'Company Database'!#REF!)</f>
        <v>#REF!</v>
      </c>
      <c r="D308" s="1">
        <f>VALUE(LOOKUP(B308,'Company Database'!C$9:C$1248,'Company Database'!D$9:D$1248))</f>
        <v>0.85</v>
      </c>
      <c r="E308" s="1">
        <f>VALUE(LOOKUP(B308,'Company Database'!C$9:C$1248,'Company Database'!E$9:E$1248))</f>
        <v>1.2</v>
      </c>
      <c r="F308" s="1">
        <f>VALUE(LOOKUP(B308,'Company Database'!C$9:C$1248,'Company Database'!F$9:F$1248))</f>
        <v>1.7</v>
      </c>
      <c r="G308" s="115">
        <f t="shared" si="4"/>
        <v>2.3500000000000005</v>
      </c>
      <c r="H308" s="170">
        <f>VALUE(LOOKUP(B308,'Company Database'!C$9:C$1248,'Company Database'!G$9:G$1248))</f>
        <v>16.899999999999999</v>
      </c>
      <c r="I308" s="86">
        <f>LOOKUP(B308,'Company Database'!C$9:C$1248,'Company Database'!H$9:H$1248)</f>
        <v>0</v>
      </c>
      <c r="J308" s="86">
        <f>LOOKUP(B308,'Company Database'!C$9:C$1248,'Company Database'!I$9:I$1248)</f>
        <v>11.5</v>
      </c>
      <c r="K308" s="86">
        <f>LOOKUP(B308,'Company Database'!C$9:C$1248,'Company Database'!J$9:J$1248)</f>
        <v>8.9499999999999993</v>
      </c>
    </row>
    <row r="309" spans="1:11" x14ac:dyDescent="0.2">
      <c r="A309">
        <v>295</v>
      </c>
      <c r="B309" s="146" t="s">
        <v>3831</v>
      </c>
      <c r="C309" s="1" t="e">
        <f>LOOKUP(B309,'Company Database'!C$9:C$1248,'Company Database'!#REF!)</f>
        <v>#REF!</v>
      </c>
      <c r="D309" s="1">
        <f>VALUE(LOOKUP(B309,'Company Database'!C$9:C$1248,'Company Database'!D$9:D$1248))</f>
        <v>7.46</v>
      </c>
      <c r="E309" s="1">
        <f>VALUE(LOOKUP(B309,'Company Database'!C$9:C$1248,'Company Database'!E$9:E$1248))</f>
        <v>8.39</v>
      </c>
      <c r="F309" s="1">
        <f>VALUE(LOOKUP(B309,'Company Database'!C$9:C$1248,'Company Database'!F$9:F$1248))</f>
        <v>11.13</v>
      </c>
      <c r="G309" s="115">
        <f t="shared" si="4"/>
        <v>15.680000000000003</v>
      </c>
      <c r="H309" s="170">
        <f>VALUE(LOOKUP(B309,'Company Database'!C$9:C$1248,'Company Database'!G$9:G$1248))</f>
        <v>39.75</v>
      </c>
      <c r="I309" s="86">
        <f>LOOKUP(B309,'Company Database'!C$9:C$1248,'Company Database'!H$9:H$1248)</f>
        <v>0</v>
      </c>
      <c r="J309" s="86">
        <f>LOOKUP(B309,'Company Database'!C$9:C$1248,'Company Database'!I$9:I$1248)</f>
        <v>14.56</v>
      </c>
      <c r="K309" s="86">
        <f>LOOKUP(B309,'Company Database'!C$9:C$1248,'Company Database'!J$9:J$1248)</f>
        <v>14.87</v>
      </c>
    </row>
    <row r="310" spans="1:11" x14ac:dyDescent="0.2">
      <c r="A310">
        <v>296</v>
      </c>
      <c r="B310" s="146" t="s">
        <v>5328</v>
      </c>
      <c r="C310" s="1" t="e">
        <f>LOOKUP(B310,'Company Database'!C$9:C$1248,'Company Database'!#REF!)</f>
        <v>#REF!</v>
      </c>
      <c r="D310" s="1">
        <f>VALUE(LOOKUP(B310,'Company Database'!C$9:C$1248,'Company Database'!D$9:D$1248))</f>
        <v>144.37</v>
      </c>
      <c r="E310" s="1">
        <f>VALUE(LOOKUP(B310,'Company Database'!C$9:C$1248,'Company Database'!E$9:E$1248))</f>
        <v>181</v>
      </c>
      <c r="F310" s="1">
        <f>VALUE(LOOKUP(B310,'Company Database'!C$9:C$1248,'Company Database'!F$9:F$1248))</f>
        <v>229.3</v>
      </c>
      <c r="G310" s="115">
        <f t="shared" si="4"/>
        <v>289.27</v>
      </c>
      <c r="H310" s="170">
        <f>VALUE(LOOKUP(B310,'Company Database'!C$9:C$1248,'Company Database'!G$9:G$1248))</f>
        <v>2320.4499999999998</v>
      </c>
      <c r="I310" s="86">
        <f>LOOKUP(B310,'Company Database'!C$9:C$1248,'Company Database'!H$9:H$1248)</f>
        <v>0</v>
      </c>
      <c r="J310" s="86">
        <f>LOOKUP(B310,'Company Database'!C$9:C$1248,'Company Database'!I$9:I$1248)</f>
        <v>13.91</v>
      </c>
      <c r="K310" s="86">
        <f>LOOKUP(B310,'Company Database'!C$9:C$1248,'Company Database'!J$9:J$1248)</f>
        <v>17.84</v>
      </c>
    </row>
    <row r="311" spans="1:11" x14ac:dyDescent="0.2">
      <c r="A311">
        <v>297</v>
      </c>
      <c r="B311" s="146" t="s">
        <v>3832</v>
      </c>
      <c r="C311" s="1" t="e">
        <f>LOOKUP(B311,'Company Database'!C$9:C$1248,'Company Database'!#REF!)</f>
        <v>#REF!</v>
      </c>
      <c r="D311" s="1">
        <f>VALUE(LOOKUP(B311,'Company Database'!C$9:C$1248,'Company Database'!D$9:D$1248))</f>
        <v>0</v>
      </c>
      <c r="E311" s="1">
        <f>VALUE(LOOKUP(B311,'Company Database'!C$9:C$1248,'Company Database'!E$9:E$1248))</f>
        <v>0</v>
      </c>
      <c r="F311" s="1">
        <f>VALUE(LOOKUP(B311,'Company Database'!C$9:C$1248,'Company Database'!F$9:F$1248))</f>
        <v>0</v>
      </c>
      <c r="G311" s="115">
        <f t="shared" si="4"/>
        <v>0</v>
      </c>
      <c r="H311" s="170">
        <f>VALUE(LOOKUP(B311,'Company Database'!C$9:C$1248,'Company Database'!G$9:G$1248))</f>
        <v>168.25</v>
      </c>
      <c r="I311" s="86">
        <f>LOOKUP(B311,'Company Database'!C$9:C$1248,'Company Database'!H$9:H$1248)</f>
        <v>0</v>
      </c>
      <c r="J311" s="86">
        <f>LOOKUP(B311,'Company Database'!C$9:C$1248,'Company Database'!I$9:I$1248)</f>
        <v>4.4800000000000004</v>
      </c>
      <c r="K311" s="86">
        <f>LOOKUP(B311,'Company Database'!C$9:C$1248,'Company Database'!J$9:J$1248)</f>
        <v>39.799999999999997</v>
      </c>
    </row>
    <row r="312" spans="1:11" x14ac:dyDescent="0.2">
      <c r="A312">
        <v>298</v>
      </c>
      <c r="B312" s="146" t="s">
        <v>3833</v>
      </c>
      <c r="C312" s="1" t="e">
        <f>LOOKUP(B312,'Company Database'!C$9:C$1248,'Company Database'!#REF!)</f>
        <v>#REF!</v>
      </c>
      <c r="D312" s="1">
        <f>VALUE(LOOKUP(B312,'Company Database'!C$9:C$1248,'Company Database'!D$9:D$1248))</f>
        <v>0</v>
      </c>
      <c r="E312" s="1">
        <f>VALUE(LOOKUP(B312,'Company Database'!C$9:C$1248,'Company Database'!E$9:E$1248))</f>
        <v>0</v>
      </c>
      <c r="F312" s="1">
        <f>VALUE(LOOKUP(B312,'Company Database'!C$9:C$1248,'Company Database'!F$9:F$1248))</f>
        <v>0</v>
      </c>
      <c r="G312" s="115">
        <f t="shared" si="4"/>
        <v>0</v>
      </c>
      <c r="H312" s="170">
        <f>VALUE(LOOKUP(B312,'Company Database'!C$9:C$1248,'Company Database'!G$9:G$1248))</f>
        <v>58.2</v>
      </c>
      <c r="I312" s="86">
        <f>LOOKUP(B312,'Company Database'!C$9:C$1248,'Company Database'!H$9:H$1248)</f>
        <v>0</v>
      </c>
      <c r="J312" s="86">
        <f>LOOKUP(B312,'Company Database'!C$9:C$1248,'Company Database'!I$9:I$1248)</f>
        <v>27.81</v>
      </c>
      <c r="K312" s="86">
        <f>LOOKUP(B312,'Company Database'!C$9:C$1248,'Company Database'!J$9:J$1248)</f>
        <v>14.76</v>
      </c>
    </row>
    <row r="313" spans="1:11" x14ac:dyDescent="0.2">
      <c r="A313">
        <v>299</v>
      </c>
      <c r="B313" s="146" t="s">
        <v>3529</v>
      </c>
      <c r="C313" s="1" t="e">
        <f>LOOKUP(B313,'Company Database'!C$9:C$1248,'Company Database'!#REF!)</f>
        <v>#REF!</v>
      </c>
      <c r="D313" s="1">
        <f>VALUE(LOOKUP(B313,'Company Database'!C$9:C$1248,'Company Database'!D$9:D$1248))</f>
        <v>0</v>
      </c>
      <c r="E313" s="1">
        <f>VALUE(LOOKUP(B313,'Company Database'!C$9:C$1248,'Company Database'!E$9:E$1248))</f>
        <v>15.1</v>
      </c>
      <c r="F313" s="1">
        <f>VALUE(LOOKUP(B313,'Company Database'!C$9:C$1248,'Company Database'!F$9:F$1248))</f>
        <v>18.899999999999999</v>
      </c>
      <c r="G313" s="115">
        <f t="shared" si="4"/>
        <v>18.899999999999999</v>
      </c>
      <c r="H313" s="170">
        <f>VALUE(LOOKUP(B313,'Company Database'!C$9:C$1248,'Company Database'!G$9:G$1248))</f>
        <v>191</v>
      </c>
      <c r="I313" s="86">
        <f>LOOKUP(B313,'Company Database'!C$9:C$1248,'Company Database'!H$9:H$1248)</f>
        <v>0.42</v>
      </c>
      <c r="J313" s="86">
        <f>LOOKUP(B313,'Company Database'!C$9:C$1248,'Company Database'!I$9:I$1248)</f>
        <v>12.3</v>
      </c>
      <c r="K313" s="86">
        <f>LOOKUP(B313,'Company Database'!C$9:C$1248,'Company Database'!J$9:J$1248)</f>
        <v>13.55</v>
      </c>
    </row>
    <row r="314" spans="1:11" x14ac:dyDescent="0.2">
      <c r="A314">
        <v>300</v>
      </c>
      <c r="B314" s="146" t="s">
        <v>5355</v>
      </c>
      <c r="C314" s="1" t="e">
        <f>LOOKUP(B314,'Company Database'!C$9:C$1248,'Company Database'!#REF!)</f>
        <v>#REF!</v>
      </c>
      <c r="D314" s="1">
        <f>VALUE(LOOKUP(B314,'Company Database'!C$9:C$1248,'Company Database'!D$9:D$1248))</f>
        <v>0</v>
      </c>
      <c r="E314" s="1">
        <f>VALUE(LOOKUP(B314,'Company Database'!C$9:C$1248,'Company Database'!E$9:E$1248))</f>
        <v>0</v>
      </c>
      <c r="F314" s="1">
        <f>VALUE(LOOKUP(B314,'Company Database'!C$9:C$1248,'Company Database'!F$9:F$1248))</f>
        <v>0</v>
      </c>
      <c r="G314" s="115">
        <f t="shared" si="4"/>
        <v>0</v>
      </c>
      <c r="H314" s="170">
        <f>VALUE(LOOKUP(B314,'Company Database'!C$9:C$1248,'Company Database'!G$9:G$1248))</f>
        <v>59.35</v>
      </c>
      <c r="I314" s="86">
        <f>LOOKUP(B314,'Company Database'!C$9:C$1248,'Company Database'!H$9:H$1248)</f>
        <v>0</v>
      </c>
      <c r="J314" s="86">
        <f>LOOKUP(B314,'Company Database'!C$9:C$1248,'Company Database'!I$9:I$1248)</f>
        <v>14.6</v>
      </c>
      <c r="K314" s="86">
        <f>LOOKUP(B314,'Company Database'!C$9:C$1248,'Company Database'!J$9:J$1248)</f>
        <v>5.76</v>
      </c>
    </row>
    <row r="315" spans="1:11" x14ac:dyDescent="0.2">
      <c r="A315">
        <v>301</v>
      </c>
      <c r="B315" s="146" t="s">
        <v>3053</v>
      </c>
      <c r="C315" s="1" t="e">
        <f>LOOKUP(B315,'Company Database'!C$9:C$1248,'Company Database'!#REF!)</f>
        <v>#REF!</v>
      </c>
      <c r="D315" s="1">
        <f>VALUE(LOOKUP(B315,'Company Database'!C$9:C$1248,'Company Database'!D$9:D$1248))</f>
        <v>0</v>
      </c>
      <c r="E315" s="1">
        <f>VALUE(LOOKUP(B315,'Company Database'!C$9:C$1248,'Company Database'!E$9:E$1248))</f>
        <v>8.6</v>
      </c>
      <c r="F315" s="1">
        <f>VALUE(LOOKUP(B315,'Company Database'!C$9:C$1248,'Company Database'!F$9:F$1248))</f>
        <v>10.4</v>
      </c>
      <c r="G315" s="115">
        <f t="shared" si="4"/>
        <v>10.4</v>
      </c>
      <c r="H315" s="170">
        <f>VALUE(LOOKUP(B315,'Company Database'!C$9:C$1248,'Company Database'!G$9:G$1248))</f>
        <v>150.55000000000001</v>
      </c>
      <c r="I315" s="86">
        <f>LOOKUP(B315,'Company Database'!C$9:C$1248,'Company Database'!H$9:H$1248)</f>
        <v>0</v>
      </c>
      <c r="J315" s="86">
        <f>LOOKUP(B315,'Company Database'!C$9:C$1248,'Company Database'!I$9:I$1248)</f>
        <v>0</v>
      </c>
      <c r="K315" s="86">
        <f>LOOKUP(B315,'Company Database'!C$9:C$1248,'Company Database'!J$9:J$1248)</f>
        <v>0</v>
      </c>
    </row>
    <row r="316" spans="1:11" x14ac:dyDescent="0.2">
      <c r="A316">
        <v>302</v>
      </c>
      <c r="B316" s="146" t="s">
        <v>3055</v>
      </c>
      <c r="C316" s="1" t="e">
        <f>LOOKUP(B316,'Company Database'!C$9:C$1248,'Company Database'!#REF!)</f>
        <v>#REF!</v>
      </c>
      <c r="D316" s="1">
        <f>VALUE(LOOKUP(B316,'Company Database'!C$9:C$1248,'Company Database'!D$9:D$1248))</f>
        <v>3.57</v>
      </c>
      <c r="E316" s="1">
        <f>VALUE(LOOKUP(B316,'Company Database'!C$9:C$1248,'Company Database'!E$9:E$1248))</f>
        <v>4.8499999999999996</v>
      </c>
      <c r="F316" s="1">
        <f>VALUE(LOOKUP(B316,'Company Database'!C$9:C$1248,'Company Database'!F$9:F$1248))</f>
        <v>6.15</v>
      </c>
      <c r="G316" s="115">
        <f t="shared" si="4"/>
        <v>7.4700000000000006</v>
      </c>
      <c r="H316" s="170">
        <f>VALUE(LOOKUP(B316,'Company Database'!C$9:C$1248,'Company Database'!G$9:G$1248))</f>
        <v>61.55</v>
      </c>
      <c r="I316" s="86">
        <f>LOOKUP(B316,'Company Database'!C$9:C$1248,'Company Database'!H$9:H$1248)</f>
        <v>1.46</v>
      </c>
      <c r="J316" s="86">
        <f>LOOKUP(B316,'Company Database'!C$9:C$1248,'Company Database'!I$9:I$1248)</f>
        <v>13.49</v>
      </c>
      <c r="K316" s="86">
        <f>LOOKUP(B316,'Company Database'!C$9:C$1248,'Company Database'!J$9:J$1248)</f>
        <v>17.13</v>
      </c>
    </row>
    <row r="317" spans="1:11" x14ac:dyDescent="0.2">
      <c r="A317">
        <v>303</v>
      </c>
      <c r="B317" s="146" t="s">
        <v>3057</v>
      </c>
      <c r="C317" s="1" t="e">
        <f>LOOKUP(B317,'Company Database'!C$9:C$1248,'Company Database'!#REF!)</f>
        <v>#REF!</v>
      </c>
      <c r="D317" s="1">
        <f>VALUE(LOOKUP(B317,'Company Database'!C$9:C$1248,'Company Database'!D$9:D$1248))</f>
        <v>13.04</v>
      </c>
      <c r="E317" s="1">
        <f>VALUE(LOOKUP(B317,'Company Database'!C$9:C$1248,'Company Database'!E$9:E$1248))</f>
        <v>16.8</v>
      </c>
      <c r="F317" s="1">
        <f>VALUE(LOOKUP(B317,'Company Database'!C$9:C$1248,'Company Database'!F$9:F$1248))</f>
        <v>19.7</v>
      </c>
      <c r="G317" s="115">
        <f t="shared" si="4"/>
        <v>21.739999999999988</v>
      </c>
      <c r="H317" s="170">
        <f>VALUE(LOOKUP(B317,'Company Database'!C$9:C$1248,'Company Database'!G$9:G$1248))</f>
        <v>439.25</v>
      </c>
      <c r="I317" s="86">
        <f>LOOKUP(B317,'Company Database'!C$9:C$1248,'Company Database'!H$9:H$1248)</f>
        <v>0.63</v>
      </c>
      <c r="J317" s="86">
        <f>LOOKUP(B317,'Company Database'!C$9:C$1248,'Company Database'!I$9:I$1248)</f>
        <v>16.25</v>
      </c>
      <c r="K317" s="86">
        <f>LOOKUP(B317,'Company Database'!C$9:C$1248,'Company Database'!J$9:J$1248)</f>
        <v>50.5</v>
      </c>
    </row>
    <row r="318" spans="1:11" x14ac:dyDescent="0.2">
      <c r="A318">
        <v>304</v>
      </c>
      <c r="B318" s="146" t="s">
        <v>701</v>
      </c>
      <c r="C318" s="1" t="e">
        <f>LOOKUP(B318,'Company Database'!C$9:C$1248,'Company Database'!#REF!)</f>
        <v>#REF!</v>
      </c>
      <c r="D318" s="1">
        <f>VALUE(LOOKUP(B318,'Company Database'!C$9:C$1248,'Company Database'!D$9:D$1248))</f>
        <v>13.19</v>
      </c>
      <c r="E318" s="1">
        <f>VALUE(LOOKUP(B318,'Company Database'!C$9:C$1248,'Company Database'!E$9:E$1248))</f>
        <v>17.86</v>
      </c>
      <c r="F318" s="1">
        <f>VALUE(LOOKUP(B318,'Company Database'!C$9:C$1248,'Company Database'!F$9:F$1248))</f>
        <v>20.7</v>
      </c>
      <c r="G318" s="115">
        <f t="shared" si="4"/>
        <v>20.7</v>
      </c>
      <c r="H318" s="170">
        <f>VALUE(LOOKUP(B318,'Company Database'!C$9:C$1248,'Company Database'!G$9:G$1248))</f>
        <v>386.9</v>
      </c>
      <c r="I318" s="86">
        <f>LOOKUP(B318,'Company Database'!C$9:C$1248,'Company Database'!H$9:H$1248)</f>
        <v>1.94</v>
      </c>
      <c r="J318" s="86">
        <f>LOOKUP(B318,'Company Database'!C$9:C$1248,'Company Database'!I$9:I$1248)</f>
        <v>28.28</v>
      </c>
      <c r="K318" s="86">
        <f>LOOKUP(B318,'Company Database'!C$9:C$1248,'Company Database'!J$9:J$1248)</f>
        <v>26.84</v>
      </c>
    </row>
    <row r="319" spans="1:11" x14ac:dyDescent="0.2">
      <c r="A319">
        <v>305</v>
      </c>
      <c r="B319" s="146" t="s">
        <v>4731</v>
      </c>
      <c r="C319" s="1" t="e">
        <f>LOOKUP(B319,'Company Database'!C$9:C$1248,'Company Database'!#REF!)</f>
        <v>#REF!</v>
      </c>
      <c r="D319" s="1">
        <f>VALUE(LOOKUP(B319,'Company Database'!C$9:C$1248,'Company Database'!D$9:D$1248))</f>
        <v>0</v>
      </c>
      <c r="E319" s="1">
        <f>VALUE(LOOKUP(B319,'Company Database'!C$9:C$1248,'Company Database'!E$9:E$1248))</f>
        <v>2.7</v>
      </c>
      <c r="F319" s="1">
        <f>VALUE(LOOKUP(B319,'Company Database'!C$9:C$1248,'Company Database'!F$9:F$1248))</f>
        <v>3.4</v>
      </c>
      <c r="G319" s="115">
        <f t="shared" si="4"/>
        <v>3.4</v>
      </c>
      <c r="H319" s="170">
        <f>VALUE(LOOKUP(B319,'Company Database'!C$9:C$1248,'Company Database'!G$9:G$1248))</f>
        <v>20</v>
      </c>
      <c r="I319" s="86">
        <f>LOOKUP(B319,'Company Database'!C$9:C$1248,'Company Database'!H$9:H$1248)</f>
        <v>2.13</v>
      </c>
      <c r="J319" s="86">
        <f>LOOKUP(B319,'Company Database'!C$9:C$1248,'Company Database'!I$9:I$1248)</f>
        <v>30.67</v>
      </c>
      <c r="K319" s="86">
        <f>LOOKUP(B319,'Company Database'!C$9:C$1248,'Company Database'!J$9:J$1248)</f>
        <v>11.01</v>
      </c>
    </row>
    <row r="320" spans="1:11" x14ac:dyDescent="0.2">
      <c r="A320">
        <v>306</v>
      </c>
      <c r="B320" s="146" t="s">
        <v>5319</v>
      </c>
      <c r="C320" s="1" t="e">
        <f>LOOKUP(B320,'Company Database'!C$9:C$1248,'Company Database'!#REF!)</f>
        <v>#REF!</v>
      </c>
      <c r="D320" s="1">
        <f>VALUE(LOOKUP(B320,'Company Database'!C$9:C$1248,'Company Database'!D$9:D$1248))</f>
        <v>0</v>
      </c>
      <c r="E320" s="1">
        <f>VALUE(LOOKUP(B320,'Company Database'!C$9:C$1248,'Company Database'!E$9:E$1248))</f>
        <v>0</v>
      </c>
      <c r="F320" s="1">
        <f>VALUE(LOOKUP(B320,'Company Database'!C$9:C$1248,'Company Database'!F$9:F$1248))</f>
        <v>0</v>
      </c>
      <c r="G320" s="115">
        <f t="shared" si="4"/>
        <v>0</v>
      </c>
      <c r="H320" s="170">
        <f>VALUE(LOOKUP(B320,'Company Database'!C$9:C$1248,'Company Database'!G$9:G$1248))</f>
        <v>80.2</v>
      </c>
      <c r="I320" s="86">
        <f>LOOKUP(B320,'Company Database'!C$9:C$1248,'Company Database'!H$9:H$1248)</f>
        <v>0</v>
      </c>
      <c r="J320" s="86">
        <f>LOOKUP(B320,'Company Database'!C$9:C$1248,'Company Database'!I$9:I$1248)</f>
        <v>3.99</v>
      </c>
      <c r="K320" s="86">
        <f>LOOKUP(B320,'Company Database'!C$9:C$1248,'Company Database'!J$9:J$1248)</f>
        <v>3.08</v>
      </c>
    </row>
    <row r="321" spans="1:11" x14ac:dyDescent="0.2">
      <c r="A321">
        <v>307</v>
      </c>
      <c r="B321" s="146" t="s">
        <v>5321</v>
      </c>
      <c r="C321" s="1" t="e">
        <f>LOOKUP(B321,'Company Database'!C$9:C$1248,'Company Database'!#REF!)</f>
        <v>#REF!</v>
      </c>
      <c r="D321" s="1">
        <f>VALUE(LOOKUP(B321,'Company Database'!C$9:C$1248,'Company Database'!D$9:D$1248))</f>
        <v>0</v>
      </c>
      <c r="E321" s="1">
        <f>VALUE(LOOKUP(B321,'Company Database'!C$9:C$1248,'Company Database'!E$9:E$1248))</f>
        <v>0</v>
      </c>
      <c r="F321" s="1">
        <f>VALUE(LOOKUP(B321,'Company Database'!C$9:C$1248,'Company Database'!F$9:F$1248))</f>
        <v>0</v>
      </c>
      <c r="G321" s="115">
        <f t="shared" si="4"/>
        <v>0</v>
      </c>
      <c r="H321" s="170">
        <f>VALUE(LOOKUP(B321,'Company Database'!C$9:C$1248,'Company Database'!G$9:G$1248))</f>
        <v>20.8</v>
      </c>
      <c r="I321" s="86">
        <f>LOOKUP(B321,'Company Database'!C$9:C$1248,'Company Database'!H$9:H$1248)</f>
        <v>0</v>
      </c>
      <c r="J321" s="86">
        <f>LOOKUP(B321,'Company Database'!C$9:C$1248,'Company Database'!I$9:I$1248)</f>
        <v>24.37</v>
      </c>
      <c r="K321" s="86">
        <f>LOOKUP(B321,'Company Database'!C$9:C$1248,'Company Database'!J$9:J$1248)</f>
        <v>4.04</v>
      </c>
    </row>
    <row r="322" spans="1:11" x14ac:dyDescent="0.2">
      <c r="A322">
        <v>308</v>
      </c>
      <c r="B322" s="146" t="s">
        <v>423</v>
      </c>
      <c r="C322" s="1" t="e">
        <f>LOOKUP(B322,'Company Database'!C$9:C$1248,'Company Database'!#REF!)</f>
        <v>#REF!</v>
      </c>
      <c r="D322" s="1">
        <f>VALUE(LOOKUP(B322,'Company Database'!C$9:C$1248,'Company Database'!D$9:D$1248))</f>
        <v>-7.77</v>
      </c>
      <c r="E322" s="1">
        <f>VALUE(LOOKUP(B322,'Company Database'!C$9:C$1248,'Company Database'!E$9:E$1248))</f>
        <v>-4.2</v>
      </c>
      <c r="F322" s="1">
        <f>VALUE(LOOKUP(B322,'Company Database'!C$9:C$1248,'Company Database'!F$9:F$1248))</f>
        <v>2.75</v>
      </c>
      <c r="G322" s="115">
        <f t="shared" si="4"/>
        <v>13.080000000000004</v>
      </c>
      <c r="H322" s="170">
        <f>VALUE(LOOKUP(B322,'Company Database'!C$9:C$1248,'Company Database'!G$9:G$1248))</f>
        <v>50.7</v>
      </c>
      <c r="I322" s="86">
        <f>LOOKUP(B322,'Company Database'!C$9:C$1248,'Company Database'!H$9:H$1248)</f>
        <v>0</v>
      </c>
      <c r="J322" s="86">
        <f>LOOKUP(B322,'Company Database'!C$9:C$1248,'Company Database'!I$9:I$1248)</f>
        <v>-17.96</v>
      </c>
      <c r="K322" s="86">
        <f>LOOKUP(B322,'Company Database'!C$9:C$1248,'Company Database'!J$9:J$1248)</f>
        <v>0</v>
      </c>
    </row>
    <row r="323" spans="1:11" x14ac:dyDescent="0.2">
      <c r="A323">
        <v>309</v>
      </c>
      <c r="B323" s="146" t="s">
        <v>425</v>
      </c>
      <c r="C323" s="1" t="e">
        <f>LOOKUP(B323,'Company Database'!C$9:C$1248,'Company Database'!#REF!)</f>
        <v>#REF!</v>
      </c>
      <c r="D323" s="1">
        <f>VALUE(LOOKUP(B323,'Company Database'!C$9:C$1248,'Company Database'!D$9:D$1248))</f>
        <v>19.399999999999999</v>
      </c>
      <c r="E323" s="1">
        <f>VALUE(LOOKUP(B323,'Company Database'!C$9:C$1248,'Company Database'!E$9:E$1248))</f>
        <v>22.53</v>
      </c>
      <c r="F323" s="1">
        <f>VALUE(LOOKUP(B323,'Company Database'!C$9:C$1248,'Company Database'!F$9:F$1248))</f>
        <v>28.77</v>
      </c>
      <c r="G323" s="115">
        <f t="shared" si="4"/>
        <v>38.11999999999999</v>
      </c>
      <c r="H323" s="170">
        <f>VALUE(LOOKUP(B323,'Company Database'!C$9:C$1248,'Company Database'!G$9:G$1248))</f>
        <v>355</v>
      </c>
      <c r="I323" s="86">
        <f>LOOKUP(B323,'Company Database'!C$9:C$1248,'Company Database'!H$9:H$1248)</f>
        <v>0</v>
      </c>
      <c r="J323" s="86">
        <f>LOOKUP(B323,'Company Database'!C$9:C$1248,'Company Database'!I$9:I$1248)</f>
        <v>10.93</v>
      </c>
      <c r="K323" s="86">
        <f>LOOKUP(B323,'Company Database'!C$9:C$1248,'Company Database'!J$9:J$1248)</f>
        <v>14.05</v>
      </c>
    </row>
    <row r="324" spans="1:11" x14ac:dyDescent="0.2">
      <c r="A324">
        <v>310</v>
      </c>
      <c r="B324" s="146" t="s">
        <v>2925</v>
      </c>
      <c r="C324" s="1" t="e">
        <f>LOOKUP(B324,'Company Database'!C$9:C$1248,'Company Database'!#REF!)</f>
        <v>#REF!</v>
      </c>
      <c r="D324" s="1">
        <f>VALUE(LOOKUP(B324,'Company Database'!C$9:C$1248,'Company Database'!D$9:D$1248))</f>
        <v>15.58</v>
      </c>
      <c r="E324" s="1">
        <f>VALUE(LOOKUP(B324,'Company Database'!C$9:C$1248,'Company Database'!E$9:E$1248))</f>
        <v>19.8</v>
      </c>
      <c r="F324" s="1">
        <f>VALUE(LOOKUP(B324,'Company Database'!C$9:C$1248,'Company Database'!F$9:F$1248))</f>
        <v>25</v>
      </c>
      <c r="G324" s="115">
        <f t="shared" si="4"/>
        <v>31.179999999999993</v>
      </c>
      <c r="H324" s="170">
        <f>VALUE(LOOKUP(B324,'Company Database'!C$9:C$1248,'Company Database'!G$9:G$1248))</f>
        <v>111.35</v>
      </c>
      <c r="I324" s="86">
        <f>LOOKUP(B324,'Company Database'!C$9:C$1248,'Company Database'!H$9:H$1248)</f>
        <v>0</v>
      </c>
      <c r="J324" s="86">
        <f>LOOKUP(B324,'Company Database'!C$9:C$1248,'Company Database'!I$9:I$1248)</f>
        <v>15.57</v>
      </c>
      <c r="K324" s="86">
        <f>LOOKUP(B324,'Company Database'!C$9:C$1248,'Company Database'!J$9:J$1248)</f>
        <v>6.1</v>
      </c>
    </row>
    <row r="325" spans="1:11" x14ac:dyDescent="0.2">
      <c r="A325">
        <v>311</v>
      </c>
      <c r="B325" s="146" t="s">
        <v>427</v>
      </c>
      <c r="C325" s="1" t="e">
        <f>LOOKUP(B325,'Company Database'!C$9:C$1248,'Company Database'!#REF!)</f>
        <v>#REF!</v>
      </c>
      <c r="D325" s="1">
        <f>VALUE(LOOKUP(B325,'Company Database'!C$9:C$1248,'Company Database'!D$9:D$1248))</f>
        <v>5.78</v>
      </c>
      <c r="E325" s="1">
        <f>VALUE(LOOKUP(B325,'Company Database'!C$9:C$1248,'Company Database'!E$9:E$1248))</f>
        <v>7.23</v>
      </c>
      <c r="F325" s="1">
        <f>VALUE(LOOKUP(B325,'Company Database'!C$9:C$1248,'Company Database'!F$9:F$1248))</f>
        <v>9.5500000000000007</v>
      </c>
      <c r="G325" s="115">
        <f t="shared" si="4"/>
        <v>12.740000000000002</v>
      </c>
      <c r="H325" s="170">
        <f>VALUE(LOOKUP(B325,'Company Database'!C$9:C$1248,'Company Database'!G$9:G$1248))</f>
        <v>99.55</v>
      </c>
      <c r="I325" s="86">
        <f>LOOKUP(B325,'Company Database'!C$9:C$1248,'Company Database'!H$9:H$1248)</f>
        <v>0</v>
      </c>
      <c r="J325" s="86">
        <f>LOOKUP(B325,'Company Database'!C$9:C$1248,'Company Database'!I$9:I$1248)</f>
        <v>12.61</v>
      </c>
      <c r="K325" s="86">
        <f>LOOKUP(B325,'Company Database'!C$9:C$1248,'Company Database'!J$9:J$1248)</f>
        <v>14.56</v>
      </c>
    </row>
    <row r="326" spans="1:11" x14ac:dyDescent="0.2">
      <c r="A326">
        <v>312</v>
      </c>
      <c r="B326" s="146" t="s">
        <v>3834</v>
      </c>
      <c r="C326" s="1" t="e">
        <f>LOOKUP(B326,'Company Database'!C$9:C$1248,'Company Database'!#REF!)</f>
        <v>#REF!</v>
      </c>
      <c r="D326" s="1">
        <f>VALUE(LOOKUP(B326,'Company Database'!C$9:C$1248,'Company Database'!D$9:D$1248))</f>
        <v>17.63</v>
      </c>
      <c r="E326" s="1">
        <f>VALUE(LOOKUP(B326,'Company Database'!C$9:C$1248,'Company Database'!E$9:E$1248))</f>
        <v>22.3</v>
      </c>
      <c r="F326" s="1">
        <f>VALUE(LOOKUP(B326,'Company Database'!C$9:C$1248,'Company Database'!F$9:F$1248))</f>
        <v>25.4</v>
      </c>
      <c r="G326" s="115">
        <f t="shared" si="4"/>
        <v>25.4</v>
      </c>
      <c r="H326" s="170">
        <f>VALUE(LOOKUP(B326,'Company Database'!C$9:C$1248,'Company Database'!G$9:G$1248))</f>
        <v>130.69999999999999</v>
      </c>
      <c r="I326" s="86">
        <f>LOOKUP(B326,'Company Database'!C$9:C$1248,'Company Database'!H$9:H$1248)</f>
        <v>3.44</v>
      </c>
      <c r="J326" s="86">
        <f>LOOKUP(B326,'Company Database'!C$9:C$1248,'Company Database'!I$9:I$1248)</f>
        <v>14.47</v>
      </c>
      <c r="K326" s="86">
        <f>LOOKUP(B326,'Company Database'!C$9:C$1248,'Company Database'!J$9:J$1248)</f>
        <v>7.17</v>
      </c>
    </row>
    <row r="327" spans="1:11" x14ac:dyDescent="0.2">
      <c r="A327">
        <v>313</v>
      </c>
      <c r="B327" s="146" t="s">
        <v>429</v>
      </c>
      <c r="C327" s="1" t="e">
        <f>LOOKUP(B327,'Company Database'!C$9:C$1248,'Company Database'!#REF!)</f>
        <v>#REF!</v>
      </c>
      <c r="D327" s="1">
        <f>VALUE(LOOKUP(B327,'Company Database'!C$9:C$1248,'Company Database'!D$9:D$1248))</f>
        <v>0</v>
      </c>
      <c r="E327" s="1">
        <f>VALUE(LOOKUP(B327,'Company Database'!C$9:C$1248,'Company Database'!E$9:E$1248))</f>
        <v>0</v>
      </c>
      <c r="F327" s="1">
        <f>VALUE(LOOKUP(B327,'Company Database'!C$9:C$1248,'Company Database'!F$9:F$1248))</f>
        <v>0</v>
      </c>
      <c r="G327" s="115">
        <f t="shared" si="4"/>
        <v>0</v>
      </c>
      <c r="H327" s="170">
        <f>VALUE(LOOKUP(B327,'Company Database'!C$9:C$1248,'Company Database'!G$9:G$1248))</f>
        <v>2.2000000000000002</v>
      </c>
      <c r="I327" s="86">
        <f>LOOKUP(B327,'Company Database'!C$9:C$1248,'Company Database'!H$9:H$1248)</f>
        <v>0</v>
      </c>
      <c r="J327" s="86">
        <f>LOOKUP(B327,'Company Database'!C$9:C$1248,'Company Database'!I$9:I$1248)</f>
        <v>0.09</v>
      </c>
      <c r="K327" s="86">
        <f>LOOKUP(B327,'Company Database'!C$9:C$1248,'Company Database'!J$9:J$1248)</f>
        <v>280.41000000000003</v>
      </c>
    </row>
    <row r="328" spans="1:11" x14ac:dyDescent="0.2">
      <c r="A328">
        <v>314</v>
      </c>
      <c r="B328" s="146" t="s">
        <v>2920</v>
      </c>
      <c r="C328" s="1" t="e">
        <f>LOOKUP(B328,'Company Database'!C$9:C$1248,'Company Database'!#REF!)</f>
        <v>#REF!</v>
      </c>
      <c r="D328" s="1">
        <f>VALUE(LOOKUP(B328,'Company Database'!C$9:C$1248,'Company Database'!D$9:D$1248))</f>
        <v>35.47</v>
      </c>
      <c r="E328" s="1">
        <f>VALUE(LOOKUP(B328,'Company Database'!C$9:C$1248,'Company Database'!E$9:E$1248))</f>
        <v>28.9</v>
      </c>
      <c r="F328" s="1">
        <f>VALUE(LOOKUP(B328,'Company Database'!C$9:C$1248,'Company Database'!F$9:F$1248))</f>
        <v>33.700000000000003</v>
      </c>
      <c r="G328" s="115">
        <f t="shared" si="4"/>
        <v>49.870000000000033</v>
      </c>
      <c r="H328" s="170">
        <f>VALUE(LOOKUP(B328,'Company Database'!C$9:C$1248,'Company Database'!G$9:G$1248))</f>
        <v>362.05</v>
      </c>
      <c r="I328" s="86">
        <f>LOOKUP(B328,'Company Database'!C$9:C$1248,'Company Database'!H$9:H$1248)</f>
        <v>2.4900000000000002</v>
      </c>
      <c r="J328" s="86">
        <f>LOOKUP(B328,'Company Database'!C$9:C$1248,'Company Database'!I$9:I$1248)</f>
        <v>10.84</v>
      </c>
      <c r="K328" s="86">
        <f>LOOKUP(B328,'Company Database'!C$9:C$1248,'Company Database'!J$9:J$1248)</f>
        <v>21.22</v>
      </c>
    </row>
    <row r="329" spans="1:11" x14ac:dyDescent="0.2">
      <c r="A329">
        <v>315</v>
      </c>
      <c r="B329" s="146" t="s">
        <v>5356</v>
      </c>
      <c r="C329" s="1" t="e">
        <f>LOOKUP(B329,'Company Database'!C$9:C$1248,'Company Database'!#REF!)</f>
        <v>#REF!</v>
      </c>
      <c r="D329" s="1">
        <f>VALUE(LOOKUP(B329,'Company Database'!C$9:C$1248,'Company Database'!D$9:D$1248))</f>
        <v>0</v>
      </c>
      <c r="E329" s="1">
        <f>VALUE(LOOKUP(B329,'Company Database'!C$9:C$1248,'Company Database'!E$9:E$1248))</f>
        <v>0</v>
      </c>
      <c r="F329" s="1">
        <f>VALUE(LOOKUP(B329,'Company Database'!C$9:C$1248,'Company Database'!F$9:F$1248))</f>
        <v>0</v>
      </c>
      <c r="G329" s="115">
        <f t="shared" si="4"/>
        <v>0</v>
      </c>
      <c r="H329" s="170">
        <f>VALUE(LOOKUP(B329,'Company Database'!C$9:C$1248,'Company Database'!G$9:G$1248))</f>
        <v>242.25</v>
      </c>
      <c r="I329" s="86">
        <f>LOOKUP(B329,'Company Database'!C$9:C$1248,'Company Database'!H$9:H$1248)</f>
        <v>0</v>
      </c>
      <c r="J329" s="86">
        <f>LOOKUP(B329,'Company Database'!C$9:C$1248,'Company Database'!I$9:I$1248)</f>
        <v>32.409999999999997</v>
      </c>
      <c r="K329" s="86">
        <f>LOOKUP(B329,'Company Database'!C$9:C$1248,'Company Database'!J$9:J$1248)</f>
        <v>23.69</v>
      </c>
    </row>
    <row r="330" spans="1:11" x14ac:dyDescent="0.2">
      <c r="A330">
        <v>316</v>
      </c>
      <c r="B330" s="146" t="s">
        <v>4151</v>
      </c>
      <c r="C330" s="1" t="e">
        <f>LOOKUP(B330,'Company Database'!C$9:C$1248,'Company Database'!#REF!)</f>
        <v>#REF!</v>
      </c>
      <c r="D330" s="1">
        <f>VALUE(LOOKUP(B330,'Company Database'!C$9:C$1248,'Company Database'!D$9:D$1248))</f>
        <v>0</v>
      </c>
      <c r="E330" s="1">
        <f>VALUE(LOOKUP(B330,'Company Database'!C$9:C$1248,'Company Database'!E$9:E$1248))</f>
        <v>13.7</v>
      </c>
      <c r="F330" s="1">
        <f>VALUE(LOOKUP(B330,'Company Database'!C$9:C$1248,'Company Database'!F$9:F$1248))</f>
        <v>19.100000000000001</v>
      </c>
      <c r="G330" s="115">
        <f t="shared" si="4"/>
        <v>19.100000000000001</v>
      </c>
      <c r="H330" s="170">
        <f>VALUE(LOOKUP(B330,'Company Database'!C$9:C$1248,'Company Database'!G$9:G$1248))</f>
        <v>103.2</v>
      </c>
      <c r="I330" s="86">
        <f>LOOKUP(B330,'Company Database'!C$9:C$1248,'Company Database'!H$9:H$1248)</f>
        <v>0</v>
      </c>
      <c r="J330" s="86">
        <f>LOOKUP(B330,'Company Database'!C$9:C$1248,'Company Database'!I$9:I$1248)</f>
        <v>48.77</v>
      </c>
      <c r="K330" s="86">
        <f>LOOKUP(B330,'Company Database'!C$9:C$1248,'Company Database'!J$9:J$1248)</f>
        <v>11.39</v>
      </c>
    </row>
    <row r="331" spans="1:11" x14ac:dyDescent="0.2">
      <c r="A331">
        <v>317</v>
      </c>
      <c r="B331" s="146" t="s">
        <v>4154</v>
      </c>
      <c r="C331" s="1" t="e">
        <f>LOOKUP(B331,'Company Database'!C$9:C$1248,'Company Database'!#REF!)</f>
        <v>#REF!</v>
      </c>
      <c r="D331" s="1">
        <f>VALUE(LOOKUP(B331,'Company Database'!C$9:C$1248,'Company Database'!D$9:D$1248))</f>
        <v>82.21</v>
      </c>
      <c r="E331" s="1">
        <f>VALUE(LOOKUP(B331,'Company Database'!C$9:C$1248,'Company Database'!E$9:E$1248))</f>
        <v>80.63</v>
      </c>
      <c r="F331" s="1">
        <f>VALUE(LOOKUP(B331,'Company Database'!C$9:C$1248,'Company Database'!F$9:F$1248))</f>
        <v>95.85</v>
      </c>
      <c r="G331" s="115">
        <f t="shared" si="4"/>
        <v>127.87</v>
      </c>
      <c r="H331" s="170">
        <f>VALUE(LOOKUP(B331,'Company Database'!C$9:C$1248,'Company Database'!G$9:G$1248))</f>
        <v>1236.3499999999999</v>
      </c>
      <c r="I331" s="86">
        <f>LOOKUP(B331,'Company Database'!C$9:C$1248,'Company Database'!H$9:H$1248)</f>
        <v>0</v>
      </c>
      <c r="J331" s="86">
        <f>LOOKUP(B331,'Company Database'!C$9:C$1248,'Company Database'!I$9:I$1248)</f>
        <v>8.4700000000000006</v>
      </c>
      <c r="K331" s="86">
        <f>LOOKUP(B331,'Company Database'!C$9:C$1248,'Company Database'!J$9:J$1248)</f>
        <v>30.28</v>
      </c>
    </row>
    <row r="332" spans="1:11" x14ac:dyDescent="0.2">
      <c r="A332">
        <v>318</v>
      </c>
      <c r="B332" s="146" t="s">
        <v>1394</v>
      </c>
      <c r="C332" s="1" t="e">
        <f>LOOKUP(B332,'Company Database'!C$9:C$1248,'Company Database'!#REF!)</f>
        <v>#REF!</v>
      </c>
      <c r="D332" s="1">
        <f>VALUE(LOOKUP(B332,'Company Database'!C$9:C$1248,'Company Database'!D$9:D$1248))</f>
        <v>0</v>
      </c>
      <c r="E332" s="1">
        <f>VALUE(LOOKUP(B332,'Company Database'!C$9:C$1248,'Company Database'!E$9:E$1248))</f>
        <v>0</v>
      </c>
      <c r="F332" s="1">
        <f>VALUE(LOOKUP(B332,'Company Database'!C$9:C$1248,'Company Database'!F$9:F$1248))</f>
        <v>0</v>
      </c>
      <c r="G332" s="115">
        <f t="shared" si="4"/>
        <v>0</v>
      </c>
      <c r="H332" s="170">
        <f>VALUE(LOOKUP(B332,'Company Database'!C$9:C$1248,'Company Database'!G$9:G$1248))</f>
        <v>97.3</v>
      </c>
      <c r="I332" s="86">
        <f>LOOKUP(B332,'Company Database'!C$9:C$1248,'Company Database'!H$9:H$1248)</f>
        <v>2.06</v>
      </c>
      <c r="J332" s="86">
        <f>LOOKUP(B332,'Company Database'!C$9:C$1248,'Company Database'!I$9:I$1248)</f>
        <v>7.61</v>
      </c>
      <c r="K332" s="86">
        <f>LOOKUP(B332,'Company Database'!C$9:C$1248,'Company Database'!J$9:J$1248)</f>
        <v>15.33</v>
      </c>
    </row>
    <row r="333" spans="1:11" x14ac:dyDescent="0.2">
      <c r="A333">
        <v>319</v>
      </c>
      <c r="B333" s="146" t="s">
        <v>580</v>
      </c>
      <c r="C333" s="1" t="e">
        <f>LOOKUP(B333,'Company Database'!C$9:C$1248,'Company Database'!#REF!)</f>
        <v>#REF!</v>
      </c>
      <c r="D333" s="1">
        <f>VALUE(LOOKUP(B333,'Company Database'!C$9:C$1248,'Company Database'!D$9:D$1248))</f>
        <v>24.78</v>
      </c>
      <c r="E333" s="1">
        <f>VALUE(LOOKUP(B333,'Company Database'!C$9:C$1248,'Company Database'!E$9:E$1248))</f>
        <v>28.6</v>
      </c>
      <c r="F333" s="1">
        <f>VALUE(LOOKUP(B333,'Company Database'!C$9:C$1248,'Company Database'!F$9:F$1248))</f>
        <v>0</v>
      </c>
      <c r="G333" s="115">
        <f t="shared" si="4"/>
        <v>0</v>
      </c>
      <c r="H333" s="170">
        <f>VALUE(LOOKUP(B333,'Company Database'!C$9:C$1248,'Company Database'!G$9:G$1248))</f>
        <v>168.15</v>
      </c>
      <c r="I333" s="86">
        <f>LOOKUP(B333,'Company Database'!C$9:C$1248,'Company Database'!H$9:H$1248)</f>
        <v>2.68</v>
      </c>
      <c r="J333" s="86">
        <f>LOOKUP(B333,'Company Database'!C$9:C$1248,'Company Database'!I$9:I$1248)</f>
        <v>12.55</v>
      </c>
      <c r="K333" s="86">
        <f>LOOKUP(B333,'Company Database'!C$9:C$1248,'Company Database'!J$9:J$1248)</f>
        <v>6.84</v>
      </c>
    </row>
    <row r="334" spans="1:11" x14ac:dyDescent="0.2">
      <c r="A334">
        <v>320</v>
      </c>
      <c r="B334" s="146" t="s">
        <v>4019</v>
      </c>
      <c r="C334" s="1" t="e">
        <f>LOOKUP(B334,'Company Database'!C$9:C$1248,'Company Database'!#REF!)</f>
        <v>#REF!</v>
      </c>
      <c r="D334" s="1">
        <f>VALUE(LOOKUP(B334,'Company Database'!C$9:C$1248,'Company Database'!D$9:D$1248))</f>
        <v>35.119999999999997</v>
      </c>
      <c r="E334" s="1">
        <f>VALUE(LOOKUP(B334,'Company Database'!C$9:C$1248,'Company Database'!E$9:E$1248))</f>
        <v>44.2</v>
      </c>
      <c r="F334" s="1">
        <f>VALUE(LOOKUP(B334,'Company Database'!C$9:C$1248,'Company Database'!F$9:F$1248))</f>
        <v>51.82</v>
      </c>
      <c r="G334" s="115">
        <f t="shared" si="4"/>
        <v>57.97999999999999</v>
      </c>
      <c r="H334" s="170">
        <f>VALUE(LOOKUP(B334,'Company Database'!C$9:C$1248,'Company Database'!G$9:G$1248))</f>
        <v>1175</v>
      </c>
      <c r="I334" s="86">
        <f>LOOKUP(B334,'Company Database'!C$9:C$1248,'Company Database'!H$9:H$1248)</f>
        <v>0</v>
      </c>
      <c r="J334" s="86">
        <f>LOOKUP(B334,'Company Database'!C$9:C$1248,'Company Database'!I$9:I$1248)</f>
        <v>37.75</v>
      </c>
      <c r="K334" s="86">
        <f>LOOKUP(B334,'Company Database'!C$9:C$1248,'Company Database'!J$9:J$1248)</f>
        <v>30.42</v>
      </c>
    </row>
    <row r="335" spans="1:11" x14ac:dyDescent="0.2">
      <c r="A335">
        <v>321</v>
      </c>
      <c r="B335" s="146" t="s">
        <v>2320</v>
      </c>
      <c r="C335" s="1" t="e">
        <f>LOOKUP(B335,'Company Database'!C$9:C$1248,'Company Database'!#REF!)</f>
        <v>#REF!</v>
      </c>
      <c r="D335" s="1">
        <f>VALUE(LOOKUP(B335,'Company Database'!C$9:C$1248,'Company Database'!D$9:D$1248))</f>
        <v>38.99</v>
      </c>
      <c r="E335" s="1">
        <f>VALUE(LOOKUP(B335,'Company Database'!C$9:C$1248,'Company Database'!E$9:E$1248))</f>
        <v>136.55000000000001</v>
      </c>
      <c r="F335" s="1">
        <f>VALUE(LOOKUP(B335,'Company Database'!C$9:C$1248,'Company Database'!F$9:F$1248))</f>
        <v>154.6</v>
      </c>
      <c r="G335" s="115">
        <f t="shared" ref="G335:G392" si="5">IF(TREND(D335:F335,$D$13:$F$14,$G$13:$G$14)&gt;1.1*F335,TREND(D335:F335,$D$13:$F$14,$G$13:$G$14),F335)</f>
        <v>154.6</v>
      </c>
      <c r="H335" s="170">
        <f>VALUE(LOOKUP(B335,'Company Database'!C$9:C$1248,'Company Database'!G$9:G$1248))</f>
        <v>1168.6500000000001</v>
      </c>
      <c r="I335" s="86">
        <f>LOOKUP(B335,'Company Database'!C$9:C$1248,'Company Database'!H$9:H$1248)</f>
        <v>1.28</v>
      </c>
      <c r="J335" s="86">
        <f>LOOKUP(B335,'Company Database'!C$9:C$1248,'Company Database'!I$9:I$1248)</f>
        <v>9.61</v>
      </c>
      <c r="K335" s="86">
        <f>LOOKUP(B335,'Company Database'!C$9:C$1248,'Company Database'!J$9:J$1248)</f>
        <v>33.03</v>
      </c>
    </row>
    <row r="336" spans="1:11" x14ac:dyDescent="0.2">
      <c r="A336">
        <v>322</v>
      </c>
      <c r="B336" s="146" t="s">
        <v>3835</v>
      </c>
      <c r="C336" s="1" t="e">
        <f>LOOKUP(B336,'Company Database'!C$9:C$1248,'Company Database'!#REF!)</f>
        <v>#REF!</v>
      </c>
      <c r="D336" s="1">
        <f>VALUE(LOOKUP(B336,'Company Database'!C$9:C$1248,'Company Database'!D$9:D$1248))</f>
        <v>7.66</v>
      </c>
      <c r="E336" s="1">
        <f>VALUE(LOOKUP(B336,'Company Database'!C$9:C$1248,'Company Database'!E$9:E$1248))</f>
        <v>9.1999999999999993</v>
      </c>
      <c r="F336" s="1">
        <f>VALUE(LOOKUP(B336,'Company Database'!C$9:C$1248,'Company Database'!F$9:F$1248))</f>
        <v>11.56</v>
      </c>
      <c r="G336" s="115">
        <f t="shared" si="5"/>
        <v>14.740000000000007</v>
      </c>
      <c r="H336" s="170">
        <f>VALUE(LOOKUP(B336,'Company Database'!C$9:C$1248,'Company Database'!G$9:G$1248))</f>
        <v>26.05</v>
      </c>
      <c r="I336" s="86">
        <f>LOOKUP(B336,'Company Database'!C$9:C$1248,'Company Database'!H$9:H$1248)</f>
        <v>3.45</v>
      </c>
      <c r="J336" s="86">
        <f>LOOKUP(B336,'Company Database'!C$9:C$1248,'Company Database'!I$9:I$1248)</f>
        <v>16.989999999999998</v>
      </c>
      <c r="K336" s="86">
        <f>LOOKUP(B336,'Company Database'!C$9:C$1248,'Company Database'!J$9:J$1248)</f>
        <v>3.57</v>
      </c>
    </row>
    <row r="337" spans="1:11" x14ac:dyDescent="0.2">
      <c r="A337">
        <v>323</v>
      </c>
      <c r="B337" s="146" t="s">
        <v>4159</v>
      </c>
      <c r="C337" s="1" t="e">
        <f>LOOKUP(B337,'Company Database'!C$9:C$1248,'Company Database'!#REF!)</f>
        <v>#REF!</v>
      </c>
      <c r="D337" s="1">
        <f>VALUE(LOOKUP(B337,'Company Database'!C$9:C$1248,'Company Database'!D$9:D$1248))</f>
        <v>0</v>
      </c>
      <c r="E337" s="1">
        <f>VALUE(LOOKUP(B337,'Company Database'!C$9:C$1248,'Company Database'!E$9:E$1248))</f>
        <v>31.58</v>
      </c>
      <c r="F337" s="1">
        <f>VALUE(LOOKUP(B337,'Company Database'!C$9:C$1248,'Company Database'!F$9:F$1248))</f>
        <v>37.99</v>
      </c>
      <c r="G337" s="115">
        <f t="shared" si="5"/>
        <v>37.99</v>
      </c>
      <c r="H337" s="170">
        <f>VALUE(LOOKUP(B337,'Company Database'!C$9:C$1248,'Company Database'!G$9:G$1248))</f>
        <v>582</v>
      </c>
      <c r="I337" s="86">
        <f>LOOKUP(B337,'Company Database'!C$9:C$1248,'Company Database'!H$9:H$1248)</f>
        <v>0</v>
      </c>
      <c r="J337" s="86">
        <f>LOOKUP(B337,'Company Database'!C$9:C$1248,'Company Database'!I$9:I$1248)</f>
        <v>24.61</v>
      </c>
      <c r="K337" s="86">
        <f>LOOKUP(B337,'Company Database'!C$9:C$1248,'Company Database'!J$9:J$1248)</f>
        <v>18.13</v>
      </c>
    </row>
    <row r="338" spans="1:11" x14ac:dyDescent="0.2">
      <c r="A338">
        <v>324</v>
      </c>
      <c r="B338" s="146" t="s">
        <v>2926</v>
      </c>
      <c r="C338" s="1" t="e">
        <f>LOOKUP(B338,'Company Database'!C$9:C$1248,'Company Database'!#REF!)</f>
        <v>#REF!</v>
      </c>
      <c r="D338" s="1">
        <f>VALUE(LOOKUP(B338,'Company Database'!C$9:C$1248,'Company Database'!D$9:D$1248))</f>
        <v>46.72</v>
      </c>
      <c r="E338" s="1">
        <f>VALUE(LOOKUP(B338,'Company Database'!C$9:C$1248,'Company Database'!E$9:E$1248))</f>
        <v>67.430000000000007</v>
      </c>
      <c r="F338" s="1">
        <f>VALUE(LOOKUP(B338,'Company Database'!C$9:C$1248,'Company Database'!F$9:F$1248))</f>
        <v>79.47</v>
      </c>
      <c r="G338" s="115">
        <f t="shared" si="5"/>
        <v>79.47</v>
      </c>
      <c r="H338" s="170">
        <f>VALUE(LOOKUP(B338,'Company Database'!C$9:C$1248,'Company Database'!G$9:G$1248))</f>
        <v>498.35</v>
      </c>
      <c r="I338" s="86">
        <f>LOOKUP(B338,'Company Database'!C$9:C$1248,'Company Database'!H$9:H$1248)</f>
        <v>0</v>
      </c>
      <c r="J338" s="86">
        <f>LOOKUP(B338,'Company Database'!C$9:C$1248,'Company Database'!I$9:I$1248)</f>
        <v>22.64</v>
      </c>
      <c r="K338" s="86">
        <f>LOOKUP(B338,'Company Database'!C$9:C$1248,'Company Database'!J$9:J$1248)</f>
        <v>16.03</v>
      </c>
    </row>
    <row r="339" spans="1:11" x14ac:dyDescent="0.2">
      <c r="A339">
        <v>325</v>
      </c>
      <c r="B339" s="146" t="s">
        <v>2319</v>
      </c>
      <c r="C339" s="1" t="e">
        <f>LOOKUP(B339,'Company Database'!C$9:C$1248,'Company Database'!#REF!)</f>
        <v>#REF!</v>
      </c>
      <c r="D339" s="1">
        <f>VALUE(LOOKUP(B339,'Company Database'!C$9:C$1248,'Company Database'!D$9:D$1248))</f>
        <v>-24.92</v>
      </c>
      <c r="E339" s="1">
        <f>VALUE(LOOKUP(B339,'Company Database'!C$9:C$1248,'Company Database'!E$9:E$1248))</f>
        <v>67.599999999999994</v>
      </c>
      <c r="F339" s="1">
        <f>VALUE(LOOKUP(B339,'Company Database'!C$9:C$1248,'Company Database'!F$9:F$1248))</f>
        <v>75.099999999999994</v>
      </c>
      <c r="G339" s="115">
        <f t="shared" si="5"/>
        <v>75.099999999999994</v>
      </c>
      <c r="H339" s="170">
        <f>VALUE(LOOKUP(B339,'Company Database'!C$9:C$1248,'Company Database'!G$9:G$1248))</f>
        <v>579.54999999999995</v>
      </c>
      <c r="I339" s="86">
        <f>LOOKUP(B339,'Company Database'!C$9:C$1248,'Company Database'!H$9:H$1248)</f>
        <v>1.38</v>
      </c>
      <c r="J339" s="86">
        <f>LOOKUP(B339,'Company Database'!C$9:C$1248,'Company Database'!I$9:I$1248)</f>
        <v>11</v>
      </c>
      <c r="K339" s="86">
        <f>LOOKUP(B339,'Company Database'!C$9:C$1248,'Company Database'!J$9:J$1248)</f>
        <v>10.99</v>
      </c>
    </row>
    <row r="340" spans="1:11" x14ac:dyDescent="0.2">
      <c r="A340">
        <v>326</v>
      </c>
      <c r="B340" s="146" t="s">
        <v>3836</v>
      </c>
      <c r="C340" s="1" t="e">
        <f>LOOKUP(B340,'Company Database'!C$9:C$1248,'Company Database'!#REF!)</f>
        <v>#REF!</v>
      </c>
      <c r="D340" s="1">
        <f>VALUE(LOOKUP(B340,'Company Database'!C$9:C$1248,'Company Database'!D$9:D$1248))</f>
        <v>56.39</v>
      </c>
      <c r="E340" s="1">
        <f>VALUE(LOOKUP(B340,'Company Database'!C$9:C$1248,'Company Database'!E$9:E$1248))</f>
        <v>93.4</v>
      </c>
      <c r="F340" s="1">
        <f>VALUE(LOOKUP(B340,'Company Database'!C$9:C$1248,'Company Database'!F$9:F$1248))</f>
        <v>118.7</v>
      </c>
      <c r="G340" s="115">
        <f t="shared" si="5"/>
        <v>132.28999999999996</v>
      </c>
      <c r="H340" s="170">
        <f>VALUE(LOOKUP(B340,'Company Database'!C$9:C$1248,'Company Database'!G$9:G$1248))</f>
        <v>4140.8999999999996</v>
      </c>
      <c r="I340" s="86">
        <f>LOOKUP(B340,'Company Database'!C$9:C$1248,'Company Database'!H$9:H$1248)</f>
        <v>0</v>
      </c>
      <c r="J340" s="86">
        <f>LOOKUP(B340,'Company Database'!C$9:C$1248,'Company Database'!I$9:I$1248)</f>
        <v>35.39</v>
      </c>
      <c r="K340" s="86">
        <f>LOOKUP(B340,'Company Database'!C$9:C$1248,'Company Database'!J$9:J$1248)</f>
        <v>42.68</v>
      </c>
    </row>
    <row r="341" spans="1:11" x14ac:dyDescent="0.2">
      <c r="A341">
        <v>327</v>
      </c>
      <c r="B341" s="146" t="s">
        <v>3837</v>
      </c>
      <c r="C341" s="1" t="e">
        <f>LOOKUP(B341,'Company Database'!C$9:C$1248,'Company Database'!#REF!)</f>
        <v>#REF!</v>
      </c>
      <c r="D341" s="1">
        <f>VALUE(LOOKUP(B341,'Company Database'!C$9:C$1248,'Company Database'!D$9:D$1248))</f>
        <v>27.32</v>
      </c>
      <c r="E341" s="1">
        <f>VALUE(LOOKUP(B341,'Company Database'!C$9:C$1248,'Company Database'!E$9:E$1248))</f>
        <v>34.799999999999997</v>
      </c>
      <c r="F341" s="1">
        <f>VALUE(LOOKUP(B341,'Company Database'!C$9:C$1248,'Company Database'!F$9:F$1248))</f>
        <v>42.2</v>
      </c>
      <c r="G341" s="115">
        <f t="shared" si="5"/>
        <v>49.520000000000024</v>
      </c>
      <c r="H341" s="170">
        <f>VALUE(LOOKUP(B341,'Company Database'!C$9:C$1248,'Company Database'!G$9:G$1248))</f>
        <v>623.75</v>
      </c>
      <c r="I341" s="86">
        <f>LOOKUP(B341,'Company Database'!C$9:C$1248,'Company Database'!H$9:H$1248)</f>
        <v>0</v>
      </c>
      <c r="J341" s="86">
        <f>LOOKUP(B341,'Company Database'!C$9:C$1248,'Company Database'!I$9:I$1248)</f>
        <v>0</v>
      </c>
      <c r="K341" s="86">
        <f>LOOKUP(B341,'Company Database'!C$9:C$1248,'Company Database'!J$9:J$1248)</f>
        <v>0</v>
      </c>
    </row>
    <row r="342" spans="1:11" x14ac:dyDescent="0.2">
      <c r="A342">
        <v>328</v>
      </c>
      <c r="B342" s="146" t="s">
        <v>3838</v>
      </c>
      <c r="C342" s="1" t="e">
        <f>LOOKUP(B342,'Company Database'!C$9:C$1248,'Company Database'!#REF!)</f>
        <v>#REF!</v>
      </c>
      <c r="D342" s="1">
        <f>VALUE(LOOKUP(B342,'Company Database'!C$9:C$1248,'Company Database'!D$9:D$1248))</f>
        <v>6.33</v>
      </c>
      <c r="E342" s="1">
        <f>VALUE(LOOKUP(B342,'Company Database'!C$9:C$1248,'Company Database'!E$9:E$1248))</f>
        <v>7.5</v>
      </c>
      <c r="F342" s="1">
        <f>VALUE(LOOKUP(B342,'Company Database'!C$9:C$1248,'Company Database'!F$9:F$1248))</f>
        <v>9.1999999999999993</v>
      </c>
      <c r="G342" s="115">
        <f t="shared" si="5"/>
        <v>11.429999999999998</v>
      </c>
      <c r="H342" s="170">
        <f>VALUE(LOOKUP(B342,'Company Database'!C$9:C$1248,'Company Database'!G$9:G$1248))</f>
        <v>91.7</v>
      </c>
      <c r="I342" s="86">
        <f>LOOKUP(B342,'Company Database'!C$9:C$1248,'Company Database'!H$9:H$1248)</f>
        <v>0.88</v>
      </c>
      <c r="J342" s="86">
        <f>LOOKUP(B342,'Company Database'!C$9:C$1248,'Company Database'!I$9:I$1248)</f>
        <v>15.24</v>
      </c>
      <c r="K342" s="86">
        <f>LOOKUP(B342,'Company Database'!C$9:C$1248,'Company Database'!J$9:J$1248)</f>
        <v>15.24</v>
      </c>
    </row>
    <row r="343" spans="1:11" x14ac:dyDescent="0.2">
      <c r="A343">
        <v>329</v>
      </c>
      <c r="B343" s="146" t="s">
        <v>1081</v>
      </c>
      <c r="C343" s="1" t="e">
        <f>LOOKUP(B343,'Company Database'!C$9:C$1248,'Company Database'!#REF!)</f>
        <v>#REF!</v>
      </c>
      <c r="D343" s="1">
        <f>VALUE(LOOKUP(B343,'Company Database'!C$9:C$1248,'Company Database'!D$9:D$1248))</f>
        <v>0</v>
      </c>
      <c r="E343" s="1">
        <f>VALUE(LOOKUP(B343,'Company Database'!C$9:C$1248,'Company Database'!E$9:E$1248))</f>
        <v>0</v>
      </c>
      <c r="F343" s="1">
        <f>VALUE(LOOKUP(B343,'Company Database'!C$9:C$1248,'Company Database'!F$9:F$1248))</f>
        <v>0</v>
      </c>
      <c r="G343" s="115">
        <f t="shared" si="5"/>
        <v>0</v>
      </c>
      <c r="H343" s="170">
        <f>VALUE(LOOKUP(B343,'Company Database'!C$9:C$1248,'Company Database'!G$9:G$1248))</f>
        <v>1014.65</v>
      </c>
      <c r="I343" s="86">
        <f>LOOKUP(B343,'Company Database'!C$9:C$1248,'Company Database'!H$9:H$1248)</f>
        <v>0.64</v>
      </c>
      <c r="J343" s="86">
        <f>LOOKUP(B343,'Company Database'!C$9:C$1248,'Company Database'!I$9:I$1248)</f>
        <v>4.1900000000000004</v>
      </c>
      <c r="K343" s="86">
        <f>LOOKUP(B343,'Company Database'!C$9:C$1248,'Company Database'!J$9:J$1248)</f>
        <v>73.45</v>
      </c>
    </row>
    <row r="344" spans="1:11" x14ac:dyDescent="0.2">
      <c r="A344">
        <v>330</v>
      </c>
      <c r="B344" s="146" t="s">
        <v>2927</v>
      </c>
      <c r="C344" s="1" t="e">
        <f>LOOKUP(B344,'Company Database'!C$9:C$1248,'Company Database'!#REF!)</f>
        <v>#REF!</v>
      </c>
      <c r="D344" s="1">
        <f>VALUE(LOOKUP(B344,'Company Database'!C$9:C$1248,'Company Database'!D$9:D$1248))</f>
        <v>42.46</v>
      </c>
      <c r="E344" s="1">
        <f>VALUE(LOOKUP(B344,'Company Database'!C$9:C$1248,'Company Database'!E$9:E$1248))</f>
        <v>25.2</v>
      </c>
      <c r="F344" s="1">
        <f>VALUE(LOOKUP(B344,'Company Database'!C$9:C$1248,'Company Database'!F$9:F$1248))</f>
        <v>57.4</v>
      </c>
      <c r="G344" s="115">
        <f t="shared" si="5"/>
        <v>139.06000000000003</v>
      </c>
      <c r="H344" s="170">
        <f>VALUE(LOOKUP(B344,'Company Database'!C$9:C$1248,'Company Database'!G$9:G$1248))</f>
        <v>397.4</v>
      </c>
      <c r="I344" s="86">
        <f>LOOKUP(B344,'Company Database'!C$9:C$1248,'Company Database'!H$9:H$1248)</f>
        <v>0</v>
      </c>
      <c r="J344" s="86">
        <f>LOOKUP(B344,'Company Database'!C$9:C$1248,'Company Database'!I$9:I$1248)</f>
        <v>28.89</v>
      </c>
      <c r="K344" s="86">
        <f>LOOKUP(B344,'Company Database'!C$9:C$1248,'Company Database'!J$9:J$1248)</f>
        <v>525.44000000000005</v>
      </c>
    </row>
    <row r="345" spans="1:11" x14ac:dyDescent="0.2">
      <c r="A345">
        <v>331</v>
      </c>
      <c r="B345" s="146" t="s">
        <v>3839</v>
      </c>
      <c r="C345" s="1" t="e">
        <f>LOOKUP(B345,'Company Database'!C$9:C$1248,'Company Database'!#REF!)</f>
        <v>#REF!</v>
      </c>
      <c r="D345" s="1">
        <f>VALUE(LOOKUP(B345,'Company Database'!C$9:C$1248,'Company Database'!D$9:D$1248))</f>
        <v>5.26</v>
      </c>
      <c r="E345" s="1">
        <f>VALUE(LOOKUP(B345,'Company Database'!C$9:C$1248,'Company Database'!E$9:E$1248))</f>
        <v>7.12</v>
      </c>
      <c r="F345" s="1">
        <f>VALUE(LOOKUP(B345,'Company Database'!C$9:C$1248,'Company Database'!F$9:F$1248))</f>
        <v>7.44</v>
      </c>
      <c r="G345" s="115">
        <f t="shared" si="5"/>
        <v>7.44</v>
      </c>
      <c r="H345" s="170">
        <f>VALUE(LOOKUP(B345,'Company Database'!C$9:C$1248,'Company Database'!G$9:G$1248))</f>
        <v>36.049999999999997</v>
      </c>
      <c r="I345" s="86">
        <f>LOOKUP(B345,'Company Database'!C$9:C$1248,'Company Database'!H$9:H$1248)</f>
        <v>2.08</v>
      </c>
      <c r="J345" s="86">
        <f>LOOKUP(B345,'Company Database'!C$9:C$1248,'Company Database'!I$9:I$1248)</f>
        <v>4.93</v>
      </c>
      <c r="K345" s="86">
        <f>LOOKUP(B345,'Company Database'!C$9:C$1248,'Company Database'!J$9:J$1248)</f>
        <v>10.25</v>
      </c>
    </row>
    <row r="346" spans="1:11" x14ac:dyDescent="0.2">
      <c r="A346">
        <v>332</v>
      </c>
      <c r="B346" s="146" t="s">
        <v>3840</v>
      </c>
      <c r="C346" s="1" t="e">
        <f>LOOKUP(B346,'Company Database'!C$9:C$1248,'Company Database'!#REF!)</f>
        <v>#REF!</v>
      </c>
      <c r="D346" s="1">
        <f>VALUE(LOOKUP(B346,'Company Database'!C$9:C$1248,'Company Database'!D$9:D$1248))</f>
        <v>0</v>
      </c>
      <c r="E346" s="1">
        <f>VALUE(LOOKUP(B346,'Company Database'!C$9:C$1248,'Company Database'!E$9:E$1248))</f>
        <v>8.02</v>
      </c>
      <c r="F346" s="1">
        <f>VALUE(LOOKUP(B346,'Company Database'!C$9:C$1248,'Company Database'!F$9:F$1248))</f>
        <v>10.1</v>
      </c>
      <c r="G346" s="115">
        <f t="shared" si="5"/>
        <v>10.1</v>
      </c>
      <c r="H346" s="170">
        <f>VALUE(LOOKUP(B346,'Company Database'!C$9:C$1248,'Company Database'!G$9:G$1248))</f>
        <v>133.44999999999999</v>
      </c>
      <c r="I346" s="86">
        <f>LOOKUP(B346,'Company Database'!C$9:C$1248,'Company Database'!H$9:H$1248)</f>
        <v>0</v>
      </c>
      <c r="J346" s="86">
        <f>LOOKUP(B346,'Company Database'!C$9:C$1248,'Company Database'!I$9:I$1248)</f>
        <v>16.07</v>
      </c>
      <c r="K346" s="86">
        <f>LOOKUP(B346,'Company Database'!C$9:C$1248,'Company Database'!J$9:J$1248)</f>
        <v>14.58</v>
      </c>
    </row>
    <row r="347" spans="1:11" x14ac:dyDescent="0.2">
      <c r="A347">
        <v>333</v>
      </c>
      <c r="B347" s="146" t="s">
        <v>1083</v>
      </c>
      <c r="C347" s="1" t="e">
        <f>LOOKUP(B347,'Company Database'!C$9:C$1248,'Company Database'!#REF!)</f>
        <v>#REF!</v>
      </c>
      <c r="D347" s="1">
        <f>VALUE(LOOKUP(B347,'Company Database'!C$9:C$1248,'Company Database'!D$9:D$1248))</f>
        <v>16.96</v>
      </c>
      <c r="E347" s="1">
        <f>VALUE(LOOKUP(B347,'Company Database'!C$9:C$1248,'Company Database'!E$9:E$1248))</f>
        <v>20.76</v>
      </c>
      <c r="F347" s="1">
        <f>VALUE(LOOKUP(B347,'Company Database'!C$9:C$1248,'Company Database'!F$9:F$1248))</f>
        <v>23.75</v>
      </c>
      <c r="G347" s="115">
        <f t="shared" si="5"/>
        <v>23.75</v>
      </c>
      <c r="H347" s="170">
        <f>VALUE(LOOKUP(B347,'Company Database'!C$9:C$1248,'Company Database'!G$9:G$1248))</f>
        <v>156</v>
      </c>
      <c r="I347" s="86">
        <f>LOOKUP(B347,'Company Database'!C$9:C$1248,'Company Database'!H$9:H$1248)</f>
        <v>0</v>
      </c>
      <c r="J347" s="86">
        <f>LOOKUP(B347,'Company Database'!C$9:C$1248,'Company Database'!I$9:I$1248)</f>
        <v>24.93</v>
      </c>
      <c r="K347" s="86">
        <f>LOOKUP(B347,'Company Database'!C$9:C$1248,'Company Database'!J$9:J$1248)</f>
        <v>7.29</v>
      </c>
    </row>
    <row r="348" spans="1:11" x14ac:dyDescent="0.2">
      <c r="A348">
        <v>334</v>
      </c>
      <c r="B348" s="146" t="s">
        <v>114</v>
      </c>
      <c r="C348" s="1" t="e">
        <f>LOOKUP(B348,'Company Database'!C$9:C$1248,'Company Database'!#REF!)</f>
        <v>#REF!</v>
      </c>
      <c r="D348" s="1">
        <f>VALUE(LOOKUP(B348,'Company Database'!C$9:C$1248,'Company Database'!D$9:D$1248))</f>
        <v>-8.85</v>
      </c>
      <c r="E348" s="1">
        <f>VALUE(LOOKUP(B348,'Company Database'!C$9:C$1248,'Company Database'!E$9:E$1248))</f>
        <v>-1.9</v>
      </c>
      <c r="F348" s="1">
        <f>VALUE(LOOKUP(B348,'Company Database'!C$9:C$1248,'Company Database'!F$9:F$1248))</f>
        <v>1.76</v>
      </c>
      <c r="G348" s="115">
        <f t="shared" si="5"/>
        <v>2.1299999999999955</v>
      </c>
      <c r="H348" s="170">
        <f>VALUE(LOOKUP(B348,'Company Database'!C$9:C$1248,'Company Database'!G$9:G$1248))</f>
        <v>77.95</v>
      </c>
      <c r="I348" s="86">
        <f>LOOKUP(B348,'Company Database'!C$9:C$1248,'Company Database'!H$9:H$1248)</f>
        <v>0</v>
      </c>
      <c r="J348" s="86">
        <f>LOOKUP(B348,'Company Database'!C$9:C$1248,'Company Database'!I$9:I$1248)</f>
        <v>-2.4</v>
      </c>
      <c r="K348" s="86">
        <f>LOOKUP(B348,'Company Database'!C$9:C$1248,'Company Database'!J$9:J$1248)</f>
        <v>0</v>
      </c>
    </row>
    <row r="349" spans="1:11" x14ac:dyDescent="0.2">
      <c r="A349">
        <v>335</v>
      </c>
      <c r="B349" s="146" t="s">
        <v>4063</v>
      </c>
      <c r="C349" s="1" t="e">
        <f>LOOKUP(B349,'Company Database'!C$9:C$1248,'Company Database'!#REF!)</f>
        <v>#REF!</v>
      </c>
      <c r="D349" s="1">
        <f>VALUE(LOOKUP(B349,'Company Database'!C$9:C$1248,'Company Database'!D$9:D$1248))</f>
        <v>1.41</v>
      </c>
      <c r="E349" s="1">
        <f>VALUE(LOOKUP(B349,'Company Database'!C$9:C$1248,'Company Database'!E$9:E$1248))</f>
        <v>4.4000000000000004</v>
      </c>
      <c r="F349" s="1">
        <f>VALUE(LOOKUP(B349,'Company Database'!C$9:C$1248,'Company Database'!F$9:F$1248))</f>
        <v>5.8</v>
      </c>
      <c r="G349" s="115">
        <f t="shared" si="5"/>
        <v>5.8</v>
      </c>
      <c r="H349" s="170">
        <f>VALUE(LOOKUP(B349,'Company Database'!C$9:C$1248,'Company Database'!G$9:G$1248))</f>
        <v>53.5</v>
      </c>
      <c r="I349" s="86">
        <f>LOOKUP(B349,'Company Database'!C$9:C$1248,'Company Database'!H$9:H$1248)</f>
        <v>0</v>
      </c>
      <c r="J349" s="86">
        <f>LOOKUP(B349,'Company Database'!C$9:C$1248,'Company Database'!I$9:I$1248)</f>
        <v>14.45</v>
      </c>
      <c r="K349" s="86">
        <f>LOOKUP(B349,'Company Database'!C$9:C$1248,'Company Database'!J$9:J$1248)</f>
        <v>13.2</v>
      </c>
    </row>
    <row r="350" spans="1:11" x14ac:dyDescent="0.2">
      <c r="A350">
        <v>336</v>
      </c>
      <c r="B350" s="146" t="s">
        <v>4065</v>
      </c>
      <c r="C350" s="1" t="e">
        <f>LOOKUP(B350,'Company Database'!C$9:C$1248,'Company Database'!#REF!)</f>
        <v>#REF!</v>
      </c>
      <c r="D350" s="1">
        <f>VALUE(LOOKUP(B350,'Company Database'!C$9:C$1248,'Company Database'!D$9:D$1248))</f>
        <v>0</v>
      </c>
      <c r="E350" s="1">
        <f>VALUE(LOOKUP(B350,'Company Database'!C$9:C$1248,'Company Database'!E$9:E$1248))</f>
        <v>0</v>
      </c>
      <c r="F350" s="1">
        <f>VALUE(LOOKUP(B350,'Company Database'!C$9:C$1248,'Company Database'!F$9:F$1248))</f>
        <v>0</v>
      </c>
      <c r="G350" s="115">
        <f t="shared" si="5"/>
        <v>0</v>
      </c>
      <c r="H350" s="170">
        <f>VALUE(LOOKUP(B350,'Company Database'!C$9:C$1248,'Company Database'!G$9:G$1248))</f>
        <v>59.85</v>
      </c>
      <c r="I350" s="86">
        <f>LOOKUP(B350,'Company Database'!C$9:C$1248,'Company Database'!H$9:H$1248)</f>
        <v>1.26</v>
      </c>
      <c r="J350" s="86">
        <f>LOOKUP(B350,'Company Database'!C$9:C$1248,'Company Database'!I$9:I$1248)</f>
        <v>6.71</v>
      </c>
      <c r="K350" s="86">
        <f>LOOKUP(B350,'Company Database'!C$9:C$1248,'Company Database'!J$9:J$1248)</f>
        <v>11.14</v>
      </c>
    </row>
    <row r="351" spans="1:11" x14ac:dyDescent="0.2">
      <c r="A351">
        <v>337</v>
      </c>
      <c r="B351" s="146" t="s">
        <v>3841</v>
      </c>
      <c r="C351" s="1" t="e">
        <f>LOOKUP(B351,'Company Database'!C$9:C$1248,'Company Database'!#REF!)</f>
        <v>#REF!</v>
      </c>
      <c r="D351" s="1">
        <f>VALUE(LOOKUP(B351,'Company Database'!C$9:C$1248,'Company Database'!D$9:D$1248))</f>
        <v>0</v>
      </c>
      <c r="E351" s="1">
        <f>VALUE(LOOKUP(B351,'Company Database'!C$9:C$1248,'Company Database'!E$9:E$1248))</f>
        <v>0</v>
      </c>
      <c r="F351" s="1">
        <f>VALUE(LOOKUP(B351,'Company Database'!C$9:C$1248,'Company Database'!F$9:F$1248))</f>
        <v>0</v>
      </c>
      <c r="G351" s="115">
        <f t="shared" si="5"/>
        <v>0</v>
      </c>
      <c r="H351" s="170">
        <f>VALUE(LOOKUP(B351,'Company Database'!C$9:C$1248,'Company Database'!G$9:G$1248))</f>
        <v>96.05</v>
      </c>
      <c r="I351" s="86">
        <f>LOOKUP(B351,'Company Database'!C$9:C$1248,'Company Database'!H$9:H$1248)</f>
        <v>0</v>
      </c>
      <c r="J351" s="86">
        <f>LOOKUP(B351,'Company Database'!C$9:C$1248,'Company Database'!I$9:I$1248)</f>
        <v>28.02</v>
      </c>
      <c r="K351" s="86">
        <f>LOOKUP(B351,'Company Database'!C$9:C$1248,'Company Database'!J$9:J$1248)</f>
        <v>6.63</v>
      </c>
    </row>
    <row r="352" spans="1:11" x14ac:dyDescent="0.2">
      <c r="A352">
        <v>338</v>
      </c>
      <c r="B352" s="146" t="s">
        <v>1047</v>
      </c>
      <c r="C352" s="1" t="e">
        <f>LOOKUP(B352,'Company Database'!C$9:C$1248,'Company Database'!#REF!)</f>
        <v>#REF!</v>
      </c>
      <c r="D352" s="1">
        <f>VALUE(LOOKUP(B352,'Company Database'!C$9:C$1248,'Company Database'!D$9:D$1248))</f>
        <v>87.79</v>
      </c>
      <c r="E352" s="1">
        <f>VALUE(LOOKUP(B352,'Company Database'!C$9:C$1248,'Company Database'!E$9:E$1248))</f>
        <v>52.6</v>
      </c>
      <c r="F352" s="1">
        <f>VALUE(LOOKUP(B352,'Company Database'!C$9:C$1248,'Company Database'!F$9:F$1248))</f>
        <v>64.5</v>
      </c>
      <c r="G352" s="115">
        <f t="shared" si="5"/>
        <v>123.49000000000005</v>
      </c>
      <c r="H352" s="170">
        <f>VALUE(LOOKUP(B352,'Company Database'!C$9:C$1248,'Company Database'!G$9:G$1248))</f>
        <v>1033.9000000000001</v>
      </c>
      <c r="I352" s="86">
        <f>LOOKUP(B352,'Company Database'!C$9:C$1248,'Company Database'!H$9:H$1248)</f>
        <v>0</v>
      </c>
      <c r="J352" s="86">
        <f>LOOKUP(B352,'Company Database'!C$9:C$1248,'Company Database'!I$9:I$1248)</f>
        <v>23.27</v>
      </c>
      <c r="K352" s="86">
        <f>LOOKUP(B352,'Company Database'!C$9:C$1248,'Company Database'!J$9:J$1248)</f>
        <v>20.100000000000001</v>
      </c>
    </row>
    <row r="353" spans="1:11" x14ac:dyDescent="0.2">
      <c r="A353">
        <v>339</v>
      </c>
      <c r="B353" s="146" t="s">
        <v>3842</v>
      </c>
      <c r="C353" s="1" t="e">
        <f>LOOKUP(B353,'Company Database'!C$9:C$1248,'Company Database'!#REF!)</f>
        <v>#REF!</v>
      </c>
      <c r="D353" s="1">
        <f>VALUE(LOOKUP(B353,'Company Database'!C$9:C$1248,'Company Database'!D$9:D$1248))</f>
        <v>41.08</v>
      </c>
      <c r="E353" s="1">
        <f>VALUE(LOOKUP(B353,'Company Database'!C$9:C$1248,'Company Database'!E$9:E$1248))</f>
        <v>42.37</v>
      </c>
      <c r="F353" s="1">
        <f>VALUE(LOOKUP(B353,'Company Database'!C$9:C$1248,'Company Database'!F$9:F$1248))</f>
        <v>55.7</v>
      </c>
      <c r="G353" s="115">
        <f t="shared" si="5"/>
        <v>81.070000000000022</v>
      </c>
      <c r="H353" s="170">
        <f>VALUE(LOOKUP(B353,'Company Database'!C$9:C$1248,'Company Database'!G$9:G$1248))</f>
        <v>318.3</v>
      </c>
      <c r="I353" s="86">
        <f>LOOKUP(B353,'Company Database'!C$9:C$1248,'Company Database'!H$9:H$1248)</f>
        <v>0</v>
      </c>
      <c r="J353" s="86">
        <f>LOOKUP(B353,'Company Database'!C$9:C$1248,'Company Database'!I$9:I$1248)</f>
        <v>23.56</v>
      </c>
      <c r="K353" s="86">
        <f>LOOKUP(B353,'Company Database'!C$9:C$1248,'Company Database'!J$9:J$1248)</f>
        <v>9.73</v>
      </c>
    </row>
    <row r="354" spans="1:11" x14ac:dyDescent="0.2">
      <c r="A354">
        <v>340</v>
      </c>
      <c r="B354" s="146" t="s">
        <v>1269</v>
      </c>
      <c r="C354" s="1" t="e">
        <f>LOOKUP(B354,'Company Database'!C$9:C$1248,'Company Database'!#REF!)</f>
        <v>#REF!</v>
      </c>
      <c r="D354" s="1">
        <f>VALUE(LOOKUP(B354,'Company Database'!C$9:C$1248,'Company Database'!D$9:D$1248))</f>
        <v>0</v>
      </c>
      <c r="E354" s="1">
        <f>VALUE(LOOKUP(B354,'Company Database'!C$9:C$1248,'Company Database'!E$9:E$1248))</f>
        <v>13.4</v>
      </c>
      <c r="F354" s="1">
        <f>VALUE(LOOKUP(B354,'Company Database'!C$9:C$1248,'Company Database'!F$9:F$1248))</f>
        <v>17.2</v>
      </c>
      <c r="G354" s="115">
        <f t="shared" si="5"/>
        <v>17.2</v>
      </c>
      <c r="H354" s="170">
        <f>VALUE(LOOKUP(B354,'Company Database'!C$9:C$1248,'Company Database'!G$9:G$1248))</f>
        <v>170.45</v>
      </c>
      <c r="I354" s="86">
        <f>LOOKUP(B354,'Company Database'!C$9:C$1248,'Company Database'!H$9:H$1248)</f>
        <v>0</v>
      </c>
      <c r="J354" s="86">
        <f>LOOKUP(B354,'Company Database'!C$9:C$1248,'Company Database'!I$9:I$1248)</f>
        <v>0</v>
      </c>
      <c r="K354" s="86">
        <f>LOOKUP(B354,'Company Database'!C$9:C$1248,'Company Database'!J$9:J$1248)</f>
        <v>0</v>
      </c>
    </row>
    <row r="355" spans="1:11" x14ac:dyDescent="0.2">
      <c r="A355">
        <v>341</v>
      </c>
      <c r="B355" s="146" t="s">
        <v>947</v>
      </c>
      <c r="C355" s="1" t="e">
        <f>LOOKUP(B355,'Company Database'!C$9:C$1248,'Company Database'!#REF!)</f>
        <v>#REF!</v>
      </c>
      <c r="D355" s="1">
        <f>VALUE(LOOKUP(B355,'Company Database'!C$9:C$1248,'Company Database'!D$9:D$1248))</f>
        <v>2.91</v>
      </c>
      <c r="E355" s="1">
        <f>VALUE(LOOKUP(B355,'Company Database'!C$9:C$1248,'Company Database'!E$9:E$1248))</f>
        <v>2.91</v>
      </c>
      <c r="F355" s="1">
        <f>VALUE(LOOKUP(B355,'Company Database'!C$9:C$1248,'Company Database'!F$9:F$1248))</f>
        <v>4.17</v>
      </c>
      <c r="G355" s="115">
        <f t="shared" si="5"/>
        <v>6.69</v>
      </c>
      <c r="H355" s="170">
        <f>VALUE(LOOKUP(B355,'Company Database'!C$9:C$1248,'Company Database'!G$9:G$1248))</f>
        <v>33.85</v>
      </c>
      <c r="I355" s="86">
        <f>LOOKUP(B355,'Company Database'!C$9:C$1248,'Company Database'!H$9:H$1248)</f>
        <v>0.59</v>
      </c>
      <c r="J355" s="86">
        <f>LOOKUP(B355,'Company Database'!C$9:C$1248,'Company Database'!I$9:I$1248)</f>
        <v>6.59</v>
      </c>
      <c r="K355" s="86">
        <f>LOOKUP(B355,'Company Database'!C$9:C$1248,'Company Database'!J$9:J$1248)</f>
        <v>16.32</v>
      </c>
    </row>
    <row r="356" spans="1:11" x14ac:dyDescent="0.2">
      <c r="A356">
        <v>342</v>
      </c>
      <c r="B356" s="146" t="s">
        <v>948</v>
      </c>
      <c r="C356" s="1" t="e">
        <f>LOOKUP(B356,'Company Database'!C$9:C$1248,'Company Database'!#REF!)</f>
        <v>#REF!</v>
      </c>
      <c r="D356" s="1">
        <f>VALUE(LOOKUP(B356,'Company Database'!C$9:C$1248,'Company Database'!D$9:D$1248))</f>
        <v>0</v>
      </c>
      <c r="E356" s="1">
        <f>VALUE(LOOKUP(B356,'Company Database'!C$9:C$1248,'Company Database'!E$9:E$1248))</f>
        <v>0</v>
      </c>
      <c r="F356" s="1">
        <f>VALUE(LOOKUP(B356,'Company Database'!C$9:C$1248,'Company Database'!F$9:F$1248))</f>
        <v>0</v>
      </c>
      <c r="G356" s="115">
        <f t="shared" si="5"/>
        <v>0</v>
      </c>
      <c r="H356" s="170">
        <f>VALUE(LOOKUP(B356,'Company Database'!C$9:C$1248,'Company Database'!G$9:G$1248))</f>
        <v>313.10000000000002</v>
      </c>
      <c r="I356" s="86">
        <f>LOOKUP(B356,'Company Database'!C$9:C$1248,'Company Database'!H$9:H$1248)</f>
        <v>0.67</v>
      </c>
      <c r="J356" s="86">
        <f>LOOKUP(B356,'Company Database'!C$9:C$1248,'Company Database'!I$9:I$1248)</f>
        <v>6.96</v>
      </c>
      <c r="K356" s="86">
        <f>LOOKUP(B356,'Company Database'!C$9:C$1248,'Company Database'!J$9:J$1248)</f>
        <v>34.18</v>
      </c>
    </row>
    <row r="357" spans="1:11" x14ac:dyDescent="0.2">
      <c r="A357">
        <v>343</v>
      </c>
      <c r="B357" s="146" t="s">
        <v>582</v>
      </c>
      <c r="C357" s="1" t="e">
        <f>LOOKUP(B357,'Company Database'!C$9:C$1248,'Company Database'!#REF!)</f>
        <v>#REF!</v>
      </c>
      <c r="D357" s="1">
        <f>VALUE(LOOKUP(B357,'Company Database'!C$9:C$1248,'Company Database'!D$9:D$1248))</f>
        <v>64.31</v>
      </c>
      <c r="E357" s="1">
        <f>VALUE(LOOKUP(B357,'Company Database'!C$9:C$1248,'Company Database'!E$9:E$1248))</f>
        <v>79</v>
      </c>
      <c r="F357" s="1">
        <f>VALUE(LOOKUP(B357,'Company Database'!C$9:C$1248,'Company Database'!F$9:F$1248))</f>
        <v>98.4</v>
      </c>
      <c r="G357" s="115">
        <f t="shared" si="5"/>
        <v>122.51000000000002</v>
      </c>
      <c r="H357" s="170">
        <f>VALUE(LOOKUP(B357,'Company Database'!C$9:C$1248,'Company Database'!G$9:G$1248))</f>
        <v>1220.9000000000001</v>
      </c>
      <c r="I357" s="86">
        <f>LOOKUP(B357,'Company Database'!C$9:C$1248,'Company Database'!H$9:H$1248)</f>
        <v>1.1499999999999999</v>
      </c>
      <c r="J357" s="86">
        <f>LOOKUP(B357,'Company Database'!C$9:C$1248,'Company Database'!I$9:I$1248)</f>
        <v>17.87</v>
      </c>
      <c r="K357" s="86">
        <f>LOOKUP(B357,'Company Database'!C$9:C$1248,'Company Database'!J$9:J$1248)</f>
        <v>14.82</v>
      </c>
    </row>
    <row r="358" spans="1:11" x14ac:dyDescent="0.2">
      <c r="A358">
        <v>344</v>
      </c>
      <c r="B358" s="146" t="s">
        <v>1395</v>
      </c>
      <c r="C358" s="1" t="e">
        <f>LOOKUP(B358,'Company Database'!C$9:C$1248,'Company Database'!#REF!)</f>
        <v>#REF!</v>
      </c>
      <c r="D358" s="1">
        <f>VALUE(LOOKUP(B358,'Company Database'!C$9:C$1248,'Company Database'!D$9:D$1248))</f>
        <v>13.07</v>
      </c>
      <c r="E358" s="1">
        <f>VALUE(LOOKUP(B358,'Company Database'!C$9:C$1248,'Company Database'!E$9:E$1248))</f>
        <v>35.5</v>
      </c>
      <c r="F358" s="1">
        <f>VALUE(LOOKUP(B358,'Company Database'!C$9:C$1248,'Company Database'!F$9:F$1248))</f>
        <v>49.1</v>
      </c>
      <c r="G358" s="115">
        <f t="shared" si="5"/>
        <v>49.1</v>
      </c>
      <c r="H358" s="170">
        <f>VALUE(LOOKUP(B358,'Company Database'!C$9:C$1248,'Company Database'!G$9:G$1248))</f>
        <v>645.54999999999995</v>
      </c>
      <c r="I358" s="86">
        <f>LOOKUP(B358,'Company Database'!C$9:C$1248,'Company Database'!H$9:H$1248)</f>
        <v>0</v>
      </c>
      <c r="J358" s="86">
        <f>LOOKUP(B358,'Company Database'!C$9:C$1248,'Company Database'!I$9:I$1248)</f>
        <v>5.62</v>
      </c>
      <c r="K358" s="86">
        <f>LOOKUP(B358,'Company Database'!C$9:C$1248,'Company Database'!J$9:J$1248)</f>
        <v>44.42</v>
      </c>
    </row>
    <row r="359" spans="1:11" x14ac:dyDescent="0.2">
      <c r="A359">
        <v>345</v>
      </c>
      <c r="B359" s="146" t="s">
        <v>949</v>
      </c>
      <c r="C359" s="1" t="e">
        <f>LOOKUP(B359,'Company Database'!C$9:C$1248,'Company Database'!#REF!)</f>
        <v>#REF!</v>
      </c>
      <c r="D359" s="1">
        <f>VALUE(LOOKUP(B359,'Company Database'!C$9:C$1248,'Company Database'!D$9:D$1248))</f>
        <v>26.58</v>
      </c>
      <c r="E359" s="1">
        <f>VALUE(LOOKUP(B359,'Company Database'!C$9:C$1248,'Company Database'!E$9:E$1248))</f>
        <v>21.5</v>
      </c>
      <c r="F359" s="1">
        <f>VALUE(LOOKUP(B359,'Company Database'!C$9:C$1248,'Company Database'!F$9:F$1248))</f>
        <v>26.88</v>
      </c>
      <c r="G359" s="115">
        <f t="shared" si="5"/>
        <v>42.720000000000013</v>
      </c>
      <c r="H359" s="170">
        <f>VALUE(LOOKUP(B359,'Company Database'!C$9:C$1248,'Company Database'!G$9:G$1248))</f>
        <v>167.8</v>
      </c>
      <c r="I359" s="86">
        <f>LOOKUP(B359,'Company Database'!C$9:C$1248,'Company Database'!H$9:H$1248)</f>
        <v>0</v>
      </c>
      <c r="J359" s="86">
        <f>LOOKUP(B359,'Company Database'!C$9:C$1248,'Company Database'!I$9:I$1248)</f>
        <v>11.97</v>
      </c>
      <c r="K359" s="86">
        <f>LOOKUP(B359,'Company Database'!C$9:C$1248,'Company Database'!J$9:J$1248)</f>
        <v>9.56</v>
      </c>
    </row>
    <row r="360" spans="1:11" x14ac:dyDescent="0.2">
      <c r="A360">
        <v>346</v>
      </c>
      <c r="B360" s="146" t="s">
        <v>1396</v>
      </c>
      <c r="C360" s="1" t="e">
        <f>LOOKUP(B360,'Company Database'!C$9:C$1248,'Company Database'!#REF!)</f>
        <v>#REF!</v>
      </c>
      <c r="D360" s="1">
        <f>VALUE(LOOKUP(B360,'Company Database'!C$9:C$1248,'Company Database'!D$9:D$1248))</f>
        <v>0.37</v>
      </c>
      <c r="E360" s="1">
        <f>VALUE(LOOKUP(B360,'Company Database'!C$9:C$1248,'Company Database'!E$9:E$1248))</f>
        <v>0.65</v>
      </c>
      <c r="F360" s="1">
        <f>VALUE(LOOKUP(B360,'Company Database'!C$9:C$1248,'Company Database'!F$9:F$1248))</f>
        <v>-10.199999999999999</v>
      </c>
      <c r="G360" s="115">
        <f t="shared" si="5"/>
        <v>-10.199999999999999</v>
      </c>
      <c r="H360" s="170">
        <f>VALUE(LOOKUP(B360,'Company Database'!C$9:C$1248,'Company Database'!G$9:G$1248))</f>
        <v>27.75</v>
      </c>
      <c r="I360" s="86">
        <f>LOOKUP(B360,'Company Database'!C$9:C$1248,'Company Database'!H$9:H$1248)</f>
        <v>2.89</v>
      </c>
      <c r="J360" s="86">
        <f>LOOKUP(B360,'Company Database'!C$9:C$1248,'Company Database'!I$9:I$1248)</f>
        <v>-27.52</v>
      </c>
      <c r="K360" s="86">
        <f>LOOKUP(B360,'Company Database'!C$9:C$1248,'Company Database'!J$9:J$1248)</f>
        <v>33.04</v>
      </c>
    </row>
    <row r="361" spans="1:11" x14ac:dyDescent="0.2">
      <c r="A361">
        <v>347</v>
      </c>
      <c r="B361" s="146" t="s">
        <v>950</v>
      </c>
      <c r="C361" s="1" t="e">
        <f>LOOKUP(B361,'Company Database'!C$9:C$1248,'Company Database'!#REF!)</f>
        <v>#REF!</v>
      </c>
      <c r="D361" s="1">
        <f>VALUE(LOOKUP(B361,'Company Database'!C$9:C$1248,'Company Database'!D$9:D$1248))</f>
        <v>11.7</v>
      </c>
      <c r="E361" s="1">
        <f>VALUE(LOOKUP(B361,'Company Database'!C$9:C$1248,'Company Database'!E$9:E$1248))</f>
        <v>14.4</v>
      </c>
      <c r="F361" s="1">
        <f>VALUE(LOOKUP(B361,'Company Database'!C$9:C$1248,'Company Database'!F$9:F$1248))</f>
        <v>16.2</v>
      </c>
      <c r="G361" s="115">
        <f t="shared" si="5"/>
        <v>16.2</v>
      </c>
      <c r="H361" s="170">
        <f>VALUE(LOOKUP(B361,'Company Database'!C$9:C$1248,'Company Database'!G$9:G$1248))</f>
        <v>69.8</v>
      </c>
      <c r="I361" s="86">
        <f>LOOKUP(B361,'Company Database'!C$9:C$1248,'Company Database'!H$9:H$1248)</f>
        <v>0</v>
      </c>
      <c r="J361" s="86">
        <f>LOOKUP(B361,'Company Database'!C$9:C$1248,'Company Database'!I$9:I$1248)</f>
        <v>16.829999999999998</v>
      </c>
      <c r="K361" s="86">
        <f>LOOKUP(B361,'Company Database'!C$9:C$1248,'Company Database'!J$9:J$1248)</f>
        <v>6.29</v>
      </c>
    </row>
    <row r="362" spans="1:11" x14ac:dyDescent="0.2">
      <c r="A362">
        <v>348</v>
      </c>
      <c r="B362" s="146" t="s">
        <v>951</v>
      </c>
      <c r="C362" s="1" t="e">
        <f>LOOKUP(B362,'Company Database'!C$9:C$1248,'Company Database'!#REF!)</f>
        <v>#REF!</v>
      </c>
      <c r="D362" s="1">
        <f>VALUE(LOOKUP(B362,'Company Database'!C$9:C$1248,'Company Database'!D$9:D$1248))</f>
        <v>0</v>
      </c>
      <c r="E362" s="1">
        <f>VALUE(LOOKUP(B362,'Company Database'!C$9:C$1248,'Company Database'!E$9:E$1248))</f>
        <v>1.5</v>
      </c>
      <c r="F362" s="1">
        <f>VALUE(LOOKUP(B362,'Company Database'!C$9:C$1248,'Company Database'!F$9:F$1248))</f>
        <v>0</v>
      </c>
      <c r="G362" s="115">
        <f t="shared" si="5"/>
        <v>0</v>
      </c>
      <c r="H362" s="170">
        <f>VALUE(LOOKUP(B362,'Company Database'!C$9:C$1248,'Company Database'!G$9:G$1248))</f>
        <v>21.55</v>
      </c>
      <c r="I362" s="86">
        <f>LOOKUP(B362,'Company Database'!C$9:C$1248,'Company Database'!H$9:H$1248)</f>
        <v>0</v>
      </c>
      <c r="J362" s="86">
        <f>LOOKUP(B362,'Company Database'!C$9:C$1248,'Company Database'!I$9:I$1248)</f>
        <v>1.61</v>
      </c>
      <c r="K362" s="86">
        <f>LOOKUP(B362,'Company Database'!C$9:C$1248,'Company Database'!J$9:J$1248)</f>
        <v>0</v>
      </c>
    </row>
    <row r="363" spans="1:11" x14ac:dyDescent="0.2">
      <c r="A363">
        <v>349</v>
      </c>
      <c r="B363" s="146" t="s">
        <v>2928</v>
      </c>
      <c r="C363" s="1" t="e">
        <f>LOOKUP(B363,'Company Database'!C$9:C$1248,'Company Database'!#REF!)</f>
        <v>#REF!</v>
      </c>
      <c r="D363" s="1">
        <f>VALUE(LOOKUP(B363,'Company Database'!C$9:C$1248,'Company Database'!D$9:D$1248))</f>
        <v>4.3099999999999996</v>
      </c>
      <c r="E363" s="1">
        <f>VALUE(LOOKUP(B363,'Company Database'!C$9:C$1248,'Company Database'!E$9:E$1248))</f>
        <v>4.25</v>
      </c>
      <c r="F363" s="1">
        <f>VALUE(LOOKUP(B363,'Company Database'!C$9:C$1248,'Company Database'!F$9:F$1248))</f>
        <v>11.35</v>
      </c>
      <c r="G363" s="115">
        <f t="shared" si="5"/>
        <v>25.61000000000001</v>
      </c>
      <c r="H363" s="170">
        <f>VALUE(LOOKUP(B363,'Company Database'!C$9:C$1248,'Company Database'!G$9:G$1248))</f>
        <v>58</v>
      </c>
      <c r="I363" s="86">
        <f>LOOKUP(B363,'Company Database'!C$9:C$1248,'Company Database'!H$9:H$1248)</f>
        <v>1.72</v>
      </c>
      <c r="J363" s="86">
        <f>LOOKUP(B363,'Company Database'!C$9:C$1248,'Company Database'!I$9:I$1248)</f>
        <v>13.42</v>
      </c>
      <c r="K363" s="86">
        <f>LOOKUP(B363,'Company Database'!C$9:C$1248,'Company Database'!J$9:J$1248)</f>
        <v>13.46</v>
      </c>
    </row>
    <row r="364" spans="1:11" x14ac:dyDescent="0.2">
      <c r="A364">
        <v>350</v>
      </c>
      <c r="B364" s="146" t="s">
        <v>5329</v>
      </c>
      <c r="C364" s="1" t="e">
        <f>LOOKUP(B364,'Company Database'!C$9:C$1248,'Company Database'!#REF!)</f>
        <v>#REF!</v>
      </c>
      <c r="D364" s="1">
        <f>VALUE(LOOKUP(B364,'Company Database'!C$9:C$1248,'Company Database'!D$9:D$1248))</f>
        <v>9.3000000000000007</v>
      </c>
      <c r="E364" s="1">
        <f>VALUE(LOOKUP(B364,'Company Database'!C$9:C$1248,'Company Database'!E$9:E$1248))</f>
        <v>11.3</v>
      </c>
      <c r="F364" s="1">
        <f>VALUE(LOOKUP(B364,'Company Database'!C$9:C$1248,'Company Database'!F$9:F$1248))</f>
        <v>13.31</v>
      </c>
      <c r="G364" s="115">
        <f t="shared" si="5"/>
        <v>15.329999999999998</v>
      </c>
      <c r="H364" s="170">
        <f>VALUE(LOOKUP(B364,'Company Database'!C$9:C$1248,'Company Database'!G$9:G$1248))</f>
        <v>161.69999999999999</v>
      </c>
      <c r="I364" s="86">
        <f>LOOKUP(B364,'Company Database'!C$9:C$1248,'Company Database'!H$9:H$1248)</f>
        <v>0</v>
      </c>
      <c r="J364" s="86">
        <f>LOOKUP(B364,'Company Database'!C$9:C$1248,'Company Database'!I$9:I$1248)</f>
        <v>29.5</v>
      </c>
      <c r="K364" s="86">
        <f>LOOKUP(B364,'Company Database'!C$9:C$1248,'Company Database'!J$9:J$1248)</f>
        <v>15.2</v>
      </c>
    </row>
    <row r="365" spans="1:11" x14ac:dyDescent="0.2">
      <c r="A365">
        <v>351</v>
      </c>
      <c r="B365" s="146" t="s">
        <v>781</v>
      </c>
      <c r="C365" s="1" t="e">
        <f>LOOKUP(B365,'Company Database'!C$9:C$1248,'Company Database'!#REF!)</f>
        <v>#REF!</v>
      </c>
      <c r="D365" s="1">
        <f>VALUE(LOOKUP(B365,'Company Database'!C$9:C$1248,'Company Database'!D$9:D$1248))</f>
        <v>-13.31</v>
      </c>
      <c r="E365" s="1">
        <f>VALUE(LOOKUP(B365,'Company Database'!C$9:C$1248,'Company Database'!E$9:E$1248))</f>
        <v>-26.55</v>
      </c>
      <c r="F365" s="1">
        <f>VALUE(LOOKUP(B365,'Company Database'!C$9:C$1248,'Company Database'!F$9:F$1248))</f>
        <v>-21.6</v>
      </c>
      <c r="G365" s="115">
        <f t="shared" si="5"/>
        <v>1.5400000000000098</v>
      </c>
      <c r="H365" s="170">
        <f>VALUE(LOOKUP(B365,'Company Database'!C$9:C$1248,'Company Database'!G$9:G$1248))</f>
        <v>0</v>
      </c>
      <c r="I365" s="86">
        <f>LOOKUP(B365,'Company Database'!C$9:C$1248,'Company Database'!H$9:H$1248)</f>
        <v>0</v>
      </c>
      <c r="J365" s="86">
        <f>LOOKUP(B365,'Company Database'!C$9:C$1248,'Company Database'!I$9:I$1248)</f>
        <v>-0.84</v>
      </c>
      <c r="K365" s="86">
        <f>LOOKUP(B365,'Company Database'!C$9:C$1248,'Company Database'!J$9:J$1248)</f>
        <v>12.65</v>
      </c>
    </row>
    <row r="366" spans="1:11" x14ac:dyDescent="0.2">
      <c r="A366">
        <v>352</v>
      </c>
      <c r="B366" s="146" t="s">
        <v>553</v>
      </c>
      <c r="C366" s="1" t="e">
        <f>LOOKUP(B366,'Company Database'!C$9:C$1248,'Company Database'!#REF!)</f>
        <v>#REF!</v>
      </c>
      <c r="D366" s="1">
        <f>VALUE(LOOKUP(B366,'Company Database'!C$9:C$1248,'Company Database'!D$9:D$1248))</f>
        <v>0</v>
      </c>
      <c r="E366" s="1">
        <f>VALUE(LOOKUP(B366,'Company Database'!C$9:C$1248,'Company Database'!E$9:E$1248))</f>
        <v>0</v>
      </c>
      <c r="F366" s="1">
        <f>VALUE(LOOKUP(B366,'Company Database'!C$9:C$1248,'Company Database'!F$9:F$1248))</f>
        <v>0</v>
      </c>
      <c r="G366" s="115">
        <f t="shared" si="5"/>
        <v>0</v>
      </c>
      <c r="H366" s="170">
        <f>VALUE(LOOKUP(B366,'Company Database'!C$9:C$1248,'Company Database'!G$9:G$1248))</f>
        <v>874.5</v>
      </c>
      <c r="I366" s="86">
        <f>LOOKUP(B366,'Company Database'!C$9:C$1248,'Company Database'!H$9:H$1248)</f>
        <v>0</v>
      </c>
      <c r="J366" s="86">
        <f>LOOKUP(B366,'Company Database'!C$9:C$1248,'Company Database'!I$9:I$1248)</f>
        <v>20.83</v>
      </c>
      <c r="K366" s="86">
        <f>LOOKUP(B366,'Company Database'!C$9:C$1248,'Company Database'!J$9:J$1248)</f>
        <v>14.2</v>
      </c>
    </row>
    <row r="367" spans="1:11" x14ac:dyDescent="0.2">
      <c r="A367">
        <v>353</v>
      </c>
      <c r="B367" s="146" t="s">
        <v>952</v>
      </c>
      <c r="C367" s="1" t="e">
        <f>LOOKUP(B367,'Company Database'!C$9:C$1248,'Company Database'!#REF!)</f>
        <v>#REF!</v>
      </c>
      <c r="D367" s="1">
        <f>VALUE(LOOKUP(B367,'Company Database'!C$9:C$1248,'Company Database'!D$9:D$1248))</f>
        <v>18.62</v>
      </c>
      <c r="E367" s="1">
        <f>VALUE(LOOKUP(B367,'Company Database'!C$9:C$1248,'Company Database'!E$9:E$1248))</f>
        <v>26.1</v>
      </c>
      <c r="F367" s="1">
        <f>VALUE(LOOKUP(B367,'Company Database'!C$9:C$1248,'Company Database'!F$9:F$1248))</f>
        <v>33.5</v>
      </c>
      <c r="G367" s="115">
        <f t="shared" si="5"/>
        <v>40.819999999999993</v>
      </c>
      <c r="H367" s="170">
        <f>VALUE(LOOKUP(B367,'Company Database'!C$9:C$1248,'Company Database'!G$9:G$1248))</f>
        <v>320.8</v>
      </c>
      <c r="I367" s="86">
        <f>LOOKUP(B367,'Company Database'!C$9:C$1248,'Company Database'!H$9:H$1248)</f>
        <v>0</v>
      </c>
      <c r="J367" s="86">
        <f>LOOKUP(B367,'Company Database'!C$9:C$1248,'Company Database'!I$9:I$1248)</f>
        <v>10.9</v>
      </c>
      <c r="K367" s="86">
        <f>LOOKUP(B367,'Company Database'!C$9:C$1248,'Company Database'!J$9:J$1248)</f>
        <v>12.25</v>
      </c>
    </row>
    <row r="368" spans="1:11" x14ac:dyDescent="0.2">
      <c r="A368">
        <v>354</v>
      </c>
      <c r="B368" s="146" t="s">
        <v>845</v>
      </c>
      <c r="C368" s="1" t="e">
        <f>LOOKUP(B368,'Company Database'!C$9:C$1248,'Company Database'!#REF!)</f>
        <v>#REF!</v>
      </c>
      <c r="D368" s="1">
        <f>VALUE(LOOKUP(B368,'Company Database'!C$9:C$1248,'Company Database'!D$9:D$1248))</f>
        <v>0</v>
      </c>
      <c r="E368" s="1">
        <f>VALUE(LOOKUP(B368,'Company Database'!C$9:C$1248,'Company Database'!E$9:E$1248))</f>
        <v>0</v>
      </c>
      <c r="F368" s="1">
        <f>VALUE(LOOKUP(B368,'Company Database'!C$9:C$1248,'Company Database'!F$9:F$1248))</f>
        <v>0</v>
      </c>
      <c r="G368" s="115">
        <f t="shared" si="5"/>
        <v>0</v>
      </c>
      <c r="H368" s="170">
        <f>VALUE(LOOKUP(B368,'Company Database'!C$9:C$1248,'Company Database'!G$9:G$1248))</f>
        <v>63.2</v>
      </c>
      <c r="I368" s="86">
        <f>LOOKUP(B368,'Company Database'!C$9:C$1248,'Company Database'!H$9:H$1248)</f>
        <v>0</v>
      </c>
      <c r="J368" s="86">
        <f>LOOKUP(B368,'Company Database'!C$9:C$1248,'Company Database'!I$9:I$1248)</f>
        <v>-9.1</v>
      </c>
      <c r="K368" s="86">
        <f>LOOKUP(B368,'Company Database'!C$9:C$1248,'Company Database'!J$9:J$1248)</f>
        <v>0</v>
      </c>
    </row>
    <row r="369" spans="1:11" x14ac:dyDescent="0.2">
      <c r="A369">
        <v>355</v>
      </c>
      <c r="B369" s="146" t="s">
        <v>2952</v>
      </c>
      <c r="C369" s="1" t="e">
        <f>LOOKUP(B369,'Company Database'!C$9:C$1248,'Company Database'!#REF!)</f>
        <v>#REF!</v>
      </c>
      <c r="D369" s="1">
        <f>VALUE(LOOKUP(B369,'Company Database'!C$9:C$1248,'Company Database'!D$9:D$1248))</f>
        <v>25.18</v>
      </c>
      <c r="E369" s="1">
        <f>VALUE(LOOKUP(B369,'Company Database'!C$9:C$1248,'Company Database'!E$9:E$1248))</f>
        <v>30.3</v>
      </c>
      <c r="F369" s="1">
        <f>VALUE(LOOKUP(B369,'Company Database'!C$9:C$1248,'Company Database'!F$9:F$1248))</f>
        <v>32.9</v>
      </c>
      <c r="G369" s="115">
        <f t="shared" si="5"/>
        <v>32.9</v>
      </c>
      <c r="H369" s="170">
        <f>VALUE(LOOKUP(B369,'Company Database'!C$9:C$1248,'Company Database'!G$9:G$1248))</f>
        <v>174.7</v>
      </c>
      <c r="I369" s="86">
        <f>LOOKUP(B369,'Company Database'!C$9:C$1248,'Company Database'!H$9:H$1248)</f>
        <v>1.1399999999999999</v>
      </c>
      <c r="J369" s="86">
        <f>LOOKUP(B369,'Company Database'!C$9:C$1248,'Company Database'!I$9:I$1248)</f>
        <v>21.22</v>
      </c>
      <c r="K369" s="86">
        <f>LOOKUP(B369,'Company Database'!C$9:C$1248,'Company Database'!J$9:J$1248)</f>
        <v>6.62</v>
      </c>
    </row>
    <row r="370" spans="1:11" x14ac:dyDescent="0.2">
      <c r="A370">
        <v>356</v>
      </c>
      <c r="B370" s="146" t="s">
        <v>2103</v>
      </c>
      <c r="C370" s="1" t="e">
        <f>LOOKUP(B370,'Company Database'!C$9:C$1248,'Company Database'!#REF!)</f>
        <v>#REF!</v>
      </c>
      <c r="D370" s="1">
        <f>VALUE(LOOKUP(B370,'Company Database'!C$9:C$1248,'Company Database'!D$9:D$1248))</f>
        <v>22</v>
      </c>
      <c r="E370" s="1">
        <f>VALUE(LOOKUP(B370,'Company Database'!C$9:C$1248,'Company Database'!E$9:E$1248))</f>
        <v>17.93</v>
      </c>
      <c r="F370" s="1">
        <f>VALUE(LOOKUP(B370,'Company Database'!C$9:C$1248,'Company Database'!F$9:F$1248))</f>
        <v>21.28</v>
      </c>
      <c r="G370" s="115">
        <f t="shared" si="5"/>
        <v>32.050000000000011</v>
      </c>
      <c r="H370" s="170">
        <f>VALUE(LOOKUP(B370,'Company Database'!C$9:C$1248,'Company Database'!G$9:G$1248))</f>
        <v>48.35</v>
      </c>
      <c r="I370" s="86">
        <f>LOOKUP(B370,'Company Database'!C$9:C$1248,'Company Database'!H$9:H$1248)</f>
        <v>2.0699999999999998</v>
      </c>
      <c r="J370" s="86">
        <f>LOOKUP(B370,'Company Database'!C$9:C$1248,'Company Database'!I$9:I$1248)</f>
        <v>11.07</v>
      </c>
      <c r="K370" s="86">
        <f>LOOKUP(B370,'Company Database'!C$9:C$1248,'Company Database'!J$9:J$1248)</f>
        <v>3.74</v>
      </c>
    </row>
    <row r="371" spans="1:11" x14ac:dyDescent="0.2">
      <c r="A371">
        <v>357</v>
      </c>
      <c r="B371" s="146" t="s">
        <v>3422</v>
      </c>
      <c r="C371" s="1" t="e">
        <f>LOOKUP(B371,'Company Database'!C$9:C$1248,'Company Database'!#REF!)</f>
        <v>#REF!</v>
      </c>
      <c r="D371" s="1">
        <f>VALUE(LOOKUP(B371,'Company Database'!C$9:C$1248,'Company Database'!D$9:D$1248))</f>
        <v>18.75</v>
      </c>
      <c r="E371" s="1">
        <f>VALUE(LOOKUP(B371,'Company Database'!C$9:C$1248,'Company Database'!E$9:E$1248))</f>
        <v>21.71</v>
      </c>
      <c r="F371" s="1">
        <f>VALUE(LOOKUP(B371,'Company Database'!C$9:C$1248,'Company Database'!F$9:F$1248))</f>
        <v>24.21</v>
      </c>
      <c r="G371" s="115">
        <f t="shared" si="5"/>
        <v>24.21</v>
      </c>
      <c r="H371" s="170">
        <f>VALUE(LOOKUP(B371,'Company Database'!C$9:C$1248,'Company Database'!G$9:G$1248))</f>
        <v>447.35</v>
      </c>
      <c r="I371" s="86">
        <f>LOOKUP(B371,'Company Database'!C$9:C$1248,'Company Database'!H$9:H$1248)</f>
        <v>0</v>
      </c>
      <c r="J371" s="86">
        <f>LOOKUP(B371,'Company Database'!C$9:C$1248,'Company Database'!I$9:I$1248)</f>
        <v>25.19</v>
      </c>
      <c r="K371" s="86">
        <f>LOOKUP(B371,'Company Database'!C$9:C$1248,'Company Database'!J$9:J$1248)</f>
        <v>22.61</v>
      </c>
    </row>
    <row r="372" spans="1:11" x14ac:dyDescent="0.2">
      <c r="A372">
        <v>358</v>
      </c>
      <c r="B372" s="146" t="s">
        <v>1397</v>
      </c>
      <c r="C372" s="1" t="e">
        <f>LOOKUP(B372,'Company Database'!C$9:C$1248,'Company Database'!#REF!)</f>
        <v>#REF!</v>
      </c>
      <c r="D372" s="1">
        <f>VALUE(LOOKUP(B372,'Company Database'!C$9:C$1248,'Company Database'!D$9:D$1248))</f>
        <v>0</v>
      </c>
      <c r="E372" s="1">
        <f>VALUE(LOOKUP(B372,'Company Database'!C$9:C$1248,'Company Database'!E$9:E$1248))</f>
        <v>0</v>
      </c>
      <c r="F372" s="1">
        <f>VALUE(LOOKUP(B372,'Company Database'!C$9:C$1248,'Company Database'!F$9:F$1248))</f>
        <v>0</v>
      </c>
      <c r="G372" s="115">
        <f t="shared" si="5"/>
        <v>0</v>
      </c>
      <c r="H372" s="170">
        <f>VALUE(LOOKUP(B372,'Company Database'!C$9:C$1248,'Company Database'!G$9:G$1248))</f>
        <v>356.75</v>
      </c>
      <c r="I372" s="86">
        <f>LOOKUP(B372,'Company Database'!C$9:C$1248,'Company Database'!H$9:H$1248)</f>
        <v>0</v>
      </c>
      <c r="J372" s="86">
        <f>LOOKUP(B372,'Company Database'!C$9:C$1248,'Company Database'!I$9:I$1248)</f>
        <v>0</v>
      </c>
      <c r="K372" s="86">
        <f>LOOKUP(B372,'Company Database'!C$9:C$1248,'Company Database'!J$9:J$1248)</f>
        <v>0</v>
      </c>
    </row>
    <row r="373" spans="1:11" x14ac:dyDescent="0.2">
      <c r="A373">
        <v>359</v>
      </c>
      <c r="B373" s="146" t="s">
        <v>953</v>
      </c>
      <c r="C373" s="1" t="e">
        <f>LOOKUP(B373,'Company Database'!C$9:C$1248,'Company Database'!#REF!)</f>
        <v>#REF!</v>
      </c>
      <c r="D373" s="1">
        <f>VALUE(LOOKUP(B373,'Company Database'!C$9:C$1248,'Company Database'!D$9:D$1248))</f>
        <v>0</v>
      </c>
      <c r="E373" s="1">
        <f>VALUE(LOOKUP(B373,'Company Database'!C$9:C$1248,'Company Database'!E$9:E$1248))</f>
        <v>0</v>
      </c>
      <c r="F373" s="1">
        <f>VALUE(LOOKUP(B373,'Company Database'!C$9:C$1248,'Company Database'!F$9:F$1248))</f>
        <v>0</v>
      </c>
      <c r="G373" s="115">
        <f t="shared" si="5"/>
        <v>0</v>
      </c>
      <c r="H373" s="170">
        <f>VALUE(LOOKUP(B373,'Company Database'!C$9:C$1248,'Company Database'!G$9:G$1248))</f>
        <v>22.35</v>
      </c>
      <c r="I373" s="86">
        <f>LOOKUP(B373,'Company Database'!C$9:C$1248,'Company Database'!H$9:H$1248)</f>
        <v>0</v>
      </c>
      <c r="J373" s="86">
        <f>LOOKUP(B373,'Company Database'!C$9:C$1248,'Company Database'!I$9:I$1248)</f>
        <v>-18.18</v>
      </c>
      <c r="K373" s="86">
        <f>LOOKUP(B373,'Company Database'!C$9:C$1248,'Company Database'!J$9:J$1248)</f>
        <v>0</v>
      </c>
    </row>
    <row r="374" spans="1:11" x14ac:dyDescent="0.2">
      <c r="A374">
        <v>360</v>
      </c>
      <c r="B374" s="146" t="s">
        <v>106</v>
      </c>
      <c r="C374" s="1" t="e">
        <f>LOOKUP(B374,'Company Database'!C$9:C$1248,'Company Database'!#REF!)</f>
        <v>#REF!</v>
      </c>
      <c r="D374" s="1">
        <f>VALUE(LOOKUP(B374,'Company Database'!C$9:C$1248,'Company Database'!D$9:D$1248))</f>
        <v>14.87</v>
      </c>
      <c r="E374" s="1">
        <f>VALUE(LOOKUP(B374,'Company Database'!C$9:C$1248,'Company Database'!E$9:E$1248))</f>
        <v>20.2</v>
      </c>
      <c r="F374" s="1">
        <f>VALUE(LOOKUP(B374,'Company Database'!C$9:C$1248,'Company Database'!F$9:F$1248))</f>
        <v>26.66</v>
      </c>
      <c r="G374" s="115">
        <f t="shared" si="5"/>
        <v>34.249999999999993</v>
      </c>
      <c r="H374" s="170">
        <f>VALUE(LOOKUP(B374,'Company Database'!C$9:C$1248,'Company Database'!G$9:G$1248))</f>
        <v>280.5</v>
      </c>
      <c r="I374" s="86">
        <f>LOOKUP(B374,'Company Database'!C$9:C$1248,'Company Database'!H$9:H$1248)</f>
        <v>0</v>
      </c>
      <c r="J374" s="86">
        <f>LOOKUP(B374,'Company Database'!C$9:C$1248,'Company Database'!I$9:I$1248)</f>
        <v>15.48</v>
      </c>
      <c r="K374" s="86">
        <f>LOOKUP(B374,'Company Database'!C$9:C$1248,'Company Database'!J$9:J$1248)</f>
        <v>13.39</v>
      </c>
    </row>
    <row r="375" spans="1:11" x14ac:dyDescent="0.2">
      <c r="A375">
        <v>361</v>
      </c>
      <c r="B375" s="146" t="s">
        <v>1398</v>
      </c>
      <c r="C375" s="1" t="e">
        <f>LOOKUP(B375,'Company Database'!C$9:C$1248,'Company Database'!#REF!)</f>
        <v>#REF!</v>
      </c>
      <c r="D375" s="1">
        <f>VALUE(LOOKUP(B375,'Company Database'!C$9:C$1248,'Company Database'!D$9:D$1248))</f>
        <v>0</v>
      </c>
      <c r="E375" s="1">
        <f>VALUE(LOOKUP(B375,'Company Database'!C$9:C$1248,'Company Database'!E$9:E$1248))</f>
        <v>5.2</v>
      </c>
      <c r="F375" s="1">
        <f>VALUE(LOOKUP(B375,'Company Database'!C$9:C$1248,'Company Database'!F$9:F$1248))</f>
        <v>6.42</v>
      </c>
      <c r="G375" s="115">
        <f t="shared" si="5"/>
        <v>6.42</v>
      </c>
      <c r="H375" s="170">
        <f>VALUE(LOOKUP(B375,'Company Database'!C$9:C$1248,'Company Database'!G$9:G$1248))</f>
        <v>132.75</v>
      </c>
      <c r="I375" s="86">
        <f>LOOKUP(B375,'Company Database'!C$9:C$1248,'Company Database'!H$9:H$1248)</f>
        <v>0</v>
      </c>
      <c r="J375" s="86">
        <f>LOOKUP(B375,'Company Database'!C$9:C$1248,'Company Database'!I$9:I$1248)</f>
        <v>19.149999999999999</v>
      </c>
      <c r="K375" s="86">
        <f>LOOKUP(B375,'Company Database'!C$9:C$1248,'Company Database'!J$9:J$1248)</f>
        <v>22.41</v>
      </c>
    </row>
    <row r="376" spans="1:11" x14ac:dyDescent="0.2">
      <c r="A376">
        <v>362</v>
      </c>
      <c r="B376" s="178" t="s">
        <v>2108</v>
      </c>
      <c r="C376" s="1" t="e">
        <f>LOOKUP(#REF!,'Company Database'!C$9:C$1248,'Company Database'!#REF!)</f>
        <v>#REF!</v>
      </c>
      <c r="D376" s="1" t="e">
        <f>VALUE(LOOKUP(#REF!,'Company Database'!C$9:C$1248,'Company Database'!D$9:D$1248))</f>
        <v>#REF!</v>
      </c>
      <c r="E376" s="1" t="e">
        <f>VALUE(LOOKUP(#REF!,'Company Database'!C$9:C$1248,'Company Database'!E$9:E$1248))</f>
        <v>#REF!</v>
      </c>
      <c r="F376" s="1" t="e">
        <f>VALUE(LOOKUP(#REF!,'Company Database'!C$9:C$1248,'Company Database'!F$9:F$1248))</f>
        <v>#REF!</v>
      </c>
      <c r="G376" s="115" t="e">
        <f t="shared" si="5"/>
        <v>#VALUE!</v>
      </c>
      <c r="H376" s="170" t="e">
        <f>VALUE(LOOKUP(#REF!,'Company Database'!C$9:C$1248,'Company Database'!G$9:G$1248))</f>
        <v>#REF!</v>
      </c>
      <c r="I376" s="86" t="e">
        <f>LOOKUP(#REF!,'Company Database'!C$9:C$1248,'Company Database'!H$9:H$1248)</f>
        <v>#REF!</v>
      </c>
      <c r="J376" s="86" t="e">
        <f>LOOKUP(#REF!,'Company Database'!C$9:C$1248,'Company Database'!I$9:I$1248)</f>
        <v>#REF!</v>
      </c>
      <c r="K376" s="86" t="e">
        <f>LOOKUP(#REF!,'Company Database'!C$9:C$1248,'Company Database'!J$9:J$1248)</f>
        <v>#REF!</v>
      </c>
    </row>
    <row r="377" spans="1:11" x14ac:dyDescent="0.2">
      <c r="A377">
        <v>363</v>
      </c>
      <c r="C377" s="1" t="e">
        <f>LOOKUP(#REF!,'Company Database'!C$9:C$1248,'Company Database'!#REF!)</f>
        <v>#REF!</v>
      </c>
      <c r="D377" s="1" t="e">
        <f>VALUE(LOOKUP(#REF!,'Company Database'!C$9:C$1248,'Company Database'!D$9:D$1248))</f>
        <v>#REF!</v>
      </c>
      <c r="E377" s="1" t="e">
        <f>VALUE(LOOKUP(#REF!,'Company Database'!C$9:C$1248,'Company Database'!E$9:E$1248))</f>
        <v>#REF!</v>
      </c>
      <c r="F377" s="1" t="e">
        <f>VALUE(LOOKUP(#REF!,'Company Database'!C$9:C$1248,'Company Database'!F$9:F$1248))</f>
        <v>#REF!</v>
      </c>
      <c r="G377" s="115" t="e">
        <f t="shared" si="5"/>
        <v>#VALUE!</v>
      </c>
      <c r="H377" s="170" t="e">
        <f>VALUE(LOOKUP(#REF!,'Company Database'!C$9:C$1248,'Company Database'!G$9:G$1248))</f>
        <v>#REF!</v>
      </c>
      <c r="I377" s="86" t="e">
        <f>LOOKUP(#REF!,'Company Database'!C$9:C$1248,'Company Database'!H$9:H$1248)</f>
        <v>#REF!</v>
      </c>
      <c r="J377" s="86" t="e">
        <f>LOOKUP(#REF!,'Company Database'!C$9:C$1248,'Company Database'!I$9:I$1248)</f>
        <v>#REF!</v>
      </c>
      <c r="K377" s="86" t="e">
        <f>LOOKUP(#REF!,'Company Database'!C$9:C$1248,'Company Database'!J$9:J$1248)</f>
        <v>#REF!</v>
      </c>
    </row>
    <row r="378" spans="1:11" x14ac:dyDescent="0.2">
      <c r="A378">
        <v>364</v>
      </c>
      <c r="C378" s="1" t="e">
        <f>LOOKUP(#REF!,'Company Database'!C$9:C$1248,'Company Database'!#REF!)</f>
        <v>#REF!</v>
      </c>
      <c r="D378" s="1" t="e">
        <f>VALUE(LOOKUP(#REF!,'Company Database'!C$9:C$1248,'Company Database'!D$9:D$1248))</f>
        <v>#REF!</v>
      </c>
      <c r="E378" s="1" t="e">
        <f>VALUE(LOOKUP(#REF!,'Company Database'!C$9:C$1248,'Company Database'!E$9:E$1248))</f>
        <v>#REF!</v>
      </c>
      <c r="F378" s="1" t="e">
        <f>VALUE(LOOKUP(#REF!,'Company Database'!C$9:C$1248,'Company Database'!F$9:F$1248))</f>
        <v>#REF!</v>
      </c>
      <c r="G378" s="115" t="e">
        <f t="shared" si="5"/>
        <v>#VALUE!</v>
      </c>
      <c r="H378" s="170" t="e">
        <f>VALUE(LOOKUP(#REF!,'Company Database'!C$9:C$1248,'Company Database'!G$9:G$1248))</f>
        <v>#REF!</v>
      </c>
      <c r="I378" s="86" t="e">
        <f>LOOKUP(#REF!,'Company Database'!C$9:C$1248,'Company Database'!H$9:H$1248)</f>
        <v>#REF!</v>
      </c>
      <c r="J378" s="86" t="e">
        <f>LOOKUP(#REF!,'Company Database'!C$9:C$1248,'Company Database'!I$9:I$1248)</f>
        <v>#REF!</v>
      </c>
      <c r="K378" s="86" t="e">
        <f>LOOKUP(#REF!,'Company Database'!C$9:C$1248,'Company Database'!J$9:J$1248)</f>
        <v>#REF!</v>
      </c>
    </row>
    <row r="379" spans="1:11" x14ac:dyDescent="0.2">
      <c r="A379">
        <v>365</v>
      </c>
      <c r="C379" s="1" t="e">
        <f>LOOKUP(B386,'Company Database'!C$9:C$1248,'Company Database'!#REF!)</f>
        <v>#REF!</v>
      </c>
      <c r="D379" s="1" t="e">
        <f>VALUE(LOOKUP(#REF!,'Company Database'!C$9:C$1248,'Company Database'!D$9:D$1248))</f>
        <v>#REF!</v>
      </c>
      <c r="E379" s="1" t="e">
        <f>VALUE(LOOKUP(#REF!,'Company Database'!C$9:C$1248,'Company Database'!E$9:E$1248))</f>
        <v>#REF!</v>
      </c>
      <c r="F379" s="1" t="e">
        <f>VALUE(LOOKUP(#REF!,'Company Database'!C$9:C$1248,'Company Database'!F$9:F$1248))</f>
        <v>#REF!</v>
      </c>
      <c r="G379" s="115" t="e">
        <f t="shared" si="5"/>
        <v>#VALUE!</v>
      </c>
      <c r="H379" s="170" t="e">
        <f>VALUE(LOOKUP(#REF!,'Company Database'!C$9:C$1248,'Company Database'!G$9:G$1248))</f>
        <v>#REF!</v>
      </c>
      <c r="I379" s="86" t="e">
        <f>LOOKUP(#REF!,'Company Database'!C$9:C$1248,'Company Database'!H$9:H$1248)</f>
        <v>#REF!</v>
      </c>
      <c r="J379" s="86" t="e">
        <f>LOOKUP(#REF!,'Company Database'!C$9:C$1248,'Company Database'!I$9:I$1248)</f>
        <v>#REF!</v>
      </c>
      <c r="K379" s="86" t="e">
        <f>LOOKUP(#REF!,'Company Database'!C$9:C$1248,'Company Database'!J$9:J$1248)</f>
        <v>#REF!</v>
      </c>
    </row>
    <row r="380" spans="1:11" x14ac:dyDescent="0.2">
      <c r="A380">
        <v>366</v>
      </c>
      <c r="C380" s="1" t="e">
        <f>LOOKUP(B387,'Company Database'!C$9:C$1248,'Company Database'!#REF!)</f>
        <v>#REF!</v>
      </c>
      <c r="D380" s="1" t="e">
        <f>VALUE(LOOKUP(#REF!,'Company Database'!C$9:C$1248,'Company Database'!D$9:D$1248))</f>
        <v>#REF!</v>
      </c>
      <c r="E380" s="1" t="e">
        <f>VALUE(LOOKUP(#REF!,'Company Database'!C$9:C$1248,'Company Database'!E$9:E$1248))</f>
        <v>#REF!</v>
      </c>
      <c r="F380" s="1" t="e">
        <f>VALUE(LOOKUP(#REF!,'Company Database'!C$9:C$1248,'Company Database'!F$9:F$1248))</f>
        <v>#REF!</v>
      </c>
      <c r="G380" s="115" t="e">
        <f t="shared" si="5"/>
        <v>#VALUE!</v>
      </c>
      <c r="H380" s="170" t="e">
        <f>VALUE(LOOKUP(#REF!,'Company Database'!C$9:C$1248,'Company Database'!G$9:G$1248))</f>
        <v>#REF!</v>
      </c>
      <c r="I380" s="86" t="e">
        <f>LOOKUP(#REF!,'Company Database'!C$9:C$1248,'Company Database'!H$9:H$1248)</f>
        <v>#REF!</v>
      </c>
      <c r="J380" s="86" t="e">
        <f>LOOKUP(#REF!,'Company Database'!C$9:C$1248,'Company Database'!I$9:I$1248)</f>
        <v>#REF!</v>
      </c>
      <c r="K380" s="86" t="e">
        <f>LOOKUP(#REF!,'Company Database'!C$9:C$1248,'Company Database'!J$9:J$1248)</f>
        <v>#REF!</v>
      </c>
    </row>
    <row r="381" spans="1:11" x14ac:dyDescent="0.2">
      <c r="A381">
        <v>367</v>
      </c>
      <c r="C381" s="1" t="e">
        <f>LOOKUP(B388,'Company Database'!C$9:C$1248,'Company Database'!#REF!)</f>
        <v>#REF!</v>
      </c>
      <c r="D381" s="1" t="e">
        <f>VALUE(LOOKUP(#REF!,'Company Database'!C$9:C$1248,'Company Database'!D$9:D$1248))</f>
        <v>#REF!</v>
      </c>
      <c r="E381" s="1" t="e">
        <f>VALUE(LOOKUP(#REF!,'Company Database'!C$9:C$1248,'Company Database'!E$9:E$1248))</f>
        <v>#REF!</v>
      </c>
      <c r="F381" s="1" t="e">
        <f>VALUE(LOOKUP(#REF!,'Company Database'!C$9:C$1248,'Company Database'!F$9:F$1248))</f>
        <v>#REF!</v>
      </c>
      <c r="G381" s="115" t="e">
        <f t="shared" si="5"/>
        <v>#VALUE!</v>
      </c>
      <c r="H381" s="170" t="e">
        <f>VALUE(LOOKUP(#REF!,'Company Database'!C$9:C$1248,'Company Database'!G$9:G$1248))</f>
        <v>#REF!</v>
      </c>
      <c r="I381" s="86" t="e">
        <f>LOOKUP(#REF!,'Company Database'!C$9:C$1248,'Company Database'!H$9:H$1248)</f>
        <v>#REF!</v>
      </c>
      <c r="J381" s="86" t="e">
        <f>LOOKUP(#REF!,'Company Database'!C$9:C$1248,'Company Database'!I$9:I$1248)</f>
        <v>#REF!</v>
      </c>
      <c r="K381" s="86" t="e">
        <f>LOOKUP(#REF!,'Company Database'!C$9:C$1248,'Company Database'!J$9:J$1248)</f>
        <v>#REF!</v>
      </c>
    </row>
    <row r="382" spans="1:11" x14ac:dyDescent="0.2">
      <c r="A382">
        <v>368</v>
      </c>
      <c r="C382" s="1" t="e">
        <f>LOOKUP(B389,'Company Database'!C$9:C$1248,'Company Database'!#REF!)</f>
        <v>#REF!</v>
      </c>
      <c r="D382" s="1" t="e">
        <f>VALUE(LOOKUP(#REF!,'Company Database'!C$9:C$1248,'Company Database'!D$9:D$1248))</f>
        <v>#REF!</v>
      </c>
      <c r="E382" s="1" t="e">
        <f>VALUE(LOOKUP(#REF!,'Company Database'!C$9:C$1248,'Company Database'!E$9:E$1248))</f>
        <v>#REF!</v>
      </c>
      <c r="F382" s="1" t="e">
        <f>VALUE(LOOKUP(#REF!,'Company Database'!C$9:C$1248,'Company Database'!F$9:F$1248))</f>
        <v>#REF!</v>
      </c>
      <c r="G382" s="115" t="e">
        <f t="shared" si="5"/>
        <v>#VALUE!</v>
      </c>
      <c r="H382" s="170" t="e">
        <f>VALUE(LOOKUP(#REF!,'Company Database'!C$9:C$1248,'Company Database'!G$9:G$1248))</f>
        <v>#REF!</v>
      </c>
      <c r="I382" s="86" t="e">
        <f>LOOKUP(#REF!,'Company Database'!C$9:C$1248,'Company Database'!H$9:H$1248)</f>
        <v>#REF!</v>
      </c>
      <c r="J382" s="86" t="e">
        <f>LOOKUP(#REF!,'Company Database'!C$9:C$1248,'Company Database'!I$9:I$1248)</f>
        <v>#REF!</v>
      </c>
      <c r="K382" s="86" t="e">
        <f>LOOKUP(#REF!,'Company Database'!C$9:C$1248,'Company Database'!J$9:J$1248)</f>
        <v>#REF!</v>
      </c>
    </row>
    <row r="383" spans="1:11" x14ac:dyDescent="0.2">
      <c r="A383">
        <v>369</v>
      </c>
      <c r="C383" s="1" t="e">
        <f>LOOKUP(B390,'Company Database'!C$9:C$1248,'Company Database'!#REF!)</f>
        <v>#REF!</v>
      </c>
      <c r="D383" s="1" t="e">
        <f>VALUE(LOOKUP(#REF!,'Company Database'!C$9:C$1248,'Company Database'!D$9:D$1248))</f>
        <v>#REF!</v>
      </c>
      <c r="E383" s="1" t="e">
        <f>VALUE(LOOKUP(#REF!,'Company Database'!C$9:C$1248,'Company Database'!E$9:E$1248))</f>
        <v>#REF!</v>
      </c>
      <c r="F383" s="1" t="e">
        <f>VALUE(LOOKUP(#REF!,'Company Database'!C$9:C$1248,'Company Database'!F$9:F$1248))</f>
        <v>#REF!</v>
      </c>
      <c r="G383" s="115" t="e">
        <f t="shared" si="5"/>
        <v>#VALUE!</v>
      </c>
      <c r="H383" s="170" t="e">
        <f>VALUE(LOOKUP(#REF!,'Company Database'!C$9:C$1248,'Company Database'!G$9:G$1248))</f>
        <v>#REF!</v>
      </c>
      <c r="I383" s="86" t="e">
        <f>LOOKUP(#REF!,'Company Database'!C$9:C$1248,'Company Database'!H$9:H$1248)</f>
        <v>#REF!</v>
      </c>
      <c r="J383" s="86" t="e">
        <f>LOOKUP(#REF!,'Company Database'!C$9:C$1248,'Company Database'!I$9:I$1248)</f>
        <v>#REF!</v>
      </c>
      <c r="K383" s="86" t="e">
        <f>LOOKUP(#REF!,'Company Database'!C$9:C$1248,'Company Database'!J$9:J$1248)</f>
        <v>#REF!</v>
      </c>
    </row>
    <row r="384" spans="1:11" x14ac:dyDescent="0.2">
      <c r="A384">
        <v>370</v>
      </c>
      <c r="C384" s="1" t="e">
        <f>LOOKUP(B391,'Company Database'!C$9:C$1248,'Company Database'!#REF!)</f>
        <v>#REF!</v>
      </c>
      <c r="D384" s="1" t="e">
        <f>VALUE(LOOKUP(#REF!,'Company Database'!C$9:C$1248,'Company Database'!D$9:D$1248))</f>
        <v>#REF!</v>
      </c>
      <c r="E384" s="1" t="e">
        <f>VALUE(LOOKUP(#REF!,'Company Database'!C$9:C$1248,'Company Database'!E$9:E$1248))</f>
        <v>#REF!</v>
      </c>
      <c r="F384" s="1" t="e">
        <f>VALUE(LOOKUP(#REF!,'Company Database'!C$9:C$1248,'Company Database'!F$9:F$1248))</f>
        <v>#REF!</v>
      </c>
      <c r="G384" s="115" t="e">
        <f t="shared" si="5"/>
        <v>#VALUE!</v>
      </c>
      <c r="H384" s="170" t="e">
        <f>VALUE(LOOKUP(#REF!,'Company Database'!C$9:C$1248,'Company Database'!G$9:G$1248))</f>
        <v>#REF!</v>
      </c>
      <c r="I384" s="86" t="e">
        <f>LOOKUP(#REF!,'Company Database'!C$9:C$1248,'Company Database'!H$9:H$1248)</f>
        <v>#REF!</v>
      </c>
      <c r="J384" s="86" t="e">
        <f>LOOKUP(#REF!,'Company Database'!C$9:C$1248,'Company Database'!I$9:I$1248)</f>
        <v>#REF!</v>
      </c>
      <c r="K384" s="86" t="e">
        <f>LOOKUP(#REF!,'Company Database'!C$9:C$1248,'Company Database'!J$9:J$1248)</f>
        <v>#REF!</v>
      </c>
    </row>
    <row r="385" spans="1:11" x14ac:dyDescent="0.2">
      <c r="A385">
        <v>371</v>
      </c>
      <c r="C385" s="1" t="e">
        <f>LOOKUP(B392,'Company Database'!C$9:C$1248,'Company Database'!#REF!)</f>
        <v>#REF!</v>
      </c>
      <c r="D385" s="1" t="e">
        <f>VALUE(LOOKUP(#REF!,'Company Database'!C$9:C$1248,'Company Database'!D$9:D$1248))</f>
        <v>#REF!</v>
      </c>
      <c r="E385" s="1" t="e">
        <f>VALUE(LOOKUP(#REF!,'Company Database'!C$9:C$1248,'Company Database'!E$9:E$1248))</f>
        <v>#REF!</v>
      </c>
      <c r="F385" s="1" t="e">
        <f>VALUE(LOOKUP(#REF!,'Company Database'!C$9:C$1248,'Company Database'!F$9:F$1248))</f>
        <v>#REF!</v>
      </c>
      <c r="G385" s="115" t="e">
        <f t="shared" si="5"/>
        <v>#VALUE!</v>
      </c>
      <c r="H385" s="170" t="e">
        <f>VALUE(LOOKUP(#REF!,'Company Database'!C$9:C$1248,'Company Database'!G$9:G$1248))</f>
        <v>#REF!</v>
      </c>
      <c r="I385" s="86" t="e">
        <f>LOOKUP(#REF!,'Company Database'!C$9:C$1248,'Company Database'!H$9:H$1248)</f>
        <v>#REF!</v>
      </c>
      <c r="J385" s="86" t="e">
        <f>LOOKUP(#REF!,'Company Database'!C$9:C$1248,'Company Database'!I$9:I$1248)</f>
        <v>#REF!</v>
      </c>
      <c r="K385" s="86" t="e">
        <f>LOOKUP(#REF!,'Company Database'!C$9:C$1248,'Company Database'!J$9:J$1248)</f>
        <v>#REF!</v>
      </c>
    </row>
    <row r="386" spans="1:11" x14ac:dyDescent="0.2">
      <c r="C386" s="1" t="e">
        <f>LOOKUP(B393,'Company Database'!C$9:C$1248,'Company Database'!#REF!)</f>
        <v>#REF!</v>
      </c>
      <c r="D386" s="1" t="e">
        <f>VALUE(LOOKUP(#REF!,'Company Database'!C$9:C$1248,'Company Database'!D$9:D$1248))</f>
        <v>#REF!</v>
      </c>
      <c r="E386" s="1" t="e">
        <f>VALUE(LOOKUP(#REF!,'Company Database'!C$9:C$1248,'Company Database'!E$9:E$1248))</f>
        <v>#REF!</v>
      </c>
      <c r="F386" s="1" t="e">
        <f>VALUE(LOOKUP(#REF!,'Company Database'!C$9:C$1248,'Company Database'!F$9:F$1248))</f>
        <v>#REF!</v>
      </c>
      <c r="G386" s="115" t="e">
        <f t="shared" si="5"/>
        <v>#VALUE!</v>
      </c>
      <c r="H386" s="170" t="e">
        <f>VALUE(LOOKUP(#REF!,'Company Database'!C$9:C$1248,'Company Database'!G$9:G$1248))</f>
        <v>#REF!</v>
      </c>
      <c r="I386" s="86" t="e">
        <f>LOOKUP(#REF!,'Company Database'!C$9:C$1248,'Company Database'!H$9:H$1248)</f>
        <v>#REF!</v>
      </c>
      <c r="J386" s="86" t="e">
        <f>LOOKUP(#REF!,'Company Database'!C$9:C$1248,'Company Database'!I$9:I$1248)</f>
        <v>#REF!</v>
      </c>
      <c r="K386" s="86" t="e">
        <f>LOOKUP(#REF!,'Company Database'!C$9:C$1248,'Company Database'!J$9:J$1248)</f>
        <v>#REF!</v>
      </c>
    </row>
    <row r="387" spans="1:11" x14ac:dyDescent="0.2">
      <c r="C387" s="1" t="e">
        <f>LOOKUP(B394,'Company Database'!C$9:C$1248,'Company Database'!#REF!)</f>
        <v>#REF!</v>
      </c>
      <c r="D387" s="1" t="e">
        <f>VALUE(LOOKUP(#REF!,'Company Database'!C$9:C$1248,'Company Database'!D$9:D$1248))</f>
        <v>#REF!</v>
      </c>
      <c r="E387" s="1" t="e">
        <f>VALUE(LOOKUP(#REF!,'Company Database'!C$9:C$1248,'Company Database'!E$9:E$1248))</f>
        <v>#REF!</v>
      </c>
      <c r="F387" s="1" t="e">
        <f>VALUE(LOOKUP(#REF!,'Company Database'!C$9:C$1248,'Company Database'!F$9:F$1248))</f>
        <v>#REF!</v>
      </c>
      <c r="G387" s="115" t="e">
        <f t="shared" si="5"/>
        <v>#VALUE!</v>
      </c>
      <c r="H387" s="170" t="e">
        <f>VALUE(LOOKUP(#REF!,'Company Database'!C$9:C$1248,'Company Database'!G$9:G$1248))</f>
        <v>#REF!</v>
      </c>
      <c r="I387" s="86" t="e">
        <f>LOOKUP(#REF!,'Company Database'!C$9:C$1248,'Company Database'!H$9:H$1248)</f>
        <v>#REF!</v>
      </c>
      <c r="J387" s="86" t="e">
        <f>LOOKUP(#REF!,'Company Database'!C$9:C$1248,'Company Database'!I$9:I$1248)</f>
        <v>#REF!</v>
      </c>
      <c r="K387" s="86" t="e">
        <f>LOOKUP(#REF!,'Company Database'!C$9:C$1248,'Company Database'!J$9:J$1248)</f>
        <v>#REF!</v>
      </c>
    </row>
    <row r="388" spans="1:11" x14ac:dyDescent="0.2">
      <c r="C388" s="1" t="e">
        <f>LOOKUP(B395,'Company Database'!C$9:C$1248,'Company Database'!#REF!)</f>
        <v>#REF!</v>
      </c>
      <c r="D388" s="1" t="e">
        <f>VALUE(LOOKUP(#REF!,'Company Database'!C$9:C$1248,'Company Database'!D$9:D$1248))</f>
        <v>#REF!</v>
      </c>
      <c r="E388" s="1" t="e">
        <f>VALUE(LOOKUP(#REF!,'Company Database'!C$9:C$1248,'Company Database'!E$9:E$1248))</f>
        <v>#REF!</v>
      </c>
      <c r="F388" s="1" t="e">
        <f>VALUE(LOOKUP(#REF!,'Company Database'!C$9:C$1248,'Company Database'!F$9:F$1248))</f>
        <v>#REF!</v>
      </c>
      <c r="G388" s="115" t="e">
        <f t="shared" si="5"/>
        <v>#VALUE!</v>
      </c>
      <c r="H388" s="170" t="e">
        <f>VALUE(LOOKUP(#REF!,'Company Database'!C$9:C$1248,'Company Database'!G$9:G$1248))</f>
        <v>#REF!</v>
      </c>
      <c r="I388" s="86" t="e">
        <f>LOOKUP(#REF!,'Company Database'!C$9:C$1248,'Company Database'!H$9:H$1248)</f>
        <v>#REF!</v>
      </c>
      <c r="J388" s="86" t="e">
        <f>LOOKUP(#REF!,'Company Database'!C$9:C$1248,'Company Database'!I$9:I$1248)</f>
        <v>#REF!</v>
      </c>
      <c r="K388" s="86" t="e">
        <f>LOOKUP(#REF!,'Company Database'!C$9:C$1248,'Company Database'!J$9:J$1248)</f>
        <v>#REF!</v>
      </c>
    </row>
    <row r="389" spans="1:11" x14ac:dyDescent="0.2">
      <c r="C389" s="1" t="e">
        <f>LOOKUP(B396,'Company Database'!C$9:C$1248,'Company Database'!#REF!)</f>
        <v>#REF!</v>
      </c>
      <c r="D389" s="1" t="e">
        <f>VALUE(LOOKUP(#REF!,'Company Database'!C$9:C$1248,'Company Database'!D$9:D$1248))</f>
        <v>#REF!</v>
      </c>
      <c r="E389" s="1" t="e">
        <f>VALUE(LOOKUP(#REF!,'Company Database'!C$9:C$1248,'Company Database'!E$9:E$1248))</f>
        <v>#REF!</v>
      </c>
      <c r="F389" s="1" t="e">
        <f>VALUE(LOOKUP(#REF!,'Company Database'!C$9:C$1248,'Company Database'!F$9:F$1248))</f>
        <v>#REF!</v>
      </c>
      <c r="G389" s="115" t="e">
        <f t="shared" si="5"/>
        <v>#VALUE!</v>
      </c>
      <c r="H389" s="170" t="e">
        <f>VALUE(LOOKUP(#REF!,'Company Database'!C$9:C$1248,'Company Database'!G$9:G$1248))</f>
        <v>#REF!</v>
      </c>
      <c r="I389" s="86" t="e">
        <f>LOOKUP(#REF!,'Company Database'!C$9:C$1248,'Company Database'!H$9:H$1248)</f>
        <v>#REF!</v>
      </c>
      <c r="J389" s="86" t="e">
        <f>LOOKUP(#REF!,'Company Database'!C$9:C$1248,'Company Database'!I$9:I$1248)</f>
        <v>#REF!</v>
      </c>
      <c r="K389" s="86" t="e">
        <f>LOOKUP(#REF!,'Company Database'!C$9:C$1248,'Company Database'!J$9:J$1248)</f>
        <v>#REF!</v>
      </c>
    </row>
    <row r="390" spans="1:11" x14ac:dyDescent="0.2">
      <c r="C390" s="1" t="e">
        <f>LOOKUP(B397,'Company Database'!C$9:C$1248,'Company Database'!#REF!)</f>
        <v>#REF!</v>
      </c>
      <c r="D390" s="1" t="e">
        <f>VALUE(LOOKUP(#REF!,'Company Database'!C$9:C$1248,'Company Database'!D$9:D$1248))</f>
        <v>#REF!</v>
      </c>
      <c r="E390" s="1" t="e">
        <f>VALUE(LOOKUP(#REF!,'Company Database'!C$9:C$1248,'Company Database'!E$9:E$1248))</f>
        <v>#REF!</v>
      </c>
      <c r="F390" s="1" t="e">
        <f>VALUE(LOOKUP(#REF!,'Company Database'!C$9:C$1248,'Company Database'!F$9:F$1248))</f>
        <v>#REF!</v>
      </c>
      <c r="G390" s="115" t="e">
        <f t="shared" si="5"/>
        <v>#VALUE!</v>
      </c>
      <c r="H390" s="170" t="e">
        <f>VALUE(LOOKUP(#REF!,'Company Database'!C$9:C$1248,'Company Database'!G$9:G$1248))</f>
        <v>#REF!</v>
      </c>
      <c r="I390" s="86" t="e">
        <f>LOOKUP(#REF!,'Company Database'!C$9:C$1248,'Company Database'!H$9:H$1248)</f>
        <v>#REF!</v>
      </c>
      <c r="J390" s="86" t="e">
        <f>LOOKUP(#REF!,'Company Database'!C$9:C$1248,'Company Database'!I$9:I$1248)</f>
        <v>#REF!</v>
      </c>
      <c r="K390" s="86" t="e">
        <f>LOOKUP(#REF!,'Company Database'!C$9:C$1248,'Company Database'!J$9:J$1248)</f>
        <v>#REF!</v>
      </c>
    </row>
    <row r="391" spans="1:11" x14ac:dyDescent="0.2">
      <c r="C391" s="1" t="e">
        <f>LOOKUP(B398,'Company Database'!C$9:C$1248,'Company Database'!#REF!)</f>
        <v>#REF!</v>
      </c>
      <c r="D391" s="1" t="e">
        <f>VALUE(LOOKUP(#REF!,'Company Database'!C$9:C$1248,'Company Database'!D$9:D$1248))</f>
        <v>#REF!</v>
      </c>
      <c r="E391" s="1" t="e">
        <f>VALUE(LOOKUP(#REF!,'Company Database'!C$9:C$1248,'Company Database'!E$9:E$1248))</f>
        <v>#REF!</v>
      </c>
      <c r="F391" s="1" t="e">
        <f>VALUE(LOOKUP(#REF!,'Company Database'!C$9:C$1248,'Company Database'!F$9:F$1248))</f>
        <v>#REF!</v>
      </c>
      <c r="G391" s="115" t="e">
        <f t="shared" si="5"/>
        <v>#VALUE!</v>
      </c>
      <c r="H391" s="170" t="e">
        <f>VALUE(LOOKUP(#REF!,'Company Database'!C$9:C$1248,'Company Database'!G$9:G$1248))</f>
        <v>#REF!</v>
      </c>
      <c r="I391" s="86" t="e">
        <f>LOOKUP(#REF!,'Company Database'!C$9:C$1248,'Company Database'!H$9:H$1248)</f>
        <v>#REF!</v>
      </c>
      <c r="J391" s="86" t="e">
        <f>LOOKUP(#REF!,'Company Database'!C$9:C$1248,'Company Database'!I$9:I$1248)</f>
        <v>#REF!</v>
      </c>
      <c r="K391" s="86" t="e">
        <f>LOOKUP(#REF!,'Company Database'!C$9:C$1248,'Company Database'!J$9:J$1248)</f>
        <v>#REF!</v>
      </c>
    </row>
    <row r="392" spans="1:11" x14ac:dyDescent="0.2">
      <c r="C392" s="1" t="e">
        <f>LOOKUP(B409,'Company Database'!C$9:C$1248,'Company Database'!#REF!)</f>
        <v>#REF!</v>
      </c>
      <c r="D392" s="1">
        <f>VALUE(LOOKUP(B376,'Company Database'!C$9:C$1248,'Company Database'!D$9:D$1248))</f>
        <v>0</v>
      </c>
      <c r="E392" s="1">
        <f>VALUE(LOOKUP(B376,'Company Database'!C$9:C$1248,'Company Database'!E$9:E$1248))</f>
        <v>0</v>
      </c>
      <c r="F392" s="1">
        <f>VALUE(LOOKUP(B376,'Company Database'!C$9:C$1248,'Company Database'!F$9:F$1248))</f>
        <v>0</v>
      </c>
      <c r="G392" s="115">
        <f t="shared" si="5"/>
        <v>0</v>
      </c>
      <c r="H392" s="170">
        <f>VALUE(LOOKUP(B376,'Company Database'!C$9:C$1248,'Company Database'!G$9:G$1248))</f>
        <v>38.6</v>
      </c>
      <c r="I392" s="86">
        <f>LOOKUP(B376,'Company Database'!C$9:C$1248,'Company Database'!H$9:H$1248)</f>
        <v>0</v>
      </c>
      <c r="J392" s="86">
        <f>LOOKUP(B376,'Company Database'!C$9:C$1248,'Company Database'!I$9:I$1248)</f>
        <v>6.85</v>
      </c>
      <c r="K392" s="86">
        <f>LOOKUP(B376,'Company Database'!C$9:C$1248,'Company Database'!J$9:J$1248)</f>
        <v>3.38</v>
      </c>
    </row>
  </sheetData>
  <phoneticPr fontId="2"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0"/>
  <sheetViews>
    <sheetView tabSelected="1" topLeftCell="A349" zoomScale="75" workbookViewId="0">
      <selection activeCell="T26" sqref="T26"/>
    </sheetView>
  </sheetViews>
  <sheetFormatPr defaultRowHeight="15" x14ac:dyDescent="0.25"/>
  <cols>
    <col min="1" max="1" width="10.28515625" style="550" bestFit="1" customWidth="1"/>
    <col min="2" max="2" width="7.28515625" style="550" customWidth="1"/>
    <col min="3" max="3" width="11" style="550" bestFit="1" customWidth="1"/>
    <col min="4" max="4" width="6" style="551" customWidth="1"/>
    <col min="5" max="5" width="10.42578125" style="501" customWidth="1"/>
    <col min="6" max="6" width="8.5703125" style="501" bestFit="1" customWidth="1"/>
    <col min="7" max="7" width="10" style="501" customWidth="1"/>
    <col min="8" max="8" width="10.28515625" style="503" bestFit="1" customWidth="1"/>
    <col min="9" max="9" width="11.140625" style="503" customWidth="1"/>
    <col min="10" max="10" width="11.140625" style="552" customWidth="1"/>
    <col min="11" max="11" width="14" style="501" customWidth="1"/>
    <col min="12" max="12" width="14.140625" style="504" customWidth="1"/>
    <col min="13" max="13" width="14.140625" style="553" customWidth="1"/>
    <col min="14" max="14" width="14.85546875" style="501" customWidth="1"/>
    <col min="15" max="15" width="14" style="505" customWidth="1"/>
    <col min="16" max="16" width="9.140625" style="501"/>
    <col min="17" max="17" width="8.5703125" style="501" bestFit="1" customWidth="1"/>
    <col min="18" max="16384" width="9.140625" style="501"/>
  </cols>
  <sheetData>
    <row r="1" spans="1:25" ht="60" x14ac:dyDescent="0.25">
      <c r="A1" s="491" t="s">
        <v>3600</v>
      </c>
      <c r="B1" s="491" t="s">
        <v>3599</v>
      </c>
      <c r="C1" s="491" t="s">
        <v>3689</v>
      </c>
      <c r="D1" s="491" t="s">
        <v>2934</v>
      </c>
      <c r="E1" s="492" t="s">
        <v>513</v>
      </c>
      <c r="F1" s="493" t="s">
        <v>3793</v>
      </c>
      <c r="G1" s="494" t="s">
        <v>3794</v>
      </c>
      <c r="H1" s="495" t="s">
        <v>3795</v>
      </c>
      <c r="I1" s="495" t="s">
        <v>3796</v>
      </c>
      <c r="J1" s="496" t="s">
        <v>3411</v>
      </c>
      <c r="K1" s="497" t="s">
        <v>4016</v>
      </c>
      <c r="L1" s="493" t="s">
        <v>2929</v>
      </c>
      <c r="M1" s="498" t="s">
        <v>477</v>
      </c>
      <c r="N1" s="499" t="s">
        <v>4013</v>
      </c>
      <c r="O1" s="500"/>
      <c r="R1" s="502" t="s">
        <v>3789</v>
      </c>
      <c r="S1" s="503"/>
      <c r="T1" s="503"/>
      <c r="U1" s="503"/>
      <c r="W1" s="504"/>
      <c r="Y1" s="505"/>
    </row>
    <row r="2" spans="1:25" x14ac:dyDescent="0.25">
      <c r="A2" s="506">
        <v>1.5412419531552914</v>
      </c>
      <c r="B2" s="507">
        <v>0.3</v>
      </c>
      <c r="C2" s="507" t="s">
        <v>5145</v>
      </c>
      <c r="D2" s="507">
        <v>0.97920187872638176</v>
      </c>
      <c r="E2" s="508">
        <f t="shared" ref="E2:E65" si="0">$O$12+D2*($P$13-$O$12)</f>
        <v>0.13319056344919522</v>
      </c>
      <c r="F2" s="509">
        <f ca="1">LOOKUP(C2,'Growth Pattern'!B$15:B$376,'Growth Pattern'!D$15:D$368)-(LOOKUP(C2,'Growth Pattern'!B$15:B$376,'Growth Pattern'!H$15:H$368)*LOOKUP(C2,'Growth Pattern'!B$15:B$376,'Growth Pattern'!I$15:I$368)/100)</f>
        <v>-1.0172800000000002</v>
      </c>
      <c r="G2" s="509">
        <f ca="1">LOOKUP(C2,'Growth Pattern'!B$15:B$376,'Growth Pattern'!E$15:E$368)-(LOOKUP(C2,'Growth Pattern'!B$15:B$376,'Growth Pattern'!H$15:H$368)*LOOKUP(C2,'Growth Pattern'!B$15:B$376,'Growth Pattern'!I$15:I$368)/100)</f>
        <v>13.43272</v>
      </c>
      <c r="H2" s="509">
        <f ca="1">LOOKUP(C2,'Growth Pattern'!B$15:B$376,'Growth Pattern'!F$15:F$368)-(LOOKUP(C2,'Growth Pattern'!B$15:B$376,'Growth Pattern'!I$15:I$368)*LOOKUP(C2,'Growth Pattern'!B$15:B$376,'Growth Pattern'!H$15:H$368)/100)</f>
        <v>16.632719999999999</v>
      </c>
      <c r="I2" s="509">
        <f ca="1">LOOKUP(C2,'Growth Pattern'!B$15:B$376,'Growth Pattern'!G$15:G$368)-(LOOKUP(C2,'Growth Pattern'!B$15:B$376,'Growth Pattern'!H$15:H$368)*LOOKUP(C2,'Growth Pattern'!B$15:B$376,'Growth Pattern'!I$15:I$368)/100)</f>
        <v>16.632719999999999</v>
      </c>
      <c r="J2" s="510">
        <f t="shared" ref="J2:J65" ca="1" si="1">F2+G2/((1+E2)*(1+$O$15))+H2/((1+E2)^2)*((1+$O$15)^2)+(I2/(E2-$P$16))/((1+E2)^3)*((1+$O$15)^3)</f>
        <v>238.6810229967528</v>
      </c>
      <c r="K2" s="511">
        <f ca="1">LOOKUP(C2,'Growth Pattern'!B$15:B$376,'Growth Pattern'!H$15:H$368)</f>
        <v>54.4</v>
      </c>
      <c r="L2" s="512">
        <f t="shared" ref="L2:L65" ca="1" si="2">(K2-J2)/J2</f>
        <v>-0.77208074895531131</v>
      </c>
      <c r="M2" s="513" t="e">
        <f>LN('Growth Pattern'!F15/'Growth Pattern'!D15)/2</f>
        <v>#DIV/0!</v>
      </c>
      <c r="N2" s="514" t="s">
        <v>3147</v>
      </c>
      <c r="O2" s="500"/>
      <c r="S2" s="503"/>
      <c r="T2" s="503"/>
      <c r="U2" s="503"/>
      <c r="W2" s="504"/>
      <c r="Y2" s="505"/>
    </row>
    <row r="3" spans="1:25" x14ac:dyDescent="0.25">
      <c r="A3" s="507">
        <v>3.2157029150543965</v>
      </c>
      <c r="B3" s="507">
        <v>0.15</v>
      </c>
      <c r="C3" s="507" t="s">
        <v>5146</v>
      </c>
      <c r="D3" s="507">
        <v>0.55280025920074283</v>
      </c>
      <c r="E3" s="508">
        <f t="shared" si="0"/>
        <v>9.6093622550464636E-2</v>
      </c>
      <c r="F3" s="509">
        <f ca="1">LOOKUP(C3,'Growth Pattern'!B$15:B$376,'Growth Pattern'!D$15:D$368)-(LOOKUP(C3,'Growth Pattern'!B$15:B$376,'Growth Pattern'!H$15:H$368)*LOOKUP(C3,'Growth Pattern'!B$15:B$376,'Growth Pattern'!I$15:I$368)/100)</f>
        <v>65.149819999999991</v>
      </c>
      <c r="G3" s="509">
        <f ca="1">LOOKUP(C3,'Growth Pattern'!B$15:B$376,'Growth Pattern'!E$15:E$368)-(LOOKUP(C3,'Growth Pattern'!B$15:B$376,'Growth Pattern'!H$15:H$368)*LOOKUP(C3,'Growth Pattern'!B$15:B$376,'Growth Pattern'!I$15:I$368)/100)</f>
        <v>106.77982</v>
      </c>
      <c r="H3" s="509">
        <f ca="1">LOOKUP(C3,'Growth Pattern'!B$15:B$376,'Growth Pattern'!F$15:F$368)-(LOOKUP(C3,'Growth Pattern'!B$15:B$376,'Growth Pattern'!I$15:I$368)*LOOKUP(C3,'Growth Pattern'!B$15:B$376,'Growth Pattern'!H$15:H$368)/100)</f>
        <v>138.87982</v>
      </c>
      <c r="I3" s="509">
        <f ca="1">LOOKUP(C3,'Growth Pattern'!B$15:B$376,'Growth Pattern'!G$15:G$368)-(LOOKUP(C3,'Growth Pattern'!B$15:B$376,'Growth Pattern'!H$15:H$368)*LOOKUP(C3,'Growth Pattern'!B$15:B$376,'Growth Pattern'!I$15:I$368)/100)</f>
        <v>161.44981999999993</v>
      </c>
      <c r="J3" s="510">
        <f t="shared" ca="1" si="1"/>
        <v>7896.1616834727574</v>
      </c>
      <c r="K3" s="511">
        <f ca="1">LOOKUP(C3,'Growth Pattern'!B$15:B$376,'Growth Pattern'!H$15:H$368)</f>
        <v>583.9</v>
      </c>
      <c r="L3" s="512">
        <f t="shared" ca="1" si="2"/>
        <v>-0.92605267933885582</v>
      </c>
      <c r="M3" s="513">
        <f>LN('Growth Pattern'!F16/'Growth Pattern'!D16)/2</f>
        <v>0.36428719818848021</v>
      </c>
      <c r="N3" s="514" t="s">
        <v>283</v>
      </c>
      <c r="O3" s="515"/>
      <c r="P3" s="499"/>
      <c r="S3" s="503"/>
      <c r="T3" s="503"/>
      <c r="U3" s="503"/>
      <c r="W3" s="504"/>
      <c r="Y3" s="505"/>
    </row>
    <row r="4" spans="1:25" x14ac:dyDescent="0.25">
      <c r="A4" s="516">
        <v>2.3089379568762967</v>
      </c>
      <c r="B4" s="516">
        <v>0.22</v>
      </c>
      <c r="C4" s="516" t="s">
        <v>1344</v>
      </c>
      <c r="D4" s="507">
        <v>0.46196512751591717</v>
      </c>
      <c r="E4" s="508">
        <f t="shared" si="0"/>
        <v>8.8190966093884798E-2</v>
      </c>
      <c r="F4" s="509">
        <f ca="1">LOOKUP(C4,'Growth Pattern'!B$15:B$376,'Growth Pattern'!D$15:D$368)-(LOOKUP(C4,'Growth Pattern'!B$15:B$376,'Growth Pattern'!H$15:H$368)*LOOKUP(C4,'Growth Pattern'!B$15:B$376,'Growth Pattern'!I$15:I$368)/100)</f>
        <v>1.00867</v>
      </c>
      <c r="G4" s="509">
        <f ca="1">LOOKUP(C4,'Growth Pattern'!B$15:B$376,'Growth Pattern'!E$15:E$368)-(LOOKUP(C4,'Growth Pattern'!B$15:B$376,'Growth Pattern'!H$15:H$368)*LOOKUP(C4,'Growth Pattern'!B$15:B$376,'Growth Pattern'!I$15:I$368)/100)</f>
        <v>22.528669999999998</v>
      </c>
      <c r="H4" s="509">
        <f ca="1">LOOKUP(C4,'Growth Pattern'!B$15:B$376,'Growth Pattern'!F$15:F$368)-(LOOKUP(C4,'Growth Pattern'!B$15:B$376,'Growth Pattern'!I$15:I$368)*LOOKUP(C4,'Growth Pattern'!B$15:B$376,'Growth Pattern'!H$15:H$368)/100)</f>
        <v>28.688670000000002</v>
      </c>
      <c r="I4" s="509">
        <f ca="1">LOOKUP(C4,'Growth Pattern'!B$15:B$376,'Growth Pattern'!G$15:G$368)-(LOOKUP(C4,'Growth Pattern'!B$15:B$376,'Growth Pattern'!H$15:H$368)*LOOKUP(C4,'Growth Pattern'!B$15:B$376,'Growth Pattern'!I$15:I$368)/100)</f>
        <v>28.688670000000002</v>
      </c>
      <c r="J4" s="510">
        <f t="shared" ca="1" si="1"/>
        <v>2764.0041901512618</v>
      </c>
      <c r="K4" s="511">
        <f ca="1">LOOKUP(C4,'Growth Pattern'!B$15:B$376,'Growth Pattern'!H$15:H$368)</f>
        <v>857.1</v>
      </c>
      <c r="L4" s="512">
        <f t="shared" ca="1" si="2"/>
        <v>-0.6899064035235436</v>
      </c>
      <c r="M4" s="513">
        <f>LN('Growth Pattern'!F17/'Growth Pattern'!D17)/2</f>
        <v>1.1655177864631774</v>
      </c>
      <c r="N4" s="514" t="s">
        <v>1488</v>
      </c>
      <c r="O4" s="517"/>
      <c r="P4" s="514"/>
      <c r="S4" s="503"/>
      <c r="T4" s="503"/>
      <c r="U4" s="503"/>
      <c r="W4" s="518"/>
      <c r="X4" s="519"/>
      <c r="Y4" s="505"/>
    </row>
    <row r="5" spans="1:25" x14ac:dyDescent="0.25">
      <c r="A5" s="516">
        <v>2.2179573007186484</v>
      </c>
      <c r="B5" s="516">
        <v>0.3</v>
      </c>
      <c r="C5" s="516" t="s">
        <v>5148</v>
      </c>
      <c r="D5" s="507">
        <v>0.36420316591741753</v>
      </c>
      <c r="E5" s="508">
        <f t="shared" si="0"/>
        <v>7.9685675434815334E-2</v>
      </c>
      <c r="F5" s="509">
        <f ca="1">LOOKUP(C5,'Growth Pattern'!B$15:B$376,'Growth Pattern'!D$15:D$368)-(LOOKUP(C5,'Growth Pattern'!B$15:B$376,'Growth Pattern'!H$15:H$368)*LOOKUP(C5,'Growth Pattern'!B$15:B$376,'Growth Pattern'!I$15:I$368)/100)</f>
        <v>0</v>
      </c>
      <c r="G5" s="509">
        <f ca="1">LOOKUP(C5,'Growth Pattern'!B$15:B$376,'Growth Pattern'!E$15:E$368)-(LOOKUP(C5,'Growth Pattern'!B$15:B$376,'Growth Pattern'!H$15:H$368)*LOOKUP(C5,'Growth Pattern'!B$15:B$376,'Growth Pattern'!I$15:I$368)/100)</f>
        <v>28.45</v>
      </c>
      <c r="H5" s="509">
        <f ca="1">LOOKUP(C5,'Growth Pattern'!B$15:B$376,'Growth Pattern'!F$15:F$368)-(LOOKUP(C5,'Growth Pattern'!B$15:B$376,'Growth Pattern'!I$15:I$368)*LOOKUP(C5,'Growth Pattern'!B$15:B$376,'Growth Pattern'!H$15:H$368)/100)</f>
        <v>33.97</v>
      </c>
      <c r="I5" s="509">
        <f ca="1">LOOKUP(C5,'Growth Pattern'!B$15:B$376,'Growth Pattern'!G$15:G$368)-(LOOKUP(C5,'Growth Pattern'!B$15:B$376,'Growth Pattern'!H$15:H$368)*LOOKUP(C5,'Growth Pattern'!B$15:B$376,'Growth Pattern'!I$15:I$368)/100)</f>
        <v>33.97</v>
      </c>
      <c r="J5" s="510">
        <f t="shared" ca="1" si="1"/>
        <v>-85811.294477352611</v>
      </c>
      <c r="K5" s="511">
        <f ca="1">LOOKUP(C5,'Growth Pattern'!B$15:B$376,'Growth Pattern'!H$15:H$368)</f>
        <v>563.04999999999995</v>
      </c>
      <c r="L5" s="512">
        <f t="shared" ca="1" si="2"/>
        <v>-1.0065614905756795</v>
      </c>
      <c r="M5" s="513" t="e">
        <f>LN('Growth Pattern'!F18/'Growth Pattern'!D18)/2</f>
        <v>#DIV/0!</v>
      </c>
      <c r="N5" s="514" t="s">
        <v>284</v>
      </c>
      <c r="O5" s="517"/>
      <c r="P5" s="514"/>
      <c r="S5" s="503"/>
      <c r="T5" s="503"/>
      <c r="U5" s="503"/>
      <c r="W5" s="504"/>
      <c r="Y5" s="505"/>
    </row>
    <row r="6" spans="1:25" x14ac:dyDescent="0.25">
      <c r="A6" s="516">
        <v>3.4542400069326789</v>
      </c>
      <c r="B6" s="516">
        <v>0.09</v>
      </c>
      <c r="C6" s="516" t="s">
        <v>4715</v>
      </c>
      <c r="D6" s="507">
        <v>0.92745186829159965</v>
      </c>
      <c r="E6" s="508">
        <f t="shared" si="0"/>
        <v>0.12868831254136917</v>
      </c>
      <c r="F6" s="509">
        <f ca="1">LOOKUP(C6,'Growth Pattern'!B$15:B$376,'Growth Pattern'!D$15:D$368)-(LOOKUP(C6,'Growth Pattern'!B$15:B$376,'Growth Pattern'!H$15:H$368)*LOOKUP(C6,'Growth Pattern'!B$15:B$376,'Growth Pattern'!I$15:I$368)/100)</f>
        <v>35.22289</v>
      </c>
      <c r="G6" s="509">
        <f ca="1">LOOKUP(C6,'Growth Pattern'!B$15:B$376,'Growth Pattern'!E$15:E$368)-(LOOKUP(C6,'Growth Pattern'!B$15:B$376,'Growth Pattern'!H$15:H$368)*LOOKUP(C6,'Growth Pattern'!B$15:B$376,'Growth Pattern'!I$15:I$368)/100)</f>
        <v>42.372889999999998</v>
      </c>
      <c r="H6" s="509">
        <f ca="1">LOOKUP(C6,'Growth Pattern'!B$15:B$376,'Growth Pattern'!F$15:F$368)-(LOOKUP(C6,'Growth Pattern'!B$15:B$376,'Growth Pattern'!I$15:I$368)*LOOKUP(C6,'Growth Pattern'!B$15:B$376,'Growth Pattern'!H$15:H$368)/100)</f>
        <v>48.652889999999999</v>
      </c>
      <c r="I6" s="509">
        <f ca="1">LOOKUP(C6,'Growth Pattern'!B$15:B$376,'Growth Pattern'!G$15:G$368)-(LOOKUP(C6,'Growth Pattern'!B$15:B$376,'Growth Pattern'!H$15:H$368)*LOOKUP(C6,'Growth Pattern'!B$15:B$376,'Growth Pattern'!I$15:I$368)/100)</f>
        <v>54.062890000000003</v>
      </c>
      <c r="J6" s="510">
        <f t="shared" ca="1" si="1"/>
        <v>883.19584207840001</v>
      </c>
      <c r="K6" s="511">
        <f ca="1">LOOKUP(C6,'Growth Pattern'!B$15:B$376,'Growth Pattern'!H$15:H$368)</f>
        <v>360.1</v>
      </c>
      <c r="L6" s="512">
        <f t="shared" ca="1" si="2"/>
        <v>-0.59227616023124974</v>
      </c>
      <c r="M6" s="513">
        <f>LN('Growth Pattern'!F19/'Growth Pattern'!D19)/2</f>
        <v>0.14723970890589214</v>
      </c>
      <c r="N6" s="514" t="s">
        <v>1821</v>
      </c>
      <c r="O6" s="517"/>
      <c r="P6" s="514"/>
      <c r="S6" s="503"/>
      <c r="T6" s="503"/>
      <c r="U6" s="503"/>
      <c r="W6" s="504"/>
      <c r="Y6" s="505"/>
    </row>
    <row r="7" spans="1:25" x14ac:dyDescent="0.25">
      <c r="A7" s="516">
        <v>3.4186503623031892</v>
      </c>
      <c r="B7" s="516">
        <v>0.02</v>
      </c>
      <c r="C7" s="516" t="s">
        <v>3691</v>
      </c>
      <c r="D7" s="507">
        <v>0.952899520916346</v>
      </c>
      <c r="E7" s="508">
        <f t="shared" si="0"/>
        <v>0.13090225831972213</v>
      </c>
      <c r="F7" s="509">
        <f ca="1">LOOKUP(C7,'Growth Pattern'!B$15:B$376,'Growth Pattern'!D$15:D$368)-(LOOKUP(C7,'Growth Pattern'!B$15:B$376,'Growth Pattern'!H$15:H$368)*LOOKUP(C7,'Growth Pattern'!B$15:B$376,'Growth Pattern'!I$15:I$368)/100)</f>
        <v>0</v>
      </c>
      <c r="G7" s="509">
        <f ca="1">LOOKUP(C7,'Growth Pattern'!B$15:B$376,'Growth Pattern'!E$15:E$368)-(LOOKUP(C7,'Growth Pattern'!B$15:B$376,'Growth Pattern'!H$15:H$368)*LOOKUP(C7,'Growth Pattern'!B$15:B$376,'Growth Pattern'!I$15:I$368)/100)</f>
        <v>0</v>
      </c>
      <c r="H7" s="509">
        <f ca="1">LOOKUP(C7,'Growth Pattern'!B$15:B$376,'Growth Pattern'!F$15:F$368)-(LOOKUP(C7,'Growth Pattern'!B$15:B$376,'Growth Pattern'!I$15:I$368)*LOOKUP(C7,'Growth Pattern'!B$15:B$376,'Growth Pattern'!H$15:H$368)/100)</f>
        <v>0</v>
      </c>
      <c r="I7" s="509">
        <f ca="1">LOOKUP(C7,'Growth Pattern'!B$15:B$376,'Growth Pattern'!G$15:G$368)-(LOOKUP(C7,'Growth Pattern'!B$15:B$376,'Growth Pattern'!H$15:H$368)*LOOKUP(C7,'Growth Pattern'!B$15:B$376,'Growth Pattern'!I$15:I$368)/100)</f>
        <v>0</v>
      </c>
      <c r="J7" s="510">
        <f t="shared" ca="1" si="1"/>
        <v>0</v>
      </c>
      <c r="K7" s="511">
        <f ca="1">LOOKUP(C7,'Growth Pattern'!B$15:B$376,'Growth Pattern'!H$15:H$368)</f>
        <v>15.2</v>
      </c>
      <c r="L7" s="512" t="e">
        <f t="shared" ca="1" si="2"/>
        <v>#DIV/0!</v>
      </c>
      <c r="M7" s="513" t="e">
        <f>LN('Growth Pattern'!F20/'Growth Pattern'!D20)/2</f>
        <v>#DIV/0!</v>
      </c>
      <c r="N7" s="520" t="s">
        <v>100</v>
      </c>
      <c r="O7" s="517"/>
      <c r="P7" s="514"/>
      <c r="S7" s="503"/>
      <c r="T7" s="503"/>
      <c r="U7" s="503"/>
      <c r="W7" s="504"/>
      <c r="Y7" s="505"/>
    </row>
    <row r="8" spans="1:25" x14ac:dyDescent="0.25">
      <c r="A8" s="516">
        <v>1.5361671137978563</v>
      </c>
      <c r="B8" s="516">
        <v>0.3</v>
      </c>
      <c r="C8" s="516" t="s">
        <v>3461</v>
      </c>
      <c r="D8" s="507">
        <v>0.52236465488551487</v>
      </c>
      <c r="E8" s="508">
        <f t="shared" si="0"/>
        <v>9.3445724975039807E-2</v>
      </c>
      <c r="F8" s="509">
        <f ca="1">LOOKUP(C8,'Growth Pattern'!B$15:B$376,'Growth Pattern'!D$15:D$368)-(LOOKUP(C8,'Growth Pattern'!B$15:B$376,'Growth Pattern'!H$15:H$368)*LOOKUP(C8,'Growth Pattern'!B$15:B$376,'Growth Pattern'!I$15:I$368)/100)</f>
        <v>29.141850000000002</v>
      </c>
      <c r="G8" s="509">
        <f ca="1">LOOKUP(C8,'Growth Pattern'!B$15:B$376,'Growth Pattern'!E$15:E$368)-(LOOKUP(C8,'Growth Pattern'!B$15:B$376,'Growth Pattern'!H$15:H$368)*LOOKUP(C8,'Growth Pattern'!B$15:B$376,'Growth Pattern'!I$15:I$368)/100)</f>
        <v>31.371849999999998</v>
      </c>
      <c r="H8" s="509">
        <f ca="1">LOOKUP(C8,'Growth Pattern'!B$15:B$376,'Growth Pattern'!F$15:F$368)-(LOOKUP(C8,'Growth Pattern'!B$15:B$376,'Growth Pattern'!I$15:I$368)*LOOKUP(C8,'Growth Pattern'!B$15:B$376,'Growth Pattern'!H$15:H$368)/100)</f>
        <v>39.441849999999988</v>
      </c>
      <c r="I8" s="509">
        <f ca="1">LOOKUP(C8,'Growth Pattern'!B$15:B$376,'Growth Pattern'!G$15:G$368)-(LOOKUP(C8,'Growth Pattern'!B$15:B$376,'Growth Pattern'!H$15:H$368)*LOOKUP(C8,'Growth Pattern'!B$15:B$376,'Growth Pattern'!I$15:I$368)/100)</f>
        <v>53.351849999999985</v>
      </c>
      <c r="J8" s="510">
        <f t="shared" ca="1" si="1"/>
        <v>3125.9251123010708</v>
      </c>
      <c r="K8" s="511">
        <f ca="1">LOOKUP(C8,'Growth Pattern'!B$15:B$376,'Growth Pattern'!H$15:H$368)</f>
        <v>992.75</v>
      </c>
      <c r="L8" s="512">
        <f t="shared" ca="1" si="2"/>
        <v>-0.68241401686388703</v>
      </c>
      <c r="M8" s="513">
        <f>LN('Growth Pattern'!F21/'Growth Pattern'!D21)/2</f>
        <v>7.9804055576026697E-2</v>
      </c>
      <c r="N8" s="514" t="s">
        <v>918</v>
      </c>
      <c r="O8" s="517"/>
      <c r="P8" s="514"/>
      <c r="S8" s="503"/>
      <c r="T8" s="503"/>
      <c r="U8" s="503"/>
      <c r="W8" s="504"/>
      <c r="Y8" s="505"/>
    </row>
    <row r="9" spans="1:25" x14ac:dyDescent="0.25">
      <c r="A9" s="516">
        <v>4.3418409678566983</v>
      </c>
      <c r="B9" s="516">
        <v>0.03</v>
      </c>
      <c r="C9" s="516" t="s">
        <v>85</v>
      </c>
      <c r="D9" s="507">
        <v>1.0844559277847197</v>
      </c>
      <c r="E9" s="508">
        <f t="shared" si="0"/>
        <v>0.14234766571727062</v>
      </c>
      <c r="F9" s="509">
        <f ca="1">LOOKUP(C9,'Growth Pattern'!B$15:B$376,'Growth Pattern'!D$15:D$368)-(LOOKUP(C9,'Growth Pattern'!B$15:B$376,'Growth Pattern'!H$15:H$368)*LOOKUP(C9,'Growth Pattern'!B$15:B$376,'Growth Pattern'!I$15:I$368)/100)</f>
        <v>3.4982100000000003</v>
      </c>
      <c r="G9" s="509">
        <f ca="1">LOOKUP(C9,'Growth Pattern'!B$15:B$376,'Growth Pattern'!E$15:E$368)-(LOOKUP(C9,'Growth Pattern'!B$15:B$376,'Growth Pattern'!H$15:H$368)*LOOKUP(C9,'Growth Pattern'!B$15:B$376,'Growth Pattern'!I$15:I$368)/100)</f>
        <v>16.558210000000003</v>
      </c>
      <c r="H9" s="509">
        <f ca="1">LOOKUP(C9,'Growth Pattern'!B$15:B$376,'Growth Pattern'!F$15:F$368)-(LOOKUP(C9,'Growth Pattern'!B$15:B$376,'Growth Pattern'!I$15:I$368)*LOOKUP(C9,'Growth Pattern'!B$15:B$376,'Growth Pattern'!H$15:H$368)/100)</f>
        <v>22.85821</v>
      </c>
      <c r="I9" s="509">
        <f ca="1">LOOKUP(C9,'Growth Pattern'!B$15:B$376,'Growth Pattern'!G$15:G$368)-(LOOKUP(C9,'Growth Pattern'!B$15:B$376,'Growth Pattern'!H$15:H$368)*LOOKUP(C9,'Growth Pattern'!B$15:B$376,'Growth Pattern'!I$15:I$368)/100)</f>
        <v>22.85821</v>
      </c>
      <c r="J9" s="510">
        <f t="shared" ca="1" si="1"/>
        <v>281.44837866285673</v>
      </c>
      <c r="K9" s="511">
        <f ca="1">LOOKUP(C9,'Growth Pattern'!B$15:B$376,'Growth Pattern'!H$15:H$368)</f>
        <v>87.45</v>
      </c>
      <c r="L9" s="512">
        <f t="shared" ca="1" si="2"/>
        <v>-0.6892858277760584</v>
      </c>
      <c r="M9" s="513">
        <f>LN('Growth Pattern'!F22/'Growth Pattern'!D22)/2</f>
        <v>0.81308735239481211</v>
      </c>
      <c r="N9" s="514" t="s">
        <v>1415</v>
      </c>
      <c r="O9" s="517"/>
      <c r="P9" s="514"/>
      <c r="S9" s="503"/>
      <c r="T9" s="503"/>
      <c r="U9" s="503"/>
      <c r="W9" s="504"/>
      <c r="Y9" s="505"/>
    </row>
    <row r="10" spans="1:25" x14ac:dyDescent="0.25">
      <c r="A10" s="507">
        <v>2.7574869219155507</v>
      </c>
      <c r="B10" s="507">
        <v>0.26</v>
      </c>
      <c r="C10" s="507" t="s">
        <v>87</v>
      </c>
      <c r="D10" s="507">
        <v>0.36279731194001474</v>
      </c>
      <c r="E10" s="508">
        <f t="shared" si="0"/>
        <v>7.9563366138781288E-2</v>
      </c>
      <c r="F10" s="509">
        <f ca="1">LOOKUP(C10,'Growth Pattern'!B$15:B$376,'Growth Pattern'!D$15:D$368)-(LOOKUP(C10,'Growth Pattern'!B$15:B$376,'Growth Pattern'!H$15:H$368)*LOOKUP(C10,'Growth Pattern'!B$15:B$376,'Growth Pattern'!I$15:I$368)/100)</f>
        <v>0</v>
      </c>
      <c r="G10" s="509">
        <f ca="1">LOOKUP(C10,'Growth Pattern'!B$15:B$376,'Growth Pattern'!E$15:E$368)-(LOOKUP(C10,'Growth Pattern'!B$15:B$376,'Growth Pattern'!H$15:H$368)*LOOKUP(C10,'Growth Pattern'!B$15:B$376,'Growth Pattern'!I$15:I$368)/100)</f>
        <v>20.399999999999999</v>
      </c>
      <c r="H10" s="509">
        <f ca="1">LOOKUP(C10,'Growth Pattern'!B$15:B$376,'Growth Pattern'!F$15:F$368)-(LOOKUP(C10,'Growth Pattern'!B$15:B$376,'Growth Pattern'!I$15:I$368)*LOOKUP(C10,'Growth Pattern'!B$15:B$376,'Growth Pattern'!H$15:H$368)/100)</f>
        <v>25.6</v>
      </c>
      <c r="I10" s="509">
        <f ca="1">LOOKUP(C10,'Growth Pattern'!B$15:B$376,'Growth Pattern'!G$15:G$368)-(LOOKUP(C10,'Growth Pattern'!B$15:B$376,'Growth Pattern'!H$15:H$368)*LOOKUP(C10,'Growth Pattern'!B$15:B$376,'Growth Pattern'!I$15:I$368)/100)</f>
        <v>25.6</v>
      </c>
      <c r="J10" s="510">
        <f t="shared" ca="1" si="1"/>
        <v>-46558.30302183317</v>
      </c>
      <c r="K10" s="511">
        <f ca="1">LOOKUP(C10,'Growth Pattern'!B$15:B$376,'Growth Pattern'!H$15:H$368)</f>
        <v>165.15</v>
      </c>
      <c r="L10" s="512">
        <f t="shared" ca="1" si="2"/>
        <v>-1.0035471653664558</v>
      </c>
      <c r="M10" s="513" t="e">
        <f>LN('Growth Pattern'!F23/'Growth Pattern'!D23)/2</f>
        <v>#DIV/0!</v>
      </c>
      <c r="N10" s="514" t="s">
        <v>1307</v>
      </c>
      <c r="O10" s="517"/>
      <c r="P10" s="514"/>
      <c r="S10" s="503"/>
      <c r="T10" s="503"/>
      <c r="U10" s="503"/>
      <c r="W10" s="504"/>
      <c r="Y10" s="505"/>
    </row>
    <row r="11" spans="1:25" x14ac:dyDescent="0.25">
      <c r="A11" s="507">
        <v>2.6712314870322431</v>
      </c>
      <c r="B11" s="507">
        <v>0.44</v>
      </c>
      <c r="C11" s="507" t="s">
        <v>898</v>
      </c>
      <c r="D11" s="507">
        <v>0.56491717122357588</v>
      </c>
      <c r="E11" s="508">
        <f t="shared" si="0"/>
        <v>9.7147793896451104E-2</v>
      </c>
      <c r="F11" s="509">
        <f ca="1">LOOKUP(C11,'Growth Pattern'!B$15:B$376,'Growth Pattern'!D$15:D$368)-(LOOKUP(C11,'Growth Pattern'!B$15:B$376,'Growth Pattern'!H$15:H$368)*LOOKUP(C11,'Growth Pattern'!B$15:B$376,'Growth Pattern'!I$15:I$368)/100)</f>
        <v>7.6055749999999991</v>
      </c>
      <c r="G11" s="509">
        <f ca="1">LOOKUP(C11,'Growth Pattern'!B$15:B$376,'Growth Pattern'!E$15:E$368)-(LOOKUP(C11,'Growth Pattern'!B$15:B$376,'Growth Pattern'!H$15:H$368)*LOOKUP(C11,'Growth Pattern'!B$15:B$376,'Growth Pattern'!I$15:I$368)/100)</f>
        <v>8.8555749999999982</v>
      </c>
      <c r="H11" s="509">
        <f ca="1">LOOKUP(C11,'Growth Pattern'!B$15:B$376,'Growth Pattern'!F$15:F$368)-(LOOKUP(C11,'Growth Pattern'!B$15:B$376,'Growth Pattern'!I$15:I$368)*LOOKUP(C11,'Growth Pattern'!B$15:B$376,'Growth Pattern'!H$15:H$368)/100)</f>
        <v>-5.724425000000001</v>
      </c>
      <c r="I11" s="509">
        <f ca="1">LOOKUP(C11,'Growth Pattern'!B$15:B$376,'Growth Pattern'!G$15:G$368)-(LOOKUP(C11,'Growth Pattern'!B$15:B$376,'Growth Pattern'!H$15:H$368)*LOOKUP(C11,'Growth Pattern'!B$15:B$376,'Growth Pattern'!I$15:I$368)/100)</f>
        <v>-5.724425000000001</v>
      </c>
      <c r="J11" s="510">
        <f t="shared" ca="1" si="1"/>
        <v>-241.85009500185285</v>
      </c>
      <c r="K11" s="511">
        <f ca="1">LOOKUP(C11,'Growth Pattern'!B$15:B$376,'Growth Pattern'!H$15:H$368)</f>
        <v>233.65</v>
      </c>
      <c r="L11" s="512">
        <f t="shared" ca="1" si="2"/>
        <v>-1.966094307294814</v>
      </c>
      <c r="M11" s="513" t="e">
        <f>LN('Growth Pattern'!F24/'Growth Pattern'!D24)/2</f>
        <v>#NUM!</v>
      </c>
      <c r="N11" s="514" t="s">
        <v>1308</v>
      </c>
      <c r="O11" s="517"/>
      <c r="P11" s="514"/>
      <c r="S11" s="503"/>
      <c r="T11" s="503"/>
      <c r="U11" s="503"/>
      <c r="W11" s="504"/>
      <c r="Y11" s="505"/>
    </row>
    <row r="12" spans="1:25" x14ac:dyDescent="0.25">
      <c r="A12" s="507">
        <v>2.2043197909314811</v>
      </c>
      <c r="B12" s="507">
        <v>0.16</v>
      </c>
      <c r="C12" s="507" t="s">
        <v>89</v>
      </c>
      <c r="D12" s="507">
        <v>0.38740004161061464</v>
      </c>
      <c r="E12" s="508">
        <f t="shared" si="0"/>
        <v>8.1703803620123472E-2</v>
      </c>
      <c r="F12" s="509">
        <f ca="1">LOOKUP(C12,'Growth Pattern'!B$15:B$376,'Growth Pattern'!D$15:D$368)-(LOOKUP(C12,'Growth Pattern'!B$15:B$376,'Growth Pattern'!H$15:H$368)*LOOKUP(C12,'Growth Pattern'!B$15:B$376,'Growth Pattern'!I$15:I$368)/100)</f>
        <v>1.53</v>
      </c>
      <c r="G12" s="509">
        <f ca="1">LOOKUP(C12,'Growth Pattern'!B$15:B$376,'Growth Pattern'!E$15:E$368)-(LOOKUP(C12,'Growth Pattern'!B$15:B$376,'Growth Pattern'!H$15:H$368)*LOOKUP(C12,'Growth Pattern'!B$15:B$376,'Growth Pattern'!I$15:I$368)/100)</f>
        <v>4.5999999999999996</v>
      </c>
      <c r="H12" s="509">
        <f ca="1">LOOKUP(C12,'Growth Pattern'!B$15:B$376,'Growth Pattern'!F$15:F$368)-(LOOKUP(C12,'Growth Pattern'!B$15:B$376,'Growth Pattern'!I$15:I$368)*LOOKUP(C12,'Growth Pattern'!B$15:B$376,'Growth Pattern'!H$15:H$368)/100)</f>
        <v>5.4</v>
      </c>
      <c r="I12" s="509">
        <f ca="1">LOOKUP(C12,'Growth Pattern'!B$15:B$376,'Growth Pattern'!G$15:G$368)-(LOOKUP(C12,'Growth Pattern'!B$15:B$376,'Growth Pattern'!H$15:H$368)*LOOKUP(C12,'Growth Pattern'!B$15:B$376,'Growth Pattern'!I$15:I$368)/100)</f>
        <v>5.4</v>
      </c>
      <c r="J12" s="510">
        <f t="shared" ca="1" si="1"/>
        <v>2514.4831027953651</v>
      </c>
      <c r="K12" s="511">
        <f ca="1">LOOKUP(C12,'Growth Pattern'!B$15:B$376,'Growth Pattern'!H$15:H$368)</f>
        <v>19.8</v>
      </c>
      <c r="L12" s="512">
        <f t="shared" ca="1" si="2"/>
        <v>-0.99212561819246725</v>
      </c>
      <c r="M12" s="513">
        <f>LN('Growth Pattern'!F25/'Growth Pattern'!D25)/2</f>
        <v>0.63056560908294235</v>
      </c>
      <c r="N12" s="514" t="s">
        <v>3603</v>
      </c>
      <c r="O12" s="521">
        <v>4.8000000000000001E-2</v>
      </c>
      <c r="P12" s="514"/>
      <c r="S12" s="503"/>
      <c r="T12" s="503"/>
      <c r="U12" s="503"/>
      <c r="W12" s="504"/>
      <c r="Y12" s="505"/>
    </row>
    <row r="13" spans="1:25" x14ac:dyDescent="0.25">
      <c r="A13" s="516">
        <v>2.453682773204743</v>
      </c>
      <c r="B13" s="516">
        <v>0.03</v>
      </c>
      <c r="C13" s="516" t="s">
        <v>112</v>
      </c>
      <c r="D13" s="507">
        <v>0.76316362457741582</v>
      </c>
      <c r="E13" s="508">
        <f t="shared" si="0"/>
        <v>0.11439523533823519</v>
      </c>
      <c r="F13" s="509">
        <f ca="1">LOOKUP(C13,'Growth Pattern'!B$15:B$376,'Growth Pattern'!D$15:D$368)-(LOOKUP(C13,'Growth Pattern'!B$15:B$376,'Growth Pattern'!H$15:H$368)*LOOKUP(C13,'Growth Pattern'!B$15:B$376,'Growth Pattern'!I$15:I$368)/100)</f>
        <v>37.910989999999998</v>
      </c>
      <c r="G13" s="509">
        <f ca="1">LOOKUP(C13,'Growth Pattern'!B$15:B$376,'Growth Pattern'!E$15:E$368)-(LOOKUP(C13,'Growth Pattern'!B$15:B$376,'Growth Pattern'!H$15:H$368)*LOOKUP(C13,'Growth Pattern'!B$15:B$376,'Growth Pattern'!I$15:I$368)/100)</f>
        <v>45.690989999999999</v>
      </c>
      <c r="H13" s="509">
        <f ca="1">LOOKUP(C13,'Growth Pattern'!B$15:B$376,'Growth Pattern'!F$15:F$368)-(LOOKUP(C13,'Growth Pattern'!B$15:B$376,'Growth Pattern'!I$15:I$368)*LOOKUP(C13,'Growth Pattern'!B$15:B$376,'Growth Pattern'!H$15:H$368)/100)</f>
        <v>55.190989999999999</v>
      </c>
      <c r="I13" s="509">
        <f ca="1">LOOKUP(C13,'Growth Pattern'!B$15:B$376,'Growth Pattern'!G$15:G$368)-(LOOKUP(C13,'Growth Pattern'!B$15:B$376,'Growth Pattern'!H$15:H$368)*LOOKUP(C13,'Growth Pattern'!B$15:B$376,'Growth Pattern'!I$15:I$368)/100)</f>
        <v>66.410989999999984</v>
      </c>
      <c r="J13" s="510">
        <f ca="1">F13+G13/((1+E13)*(1+$O$15))+H13/((1+E13)^2)*((1+$O$15)^2)+(I13/(E13-$P$16))/((1+E13)^3)*((1+$O$15)^3)</f>
        <v>1518.5130159689033</v>
      </c>
      <c r="K13" s="511">
        <f ca="1">LOOKUP(C13,'Growth Pattern'!B$15:B$376,'Growth Pattern'!H$15:H$368)</f>
        <v>1523.3</v>
      </c>
      <c r="L13" s="512">
        <f t="shared" ca="1" si="2"/>
        <v>3.1524155412274964E-3</v>
      </c>
      <c r="M13" s="513">
        <f>LN('Growth Pattern'!F26/'Growth Pattern'!D26)/2</f>
        <v>0.1133354459160891</v>
      </c>
      <c r="N13" s="514" t="s">
        <v>3176</v>
      </c>
      <c r="O13" s="517"/>
      <c r="P13" s="522">
        <v>0.13500000000000001</v>
      </c>
      <c r="S13" s="503"/>
      <c r="T13" s="503"/>
      <c r="U13" s="503"/>
      <c r="W13" s="504"/>
      <c r="Y13" s="505"/>
    </row>
    <row r="14" spans="1:25" x14ac:dyDescent="0.25">
      <c r="A14" s="516">
        <v>2.3589288483957227</v>
      </c>
      <c r="B14" s="516">
        <v>0.15</v>
      </c>
      <c r="C14" s="516" t="s">
        <v>5138</v>
      </c>
      <c r="D14" s="507">
        <v>0.41302577180258015</v>
      </c>
      <c r="E14" s="508">
        <f t="shared" si="0"/>
        <v>8.3933242146824474E-2</v>
      </c>
      <c r="F14" s="509">
        <f ca="1">LOOKUP(C14,'Growth Pattern'!B$15:B$376,'Growth Pattern'!D$15:D$368)-(LOOKUP(C14,'Growth Pattern'!B$15:B$376,'Growth Pattern'!H$15:H$368)*LOOKUP(C14,'Growth Pattern'!B$15:B$376,'Growth Pattern'!I$15:I$368)/100)</f>
        <v>18.149999999999999</v>
      </c>
      <c r="G14" s="509">
        <f ca="1">LOOKUP(C14,'Growth Pattern'!B$15:B$376,'Growth Pattern'!E$15:E$368)-(LOOKUP(C14,'Growth Pattern'!B$15:B$376,'Growth Pattern'!H$15:H$368)*LOOKUP(C14,'Growth Pattern'!B$15:B$376,'Growth Pattern'!I$15:I$368)/100)</f>
        <v>16.100000000000001</v>
      </c>
      <c r="H14" s="509">
        <f ca="1">LOOKUP(C14,'Growth Pattern'!B$15:B$376,'Growth Pattern'!F$15:F$368)-(LOOKUP(C14,'Growth Pattern'!B$15:B$376,'Growth Pattern'!I$15:I$368)*LOOKUP(C14,'Growth Pattern'!B$15:B$376,'Growth Pattern'!H$15:H$368)/100)</f>
        <v>20.75</v>
      </c>
      <c r="I14" s="509">
        <f ca="1">LOOKUP(C14,'Growth Pattern'!B$15:B$376,'Growth Pattern'!G$15:G$368)-(LOOKUP(C14,'Growth Pattern'!B$15:B$376,'Growth Pattern'!H$15:H$368)*LOOKUP(C14,'Growth Pattern'!B$15:B$376,'Growth Pattern'!I$15:I$368)/100)</f>
        <v>32.1</v>
      </c>
      <c r="J14" s="510">
        <f t="shared" ca="1" si="1"/>
        <v>6459.0218726227577</v>
      </c>
      <c r="K14" s="511">
        <f ca="1">LOOKUP(C14,'Growth Pattern'!B$15:B$376,'Growth Pattern'!H$15:H$368)</f>
        <v>206.55</v>
      </c>
      <c r="L14" s="512">
        <f t="shared" ca="1" si="2"/>
        <v>-0.96802147382787418</v>
      </c>
      <c r="M14" s="513">
        <f>LN('Growth Pattern'!F27/'Growth Pattern'!D27)/2</f>
        <v>6.6937842982923809E-2</v>
      </c>
      <c r="N14" s="514" t="s">
        <v>2933</v>
      </c>
      <c r="O14" s="517"/>
      <c r="P14" s="514"/>
      <c r="S14" s="503"/>
      <c r="T14" s="503"/>
      <c r="U14" s="503"/>
      <c r="W14" s="504"/>
      <c r="Y14" s="505"/>
    </row>
    <row r="15" spans="1:25" x14ac:dyDescent="0.25">
      <c r="A15" s="516">
        <v>3.1575203847261406</v>
      </c>
      <c r="B15" s="516">
        <v>0.15</v>
      </c>
      <c r="C15" s="516" t="s">
        <v>3692</v>
      </c>
      <c r="D15" s="507">
        <v>0.49977051933290423</v>
      </c>
      <c r="E15" s="508">
        <f t="shared" si="0"/>
        <v>9.1480035181962682E-2</v>
      </c>
      <c r="F15" s="509">
        <f ca="1">LOOKUP(C15,'Growth Pattern'!B$15:B$376,'Growth Pattern'!D$15:D$368)-(LOOKUP(C15,'Growth Pattern'!B$15:B$376,'Growth Pattern'!H$15:H$368)*LOOKUP(C15,'Growth Pattern'!B$15:B$376,'Growth Pattern'!I$15:I$368)/100)</f>
        <v>-0.99329999999999996</v>
      </c>
      <c r="G15" s="509">
        <f ca="1">LOOKUP(C15,'Growth Pattern'!B$15:B$376,'Growth Pattern'!E$15:E$368)-(LOOKUP(C15,'Growth Pattern'!B$15:B$376,'Growth Pattern'!H$15:H$368)*LOOKUP(C15,'Growth Pattern'!B$15:B$376,'Growth Pattern'!I$15:I$368)/100)</f>
        <v>15.2567</v>
      </c>
      <c r="H15" s="509">
        <f ca="1">LOOKUP(C15,'Growth Pattern'!B$15:B$376,'Growth Pattern'!F$15:F$368)-(LOOKUP(C15,'Growth Pattern'!B$15:B$376,'Growth Pattern'!I$15:I$368)*LOOKUP(C15,'Growth Pattern'!B$15:B$376,'Growth Pattern'!H$15:H$368)/100)</f>
        <v>19.1067</v>
      </c>
      <c r="I15" s="509">
        <f ca="1">LOOKUP(C15,'Growth Pattern'!B$15:B$376,'Growth Pattern'!G$15:G$368)-(LOOKUP(C15,'Growth Pattern'!B$15:B$376,'Growth Pattern'!H$15:H$368)*LOOKUP(C15,'Growth Pattern'!B$15:B$376,'Growth Pattern'!I$15:I$368)/100)</f>
        <v>19.1067</v>
      </c>
      <c r="J15" s="510">
        <f t="shared" ca="1" si="1"/>
        <v>1308.9789436848869</v>
      </c>
      <c r="K15" s="511">
        <f ca="1">LOOKUP(C15,'Growth Pattern'!B$15:B$376,'Growth Pattern'!H$15:H$368)</f>
        <v>165.55</v>
      </c>
      <c r="L15" s="512">
        <f t="shared" ca="1" si="2"/>
        <v>-0.87352737735111108</v>
      </c>
      <c r="M15" s="513" t="e">
        <f>LN('Growth Pattern'!F28/'Growth Pattern'!D28)/2</f>
        <v>#DIV/0!</v>
      </c>
      <c r="N15" s="514" t="s">
        <v>3788</v>
      </c>
      <c r="O15" s="521">
        <v>0</v>
      </c>
      <c r="P15" s="514"/>
      <c r="S15" s="503"/>
      <c r="T15" s="503"/>
      <c r="U15" s="503"/>
      <c r="W15" s="504"/>
      <c r="Y15" s="505"/>
    </row>
    <row r="16" spans="1:25" x14ac:dyDescent="0.25">
      <c r="A16" s="507">
        <v>2.8255046161630557</v>
      </c>
      <c r="B16" s="507">
        <v>0.15</v>
      </c>
      <c r="C16" s="507" t="s">
        <v>3693</v>
      </c>
      <c r="D16" s="507">
        <v>0.34962951849313451</v>
      </c>
      <c r="E16" s="508">
        <f t="shared" si="0"/>
        <v>7.8417768108902705E-2</v>
      </c>
      <c r="F16" s="509">
        <f ca="1">LOOKUP(C16,'Growth Pattern'!B$15:B$376,'Growth Pattern'!D$15:D$368)-(LOOKUP(C16,'Growth Pattern'!B$15:B$376,'Growth Pattern'!H$15:H$368)*LOOKUP(C16,'Growth Pattern'!B$15:B$376,'Growth Pattern'!I$15:I$368)/100)</f>
        <v>-0.4032</v>
      </c>
      <c r="G16" s="509">
        <f ca="1">LOOKUP(C16,'Growth Pattern'!B$15:B$376,'Growth Pattern'!E$15:E$368)-(LOOKUP(C16,'Growth Pattern'!B$15:B$376,'Growth Pattern'!H$15:H$368)*LOOKUP(C16,'Growth Pattern'!B$15:B$376,'Growth Pattern'!I$15:I$368)/100)</f>
        <v>-0.4032</v>
      </c>
      <c r="H16" s="509">
        <f ca="1">LOOKUP(C16,'Growth Pattern'!B$15:B$376,'Growth Pattern'!F$15:F$368)-(LOOKUP(C16,'Growth Pattern'!B$15:B$376,'Growth Pattern'!I$15:I$368)*LOOKUP(C16,'Growth Pattern'!B$15:B$376,'Growth Pattern'!H$15:H$368)/100)</f>
        <v>-0.4032</v>
      </c>
      <c r="I16" s="509">
        <f ca="1">LOOKUP(C16,'Growth Pattern'!B$15:B$376,'Growth Pattern'!G$15:G$368)-(LOOKUP(C16,'Growth Pattern'!B$15:B$376,'Growth Pattern'!H$15:H$368)*LOOKUP(C16,'Growth Pattern'!B$15:B$376,'Growth Pattern'!I$15:I$368)/100)</f>
        <v>-0.4032</v>
      </c>
      <c r="J16" s="510">
        <f t="shared" ca="1" si="1"/>
        <v>202.06012170732595</v>
      </c>
      <c r="K16" s="511">
        <f ca="1">LOOKUP(C16,'Growth Pattern'!B$15:B$376,'Growth Pattern'!H$15:H$368)</f>
        <v>84</v>
      </c>
      <c r="L16" s="512">
        <f t="shared" ca="1" si="2"/>
        <v>-0.58428214686681312</v>
      </c>
      <c r="M16" s="513" t="e">
        <f>LN('Growth Pattern'!F29/'Growth Pattern'!D29)/2</f>
        <v>#DIV/0!</v>
      </c>
      <c r="N16" s="514" t="s">
        <v>1819</v>
      </c>
      <c r="O16" s="517"/>
      <c r="P16" s="522">
        <v>0.08</v>
      </c>
      <c r="S16" s="503"/>
      <c r="T16" s="503"/>
      <c r="U16" s="503"/>
      <c r="W16" s="504"/>
      <c r="Y16" s="505"/>
    </row>
    <row r="17" spans="1:25" x14ac:dyDescent="0.25">
      <c r="A17" s="516">
        <v>2.56239867651058</v>
      </c>
      <c r="B17" s="516">
        <v>0.24</v>
      </c>
      <c r="C17" s="516" t="s">
        <v>1450</v>
      </c>
      <c r="D17" s="507">
        <v>0.54884995883470866</v>
      </c>
      <c r="E17" s="508">
        <f t="shared" si="0"/>
        <v>9.5749946418619669E-2</v>
      </c>
      <c r="F17" s="509">
        <f ca="1">LOOKUP(C17,'Growth Pattern'!B$15:B$376,'Growth Pattern'!D$15:D$368)-(LOOKUP(C17,'Growth Pattern'!B$15:B$376,'Growth Pattern'!H$15:H$368)*LOOKUP(C17,'Growth Pattern'!B$15:B$376,'Growth Pattern'!I$15:I$368)/100)</f>
        <v>21.64</v>
      </c>
      <c r="G17" s="509">
        <f ca="1">LOOKUP(C17,'Growth Pattern'!B$15:B$376,'Growth Pattern'!E$15:E$368)-(LOOKUP(C17,'Growth Pattern'!B$15:B$376,'Growth Pattern'!H$15:H$368)*LOOKUP(C17,'Growth Pattern'!B$15:B$376,'Growth Pattern'!I$15:I$368)/100)</f>
        <v>25.45</v>
      </c>
      <c r="H17" s="509">
        <f ca="1">LOOKUP(C17,'Growth Pattern'!B$15:B$376,'Growth Pattern'!F$15:F$368)-(LOOKUP(C17,'Growth Pattern'!B$15:B$376,'Growth Pattern'!I$15:I$368)*LOOKUP(C17,'Growth Pattern'!B$15:B$376,'Growth Pattern'!H$15:H$368)/100)</f>
        <v>28.75</v>
      </c>
      <c r="I17" s="509">
        <f ca="1">LOOKUP(C17,'Growth Pattern'!B$15:B$376,'Growth Pattern'!G$15:G$368)-(LOOKUP(C17,'Growth Pattern'!B$15:B$376,'Growth Pattern'!H$15:H$368)*LOOKUP(C17,'Growth Pattern'!B$15:B$376,'Growth Pattern'!I$15:I$368)/100)</f>
        <v>28.75</v>
      </c>
      <c r="J17" s="510">
        <f t="shared" ca="1" si="1"/>
        <v>1456.2836390669745</v>
      </c>
      <c r="K17" s="511">
        <f ca="1">LOOKUP(C17,'Growth Pattern'!B$15:B$376,'Growth Pattern'!H$15:H$368)</f>
        <v>137.69999999999999</v>
      </c>
      <c r="L17" s="512">
        <f t="shared" ca="1" si="2"/>
        <v>-0.90544424430379311</v>
      </c>
      <c r="M17" s="513">
        <f>LN('Growth Pattern'!F30/'Growth Pattern'!D30)/2</f>
        <v>0.14204715663253933</v>
      </c>
      <c r="N17" s="514" t="s">
        <v>3790</v>
      </c>
      <c r="O17" s="517"/>
      <c r="P17" s="514"/>
      <c r="S17" s="493"/>
      <c r="T17" s="493"/>
      <c r="U17" s="494"/>
      <c r="V17" s="495"/>
      <c r="W17" s="504"/>
      <c r="Y17" s="505"/>
    </row>
    <row r="18" spans="1:25" x14ac:dyDescent="0.25">
      <c r="A18" s="507">
        <v>3.5796755842181951</v>
      </c>
      <c r="B18" s="507">
        <v>0.24</v>
      </c>
      <c r="C18" s="507" t="s">
        <v>1451</v>
      </c>
      <c r="D18" s="507">
        <v>0.5815129053624204</v>
      </c>
      <c r="E18" s="508">
        <f t="shared" si="0"/>
        <v>9.8591622766530579E-2</v>
      </c>
      <c r="F18" s="509">
        <f ca="1">LOOKUP(C18,'Growth Pattern'!B$15:B$376,'Growth Pattern'!D$15:D$368)-(LOOKUP(C18,'Growth Pattern'!B$15:B$376,'Growth Pattern'!H$15:H$368)*LOOKUP(C18,'Growth Pattern'!B$15:B$376,'Growth Pattern'!I$15:I$368)/100)</f>
        <v>21.03</v>
      </c>
      <c r="G18" s="509">
        <f ca="1">LOOKUP(C18,'Growth Pattern'!B$15:B$376,'Growth Pattern'!E$15:E$368)-(LOOKUP(C18,'Growth Pattern'!B$15:B$376,'Growth Pattern'!H$15:H$368)*LOOKUP(C18,'Growth Pattern'!B$15:B$376,'Growth Pattern'!I$15:I$368)/100)</f>
        <v>0</v>
      </c>
      <c r="H18" s="509">
        <f ca="1">LOOKUP(C18,'Growth Pattern'!B$15:B$376,'Growth Pattern'!F$15:F$368)-(LOOKUP(C18,'Growth Pattern'!B$15:B$376,'Growth Pattern'!I$15:I$368)*LOOKUP(C18,'Growth Pattern'!B$15:B$376,'Growth Pattern'!H$15:H$368)/100)</f>
        <v>0</v>
      </c>
      <c r="I18" s="509">
        <f ca="1">LOOKUP(C18,'Growth Pattern'!B$15:B$376,'Growth Pattern'!G$15:G$368)-(LOOKUP(C18,'Growth Pattern'!B$15:B$376,'Growth Pattern'!H$15:H$368)*LOOKUP(C18,'Growth Pattern'!B$15:B$376,'Growth Pattern'!I$15:I$368)/100)</f>
        <v>21.030000000000044</v>
      </c>
      <c r="J18" s="510">
        <f t="shared" ca="1" si="1"/>
        <v>874.15589610549353</v>
      </c>
      <c r="K18" s="511">
        <f ca="1">LOOKUP(C18,'Growth Pattern'!B$15:B$376,'Growth Pattern'!H$15:H$368)</f>
        <v>356.85</v>
      </c>
      <c r="L18" s="512">
        <f t="shared" ca="1" si="2"/>
        <v>-0.59177762045668891</v>
      </c>
      <c r="M18" s="513" t="e">
        <f>LN('Growth Pattern'!F31/'Growth Pattern'!D31)/2</f>
        <v>#NUM!</v>
      </c>
      <c r="N18" s="514" t="s">
        <v>919</v>
      </c>
      <c r="O18" s="517"/>
      <c r="P18" s="514"/>
      <c r="S18" s="523"/>
      <c r="T18" s="523"/>
      <c r="U18" s="523"/>
      <c r="V18" s="524"/>
      <c r="W18" s="504"/>
      <c r="Y18" s="505"/>
    </row>
    <row r="19" spans="1:25" x14ac:dyDescent="0.25">
      <c r="A19" s="507">
        <v>3.5866850189230157</v>
      </c>
      <c r="B19" s="507">
        <v>0.21</v>
      </c>
      <c r="C19" s="507" t="s">
        <v>1452</v>
      </c>
      <c r="D19" s="507">
        <v>0.68408265820771186</v>
      </c>
      <c r="E19" s="508">
        <f t="shared" si="0"/>
        <v>0.10751519126407094</v>
      </c>
      <c r="F19" s="509">
        <f ca="1">LOOKUP(C19,'Growth Pattern'!B$15:B$376,'Growth Pattern'!D$15:D$368)-(LOOKUP(C19,'Growth Pattern'!B$15:B$376,'Growth Pattern'!H$15:H$368)*LOOKUP(C19,'Growth Pattern'!B$15:B$376,'Growth Pattern'!I$15:I$368)/100)</f>
        <v>0</v>
      </c>
      <c r="G19" s="509">
        <f ca="1">LOOKUP(C19,'Growth Pattern'!B$15:B$376,'Growth Pattern'!E$15:E$368)-(LOOKUP(C19,'Growth Pattern'!B$15:B$376,'Growth Pattern'!H$15:H$368)*LOOKUP(C19,'Growth Pattern'!B$15:B$376,'Growth Pattern'!I$15:I$368)/100)</f>
        <v>0</v>
      </c>
      <c r="H19" s="509">
        <f ca="1">LOOKUP(C19,'Growth Pattern'!B$15:B$376,'Growth Pattern'!F$15:F$368)-(LOOKUP(C19,'Growth Pattern'!B$15:B$376,'Growth Pattern'!I$15:I$368)*LOOKUP(C19,'Growth Pattern'!B$15:B$376,'Growth Pattern'!H$15:H$368)/100)</f>
        <v>0</v>
      </c>
      <c r="I19" s="509">
        <f ca="1">LOOKUP(C19,'Growth Pattern'!B$15:B$376,'Growth Pattern'!G$15:G$368)-(LOOKUP(C19,'Growth Pattern'!B$15:B$376,'Growth Pattern'!H$15:H$368)*LOOKUP(C19,'Growth Pattern'!B$15:B$376,'Growth Pattern'!I$15:I$368)/100)</f>
        <v>0</v>
      </c>
      <c r="J19" s="510">
        <f t="shared" ca="1" si="1"/>
        <v>0</v>
      </c>
      <c r="K19" s="511">
        <f ca="1">LOOKUP(C19,'Growth Pattern'!B$15:B$376,'Growth Pattern'!H$15:H$368)</f>
        <v>28.8</v>
      </c>
      <c r="L19" s="512" t="e">
        <f t="shared" ca="1" si="2"/>
        <v>#DIV/0!</v>
      </c>
      <c r="M19" s="513" t="e">
        <f>LN('Growth Pattern'!F32/'Growth Pattern'!D32)/2</f>
        <v>#DIV/0!</v>
      </c>
      <c r="N19" s="514" t="s">
        <v>3509</v>
      </c>
      <c r="O19" s="517"/>
      <c r="P19" s="514"/>
      <c r="S19" s="503"/>
      <c r="T19" s="503"/>
      <c r="U19" s="503"/>
      <c r="W19" s="504"/>
      <c r="Y19" s="505"/>
    </row>
    <row r="20" spans="1:25" x14ac:dyDescent="0.25">
      <c r="A20" s="507">
        <v>9.5276841782644208</v>
      </c>
      <c r="B20" s="507">
        <v>0.16</v>
      </c>
      <c r="C20" s="507" t="s">
        <v>2290</v>
      </c>
      <c r="D20" s="507">
        <v>-0.14201932799849804</v>
      </c>
      <c r="E20" s="508">
        <f t="shared" si="0"/>
        <v>3.5644318464130673E-2</v>
      </c>
      <c r="F20" s="509">
        <f ca="1">LOOKUP(C20,'Growth Pattern'!B$15:B$376,'Growth Pattern'!D$15:D$368)-(LOOKUP(C20,'Growth Pattern'!B$15:B$376,'Growth Pattern'!H$15:H$368)*LOOKUP(C20,'Growth Pattern'!B$15:B$376,'Growth Pattern'!I$15:I$368)/100)</f>
        <v>0</v>
      </c>
      <c r="G20" s="509">
        <f ca="1">LOOKUP(C20,'Growth Pattern'!B$15:B$376,'Growth Pattern'!E$15:E$368)-(LOOKUP(C20,'Growth Pattern'!B$15:B$376,'Growth Pattern'!H$15:H$368)*LOOKUP(C20,'Growth Pattern'!B$15:B$376,'Growth Pattern'!I$15:I$368)/100)</f>
        <v>19.7</v>
      </c>
      <c r="H20" s="509">
        <f ca="1">LOOKUP(C20,'Growth Pattern'!B$15:B$376,'Growth Pattern'!F$15:F$368)-(LOOKUP(C20,'Growth Pattern'!B$15:B$376,'Growth Pattern'!I$15:I$368)*LOOKUP(C20,'Growth Pattern'!B$15:B$376,'Growth Pattern'!H$15:H$368)/100)</f>
        <v>21.8</v>
      </c>
      <c r="I20" s="509">
        <f ca="1">LOOKUP(C20,'Growth Pattern'!B$15:B$376,'Growth Pattern'!G$15:G$368)-(LOOKUP(C20,'Growth Pattern'!B$15:B$376,'Growth Pattern'!H$15:H$368)*LOOKUP(C20,'Growth Pattern'!B$15:B$376,'Growth Pattern'!I$15:I$368)/100)</f>
        <v>21.8</v>
      </c>
      <c r="J20" s="510">
        <f t="shared" ca="1" si="1"/>
        <v>-403.11417224615525</v>
      </c>
      <c r="K20" s="511">
        <f ca="1">LOOKUP(C20,'Growth Pattern'!B$15:B$376,'Growth Pattern'!H$15:H$368)</f>
        <v>7.7</v>
      </c>
      <c r="L20" s="512">
        <f t="shared" ca="1" si="2"/>
        <v>-1.0191012882456985</v>
      </c>
      <c r="M20" s="513" t="e">
        <f>LN('Growth Pattern'!F33/'Growth Pattern'!D33)/2</f>
        <v>#DIV/0!</v>
      </c>
      <c r="N20" s="525"/>
      <c r="O20" s="517"/>
      <c r="P20" s="526">
        <v>0.3</v>
      </c>
      <c r="S20" s="503"/>
      <c r="T20" s="503"/>
      <c r="U20" s="503"/>
      <c r="W20" s="504"/>
      <c r="Y20" s="505"/>
    </row>
    <row r="21" spans="1:25" x14ac:dyDescent="0.25">
      <c r="A21" s="507">
        <v>2.6580039448564263</v>
      </c>
      <c r="B21" s="507">
        <v>4.3999999999999997E-2</v>
      </c>
      <c r="C21" s="507" t="s">
        <v>2291</v>
      </c>
      <c r="D21" s="507">
        <v>0.95133090899911221</v>
      </c>
      <c r="E21" s="508">
        <f t="shared" si="0"/>
        <v>0.13076578908292277</v>
      </c>
      <c r="F21" s="509">
        <f ca="1">LOOKUP(C21,'Growth Pattern'!B$15:B$376,'Growth Pattern'!D$15:D$368)-(LOOKUP(C21,'Growth Pattern'!B$15:B$376,'Growth Pattern'!H$15:H$368)*LOOKUP(C21,'Growth Pattern'!B$15:B$376,'Growth Pattern'!I$15:I$368)/100)</f>
        <v>-4.9372700000000007</v>
      </c>
      <c r="G21" s="509">
        <f ca="1">LOOKUP(C21,'Growth Pattern'!B$15:B$376,'Growth Pattern'!E$15:E$368)-(LOOKUP(C21,'Growth Pattern'!B$15:B$376,'Growth Pattern'!H$15:H$368)*LOOKUP(C21,'Growth Pattern'!B$15:B$376,'Growth Pattern'!I$15:I$368)/100)</f>
        <v>27.362729999999996</v>
      </c>
      <c r="H21" s="509">
        <f ca="1">LOOKUP(C21,'Growth Pattern'!B$15:B$376,'Growth Pattern'!F$15:F$368)-(LOOKUP(C21,'Growth Pattern'!B$15:B$376,'Growth Pattern'!I$15:I$368)*LOOKUP(C21,'Growth Pattern'!B$15:B$376,'Growth Pattern'!H$15:H$368)/100)</f>
        <v>32.262730000000005</v>
      </c>
      <c r="I21" s="509">
        <f ca="1">LOOKUP(C21,'Growth Pattern'!B$15:B$376,'Growth Pattern'!G$15:G$368)-(LOOKUP(C21,'Growth Pattern'!B$15:B$376,'Growth Pattern'!H$15:H$368)*LOOKUP(C21,'Growth Pattern'!B$15:B$376,'Growth Pattern'!I$15:I$368)/100)</f>
        <v>32.262730000000005</v>
      </c>
      <c r="J21" s="510">
        <f t="shared" ca="1" si="1"/>
        <v>484.04712673689011</v>
      </c>
      <c r="K21" s="511">
        <f ca="1">LOOKUP(C21,'Growth Pattern'!B$15:B$376,'Growth Pattern'!H$15:H$368)</f>
        <v>211.9</v>
      </c>
      <c r="L21" s="512">
        <f t="shared" ca="1" si="2"/>
        <v>-0.56223270773554046</v>
      </c>
      <c r="M21" s="513" t="e">
        <f>LN('Growth Pattern'!F34/'Growth Pattern'!D34)/2</f>
        <v>#DIV/0!</v>
      </c>
      <c r="N21" s="514" t="s">
        <v>4729</v>
      </c>
      <c r="O21" s="517"/>
      <c r="P21" s="514"/>
      <c r="S21" s="503"/>
      <c r="T21" s="503"/>
      <c r="U21" s="503"/>
      <c r="W21" s="504"/>
      <c r="Y21" s="505"/>
    </row>
    <row r="22" spans="1:25" x14ac:dyDescent="0.25">
      <c r="A22" s="527">
        <v>1.9457123753720531</v>
      </c>
      <c r="B22" s="527">
        <v>0.02</v>
      </c>
      <c r="C22" s="527" t="s">
        <v>2292</v>
      </c>
      <c r="D22" s="507">
        <v>0.79560311788025695</v>
      </c>
      <c r="E22" s="508">
        <f t="shared" si="0"/>
        <v>0.11721747125558236</v>
      </c>
      <c r="F22" s="509">
        <f ca="1">LOOKUP(C22,'Growth Pattern'!B$15:B$376,'Growth Pattern'!D$15:D$368)-(LOOKUP(C22,'Growth Pattern'!B$15:B$376,'Growth Pattern'!H$15:H$368)*LOOKUP(C22,'Growth Pattern'!B$15:B$376,'Growth Pattern'!I$15:I$368)/100)</f>
        <v>7.6101600000000005</v>
      </c>
      <c r="G22" s="509">
        <f ca="1">LOOKUP(C22,'Growth Pattern'!B$15:B$376,'Growth Pattern'!E$15:E$368)-(LOOKUP(C22,'Growth Pattern'!B$15:B$376,'Growth Pattern'!H$15:H$368)*LOOKUP(C22,'Growth Pattern'!B$15:B$376,'Growth Pattern'!I$15:I$368)/100)</f>
        <v>10.96016</v>
      </c>
      <c r="H22" s="509">
        <f ca="1">LOOKUP(C22,'Growth Pattern'!B$15:B$376,'Growth Pattern'!F$15:F$368)-(LOOKUP(C22,'Growth Pattern'!B$15:B$376,'Growth Pattern'!I$15:I$368)*LOOKUP(C22,'Growth Pattern'!B$15:B$376,'Growth Pattern'!H$15:H$368)/100)</f>
        <v>16.31016</v>
      </c>
      <c r="I22" s="509">
        <f ca="1">LOOKUP(C22,'Growth Pattern'!B$15:B$376,'Growth Pattern'!G$15:G$368)-(LOOKUP(C22,'Growth Pattern'!B$15:B$376,'Growth Pattern'!H$15:H$368)*LOOKUP(C22,'Growth Pattern'!B$15:B$376,'Growth Pattern'!I$15:I$368)/100)</f>
        <v>23.660160000000005</v>
      </c>
      <c r="J22" s="510">
        <f t="shared" ca="1" si="1"/>
        <v>486.37507100503558</v>
      </c>
      <c r="K22" s="511">
        <f ca="1">LOOKUP(C22,'Growth Pattern'!B$15:B$376,'Growth Pattern'!H$15:H$368)</f>
        <v>484.7</v>
      </c>
      <c r="L22" s="512">
        <f t="shared" ca="1" si="2"/>
        <v>-3.4439902554509174E-3</v>
      </c>
      <c r="M22" s="513">
        <f>LN('Growth Pattern'!F35/'Growth Pattern'!D35)/2</f>
        <v>0.28936841469110058</v>
      </c>
      <c r="N22" s="514" t="s">
        <v>1310</v>
      </c>
      <c r="O22" s="528"/>
    </row>
    <row r="23" spans="1:25" x14ac:dyDescent="0.25">
      <c r="A23" s="516">
        <v>2.9667685719826591</v>
      </c>
      <c r="B23" s="516">
        <v>7.0000000000000007E-2</v>
      </c>
      <c r="C23" s="516" t="s">
        <v>2293</v>
      </c>
      <c r="D23" s="507">
        <v>0.81196060190651709</v>
      </c>
      <c r="E23" s="508">
        <f t="shared" si="0"/>
        <v>0.11864057236586699</v>
      </c>
      <c r="F23" s="509">
        <f ca="1">LOOKUP(C23,'Growth Pattern'!B$15:B$376,'Growth Pattern'!D$15:D$368)-(LOOKUP(C23,'Growth Pattern'!B$15:B$376,'Growth Pattern'!H$15:H$368)*LOOKUP(C23,'Growth Pattern'!B$15:B$376,'Growth Pattern'!I$15:I$368)/100)</f>
        <v>12.96</v>
      </c>
      <c r="G23" s="509">
        <f ca="1">LOOKUP(C23,'Growth Pattern'!B$15:B$376,'Growth Pattern'!E$15:E$368)-(LOOKUP(C23,'Growth Pattern'!B$15:B$376,'Growth Pattern'!H$15:H$368)*LOOKUP(C23,'Growth Pattern'!B$15:B$376,'Growth Pattern'!I$15:I$368)/100)</f>
        <v>6.84</v>
      </c>
      <c r="H23" s="509">
        <f ca="1">LOOKUP(C23,'Growth Pattern'!B$15:B$376,'Growth Pattern'!F$15:F$368)-(LOOKUP(C23,'Growth Pattern'!B$15:B$376,'Growth Pattern'!I$15:I$368)*LOOKUP(C23,'Growth Pattern'!B$15:B$376,'Growth Pattern'!H$15:H$368)/100)</f>
        <v>8.6</v>
      </c>
      <c r="I23" s="509">
        <f ca="1">LOOKUP(C23,'Growth Pattern'!B$15:B$376,'Growth Pattern'!G$15:G$368)-(LOOKUP(C23,'Growth Pattern'!B$15:B$376,'Growth Pattern'!H$15:H$368)*LOOKUP(C23,'Growth Pattern'!B$15:B$376,'Growth Pattern'!I$15:I$368)/100)</f>
        <v>18.240000000000009</v>
      </c>
      <c r="J23" s="510">
        <f t="shared" ca="1" si="1"/>
        <v>363.16420008490132</v>
      </c>
      <c r="K23" s="511">
        <f ca="1">LOOKUP(C23,'Growth Pattern'!B$15:B$376,'Growth Pattern'!H$15:H$368)</f>
        <v>65.849999999999994</v>
      </c>
      <c r="L23" s="512">
        <f t="shared" ca="1" si="2"/>
        <v>-0.81867706127254447</v>
      </c>
      <c r="M23" s="513">
        <f>LN('Growth Pattern'!F36/'Growth Pattern'!D36)/2</f>
        <v>-0.20505274383233332</v>
      </c>
      <c r="N23" s="525"/>
      <c r="O23" s="528"/>
    </row>
    <row r="24" spans="1:25" x14ac:dyDescent="0.25">
      <c r="A24" s="516">
        <v>2.9902998747195144</v>
      </c>
      <c r="B24" s="516">
        <v>0.23</v>
      </c>
      <c r="C24" s="516" t="s">
        <v>4726</v>
      </c>
      <c r="D24" s="507">
        <v>6.6865195214735565E-2</v>
      </c>
      <c r="E24" s="508">
        <f t="shared" si="0"/>
        <v>5.3817271983681997E-2</v>
      </c>
      <c r="F24" s="509">
        <f ca="1">LOOKUP(C24,'Growth Pattern'!B$15:B$376,'Growth Pattern'!D$15:D$368)-(LOOKUP(C24,'Growth Pattern'!B$15:B$376,'Growth Pattern'!H$15:H$368)*LOOKUP(C24,'Growth Pattern'!B$15:B$376,'Growth Pattern'!I$15:I$368)/100)</f>
        <v>2.7320850000000005</v>
      </c>
      <c r="G24" s="509">
        <f ca="1">LOOKUP(C24,'Growth Pattern'!B$15:B$376,'Growth Pattern'!E$15:E$368)-(LOOKUP(C24,'Growth Pattern'!B$15:B$376,'Growth Pattern'!H$15:H$368)*LOOKUP(C24,'Growth Pattern'!B$15:B$376,'Growth Pattern'!I$15:I$368)/100)</f>
        <v>6.9320849999999998</v>
      </c>
      <c r="H24" s="509">
        <f ca="1">LOOKUP(C24,'Growth Pattern'!B$15:B$376,'Growth Pattern'!F$15:F$368)-(LOOKUP(C24,'Growth Pattern'!B$15:B$376,'Growth Pattern'!I$15:I$368)*LOOKUP(C24,'Growth Pattern'!B$15:B$376,'Growth Pattern'!H$15:H$368)/100)</f>
        <v>8.002085000000001</v>
      </c>
      <c r="I24" s="509">
        <f ca="1">LOOKUP(C24,'Growth Pattern'!B$15:B$376,'Growth Pattern'!G$15:G$368)-(LOOKUP(C24,'Growth Pattern'!B$15:B$376,'Growth Pattern'!H$15:H$368)*LOOKUP(C24,'Growth Pattern'!B$15:B$376,'Growth Pattern'!I$15:I$368)/100)</f>
        <v>8.002085000000001</v>
      </c>
      <c r="J24" s="510">
        <f t="shared" ca="1" si="1"/>
        <v>-244.63558650871101</v>
      </c>
      <c r="K24" s="511">
        <f ca="1">LOOKUP(C24,'Growth Pattern'!B$15:B$376,'Growth Pattern'!H$15:H$368)</f>
        <v>63.65</v>
      </c>
      <c r="L24" s="512">
        <f t="shared" ca="1" si="2"/>
        <v>-1.2601829149567882</v>
      </c>
      <c r="M24" s="513">
        <f>LN('Growth Pattern'!F37/'Growth Pattern'!D37)/2</f>
        <v>0.32608987103586112</v>
      </c>
      <c r="N24" s="525"/>
      <c r="O24" s="528"/>
    </row>
    <row r="25" spans="1:25" x14ac:dyDescent="0.25">
      <c r="A25" s="516">
        <v>3.9949345602356199</v>
      </c>
      <c r="B25" s="516">
        <v>0.2</v>
      </c>
      <c r="C25" s="516" t="s">
        <v>1399</v>
      </c>
      <c r="D25" s="507">
        <v>0.46853837261967518</v>
      </c>
      <c r="E25" s="508">
        <f t="shared" si="0"/>
        <v>8.8762838417911744E-2</v>
      </c>
      <c r="F25" s="509">
        <f ca="1">LOOKUP(C25,'Growth Pattern'!B$15:B$376,'Growth Pattern'!D$15:D$368)-(LOOKUP(C25,'Growth Pattern'!B$15:B$376,'Growth Pattern'!H$15:H$368)*LOOKUP(C25,'Growth Pattern'!B$15:B$376,'Growth Pattern'!I$15:I$368)/100)</f>
        <v>0</v>
      </c>
      <c r="G25" s="509">
        <f ca="1">LOOKUP(C25,'Growth Pattern'!B$15:B$376,'Growth Pattern'!E$15:E$368)-(LOOKUP(C25,'Growth Pattern'!B$15:B$376,'Growth Pattern'!H$15:H$368)*LOOKUP(C25,'Growth Pattern'!B$15:B$376,'Growth Pattern'!I$15:I$368)/100)</f>
        <v>4.5</v>
      </c>
      <c r="H25" s="509">
        <f ca="1">LOOKUP(C25,'Growth Pattern'!B$15:B$376,'Growth Pattern'!F$15:F$368)-(LOOKUP(C25,'Growth Pattern'!B$15:B$376,'Growth Pattern'!I$15:I$368)*LOOKUP(C25,'Growth Pattern'!B$15:B$376,'Growth Pattern'!H$15:H$368)/100)</f>
        <v>5.7</v>
      </c>
      <c r="I25" s="509">
        <f ca="1">LOOKUP(C25,'Growth Pattern'!B$15:B$376,'Growth Pattern'!G$15:G$368)-(LOOKUP(C25,'Growth Pattern'!B$15:B$376,'Growth Pattern'!H$15:H$368)*LOOKUP(C25,'Growth Pattern'!B$15:B$376,'Growth Pattern'!I$15:I$368)/100)</f>
        <v>5.7</v>
      </c>
      <c r="J25" s="510">
        <f t="shared" ca="1" si="1"/>
        <v>512.94120838967865</v>
      </c>
      <c r="K25" s="511">
        <f ca="1">LOOKUP(C25,'Growth Pattern'!B$15:B$376,'Growth Pattern'!H$15:H$368)</f>
        <v>73.150000000000006</v>
      </c>
      <c r="L25" s="512">
        <f t="shared" ca="1" si="2"/>
        <v>-0.85739106392008124</v>
      </c>
      <c r="M25" s="513" t="e">
        <f>LN('Growth Pattern'!F38/'Growth Pattern'!D38)/2</f>
        <v>#DIV/0!</v>
      </c>
      <c r="N25" s="525"/>
      <c r="O25" s="528"/>
    </row>
    <row r="26" spans="1:25" x14ac:dyDescent="0.25">
      <c r="A26" s="516">
        <v>2.9801087218290774</v>
      </c>
      <c r="B26" s="516">
        <v>0.1</v>
      </c>
      <c r="C26" s="516" t="s">
        <v>2294</v>
      </c>
      <c r="D26" s="507">
        <v>0.52050785869680982</v>
      </c>
      <c r="E26" s="508">
        <f t="shared" si="0"/>
        <v>9.3284183706622462E-2</v>
      </c>
      <c r="F26" s="509">
        <f ca="1">LOOKUP(C26,'Growth Pattern'!B$15:B$376,'Growth Pattern'!D$15:D$368)-(LOOKUP(C26,'Growth Pattern'!B$15:B$376,'Growth Pattern'!H$15:H$368)*LOOKUP(C26,'Growth Pattern'!B$15:B$376,'Growth Pattern'!I$15:I$368)/100)</f>
        <v>0</v>
      </c>
      <c r="G26" s="509">
        <f ca="1">LOOKUP(C26,'Growth Pattern'!B$15:B$376,'Growth Pattern'!E$15:E$368)-(LOOKUP(C26,'Growth Pattern'!B$15:B$376,'Growth Pattern'!H$15:H$368)*LOOKUP(C26,'Growth Pattern'!B$15:B$376,'Growth Pattern'!I$15:I$368)/100)</f>
        <v>1.2</v>
      </c>
      <c r="H26" s="509">
        <f ca="1">LOOKUP(C26,'Growth Pattern'!B$15:B$376,'Growth Pattern'!F$15:F$368)-(LOOKUP(C26,'Growth Pattern'!B$15:B$376,'Growth Pattern'!I$15:I$368)*LOOKUP(C26,'Growth Pattern'!B$15:B$376,'Growth Pattern'!H$15:H$368)/100)</f>
        <v>3</v>
      </c>
      <c r="I26" s="509">
        <f ca="1">LOOKUP(C26,'Growth Pattern'!B$15:B$376,'Growth Pattern'!G$15:G$368)-(LOOKUP(C26,'Growth Pattern'!B$15:B$376,'Growth Pattern'!H$15:H$368)*LOOKUP(C26,'Growth Pattern'!B$15:B$376,'Growth Pattern'!I$15:I$368)/100)</f>
        <v>5.4000000000000021</v>
      </c>
      <c r="J26" s="510">
        <f t="shared" ca="1" si="1"/>
        <v>314.67862155777141</v>
      </c>
      <c r="K26" s="511">
        <f ca="1">LOOKUP(C26,'Growth Pattern'!B$15:B$376,'Growth Pattern'!H$15:H$368)</f>
        <v>89.85</v>
      </c>
      <c r="L26" s="512">
        <f t="shared" ca="1" si="2"/>
        <v>-0.71447059366406762</v>
      </c>
      <c r="M26" s="513" t="e">
        <f>LN('Growth Pattern'!F39/'Growth Pattern'!D39)/2</f>
        <v>#DIV/0!</v>
      </c>
      <c r="N26" s="525"/>
      <c r="O26" s="528"/>
    </row>
    <row r="27" spans="1:25" x14ac:dyDescent="0.25">
      <c r="A27" s="516">
        <v>2.5114477099345796</v>
      </c>
      <c r="B27" s="516">
        <v>7.0000000000000007E-2</v>
      </c>
      <c r="C27" s="516" t="s">
        <v>1412</v>
      </c>
      <c r="D27" s="507">
        <v>0.61087213061300816</v>
      </c>
      <c r="E27" s="508">
        <f t="shared" si="0"/>
        <v>0.10114587536333172</v>
      </c>
      <c r="F27" s="509">
        <f ca="1">LOOKUP(C27,'Growth Pattern'!B$15:B$376,'Growth Pattern'!D$15:D$368)-(LOOKUP(C27,'Growth Pattern'!B$15:B$376,'Growth Pattern'!H$15:H$368)*LOOKUP(C27,'Growth Pattern'!B$15:B$376,'Growth Pattern'!I$15:I$368)/100)</f>
        <v>3.2</v>
      </c>
      <c r="G27" s="509">
        <f ca="1">LOOKUP(C27,'Growth Pattern'!B$15:B$376,'Growth Pattern'!E$15:E$368)-(LOOKUP(C27,'Growth Pattern'!B$15:B$376,'Growth Pattern'!H$15:H$368)*LOOKUP(C27,'Growth Pattern'!B$15:B$376,'Growth Pattern'!I$15:I$368)/100)</f>
        <v>4.4000000000000004</v>
      </c>
      <c r="H27" s="509">
        <f ca="1">LOOKUP(C27,'Growth Pattern'!B$15:B$376,'Growth Pattern'!F$15:F$368)-(LOOKUP(C27,'Growth Pattern'!B$15:B$376,'Growth Pattern'!I$15:I$368)*LOOKUP(C27,'Growth Pattern'!B$15:B$376,'Growth Pattern'!H$15:H$368)/100)</f>
        <v>5.7</v>
      </c>
      <c r="I27" s="509">
        <f ca="1">LOOKUP(C27,'Growth Pattern'!B$15:B$376,'Growth Pattern'!G$15:G$368)-(LOOKUP(C27,'Growth Pattern'!B$15:B$376,'Growth Pattern'!H$15:H$368)*LOOKUP(C27,'Growth Pattern'!B$15:B$376,'Growth Pattern'!I$15:I$368)/100)</f>
        <v>7.1000000000000005</v>
      </c>
      <c r="J27" s="510">
        <f t="shared" ca="1" si="1"/>
        <v>263.37369001290779</v>
      </c>
      <c r="K27" s="511">
        <f ca="1">LOOKUP(C27,'Growth Pattern'!B$15:B$376,'Growth Pattern'!H$15:H$368)</f>
        <v>51.2</v>
      </c>
      <c r="L27" s="512">
        <f t="shared" ca="1" si="2"/>
        <v>-0.80559941276787861</v>
      </c>
      <c r="M27" s="513">
        <f>LN('Growth Pattern'!F40/'Growth Pattern'!D40)/2</f>
        <v>0.28865768251741181</v>
      </c>
      <c r="N27" s="525"/>
      <c r="O27" s="528"/>
    </row>
    <row r="28" spans="1:25" x14ac:dyDescent="0.25">
      <c r="A28" s="516">
        <v>1.6599279596657104</v>
      </c>
      <c r="B28" s="516">
        <v>0.01</v>
      </c>
      <c r="C28" s="516" t="s">
        <v>1400</v>
      </c>
      <c r="D28" s="507">
        <v>1.222020081378981</v>
      </c>
      <c r="E28" s="508">
        <f t="shared" si="0"/>
        <v>0.15431574707997137</v>
      </c>
      <c r="F28" s="509">
        <f ca="1">LOOKUP(C28,'Growth Pattern'!B$15:B$376,'Growth Pattern'!D$15:D$368)-(LOOKUP(C28,'Growth Pattern'!B$15:B$376,'Growth Pattern'!H$15:H$368)*LOOKUP(C28,'Growth Pattern'!B$15:B$376,'Growth Pattern'!I$15:I$368)/100)</f>
        <v>87.12</v>
      </c>
      <c r="G28" s="509">
        <f ca="1">LOOKUP(C28,'Growth Pattern'!B$15:B$376,'Growth Pattern'!E$15:E$368)-(LOOKUP(C28,'Growth Pattern'!B$15:B$376,'Growth Pattern'!H$15:H$368)*LOOKUP(C28,'Growth Pattern'!B$15:B$376,'Growth Pattern'!I$15:I$368)/100)</f>
        <v>92.35</v>
      </c>
      <c r="H28" s="509">
        <f ca="1">LOOKUP(C28,'Growth Pattern'!B$15:B$376,'Growth Pattern'!F$15:F$368)-(LOOKUP(C28,'Growth Pattern'!B$15:B$376,'Growth Pattern'!I$15:I$368)*LOOKUP(C28,'Growth Pattern'!B$15:B$376,'Growth Pattern'!H$15:H$368)/100)</f>
        <v>111.2</v>
      </c>
      <c r="I28" s="509">
        <f ca="1">LOOKUP(C28,'Growth Pattern'!B$15:B$376,'Growth Pattern'!G$15:G$368)-(LOOKUP(C28,'Growth Pattern'!B$15:B$376,'Growth Pattern'!H$15:H$368)*LOOKUP(C28,'Growth Pattern'!B$15:B$376,'Growth Pattern'!I$15:I$368)/100)</f>
        <v>143.67000000000004</v>
      </c>
      <c r="J28" s="510">
        <f t="shared" ca="1" si="1"/>
        <v>1507.5105604054038</v>
      </c>
      <c r="K28" s="511">
        <f ca="1">LOOKUP(C28,'Growth Pattern'!B$15:B$376,'Growth Pattern'!H$15:H$368)</f>
        <v>2909.75</v>
      </c>
      <c r="L28" s="512">
        <f t="shared" ca="1" si="2"/>
        <v>0.93016889992299767</v>
      </c>
      <c r="M28" s="513">
        <f>LN('Growth Pattern'!F41/'Growth Pattern'!D41)/2</f>
        <v>0.12202195159588847</v>
      </c>
      <c r="N28" s="525"/>
      <c r="O28" s="528"/>
    </row>
    <row r="29" spans="1:25" x14ac:dyDescent="0.25">
      <c r="A29" s="516">
        <v>2.7703997180344593</v>
      </c>
      <c r="B29" s="516">
        <v>0.17</v>
      </c>
      <c r="C29" s="516" t="s">
        <v>1414</v>
      </c>
      <c r="D29" s="507">
        <v>0.16813165480029466</v>
      </c>
      <c r="E29" s="508">
        <f t="shared" si="0"/>
        <v>6.2627453967625632E-2</v>
      </c>
      <c r="F29" s="509">
        <f ca="1">LOOKUP(C29,'Growth Pattern'!B$15:B$376,'Growth Pattern'!D$15:D$368)-(LOOKUP(C29,'Growth Pattern'!B$15:B$376,'Growth Pattern'!H$15:H$368)*LOOKUP(C29,'Growth Pattern'!B$15:B$376,'Growth Pattern'!I$15:I$368)/100)</f>
        <v>17.82</v>
      </c>
      <c r="G29" s="509">
        <f ca="1">LOOKUP(C29,'Growth Pattern'!B$15:B$376,'Growth Pattern'!E$15:E$368)-(LOOKUP(C29,'Growth Pattern'!B$15:B$376,'Growth Pattern'!H$15:H$368)*LOOKUP(C29,'Growth Pattern'!B$15:B$376,'Growth Pattern'!I$15:I$368)/100)</f>
        <v>18.96</v>
      </c>
      <c r="H29" s="509">
        <f ca="1">LOOKUP(C29,'Growth Pattern'!B$15:B$376,'Growth Pattern'!F$15:F$368)-(LOOKUP(C29,'Growth Pattern'!B$15:B$376,'Growth Pattern'!I$15:I$368)*LOOKUP(C29,'Growth Pattern'!B$15:B$376,'Growth Pattern'!H$15:H$368)/100)</f>
        <v>22.93</v>
      </c>
      <c r="I29" s="509">
        <f ca="1">LOOKUP(C29,'Growth Pattern'!B$15:B$376,'Growth Pattern'!G$15:G$368)-(LOOKUP(C29,'Growth Pattern'!B$15:B$376,'Growth Pattern'!H$15:H$368)*LOOKUP(C29,'Growth Pattern'!B$15:B$376,'Growth Pattern'!I$15:I$368)/100)</f>
        <v>29.729999999999997</v>
      </c>
      <c r="J29" s="510">
        <f t="shared" ca="1" si="1"/>
        <v>-1370.2565861329972</v>
      </c>
      <c r="K29" s="511">
        <f ca="1">LOOKUP(C29,'Growth Pattern'!B$15:B$376,'Growth Pattern'!H$15:H$368)</f>
        <v>193.4</v>
      </c>
      <c r="L29" s="512">
        <f t="shared" ca="1" si="2"/>
        <v>-1.1411414489499332</v>
      </c>
      <c r="M29" s="513">
        <f>LN('Growth Pattern'!F42/'Growth Pattern'!D42)/2</f>
        <v>0.12606233741357487</v>
      </c>
      <c r="N29" s="529" t="s">
        <v>3633</v>
      </c>
      <c r="O29" s="530">
        <f>1/(P13-P16-O15)</f>
        <v>18.18181818181818</v>
      </c>
      <c r="P29" s="501" t="s">
        <v>3634</v>
      </c>
    </row>
    <row r="30" spans="1:25" x14ac:dyDescent="0.25">
      <c r="A30" s="516">
        <v>3.8642066831568722</v>
      </c>
      <c r="B30" s="516">
        <v>0.11</v>
      </c>
      <c r="C30" s="516" t="s">
        <v>3679</v>
      </c>
      <c r="D30" s="507">
        <v>0.34601799374653341</v>
      </c>
      <c r="E30" s="508">
        <f t="shared" si="0"/>
        <v>7.8103565455948404E-2</v>
      </c>
      <c r="F30" s="509">
        <f ca="1">LOOKUP(C30,'Growth Pattern'!B$15:B$376,'Growth Pattern'!D$15:D$368)-(LOOKUP(C30,'Growth Pattern'!B$15:B$376,'Growth Pattern'!H$15:H$368)*LOOKUP(C30,'Growth Pattern'!B$15:B$376,'Growth Pattern'!I$15:I$368)/100)</f>
        <v>20.652040000000003</v>
      </c>
      <c r="G30" s="509">
        <f ca="1">LOOKUP(C30,'Growth Pattern'!B$15:B$376,'Growth Pattern'!E$15:E$368)-(LOOKUP(C30,'Growth Pattern'!B$15:B$376,'Growth Pattern'!H$15:H$368)*LOOKUP(C30,'Growth Pattern'!B$15:B$376,'Growth Pattern'!I$15:I$368)/100)</f>
        <v>24.082040000000003</v>
      </c>
      <c r="H30" s="509">
        <f ca="1">LOOKUP(C30,'Growth Pattern'!B$15:B$376,'Growth Pattern'!F$15:F$368)-(LOOKUP(C30,'Growth Pattern'!B$15:B$376,'Growth Pattern'!I$15:I$368)*LOOKUP(C30,'Growth Pattern'!B$15:B$376,'Growth Pattern'!H$15:H$368)/100)</f>
        <v>35.182040000000001</v>
      </c>
      <c r="I30" s="509">
        <f ca="1">LOOKUP(C30,'Growth Pattern'!B$15:B$376,'Growth Pattern'!G$15:G$368)-(LOOKUP(C30,'Growth Pattern'!B$15:B$376,'Growth Pattern'!H$15:H$368)*LOOKUP(C30,'Growth Pattern'!B$15:B$376,'Growth Pattern'!I$15:I$368)/100)</f>
        <v>53.952039999999997</v>
      </c>
      <c r="J30" s="510">
        <f t="shared" ca="1" si="1"/>
        <v>-22630.019362996663</v>
      </c>
      <c r="K30" s="511">
        <f ca="1">LOOKUP(C30,'Growth Pattern'!B$15:B$376,'Growth Pattern'!H$15:H$368)</f>
        <v>430.2</v>
      </c>
      <c r="L30" s="512">
        <f t="shared" ca="1" si="2"/>
        <v>-1.0190101472340514</v>
      </c>
      <c r="M30" s="513">
        <f>LN('Growth Pattern'!F43/'Growth Pattern'!D43)/2</f>
        <v>0.20210365911095721</v>
      </c>
      <c r="N30" s="531" t="s">
        <v>1815</v>
      </c>
      <c r="O30" s="532">
        <f ca="1">COUNT(L2:L369)</f>
        <v>326</v>
      </c>
    </row>
    <row r="31" spans="1:25" x14ac:dyDescent="0.25">
      <c r="A31" s="516">
        <v>28.755547280300203</v>
      </c>
      <c r="B31" s="516"/>
      <c r="C31" s="516" t="s">
        <v>3681</v>
      </c>
      <c r="D31" s="507">
        <v>0.85448885523331497</v>
      </c>
      <c r="E31" s="508">
        <f t="shared" si="0"/>
        <v>0.12234053040529841</v>
      </c>
      <c r="F31" s="509">
        <f ca="1">LOOKUP(C31,'Growth Pattern'!B$15:B$376,'Growth Pattern'!D$15:D$368)-(LOOKUP(C31,'Growth Pattern'!B$15:B$376,'Growth Pattern'!H$15:H$368)*LOOKUP(C31,'Growth Pattern'!B$15:B$376,'Growth Pattern'!I$15:I$368)/100)</f>
        <v>0</v>
      </c>
      <c r="G31" s="509">
        <f ca="1">LOOKUP(C31,'Growth Pattern'!B$15:B$376,'Growth Pattern'!E$15:E$368)-(LOOKUP(C31,'Growth Pattern'!B$15:B$376,'Growth Pattern'!H$15:H$368)*LOOKUP(C31,'Growth Pattern'!B$15:B$376,'Growth Pattern'!I$15:I$368)/100)</f>
        <v>0</v>
      </c>
      <c r="H31" s="509">
        <f ca="1">LOOKUP(C31,'Growth Pattern'!B$15:B$376,'Growth Pattern'!F$15:F$368)-(LOOKUP(C31,'Growth Pattern'!B$15:B$376,'Growth Pattern'!I$15:I$368)*LOOKUP(C31,'Growth Pattern'!B$15:B$376,'Growth Pattern'!H$15:H$368)/100)</f>
        <v>0</v>
      </c>
      <c r="I31" s="509">
        <f ca="1">LOOKUP(C31,'Growth Pattern'!B$15:B$376,'Growth Pattern'!G$15:G$368)-(LOOKUP(C31,'Growth Pattern'!B$15:B$376,'Growth Pattern'!H$15:H$368)*LOOKUP(C31,'Growth Pattern'!B$15:B$376,'Growth Pattern'!I$15:I$368)/100)</f>
        <v>0</v>
      </c>
      <c r="J31" s="510">
        <f t="shared" ca="1" si="1"/>
        <v>0</v>
      </c>
      <c r="K31" s="511">
        <f ca="1">LOOKUP(C31,'Growth Pattern'!B$15:B$376,'Growth Pattern'!H$15:H$368)</f>
        <v>10</v>
      </c>
      <c r="L31" s="512" t="e">
        <f t="shared" ca="1" si="2"/>
        <v>#DIV/0!</v>
      </c>
      <c r="M31" s="513" t="e">
        <f>LN('Growth Pattern'!F44/'Growth Pattern'!D44)/2</f>
        <v>#DIV/0!</v>
      </c>
      <c r="N31" s="533" t="s">
        <v>548</v>
      </c>
      <c r="O31" s="534">
        <f ca="1">COUNTIF(L2:L369,"&gt;.3")</f>
        <v>7</v>
      </c>
      <c r="P31" s="535">
        <f ca="1">O31/O30</f>
        <v>2.1472392638036811E-2</v>
      </c>
    </row>
    <row r="32" spans="1:25" x14ac:dyDescent="0.25">
      <c r="A32" s="516">
        <v>2.0490399901454119</v>
      </c>
      <c r="B32" s="516">
        <v>0.05</v>
      </c>
      <c r="C32" s="516" t="s">
        <v>4138</v>
      </c>
      <c r="D32" s="507">
        <v>0.56761679115464214</v>
      </c>
      <c r="E32" s="508">
        <f t="shared" si="0"/>
        <v>9.7382660830453882E-2</v>
      </c>
      <c r="F32" s="509">
        <f ca="1">LOOKUP(C32,'Growth Pattern'!B$15:B$376,'Growth Pattern'!D$15:D$368)-(LOOKUP(C32,'Growth Pattern'!B$15:B$376,'Growth Pattern'!H$15:H$368)*LOOKUP(C32,'Growth Pattern'!B$15:B$376,'Growth Pattern'!I$15:I$368)/100)</f>
        <v>0</v>
      </c>
      <c r="G32" s="509">
        <f ca="1">LOOKUP(C32,'Growth Pattern'!B$15:B$376,'Growth Pattern'!E$15:E$368)-(LOOKUP(C32,'Growth Pattern'!B$15:B$376,'Growth Pattern'!H$15:H$368)*LOOKUP(C32,'Growth Pattern'!B$15:B$376,'Growth Pattern'!I$15:I$368)/100)</f>
        <v>0</v>
      </c>
      <c r="H32" s="509">
        <f ca="1">LOOKUP(C32,'Growth Pattern'!B$15:B$376,'Growth Pattern'!F$15:F$368)-(LOOKUP(C32,'Growth Pattern'!B$15:B$376,'Growth Pattern'!I$15:I$368)*LOOKUP(C32,'Growth Pattern'!B$15:B$376,'Growth Pattern'!H$15:H$368)/100)</f>
        <v>0</v>
      </c>
      <c r="I32" s="509">
        <f ca="1">LOOKUP(C32,'Growth Pattern'!B$15:B$376,'Growth Pattern'!G$15:G$368)-(LOOKUP(C32,'Growth Pattern'!B$15:B$376,'Growth Pattern'!H$15:H$368)*LOOKUP(C32,'Growth Pattern'!B$15:B$376,'Growth Pattern'!I$15:I$368)/100)</f>
        <v>0</v>
      </c>
      <c r="J32" s="510">
        <f t="shared" ca="1" si="1"/>
        <v>0</v>
      </c>
      <c r="K32" s="511">
        <f ca="1">LOOKUP(C32,'Growth Pattern'!B$15:B$376,'Growth Pattern'!H$15:H$368)</f>
        <v>762.95</v>
      </c>
      <c r="L32" s="512" t="e">
        <f t="shared" ca="1" si="2"/>
        <v>#DIV/0!</v>
      </c>
      <c r="M32" s="513" t="e">
        <f>LN('Growth Pattern'!F45/'Growth Pattern'!D45)/2</f>
        <v>#DIV/0!</v>
      </c>
      <c r="N32" s="523" t="s">
        <v>549</v>
      </c>
      <c r="O32" s="536">
        <f ca="1">COUNTIF(L2:L369,"&gt;-.15")-O31</f>
        <v>12</v>
      </c>
      <c r="P32" s="535">
        <f ca="1">O32/O30</f>
        <v>3.6809815950920248E-2</v>
      </c>
    </row>
    <row r="33" spans="1:16" x14ac:dyDescent="0.25">
      <c r="A33" s="527">
        <v>0.40057637833999848</v>
      </c>
      <c r="B33" s="527">
        <v>0.01</v>
      </c>
      <c r="C33" s="537" t="s">
        <v>2295</v>
      </c>
      <c r="D33" s="507">
        <v>0.97050794150642816</v>
      </c>
      <c r="E33" s="508">
        <f t="shared" si="0"/>
        <v>0.13243419091105926</v>
      </c>
      <c r="F33" s="509">
        <f ca="1">LOOKUP(C33,'Growth Pattern'!B$15:B$376,'Growth Pattern'!D$15:D$368)-(LOOKUP(C33,'Growth Pattern'!B$15:B$376,'Growth Pattern'!H$15:H$368)*LOOKUP(C33,'Growth Pattern'!B$15:B$376,'Growth Pattern'!I$15:I$368)/100)</f>
        <v>10.287825</v>
      </c>
      <c r="G33" s="509">
        <f ca="1">LOOKUP(C33,'Growth Pattern'!B$15:B$376,'Growth Pattern'!E$15:E$368)-(LOOKUP(C33,'Growth Pattern'!B$15:B$376,'Growth Pattern'!H$15:H$368)*LOOKUP(C33,'Growth Pattern'!B$15:B$376,'Growth Pattern'!I$15:I$368)/100)</f>
        <v>12.757825</v>
      </c>
      <c r="H33" s="509">
        <f ca="1">LOOKUP(C33,'Growth Pattern'!B$15:B$376,'Growth Pattern'!F$15:F$368)-(LOOKUP(C33,'Growth Pattern'!B$15:B$376,'Growth Pattern'!I$15:I$368)*LOOKUP(C33,'Growth Pattern'!B$15:B$376,'Growth Pattern'!H$15:H$368)/100)</f>
        <v>17.157825000000003</v>
      </c>
      <c r="I33" s="509">
        <f ca="1">LOOKUP(C33,'Growth Pattern'!B$15:B$376,'Growth Pattern'!G$15:G$368)-(LOOKUP(C33,'Growth Pattern'!B$15:B$376,'Growth Pattern'!H$15:H$368)*LOOKUP(C33,'Growth Pattern'!B$15:B$376,'Growth Pattern'!I$15:I$368)/100)</f>
        <v>23.487825000000001</v>
      </c>
      <c r="J33" s="510">
        <f t="shared" ca="1" si="1"/>
        <v>343.38627886357614</v>
      </c>
      <c r="K33" s="511">
        <f ca="1">LOOKUP(C33,'Growth Pattern'!B$15:B$376,'Growth Pattern'!H$15:H$368)</f>
        <v>232.25</v>
      </c>
      <c r="L33" s="512">
        <f t="shared" ca="1" si="2"/>
        <v>-0.32364798975479581</v>
      </c>
      <c r="M33" s="513">
        <f>LN('Growth Pattern'!F46/'Growth Pattern'!D46)/2</f>
        <v>0.21647466871114751</v>
      </c>
      <c r="N33" s="538" t="s">
        <v>550</v>
      </c>
      <c r="O33" s="539">
        <f ca="1">COUNTIF(L2:L369,"&lt;-.15 ")</f>
        <v>307</v>
      </c>
      <c r="P33" s="535">
        <f ca="1">O33/O30</f>
        <v>0.94171779141104295</v>
      </c>
    </row>
    <row r="34" spans="1:16" x14ac:dyDescent="0.25">
      <c r="A34" s="516">
        <v>3.4136357307967118</v>
      </c>
      <c r="B34" s="516">
        <v>0.1</v>
      </c>
      <c r="C34" s="516" t="s">
        <v>2296</v>
      </c>
      <c r="D34" s="507">
        <v>1.0820304520919002</v>
      </c>
      <c r="E34" s="508">
        <f t="shared" si="0"/>
        <v>0.14213664933199532</v>
      </c>
      <c r="F34" s="509">
        <f ca="1">LOOKUP(C34,'Growth Pattern'!B$15:B$376,'Growth Pattern'!D$15:D$368)-(LOOKUP(C34,'Growth Pattern'!B$15:B$376,'Growth Pattern'!H$15:H$368)*LOOKUP(C34,'Growth Pattern'!B$15:B$376,'Growth Pattern'!I$15:I$368)/100)</f>
        <v>1.8075499999999998</v>
      </c>
      <c r="G34" s="509">
        <f ca="1">LOOKUP(C34,'Growth Pattern'!B$15:B$376,'Growth Pattern'!E$15:E$368)-(LOOKUP(C34,'Growth Pattern'!B$15:B$376,'Growth Pattern'!H$15:H$368)*LOOKUP(C34,'Growth Pattern'!B$15:B$376,'Growth Pattern'!I$15:I$368)/100)</f>
        <v>1.4475499999999999</v>
      </c>
      <c r="H34" s="509">
        <f ca="1">LOOKUP(C34,'Growth Pattern'!B$15:B$376,'Growth Pattern'!F$15:F$368)-(LOOKUP(C34,'Growth Pattern'!B$15:B$376,'Growth Pattern'!I$15:I$368)*LOOKUP(C34,'Growth Pattern'!B$15:B$376,'Growth Pattern'!H$15:H$368)/100)</f>
        <v>6.05755</v>
      </c>
      <c r="I34" s="509">
        <f ca="1">LOOKUP(C34,'Growth Pattern'!B$15:B$376,'Growth Pattern'!G$15:G$368)-(LOOKUP(C34,'Growth Pattern'!B$15:B$376,'Growth Pattern'!H$15:H$368)*LOOKUP(C34,'Growth Pattern'!B$15:B$376,'Growth Pattern'!I$15:I$368)/100)</f>
        <v>15.637549999999999</v>
      </c>
      <c r="J34" s="510">
        <f t="shared" ca="1" si="1"/>
        <v>176.63302139625608</v>
      </c>
      <c r="K34" s="511">
        <f ca="1">LOOKUP(C34,'Growth Pattern'!B$15:B$376,'Growth Pattern'!H$15:H$368)</f>
        <v>66.900000000000006</v>
      </c>
      <c r="L34" s="512">
        <f t="shared" ca="1" si="2"/>
        <v>-0.62124862343877663</v>
      </c>
      <c r="M34" s="513">
        <f>LN('Growth Pattern'!F47/'Growth Pattern'!D47)/2</f>
        <v>0.49537006845559017</v>
      </c>
      <c r="N34" s="531" t="s">
        <v>3598</v>
      </c>
      <c r="O34" s="540" t="e">
        <f ca="1">AVERAGEA(L2:L369)</f>
        <v>#DIV/0!</v>
      </c>
    </row>
    <row r="35" spans="1:16" x14ac:dyDescent="0.25">
      <c r="A35" s="506">
        <v>2.3247276910587145</v>
      </c>
      <c r="B35" s="507">
        <v>0.54</v>
      </c>
      <c r="C35" s="507" t="s">
        <v>4071</v>
      </c>
      <c r="D35" s="507">
        <v>0.49151251704205329</v>
      </c>
      <c r="E35" s="508">
        <f t="shared" si="0"/>
        <v>9.0761588982658639E-2</v>
      </c>
      <c r="F35" s="509">
        <f ca="1">LOOKUP(C35,'Growth Pattern'!B$15:B$376,'Growth Pattern'!D$15:D$368)-(LOOKUP(C35,'Growth Pattern'!B$15:B$376,'Growth Pattern'!H$15:H$368)*LOOKUP(C35,'Growth Pattern'!B$15:B$376,'Growth Pattern'!I$15:I$368)/100)</f>
        <v>8.84</v>
      </c>
      <c r="G35" s="509">
        <f ca="1">LOOKUP(C35,'Growth Pattern'!B$15:B$376,'Growth Pattern'!E$15:E$368)-(LOOKUP(C35,'Growth Pattern'!B$15:B$376,'Growth Pattern'!H$15:H$368)*LOOKUP(C35,'Growth Pattern'!B$15:B$376,'Growth Pattern'!I$15:I$368)/100)</f>
        <v>5.8</v>
      </c>
      <c r="H35" s="509">
        <f ca="1">LOOKUP(C35,'Growth Pattern'!B$15:B$376,'Growth Pattern'!F$15:F$368)-(LOOKUP(C35,'Growth Pattern'!B$15:B$376,'Growth Pattern'!I$15:I$368)*LOOKUP(C35,'Growth Pattern'!B$15:B$376,'Growth Pattern'!H$15:H$368)/100)</f>
        <v>7.2</v>
      </c>
      <c r="I35" s="509">
        <f ca="1">LOOKUP(C35,'Growth Pattern'!B$15:B$376,'Growth Pattern'!G$15:G$368)-(LOOKUP(C35,'Growth Pattern'!B$15:B$376,'Growth Pattern'!H$15:H$368)*LOOKUP(C35,'Growth Pattern'!B$15:B$376,'Growth Pattern'!I$15:I$368)/100)</f>
        <v>13.040000000000006</v>
      </c>
      <c r="J35" s="510">
        <f t="shared" ca="1" si="1"/>
        <v>953.91831791771142</v>
      </c>
      <c r="K35" s="511">
        <f ca="1">LOOKUP(C35,'Growth Pattern'!B$15:B$376,'Growth Pattern'!H$15:H$368)</f>
        <v>63.1</v>
      </c>
      <c r="L35" s="512">
        <f t="shared" ca="1" si="2"/>
        <v>-0.93385177869553893</v>
      </c>
      <c r="M35" s="513">
        <f>LN('Growth Pattern'!F48/'Growth Pattern'!D48)/2</f>
        <v>-0.10260292531377123</v>
      </c>
      <c r="N35" s="523"/>
      <c r="O35" s="528"/>
    </row>
    <row r="36" spans="1:16" x14ac:dyDescent="0.25">
      <c r="A36" s="516">
        <v>2.3557776349191091</v>
      </c>
      <c r="B36" s="516"/>
      <c r="C36" s="516" t="s">
        <v>4072</v>
      </c>
      <c r="D36" s="507">
        <v>0.57028887977801968</v>
      </c>
      <c r="E36" s="508">
        <f t="shared" si="0"/>
        <v>9.761513254068771E-2</v>
      </c>
      <c r="F36" s="509">
        <f ca="1">LOOKUP(C36,'Growth Pattern'!B$15:B$376,'Growth Pattern'!D$15:D$368)-(LOOKUP(C36,'Growth Pattern'!B$15:B$376,'Growth Pattern'!H$15:H$368)*LOOKUP(C36,'Growth Pattern'!B$15:B$376,'Growth Pattern'!I$15:I$368)/100)</f>
        <v>-1.41</v>
      </c>
      <c r="G36" s="509">
        <f ca="1">LOOKUP(C36,'Growth Pattern'!B$15:B$376,'Growth Pattern'!E$15:E$368)-(LOOKUP(C36,'Growth Pattern'!B$15:B$376,'Growth Pattern'!H$15:H$368)*LOOKUP(C36,'Growth Pattern'!B$15:B$376,'Growth Pattern'!I$15:I$368)/100)</f>
        <v>-1.41</v>
      </c>
      <c r="H36" s="509">
        <f ca="1">LOOKUP(C36,'Growth Pattern'!B$15:B$376,'Growth Pattern'!F$15:F$368)-(LOOKUP(C36,'Growth Pattern'!B$15:B$376,'Growth Pattern'!I$15:I$368)*LOOKUP(C36,'Growth Pattern'!B$15:B$376,'Growth Pattern'!H$15:H$368)/100)</f>
        <v>-1.41</v>
      </c>
      <c r="I36" s="509">
        <f ca="1">LOOKUP(C36,'Growth Pattern'!B$15:B$376,'Growth Pattern'!G$15:G$368)-(LOOKUP(C36,'Growth Pattern'!B$15:B$376,'Growth Pattern'!H$15:H$368)*LOOKUP(C36,'Growth Pattern'!B$15:B$376,'Growth Pattern'!I$15:I$368)/100)</f>
        <v>-1.41</v>
      </c>
      <c r="J36" s="510">
        <f t="shared" ca="1" si="1"/>
        <v>-64.396671420952728</v>
      </c>
      <c r="K36" s="511">
        <f ca="1">LOOKUP(C36,'Growth Pattern'!B$15:B$376,'Growth Pattern'!H$15:H$368)</f>
        <v>150</v>
      </c>
      <c r="L36" s="512">
        <f t="shared" ca="1" si="2"/>
        <v>-3.3293129394758521</v>
      </c>
      <c r="M36" s="513" t="e">
        <f>LN('Growth Pattern'!F49/'Growth Pattern'!D49)/2</f>
        <v>#DIV/0!</v>
      </c>
      <c r="N36" s="523"/>
      <c r="O36" s="528"/>
    </row>
    <row r="37" spans="1:16" x14ac:dyDescent="0.25">
      <c r="A37" s="541">
        <v>3.3239255552408147</v>
      </c>
      <c r="B37" s="541">
        <v>0.06</v>
      </c>
      <c r="C37" s="541" t="s">
        <v>1538</v>
      </c>
      <c r="D37" s="507">
        <v>0.85446076531009463</v>
      </c>
      <c r="E37" s="508">
        <f t="shared" si="0"/>
        <v>0.12233808658197824</v>
      </c>
      <c r="F37" s="509">
        <f ca="1">LOOKUP(C37,'Growth Pattern'!B$15:B$376,'Growth Pattern'!D$15:D$368)-(LOOKUP(C37,'Growth Pattern'!B$15:B$376,'Growth Pattern'!H$15:H$368)*LOOKUP(C37,'Growth Pattern'!B$15:B$376,'Growth Pattern'!I$15:I$368)/100)</f>
        <v>2.0312000000000001</v>
      </c>
      <c r="G37" s="509">
        <f ca="1">LOOKUP(C37,'Growth Pattern'!B$15:B$376,'Growth Pattern'!E$15:E$368)-(LOOKUP(C37,'Growth Pattern'!B$15:B$376,'Growth Pattern'!H$15:H$368)*LOOKUP(C37,'Growth Pattern'!B$15:B$376,'Growth Pattern'!I$15:I$368)/100)</f>
        <v>1.2012</v>
      </c>
      <c r="H37" s="509">
        <f ca="1">LOOKUP(C37,'Growth Pattern'!B$15:B$376,'Growth Pattern'!F$15:F$368)-(LOOKUP(C37,'Growth Pattern'!B$15:B$376,'Growth Pattern'!I$15:I$368)*LOOKUP(C37,'Growth Pattern'!B$15:B$376,'Growth Pattern'!H$15:H$368)/100)</f>
        <v>1.8012000000000001</v>
      </c>
      <c r="I37" s="509">
        <f ca="1">LOOKUP(C37,'Growth Pattern'!B$15:B$376,'Growth Pattern'!G$15:G$368)-(LOOKUP(C37,'Growth Pattern'!B$15:B$376,'Growth Pattern'!H$15:H$368)*LOOKUP(C37,'Growth Pattern'!B$15:B$376,'Growth Pattern'!I$15:I$368)/100)</f>
        <v>3.8312000000000026</v>
      </c>
      <c r="J37" s="510">
        <f t="shared" ca="1" si="1"/>
        <v>68.539135107659604</v>
      </c>
      <c r="K37" s="511">
        <f ca="1">LOOKUP(C37,'Growth Pattern'!B$15:B$376,'Growth Pattern'!H$15:H$368)</f>
        <v>33.200000000000003</v>
      </c>
      <c r="L37" s="512">
        <f t="shared" ca="1" si="2"/>
        <v>-0.51560520937636212</v>
      </c>
      <c r="M37" s="513">
        <f>LN('Growth Pattern'!F50/'Growth Pattern'!D50)/2</f>
        <v>-5.1965461424115941E-2</v>
      </c>
      <c r="N37" s="523"/>
      <c r="O37" s="528"/>
    </row>
    <row r="38" spans="1:16" x14ac:dyDescent="0.25">
      <c r="A38" s="516">
        <v>2.3390079295379298</v>
      </c>
      <c r="B38" s="516">
        <v>0.34</v>
      </c>
      <c r="C38" s="516" t="s">
        <v>5322</v>
      </c>
      <c r="D38" s="507">
        <v>7.7209207352973722E-2</v>
      </c>
      <c r="E38" s="508">
        <f t="shared" si="0"/>
        <v>5.4717201039708716E-2</v>
      </c>
      <c r="F38" s="509">
        <f ca="1">LOOKUP(C38,'Growth Pattern'!B$15:B$376,'Growth Pattern'!D$15:D$368)-(LOOKUP(C38,'Growth Pattern'!B$15:B$376,'Growth Pattern'!H$15:H$368)*LOOKUP(C38,'Growth Pattern'!B$15:B$376,'Growth Pattern'!I$15:I$368)/100)</f>
        <v>81.72</v>
      </c>
      <c r="G38" s="509">
        <f ca="1">LOOKUP(C38,'Growth Pattern'!B$15:B$376,'Growth Pattern'!E$15:E$368)-(LOOKUP(C38,'Growth Pattern'!B$15:B$376,'Growth Pattern'!H$15:H$368)*LOOKUP(C38,'Growth Pattern'!B$15:B$376,'Growth Pattern'!I$15:I$368)/100)</f>
        <v>109.21</v>
      </c>
      <c r="H38" s="509">
        <f ca="1">LOOKUP(C38,'Growth Pattern'!B$15:B$376,'Growth Pattern'!F$15:F$368)-(LOOKUP(C38,'Growth Pattern'!B$15:B$376,'Growth Pattern'!I$15:I$368)*LOOKUP(C38,'Growth Pattern'!B$15:B$376,'Growth Pattern'!H$15:H$368)/100)</f>
        <v>126.32</v>
      </c>
      <c r="I38" s="509">
        <f ca="1">LOOKUP(C38,'Growth Pattern'!B$15:B$376,'Growth Pattern'!G$15:G$368)-(LOOKUP(C38,'Growth Pattern'!B$15:B$376,'Growth Pattern'!H$15:H$368)*LOOKUP(C38,'Growth Pattern'!B$15:B$376,'Growth Pattern'!I$15:I$368)/100)</f>
        <v>126.32</v>
      </c>
      <c r="J38" s="510">
        <f t="shared" ca="1" si="1"/>
        <v>-3959.5080134896757</v>
      </c>
      <c r="K38" s="511">
        <f ca="1">LOOKUP(C38,'Growth Pattern'!B$15:B$376,'Growth Pattern'!H$15:H$368)</f>
        <v>837.8</v>
      </c>
      <c r="L38" s="512">
        <f t="shared" ca="1" si="2"/>
        <v>-1.2115919445410119</v>
      </c>
      <c r="M38" s="513">
        <f>LN('Growth Pattern'!F51/'Growth Pattern'!D51)/2</f>
        <v>0.21775979999898262</v>
      </c>
      <c r="N38" s="523"/>
      <c r="O38" s="528"/>
    </row>
    <row r="39" spans="1:16" x14ac:dyDescent="0.25">
      <c r="A39" s="516">
        <v>2.8399663877445094</v>
      </c>
      <c r="B39" s="516">
        <v>0.33</v>
      </c>
      <c r="C39" s="516" t="s">
        <v>1401</v>
      </c>
      <c r="D39" s="507">
        <v>0.45279554386201443</v>
      </c>
      <c r="E39" s="508">
        <f t="shared" si="0"/>
        <v>8.7393212315995256E-2</v>
      </c>
      <c r="F39" s="509">
        <f ca="1">LOOKUP(C39,'Growth Pattern'!B$15:B$376,'Growth Pattern'!D$15:D$368)-(LOOKUP(C39,'Growth Pattern'!B$15:B$376,'Growth Pattern'!H$15:H$368)*LOOKUP(C39,'Growth Pattern'!B$15:B$376,'Growth Pattern'!I$15:I$368)/100)</f>
        <v>33.15</v>
      </c>
      <c r="G39" s="509">
        <f ca="1">LOOKUP(C39,'Growth Pattern'!B$15:B$376,'Growth Pattern'!E$15:E$368)-(LOOKUP(C39,'Growth Pattern'!B$15:B$376,'Growth Pattern'!H$15:H$368)*LOOKUP(C39,'Growth Pattern'!B$15:B$376,'Growth Pattern'!I$15:I$368)/100)</f>
        <v>51.45</v>
      </c>
      <c r="H39" s="509">
        <f ca="1">LOOKUP(C39,'Growth Pattern'!B$15:B$376,'Growth Pattern'!F$15:F$368)-(LOOKUP(C39,'Growth Pattern'!B$15:B$376,'Growth Pattern'!I$15:I$368)*LOOKUP(C39,'Growth Pattern'!B$15:B$376,'Growth Pattern'!H$15:H$368)/100)</f>
        <v>64.540000000000006</v>
      </c>
      <c r="I39" s="509">
        <f ca="1">LOOKUP(C39,'Growth Pattern'!B$15:B$376,'Growth Pattern'!G$15:G$368)-(LOOKUP(C39,'Growth Pattern'!B$15:B$376,'Growth Pattern'!H$15:H$368)*LOOKUP(C39,'Growth Pattern'!B$15:B$376,'Growth Pattern'!I$15:I$368)/100)</f>
        <v>72.420000000000016</v>
      </c>
      <c r="J39" s="510">
        <f t="shared" ca="1" si="1"/>
        <v>7753.4779110973341</v>
      </c>
      <c r="K39" s="511">
        <f ca="1">LOOKUP(C39,'Growth Pattern'!B$15:B$376,'Growth Pattern'!H$15:H$368)</f>
        <v>412.7</v>
      </c>
      <c r="L39" s="512">
        <f t="shared" ca="1" si="2"/>
        <v>-0.94677227371611983</v>
      </c>
      <c r="M39" s="513">
        <f>LN('Growth Pattern'!F52/'Growth Pattern'!D52)/2</f>
        <v>0.33312123499597218</v>
      </c>
      <c r="N39" s="523"/>
      <c r="O39" s="528"/>
    </row>
    <row r="40" spans="1:16" x14ac:dyDescent="0.25">
      <c r="A40" s="507">
        <v>3.3256085316203263</v>
      </c>
      <c r="B40" s="507">
        <v>0.24</v>
      </c>
      <c r="C40" s="507" t="s">
        <v>4073</v>
      </c>
      <c r="D40" s="507">
        <v>0.5622391139557551</v>
      </c>
      <c r="E40" s="508">
        <f t="shared" si="0"/>
        <v>9.6914802914150694E-2</v>
      </c>
      <c r="F40" s="509">
        <f ca="1">LOOKUP(C40,'Growth Pattern'!B$15:B$376,'Growth Pattern'!D$15:D$368)-(LOOKUP(C40,'Growth Pattern'!B$15:B$376,'Growth Pattern'!H$15:H$368)*LOOKUP(C40,'Growth Pattern'!B$15:B$376,'Growth Pattern'!I$15:I$368)/100)</f>
        <v>0</v>
      </c>
      <c r="G40" s="509">
        <f ca="1">LOOKUP(C40,'Growth Pattern'!B$15:B$376,'Growth Pattern'!E$15:E$368)-(LOOKUP(C40,'Growth Pattern'!B$15:B$376,'Growth Pattern'!H$15:H$368)*LOOKUP(C40,'Growth Pattern'!B$15:B$376,'Growth Pattern'!I$15:I$368)/100)</f>
        <v>36.200000000000003</v>
      </c>
      <c r="H40" s="509">
        <f ca="1">LOOKUP(C40,'Growth Pattern'!B$15:B$376,'Growth Pattern'!F$15:F$368)-(LOOKUP(C40,'Growth Pattern'!B$15:B$376,'Growth Pattern'!I$15:I$368)*LOOKUP(C40,'Growth Pattern'!B$15:B$376,'Growth Pattern'!H$15:H$368)/100)</f>
        <v>58.8</v>
      </c>
      <c r="I40" s="509">
        <f ca="1">LOOKUP(C40,'Growth Pattern'!B$15:B$376,'Growth Pattern'!G$15:G$368)-(LOOKUP(C40,'Growth Pattern'!B$15:B$376,'Growth Pattern'!H$15:H$368)*LOOKUP(C40,'Growth Pattern'!B$15:B$376,'Growth Pattern'!I$15:I$368)/100)</f>
        <v>67.800000000000011</v>
      </c>
      <c r="J40" s="510">
        <f t="shared" ca="1" si="1"/>
        <v>3118.865316601722</v>
      </c>
      <c r="K40" s="511">
        <f ca="1">LOOKUP(C40,'Growth Pattern'!B$15:B$376,'Growth Pattern'!H$15:H$368)</f>
        <v>60.8</v>
      </c>
      <c r="L40" s="512">
        <f t="shared" ca="1" si="2"/>
        <v>-0.98050573082577119</v>
      </c>
      <c r="M40" s="513" t="e">
        <f>LN('Growth Pattern'!F53/'Growth Pattern'!D53)/2</f>
        <v>#DIV/0!</v>
      </c>
      <c r="N40" s="523"/>
      <c r="O40" s="528"/>
    </row>
    <row r="41" spans="1:16" x14ac:dyDescent="0.25">
      <c r="A41" s="507">
        <v>2.8568303419614725</v>
      </c>
      <c r="B41" s="507">
        <v>0.35</v>
      </c>
      <c r="C41" s="507" t="s">
        <v>1347</v>
      </c>
      <c r="D41" s="507">
        <v>8.1435129310380744E-2</v>
      </c>
      <c r="E41" s="508">
        <f t="shared" si="0"/>
        <v>5.5084856250003124E-2</v>
      </c>
      <c r="F41" s="509">
        <f ca="1">LOOKUP(C41,'Growth Pattern'!B$15:B$376,'Growth Pattern'!D$15:D$368)-(LOOKUP(C41,'Growth Pattern'!B$15:B$376,'Growth Pattern'!H$15:H$368)*LOOKUP(C41,'Growth Pattern'!B$15:B$376,'Growth Pattern'!I$15:I$368)/100)</f>
        <v>24.82</v>
      </c>
      <c r="G41" s="509">
        <f ca="1">LOOKUP(C41,'Growth Pattern'!B$15:B$376,'Growth Pattern'!E$15:E$368)-(LOOKUP(C41,'Growth Pattern'!B$15:B$376,'Growth Pattern'!H$15:H$368)*LOOKUP(C41,'Growth Pattern'!B$15:B$376,'Growth Pattern'!I$15:I$368)/100)</f>
        <v>35.5</v>
      </c>
      <c r="H41" s="509">
        <f ca="1">LOOKUP(C41,'Growth Pattern'!B$15:B$376,'Growth Pattern'!F$15:F$368)-(LOOKUP(C41,'Growth Pattern'!B$15:B$376,'Growth Pattern'!I$15:I$368)*LOOKUP(C41,'Growth Pattern'!B$15:B$376,'Growth Pattern'!H$15:H$368)/100)</f>
        <v>45.1</v>
      </c>
      <c r="I41" s="509">
        <f ca="1">LOOKUP(C41,'Growth Pattern'!B$15:B$376,'Growth Pattern'!G$15:G$368)-(LOOKUP(C41,'Growth Pattern'!B$15:B$376,'Growth Pattern'!H$15:H$368)*LOOKUP(C41,'Growth Pattern'!B$15:B$376,'Growth Pattern'!I$15:I$368)/100)</f>
        <v>53.620000000000012</v>
      </c>
      <c r="J41" s="510">
        <f t="shared" ca="1" si="1"/>
        <v>-1733.3394000129215</v>
      </c>
      <c r="K41" s="511">
        <f ca="1">LOOKUP(C41,'Growth Pattern'!B$15:B$376,'Growth Pattern'!H$15:H$368)</f>
        <v>594.75</v>
      </c>
      <c r="L41" s="512">
        <f t="shared" ca="1" si="2"/>
        <v>-1.3431237990641454</v>
      </c>
      <c r="M41" s="513">
        <f>LN('Growth Pattern'!F54/'Growth Pattern'!D54)/2</f>
        <v>0.29861623336608573</v>
      </c>
      <c r="N41" s="523"/>
      <c r="O41" s="528"/>
    </row>
    <row r="42" spans="1:16" x14ac:dyDescent="0.25">
      <c r="A42" s="507">
        <v>2.4163147919127352</v>
      </c>
      <c r="B42" s="507">
        <v>0.57999999999999996</v>
      </c>
      <c r="C42" s="542" t="s">
        <v>1511</v>
      </c>
      <c r="D42" s="507">
        <v>0.12780324307501401</v>
      </c>
      <c r="E42" s="508">
        <f t="shared" si="0"/>
        <v>5.9118882147526218E-2</v>
      </c>
      <c r="F42" s="509">
        <f ca="1">LOOKUP(C42,'Growth Pattern'!B$15:B$376,'Growth Pattern'!D$15:D$368)-(LOOKUP(C42,'Growth Pattern'!B$15:B$376,'Growth Pattern'!H$15:H$368)*LOOKUP(C42,'Growth Pattern'!B$15:B$376,'Growth Pattern'!I$15:I$368)/100)</f>
        <v>10.46</v>
      </c>
      <c r="G42" s="509">
        <f ca="1">LOOKUP(C42,'Growth Pattern'!B$15:B$376,'Growth Pattern'!E$15:E$368)-(LOOKUP(C42,'Growth Pattern'!B$15:B$376,'Growth Pattern'!H$15:H$368)*LOOKUP(C42,'Growth Pattern'!B$15:B$376,'Growth Pattern'!I$15:I$368)/100)</f>
        <v>12.94</v>
      </c>
      <c r="H42" s="509">
        <f ca="1">LOOKUP(C42,'Growth Pattern'!B$15:B$376,'Growth Pattern'!F$15:F$368)-(LOOKUP(C42,'Growth Pattern'!B$15:B$376,'Growth Pattern'!I$15:I$368)*LOOKUP(C42,'Growth Pattern'!B$15:B$376,'Growth Pattern'!H$15:H$368)/100)</f>
        <v>15.3</v>
      </c>
      <c r="I42" s="509">
        <f ca="1">LOOKUP(C42,'Growth Pattern'!B$15:B$376,'Growth Pattern'!G$15:G$368)-(LOOKUP(C42,'Growth Pattern'!B$15:B$376,'Growth Pattern'!H$15:H$368)*LOOKUP(C42,'Growth Pattern'!B$15:B$376,'Growth Pattern'!I$15:I$368)/100)</f>
        <v>17.540000000000006</v>
      </c>
      <c r="J42" s="510">
        <f t="shared" ca="1" si="1"/>
        <v>-670.71898621960509</v>
      </c>
      <c r="K42" s="511">
        <f ca="1">LOOKUP(C42,'Growth Pattern'!B$15:B$376,'Growth Pattern'!H$15:H$368)</f>
        <v>456.1</v>
      </c>
      <c r="L42" s="512">
        <f t="shared" ca="1" si="2"/>
        <v>-1.6800165335571176</v>
      </c>
      <c r="M42" s="513">
        <f>LN('Growth Pattern'!F55/'Growth Pattern'!D55)/2</f>
        <v>0.19014718488080642</v>
      </c>
      <c r="N42" s="523"/>
      <c r="O42" s="528"/>
    </row>
    <row r="43" spans="1:16" x14ac:dyDescent="0.25">
      <c r="A43" s="507">
        <v>2.2699742238801699</v>
      </c>
      <c r="B43" s="507">
        <v>0.35</v>
      </c>
      <c r="C43" s="507" t="s">
        <v>1540</v>
      </c>
      <c r="D43" s="507">
        <v>0.39017572112005477</v>
      </c>
      <c r="E43" s="508">
        <f t="shared" si="0"/>
        <v>8.1945287737444777E-2</v>
      </c>
      <c r="F43" s="509">
        <f ca="1">LOOKUP(C43,'Growth Pattern'!B$15:B$376,'Growth Pattern'!D$15:D$368)-(LOOKUP(C43,'Growth Pattern'!B$15:B$376,'Growth Pattern'!H$15:H$368)*LOOKUP(C43,'Growth Pattern'!B$15:B$376,'Growth Pattern'!I$15:I$368)/100)</f>
        <v>43.534975000000003</v>
      </c>
      <c r="G43" s="509">
        <f ca="1">LOOKUP(C43,'Growth Pattern'!B$15:B$376,'Growth Pattern'!E$15:E$368)-(LOOKUP(C43,'Growth Pattern'!B$15:B$376,'Growth Pattern'!H$15:H$368)*LOOKUP(C43,'Growth Pattern'!B$15:B$376,'Growth Pattern'!I$15:I$368)/100)</f>
        <v>50.624975000000006</v>
      </c>
      <c r="H43" s="509">
        <f ca="1">LOOKUP(C43,'Growth Pattern'!B$15:B$376,'Growth Pattern'!F$15:F$368)-(LOOKUP(C43,'Growth Pattern'!B$15:B$376,'Growth Pattern'!I$15:I$368)*LOOKUP(C43,'Growth Pattern'!B$15:B$376,'Growth Pattern'!H$15:H$368)/100)</f>
        <v>57.424975000000003</v>
      </c>
      <c r="I43" s="509">
        <f ca="1">LOOKUP(C43,'Growth Pattern'!B$15:B$376,'Growth Pattern'!G$15:G$368)-(LOOKUP(C43,'Growth Pattern'!B$15:B$376,'Growth Pattern'!H$15:H$368)*LOOKUP(C43,'Growth Pattern'!B$15:B$376,'Growth Pattern'!I$15:I$368)/100)</f>
        <v>57.424975000000003</v>
      </c>
      <c r="J43" s="510">
        <f t="shared" ca="1" si="1"/>
        <v>23447.16984318653</v>
      </c>
      <c r="K43" s="511">
        <f ca="1">LOOKUP(C43,'Growth Pattern'!B$15:B$376,'Growth Pattern'!H$15:H$368)</f>
        <v>643.54999999999995</v>
      </c>
      <c r="L43" s="512">
        <f t="shared" ca="1" si="2"/>
        <v>-0.97255319067059998</v>
      </c>
      <c r="M43" s="513">
        <f>LN('Growth Pattern'!F56/'Growth Pattern'!D56)/2</f>
        <v>0.1153882327975241</v>
      </c>
      <c r="N43" s="523"/>
      <c r="O43" s="528"/>
    </row>
    <row r="44" spans="1:16" x14ac:dyDescent="0.25">
      <c r="A44" s="507">
        <v>1.675617781467124</v>
      </c>
      <c r="B44" s="507">
        <v>0.08</v>
      </c>
      <c r="C44" s="507" t="s">
        <v>2653</v>
      </c>
      <c r="D44" s="507">
        <v>0.25008961896318971</v>
      </c>
      <c r="E44" s="508">
        <f t="shared" si="0"/>
        <v>6.9757796849797507E-2</v>
      </c>
      <c r="F44" s="509">
        <f ca="1">LOOKUP(C44,'Growth Pattern'!B$15:B$376,'Growth Pattern'!D$15:D$368)-(LOOKUP(C44,'Growth Pattern'!B$15:B$376,'Growth Pattern'!H$15:H$368)*LOOKUP(C44,'Growth Pattern'!B$15:B$376,'Growth Pattern'!I$15:I$368)/100)</f>
        <v>51.76</v>
      </c>
      <c r="G44" s="509">
        <f ca="1">LOOKUP(C44,'Growth Pattern'!B$15:B$376,'Growth Pattern'!E$15:E$368)-(LOOKUP(C44,'Growth Pattern'!B$15:B$376,'Growth Pattern'!H$15:H$368)*LOOKUP(C44,'Growth Pattern'!B$15:B$376,'Growth Pattern'!I$15:I$368)/100)</f>
        <v>53.3</v>
      </c>
      <c r="H44" s="509">
        <f ca="1">LOOKUP(C44,'Growth Pattern'!B$15:B$376,'Growth Pattern'!F$15:F$368)-(LOOKUP(C44,'Growth Pattern'!B$15:B$376,'Growth Pattern'!I$15:I$368)*LOOKUP(C44,'Growth Pattern'!B$15:B$376,'Growth Pattern'!H$15:H$368)/100)</f>
        <v>57.15</v>
      </c>
      <c r="I44" s="509">
        <f ca="1">LOOKUP(C44,'Growth Pattern'!B$15:B$376,'Growth Pattern'!G$15:G$368)-(LOOKUP(C44,'Growth Pattern'!B$15:B$376,'Growth Pattern'!H$15:H$368)*LOOKUP(C44,'Growth Pattern'!B$15:B$376,'Growth Pattern'!I$15:I$368)/100)</f>
        <v>63.310000000000009</v>
      </c>
      <c r="J44" s="510">
        <f t="shared" ca="1" si="1"/>
        <v>-4897.6756929407693</v>
      </c>
      <c r="K44" s="511">
        <f ca="1">LOOKUP(C44,'Growth Pattern'!B$15:B$376,'Growth Pattern'!H$15:H$368)</f>
        <v>424.2</v>
      </c>
      <c r="L44" s="512">
        <f t="shared" ca="1" si="2"/>
        <v>-1.0866125130766453</v>
      </c>
      <c r="M44" s="513">
        <f>LN('Growth Pattern'!F57/'Growth Pattern'!D57)/2</f>
        <v>4.9530870024087292E-2</v>
      </c>
      <c r="N44" s="523"/>
      <c r="O44" s="528"/>
    </row>
    <row r="45" spans="1:16" x14ac:dyDescent="0.25">
      <c r="A45" s="507">
        <v>2.0442632712933819</v>
      </c>
      <c r="B45" s="507">
        <v>0.32</v>
      </c>
      <c r="C45" s="507" t="s">
        <v>4074</v>
      </c>
      <c r="D45" s="507">
        <v>0.5665740903063371</v>
      </c>
      <c r="E45" s="508">
        <f t="shared" si="0"/>
        <v>9.7291945856651324E-2</v>
      </c>
      <c r="F45" s="509">
        <f ca="1">LOOKUP(C45,'Growth Pattern'!B$15:B$376,'Growth Pattern'!D$15:D$368)-(LOOKUP(C45,'Growth Pattern'!B$15:B$376,'Growth Pattern'!H$15:H$368)*LOOKUP(C45,'Growth Pattern'!B$15:B$376,'Growth Pattern'!I$15:I$368)/100)</f>
        <v>72.94</v>
      </c>
      <c r="G45" s="509">
        <f ca="1">LOOKUP(C45,'Growth Pattern'!B$15:B$376,'Growth Pattern'!E$15:E$368)-(LOOKUP(C45,'Growth Pattern'!B$15:B$376,'Growth Pattern'!H$15:H$368)*LOOKUP(C45,'Growth Pattern'!B$15:B$376,'Growth Pattern'!I$15:I$368)/100)</f>
        <v>95.7</v>
      </c>
      <c r="H45" s="509">
        <f ca="1">LOOKUP(C45,'Growth Pattern'!B$15:B$376,'Growth Pattern'!F$15:F$368)-(LOOKUP(C45,'Growth Pattern'!B$15:B$376,'Growth Pattern'!I$15:I$368)*LOOKUP(C45,'Growth Pattern'!B$15:B$376,'Growth Pattern'!H$15:H$368)/100)</f>
        <v>117.35</v>
      </c>
      <c r="I45" s="509">
        <f ca="1">LOOKUP(C45,'Growth Pattern'!B$15:B$376,'Growth Pattern'!G$15:G$368)-(LOOKUP(C45,'Growth Pattern'!B$15:B$376,'Growth Pattern'!H$15:H$368)*LOOKUP(C45,'Growth Pattern'!B$15:B$376,'Growth Pattern'!I$15:I$368)/100)</f>
        <v>137.88999999999999</v>
      </c>
      <c r="J45" s="510">
        <f t="shared" ca="1" si="1"/>
        <v>6293.2436030916178</v>
      </c>
      <c r="K45" s="511">
        <f ca="1">LOOKUP(C45,'Growth Pattern'!B$15:B$376,'Growth Pattern'!H$15:H$368)</f>
        <v>990.05</v>
      </c>
      <c r="L45" s="512">
        <f t="shared" ca="1" si="2"/>
        <v>-0.84268048999189726</v>
      </c>
      <c r="M45" s="513">
        <f>LN('Growth Pattern'!F58/'Growth Pattern'!D58)/2</f>
        <v>0.23776186845824918</v>
      </c>
      <c r="N45" s="523"/>
      <c r="O45" s="528"/>
    </row>
    <row r="46" spans="1:16" x14ac:dyDescent="0.25">
      <c r="A46" s="516">
        <v>1.8310001918576391</v>
      </c>
      <c r="B46" s="516">
        <v>7.0000000000000007E-2</v>
      </c>
      <c r="C46" s="516" t="s">
        <v>2655</v>
      </c>
      <c r="D46" s="507">
        <v>0.74418605686927364</v>
      </c>
      <c r="E46" s="508">
        <f t="shared" si="0"/>
        <v>0.11274418694762681</v>
      </c>
      <c r="F46" s="509">
        <f ca="1">LOOKUP(C46,'Growth Pattern'!B$15:B$376,'Growth Pattern'!D$15:D$368)-(LOOKUP(C46,'Growth Pattern'!B$15:B$376,'Growth Pattern'!H$15:H$368)*LOOKUP(C46,'Growth Pattern'!B$15:B$376,'Growth Pattern'!I$15:I$368)/100)</f>
        <v>0</v>
      </c>
      <c r="G46" s="509">
        <f ca="1">LOOKUP(C46,'Growth Pattern'!B$15:B$376,'Growth Pattern'!E$15:E$368)-(LOOKUP(C46,'Growth Pattern'!B$15:B$376,'Growth Pattern'!H$15:H$368)*LOOKUP(C46,'Growth Pattern'!B$15:B$376,'Growth Pattern'!I$15:I$368)/100)</f>
        <v>99.6</v>
      </c>
      <c r="H46" s="509">
        <f ca="1">LOOKUP(C46,'Growth Pattern'!B$15:B$376,'Growth Pattern'!F$15:F$368)-(LOOKUP(C46,'Growth Pattern'!B$15:B$376,'Growth Pattern'!I$15:I$368)*LOOKUP(C46,'Growth Pattern'!B$15:B$376,'Growth Pattern'!H$15:H$368)/100)</f>
        <v>120.25</v>
      </c>
      <c r="I46" s="509">
        <f ca="1">LOOKUP(C46,'Growth Pattern'!B$15:B$376,'Growth Pattern'!G$15:G$368)-(LOOKUP(C46,'Growth Pattern'!B$15:B$376,'Growth Pattern'!H$15:H$368)*LOOKUP(C46,'Growth Pattern'!B$15:B$376,'Growth Pattern'!I$15:I$368)/100)</f>
        <v>120.25</v>
      </c>
      <c r="J46" s="510">
        <f t="shared" ca="1" si="1"/>
        <v>2852.0404631475376</v>
      </c>
      <c r="K46" s="511">
        <f ca="1">LOOKUP(C46,'Growth Pattern'!B$15:B$376,'Growth Pattern'!H$15:H$368)</f>
        <v>1720.55</v>
      </c>
      <c r="L46" s="512">
        <f t="shared" ca="1" si="2"/>
        <v>-0.39673015785295507</v>
      </c>
      <c r="M46" s="513" t="e">
        <f>LN('Growth Pattern'!F59/'Growth Pattern'!D59)/2</f>
        <v>#DIV/0!</v>
      </c>
      <c r="N46" s="523"/>
      <c r="O46" s="528"/>
    </row>
    <row r="47" spans="1:16" x14ac:dyDescent="0.25">
      <c r="A47" s="516">
        <v>1.7059649705637989</v>
      </c>
      <c r="B47" s="516">
        <v>0.15</v>
      </c>
      <c r="C47" s="516" t="s">
        <v>4165</v>
      </c>
      <c r="D47" s="507">
        <v>0.40064876311655279</v>
      </c>
      <c r="E47" s="508">
        <f t="shared" si="0"/>
        <v>8.2856442391140095E-2</v>
      </c>
      <c r="F47" s="509">
        <f ca="1">LOOKUP(C47,'Growth Pattern'!B$15:B$376,'Growth Pattern'!D$15:D$368)-(LOOKUP(C47,'Growth Pattern'!B$15:B$376,'Growth Pattern'!H$15:H$368)*LOOKUP(C47,'Growth Pattern'!B$15:B$376,'Growth Pattern'!I$15:I$368)/100)</f>
        <v>-0.24715000000000009</v>
      </c>
      <c r="G47" s="509">
        <f ca="1">LOOKUP(C47,'Growth Pattern'!B$15:B$376,'Growth Pattern'!E$15:E$368)-(LOOKUP(C47,'Growth Pattern'!B$15:B$376,'Growth Pattern'!H$15:H$368)*LOOKUP(C47,'Growth Pattern'!B$15:B$376,'Growth Pattern'!I$15:I$368)/100)</f>
        <v>11.412850000000001</v>
      </c>
      <c r="H47" s="509">
        <f ca="1">LOOKUP(C47,'Growth Pattern'!B$15:B$376,'Growth Pattern'!F$15:F$368)-(LOOKUP(C47,'Growth Pattern'!B$15:B$376,'Growth Pattern'!I$15:I$368)*LOOKUP(C47,'Growth Pattern'!B$15:B$376,'Growth Pattern'!H$15:H$368)/100)</f>
        <v>17.912849999999999</v>
      </c>
      <c r="I47" s="509">
        <f ca="1">LOOKUP(C47,'Growth Pattern'!B$15:B$376,'Growth Pattern'!G$15:G$368)-(LOOKUP(C47,'Growth Pattern'!B$15:B$376,'Growth Pattern'!H$15:H$368)*LOOKUP(C47,'Growth Pattern'!B$15:B$376,'Growth Pattern'!I$15:I$368)/100)</f>
        <v>17.912849999999999</v>
      </c>
      <c r="J47" s="510">
        <f t="shared" ca="1" si="1"/>
        <v>4964.4271885638718</v>
      </c>
      <c r="K47" s="511">
        <f ca="1">LOOKUP(C47,'Growth Pattern'!B$15:B$376,'Growth Pattern'!H$15:H$368)</f>
        <v>329.05</v>
      </c>
      <c r="L47" s="512">
        <f t="shared" ca="1" si="2"/>
        <v>-0.93371843568216595</v>
      </c>
      <c r="M47" s="513">
        <f>LN('Growth Pattern'!F60/'Growth Pattern'!D60)/2</f>
        <v>1.6201335074247591</v>
      </c>
      <c r="N47" s="523"/>
      <c r="O47" s="528"/>
    </row>
    <row r="48" spans="1:16" x14ac:dyDescent="0.25">
      <c r="A48" s="516">
        <v>2.4966932542038913</v>
      </c>
      <c r="B48" s="516">
        <v>0.12266860256514418</v>
      </c>
      <c r="C48" s="516" t="s">
        <v>4075</v>
      </c>
      <c r="D48" s="507">
        <v>0.71532427018449873</v>
      </c>
      <c r="E48" s="508">
        <f t="shared" si="0"/>
        <v>0.11023321150605139</v>
      </c>
      <c r="F48" s="509">
        <f ca="1">LOOKUP(C48,'Growth Pattern'!B$15:B$376,'Growth Pattern'!D$15:D$368)-(LOOKUP(C48,'Growth Pattern'!B$15:B$376,'Growth Pattern'!H$15:H$368)*LOOKUP(C48,'Growth Pattern'!B$15:B$376,'Growth Pattern'!I$15:I$368)/100)</f>
        <v>41.72</v>
      </c>
      <c r="G48" s="509">
        <f ca="1">LOOKUP(C48,'Growth Pattern'!B$15:B$376,'Growth Pattern'!E$15:E$368)-(LOOKUP(C48,'Growth Pattern'!B$15:B$376,'Growth Pattern'!H$15:H$368)*LOOKUP(C48,'Growth Pattern'!B$15:B$376,'Growth Pattern'!I$15:I$368)/100)</f>
        <v>36.6</v>
      </c>
      <c r="H48" s="509">
        <f ca="1">LOOKUP(C48,'Growth Pattern'!B$15:B$376,'Growth Pattern'!F$15:F$368)-(LOOKUP(C48,'Growth Pattern'!B$15:B$376,'Growth Pattern'!I$15:I$368)*LOOKUP(C48,'Growth Pattern'!B$15:B$376,'Growth Pattern'!H$15:H$368)/100)</f>
        <v>22.2</v>
      </c>
      <c r="I48" s="509">
        <f ca="1">LOOKUP(C48,'Growth Pattern'!B$15:B$376,'Growth Pattern'!G$15:G$368)-(LOOKUP(C48,'Growth Pattern'!B$15:B$376,'Growth Pattern'!H$15:H$368)*LOOKUP(C48,'Growth Pattern'!B$15:B$376,'Growth Pattern'!I$15:I$368)/100)</f>
        <v>22.2</v>
      </c>
      <c r="J48" s="510">
        <f t="shared" ca="1" si="1"/>
        <v>629.26607693823712</v>
      </c>
      <c r="K48" s="511">
        <f ca="1">LOOKUP(C48,'Growth Pattern'!B$15:B$376,'Growth Pattern'!H$15:H$368)</f>
        <v>141.4</v>
      </c>
      <c r="L48" s="512">
        <f t="shared" ca="1" si="2"/>
        <v>-0.77529378242031233</v>
      </c>
      <c r="M48" s="513">
        <f>LN('Growth Pattern'!F61/'Growth Pattern'!D61)/2</f>
        <v>-0.31544417062716895</v>
      </c>
      <c r="N48" s="523"/>
      <c r="O48" s="528"/>
    </row>
    <row r="49" spans="1:15" x14ac:dyDescent="0.25">
      <c r="A49" s="516">
        <v>1.9992257163785057</v>
      </c>
      <c r="B49" s="516">
        <v>0.26</v>
      </c>
      <c r="C49" s="516" t="s">
        <v>4167</v>
      </c>
      <c r="D49" s="507">
        <v>0.4029146665259411</v>
      </c>
      <c r="E49" s="508">
        <f t="shared" si="0"/>
        <v>8.3053575987756881E-2</v>
      </c>
      <c r="F49" s="509">
        <f ca="1">LOOKUP(C49,'Growth Pattern'!B$15:B$376,'Growth Pattern'!D$15:D$368)-(LOOKUP(C49,'Growth Pattern'!B$15:B$376,'Growth Pattern'!H$15:H$368)*LOOKUP(C49,'Growth Pattern'!B$15:B$376,'Growth Pattern'!I$15:I$368)/100)</f>
        <v>23.99</v>
      </c>
      <c r="G49" s="509">
        <f ca="1">LOOKUP(C49,'Growth Pattern'!B$15:B$376,'Growth Pattern'!E$15:E$368)-(LOOKUP(C49,'Growth Pattern'!B$15:B$376,'Growth Pattern'!H$15:H$368)*LOOKUP(C49,'Growth Pattern'!B$15:B$376,'Growth Pattern'!I$15:I$368)/100)</f>
        <v>17.149999999999999</v>
      </c>
      <c r="H49" s="509">
        <f ca="1">LOOKUP(C49,'Growth Pattern'!B$15:B$376,'Growth Pattern'!F$15:F$368)-(LOOKUP(C49,'Growth Pattern'!B$15:B$376,'Growth Pattern'!I$15:I$368)*LOOKUP(C49,'Growth Pattern'!B$15:B$376,'Growth Pattern'!H$15:H$368)/100)</f>
        <v>21.8</v>
      </c>
      <c r="I49" s="509">
        <f ca="1">LOOKUP(C49,'Growth Pattern'!B$15:B$376,'Growth Pattern'!G$15:G$368)-(LOOKUP(C49,'Growth Pattern'!B$15:B$376,'Growth Pattern'!H$15:H$368)*LOOKUP(C49,'Growth Pattern'!B$15:B$376,'Growth Pattern'!I$15:I$368)/100)</f>
        <v>37.940000000000019</v>
      </c>
      <c r="J49" s="510">
        <f t="shared" ca="1" si="1"/>
        <v>9838.4077581772835</v>
      </c>
      <c r="K49" s="511">
        <f ca="1">LOOKUP(C49,'Growth Pattern'!B$15:B$376,'Growth Pattern'!H$15:H$368)</f>
        <v>373.85</v>
      </c>
      <c r="L49" s="512">
        <f t="shared" ca="1" si="2"/>
        <v>-0.96200096507595234</v>
      </c>
      <c r="M49" s="513">
        <f>LN('Growth Pattern'!F62/'Growth Pattern'!D62)/2</f>
        <v>-4.7863553528279895E-2</v>
      </c>
      <c r="N49" s="523"/>
      <c r="O49" s="528"/>
    </row>
    <row r="50" spans="1:15" x14ac:dyDescent="0.25">
      <c r="A50" s="516">
        <v>1.7703922369024303</v>
      </c>
      <c r="B50" s="516">
        <v>0.57999999999999996</v>
      </c>
      <c r="C50" s="543" t="s">
        <v>4335</v>
      </c>
      <c r="D50" s="507">
        <v>0.18014606156409887</v>
      </c>
      <c r="E50" s="508">
        <f t="shared" si="0"/>
        <v>6.3672707356076608E-2</v>
      </c>
      <c r="F50" s="509">
        <f ca="1">LOOKUP(C50,'Growth Pattern'!B$15:B$376,'Growth Pattern'!D$15:D$368)-(LOOKUP(C50,'Growth Pattern'!B$15:B$376,'Growth Pattern'!H$15:H$368)*LOOKUP(C50,'Growth Pattern'!B$15:B$376,'Growth Pattern'!I$15:I$368)/100)</f>
        <v>64.7864</v>
      </c>
      <c r="G50" s="509">
        <f ca="1">LOOKUP(C50,'Growth Pattern'!B$15:B$376,'Growth Pattern'!E$15:E$368)-(LOOKUP(C50,'Growth Pattern'!B$15:B$376,'Growth Pattern'!H$15:H$368)*LOOKUP(C50,'Growth Pattern'!B$15:B$376,'Growth Pattern'!I$15:I$368)/100)</f>
        <v>90.626400000000004</v>
      </c>
      <c r="H50" s="509">
        <f ca="1">LOOKUP(C50,'Growth Pattern'!B$15:B$376,'Growth Pattern'!F$15:F$368)-(LOOKUP(C50,'Growth Pattern'!B$15:B$376,'Growth Pattern'!I$15:I$368)*LOOKUP(C50,'Growth Pattern'!B$15:B$376,'Growth Pattern'!H$15:H$368)/100)</f>
        <v>114.82639999999999</v>
      </c>
      <c r="I50" s="509">
        <f ca="1">LOOKUP(C50,'Growth Pattern'!B$15:B$376,'Growth Pattern'!G$15:G$368)-(LOOKUP(C50,'Growth Pattern'!B$15:B$376,'Growth Pattern'!H$15:H$368)*LOOKUP(C50,'Growth Pattern'!B$15:B$376,'Growth Pattern'!I$15:I$368)/100)</f>
        <v>137.38639999999998</v>
      </c>
      <c r="J50" s="510">
        <f t="shared" ca="1" si="1"/>
        <v>-6740.5876278592505</v>
      </c>
      <c r="K50" s="511">
        <f ca="1">LOOKUP(C50,'Growth Pattern'!B$15:B$376,'Growth Pattern'!H$15:H$368)</f>
        <v>2078</v>
      </c>
      <c r="L50" s="512">
        <f t="shared" ca="1" si="2"/>
        <v>-1.3082817277549368</v>
      </c>
      <c r="M50" s="513">
        <f>LN('Growth Pattern'!F63/'Growth Pattern'!D63)/2</f>
        <v>0.22497983004381933</v>
      </c>
      <c r="N50" s="523"/>
      <c r="O50" s="528"/>
    </row>
    <row r="51" spans="1:15" x14ac:dyDescent="0.25">
      <c r="A51" s="516">
        <v>5.6448777714905729</v>
      </c>
      <c r="B51" s="516"/>
      <c r="C51" s="516" t="s">
        <v>3508</v>
      </c>
      <c r="D51" s="507">
        <v>0.53676034037926668</v>
      </c>
      <c r="E51" s="508">
        <f t="shared" si="0"/>
        <v>9.4698149612996205E-2</v>
      </c>
      <c r="F51" s="509">
        <f ca="1">LOOKUP(C51,'Growth Pattern'!B$15:B$376,'Growth Pattern'!D$15:D$368)-(LOOKUP(C51,'Growth Pattern'!B$15:B$376,'Growth Pattern'!H$15:H$368)*LOOKUP(C51,'Growth Pattern'!B$15:B$376,'Growth Pattern'!I$15:I$368)/100)</f>
        <v>39.04</v>
      </c>
      <c r="G51" s="509">
        <f ca="1">LOOKUP(C51,'Growth Pattern'!B$15:B$376,'Growth Pattern'!E$15:E$368)-(LOOKUP(C51,'Growth Pattern'!B$15:B$376,'Growth Pattern'!H$15:H$368)*LOOKUP(C51,'Growth Pattern'!B$15:B$376,'Growth Pattern'!I$15:I$368)/100)</f>
        <v>46.05</v>
      </c>
      <c r="H51" s="509">
        <f ca="1">LOOKUP(C51,'Growth Pattern'!B$15:B$376,'Growth Pattern'!F$15:F$368)-(LOOKUP(C51,'Growth Pattern'!B$15:B$376,'Growth Pattern'!I$15:I$368)*LOOKUP(C51,'Growth Pattern'!B$15:B$376,'Growth Pattern'!H$15:H$368)/100)</f>
        <v>59.02</v>
      </c>
      <c r="I51" s="509">
        <f ca="1">LOOKUP(C51,'Growth Pattern'!B$15:B$376,'Growth Pattern'!G$15:G$368)-(LOOKUP(C51,'Growth Pattern'!B$15:B$376,'Growth Pattern'!H$15:H$368)*LOOKUP(C51,'Growth Pattern'!B$15:B$376,'Growth Pattern'!I$15:I$368)/100)</f>
        <v>77.950000000000017</v>
      </c>
      <c r="J51" s="510">
        <f t="shared" ca="1" si="1"/>
        <v>4173.0455973464022</v>
      </c>
      <c r="K51" s="511">
        <f ca="1">LOOKUP(C51,'Growth Pattern'!B$15:B$376,'Growth Pattern'!H$15:H$368)</f>
        <v>41.05</v>
      </c>
      <c r="L51" s="512">
        <f t="shared" ca="1" si="2"/>
        <v>-0.99016305979831531</v>
      </c>
      <c r="M51" s="513">
        <f>LN('Growth Pattern'!F64/'Growth Pattern'!D64)/2</f>
        <v>0.20664480398495086</v>
      </c>
      <c r="N51" s="523"/>
      <c r="O51" s="528"/>
    </row>
    <row r="52" spans="1:15" x14ac:dyDescent="0.25">
      <c r="A52" s="507">
        <v>1.8303461071382952</v>
      </c>
      <c r="B52" s="507">
        <v>0.37</v>
      </c>
      <c r="C52" s="541" t="s">
        <v>4727</v>
      </c>
      <c r="D52" s="507">
        <v>0.63133592503013047</v>
      </c>
      <c r="E52" s="508">
        <f t="shared" si="0"/>
        <v>0.10292622547762136</v>
      </c>
      <c r="F52" s="509">
        <f ca="1">LOOKUP(C52,'Growth Pattern'!B$15:B$376,'Growth Pattern'!D$15:D$368)-(LOOKUP(C52,'Growth Pattern'!B$15:B$376,'Growth Pattern'!H$15:H$368)*LOOKUP(C52,'Growth Pattern'!B$15:B$376,'Growth Pattern'!I$15:I$368)/100)</f>
        <v>0</v>
      </c>
      <c r="G52" s="509">
        <f ca="1">LOOKUP(C52,'Growth Pattern'!B$15:B$376,'Growth Pattern'!E$15:E$368)-(LOOKUP(C52,'Growth Pattern'!B$15:B$376,'Growth Pattern'!H$15:H$368)*LOOKUP(C52,'Growth Pattern'!B$15:B$376,'Growth Pattern'!I$15:I$368)/100)</f>
        <v>0</v>
      </c>
      <c r="H52" s="509">
        <f ca="1">LOOKUP(C52,'Growth Pattern'!B$15:B$376,'Growth Pattern'!F$15:F$368)-(LOOKUP(C52,'Growth Pattern'!B$15:B$376,'Growth Pattern'!I$15:I$368)*LOOKUP(C52,'Growth Pattern'!B$15:B$376,'Growth Pattern'!H$15:H$368)/100)</f>
        <v>0</v>
      </c>
      <c r="I52" s="509">
        <f ca="1">LOOKUP(C52,'Growth Pattern'!B$15:B$376,'Growth Pattern'!G$15:G$368)-(LOOKUP(C52,'Growth Pattern'!B$15:B$376,'Growth Pattern'!H$15:H$368)*LOOKUP(C52,'Growth Pattern'!B$15:B$376,'Growth Pattern'!I$15:I$368)/100)</f>
        <v>0</v>
      </c>
      <c r="J52" s="510">
        <f t="shared" ca="1" si="1"/>
        <v>0</v>
      </c>
      <c r="K52" s="511">
        <f ca="1">LOOKUP(C52,'Growth Pattern'!B$15:B$376,'Growth Pattern'!H$15:H$368)</f>
        <v>338.4</v>
      </c>
      <c r="L52" s="512" t="e">
        <f t="shared" ca="1" si="2"/>
        <v>#DIV/0!</v>
      </c>
      <c r="M52" s="513" t="e">
        <f>LN('Growth Pattern'!F65/'Growth Pattern'!D65)/2</f>
        <v>#DIV/0!</v>
      </c>
      <c r="N52" s="523"/>
      <c r="O52" s="528"/>
    </row>
    <row r="53" spans="1:15" x14ac:dyDescent="0.25">
      <c r="A53" s="516">
        <v>2.1935116765414513</v>
      </c>
      <c r="B53" s="516">
        <v>0.21</v>
      </c>
      <c r="C53" s="516" t="s">
        <v>2739</v>
      </c>
      <c r="D53" s="507">
        <v>0.61259411759602034</v>
      </c>
      <c r="E53" s="508">
        <f t="shared" si="0"/>
        <v>0.10129568823085378</v>
      </c>
      <c r="F53" s="509">
        <f ca="1">LOOKUP(C53,'Growth Pattern'!B$15:B$376,'Growth Pattern'!D$15:D$368)-(LOOKUP(C53,'Growth Pattern'!B$15:B$376,'Growth Pattern'!H$15:H$368)*LOOKUP(C53,'Growth Pattern'!B$15:B$376,'Growth Pattern'!I$15:I$368)/100)</f>
        <v>0</v>
      </c>
      <c r="G53" s="509">
        <f ca="1">LOOKUP(C53,'Growth Pattern'!B$15:B$376,'Growth Pattern'!E$15:E$368)-(LOOKUP(C53,'Growth Pattern'!B$15:B$376,'Growth Pattern'!H$15:H$368)*LOOKUP(C53,'Growth Pattern'!B$15:B$376,'Growth Pattern'!I$15:I$368)/100)</f>
        <v>0</v>
      </c>
      <c r="H53" s="509">
        <f ca="1">LOOKUP(C53,'Growth Pattern'!B$15:B$376,'Growth Pattern'!F$15:F$368)-(LOOKUP(C53,'Growth Pattern'!B$15:B$376,'Growth Pattern'!I$15:I$368)*LOOKUP(C53,'Growth Pattern'!B$15:B$376,'Growth Pattern'!H$15:H$368)/100)</f>
        <v>0</v>
      </c>
      <c r="I53" s="509">
        <f ca="1">LOOKUP(C53,'Growth Pattern'!B$15:B$376,'Growth Pattern'!G$15:G$368)-(LOOKUP(C53,'Growth Pattern'!B$15:B$376,'Growth Pattern'!H$15:H$368)*LOOKUP(C53,'Growth Pattern'!B$15:B$376,'Growth Pattern'!I$15:I$368)/100)</f>
        <v>0</v>
      </c>
      <c r="J53" s="510">
        <f t="shared" ca="1" si="1"/>
        <v>0</v>
      </c>
      <c r="K53" s="511">
        <f ca="1">LOOKUP(C53,'Growth Pattern'!B$15:B$376,'Growth Pattern'!H$15:H$368)</f>
        <v>374.75</v>
      </c>
      <c r="L53" s="512" t="e">
        <f t="shared" ca="1" si="2"/>
        <v>#DIV/0!</v>
      </c>
      <c r="M53" s="513" t="e">
        <f>LN('Growth Pattern'!F66/'Growth Pattern'!D66)/2</f>
        <v>#DIV/0!</v>
      </c>
      <c r="N53" s="523"/>
      <c r="O53" s="528"/>
    </row>
    <row r="54" spans="1:15" x14ac:dyDescent="0.25">
      <c r="A54" s="507">
        <v>3.0525328055799958</v>
      </c>
      <c r="B54" s="507">
        <v>0.02</v>
      </c>
      <c r="C54" s="541" t="s">
        <v>4076</v>
      </c>
      <c r="D54" s="507">
        <v>1.6587729227221415</v>
      </c>
      <c r="E54" s="508">
        <f t="shared" si="0"/>
        <v>0.19231324427682633</v>
      </c>
      <c r="F54" s="509">
        <f ca="1">LOOKUP(C54,'Growth Pattern'!B$15:B$376,'Growth Pattern'!D$15:D$368)-(LOOKUP(C54,'Growth Pattern'!B$15:B$376,'Growth Pattern'!H$15:H$368)*LOOKUP(C54,'Growth Pattern'!B$15:B$376,'Growth Pattern'!I$15:I$368)/100)</f>
        <v>-1.0000000000001674E-4</v>
      </c>
      <c r="G54" s="509">
        <f ca="1">LOOKUP(C54,'Growth Pattern'!B$15:B$376,'Growth Pattern'!E$15:E$368)-(LOOKUP(C54,'Growth Pattern'!B$15:B$376,'Growth Pattern'!H$15:H$368)*LOOKUP(C54,'Growth Pattern'!B$15:B$376,'Growth Pattern'!I$15:I$368)/100)</f>
        <v>2.2999000000000001</v>
      </c>
      <c r="H54" s="509">
        <f ca="1">LOOKUP(C54,'Growth Pattern'!B$15:B$376,'Growth Pattern'!F$15:F$368)-(LOOKUP(C54,'Growth Pattern'!B$15:B$376,'Growth Pattern'!I$15:I$368)*LOOKUP(C54,'Growth Pattern'!B$15:B$376,'Growth Pattern'!H$15:H$368)/100)</f>
        <v>2.8999000000000001</v>
      </c>
      <c r="I54" s="509">
        <f ca="1">LOOKUP(C54,'Growth Pattern'!B$15:B$376,'Growth Pattern'!G$15:G$368)-(LOOKUP(C54,'Growth Pattern'!B$15:B$376,'Growth Pattern'!H$15:H$368)*LOOKUP(C54,'Growth Pattern'!B$15:B$376,'Growth Pattern'!I$15:I$368)/100)</f>
        <v>2.8999000000000001</v>
      </c>
      <c r="J54" s="510">
        <f t="shared" ca="1" si="1"/>
        <v>19.201550708325566</v>
      </c>
      <c r="K54" s="511">
        <f ca="1">LOOKUP(C54,'Growth Pattern'!B$15:B$376,'Growth Pattern'!H$15:H$368)</f>
        <v>21.75</v>
      </c>
      <c r="L54" s="512">
        <f t="shared" ca="1" si="2"/>
        <v>0.13272101458813199</v>
      </c>
      <c r="M54" s="513">
        <f>LN('Growth Pattern'!F67/'Growth Pattern'!D67)/2</f>
        <v>1.3704200119626004</v>
      </c>
      <c r="N54" s="523"/>
      <c r="O54" s="528"/>
    </row>
    <row r="55" spans="1:15" x14ac:dyDescent="0.25">
      <c r="A55" s="516">
        <v>1.9698592877025809</v>
      </c>
      <c r="B55" s="516">
        <v>0.13</v>
      </c>
      <c r="C55" s="516" t="s">
        <v>4078</v>
      </c>
      <c r="D55" s="507">
        <v>0.66341488535125903</v>
      </c>
      <c r="E55" s="508">
        <f t="shared" si="0"/>
        <v>0.10571709502555954</v>
      </c>
      <c r="F55" s="509">
        <f ca="1">LOOKUP(C55,'Growth Pattern'!B$15:B$376,'Growth Pattern'!D$15:D$368)-(LOOKUP(C55,'Growth Pattern'!B$15:B$376,'Growth Pattern'!H$15:H$368)*LOOKUP(C55,'Growth Pattern'!B$15:B$376,'Growth Pattern'!I$15:I$368)/100)</f>
        <v>15.57474</v>
      </c>
      <c r="G55" s="509">
        <f ca="1">LOOKUP(C55,'Growth Pattern'!B$15:B$376,'Growth Pattern'!E$15:E$368)-(LOOKUP(C55,'Growth Pattern'!B$15:B$376,'Growth Pattern'!H$15:H$368)*LOOKUP(C55,'Growth Pattern'!B$15:B$376,'Growth Pattern'!I$15:I$368)/100)</f>
        <v>17.044739999999997</v>
      </c>
      <c r="H55" s="509">
        <f ca="1">LOOKUP(C55,'Growth Pattern'!B$15:B$376,'Growth Pattern'!F$15:F$368)-(LOOKUP(C55,'Growth Pattern'!B$15:B$376,'Growth Pattern'!I$15:I$368)*LOOKUP(C55,'Growth Pattern'!B$15:B$376,'Growth Pattern'!H$15:H$368)/100)</f>
        <v>22.234740000000002</v>
      </c>
      <c r="I55" s="509">
        <f ca="1">LOOKUP(C55,'Growth Pattern'!B$15:B$376,'Growth Pattern'!G$15:G$368)-(LOOKUP(C55,'Growth Pattern'!B$15:B$376,'Growth Pattern'!H$15:H$368)*LOOKUP(C55,'Growth Pattern'!B$15:B$376,'Growth Pattern'!I$15:I$368)/100)</f>
        <v>31.144740000000013</v>
      </c>
      <c r="J55" s="510">
        <f t="shared" ca="1" si="1"/>
        <v>945.0166987346563</v>
      </c>
      <c r="K55" s="511">
        <f ca="1">LOOKUP(C55,'Growth Pattern'!B$15:B$376,'Growth Pattern'!H$15:H$368)</f>
        <v>287.55</v>
      </c>
      <c r="L55" s="512">
        <f t="shared" ca="1" si="2"/>
        <v>-0.69571966253610207</v>
      </c>
      <c r="M55" s="513">
        <f>LN('Growth Pattern'!F68/'Growth Pattern'!D68)/2</f>
        <v>0.16470876682066149</v>
      </c>
      <c r="N55" s="523"/>
      <c r="O55" s="528"/>
    </row>
    <row r="56" spans="1:15" x14ac:dyDescent="0.25">
      <c r="A56" s="516">
        <v>1.3373010448570559</v>
      </c>
      <c r="B56" s="516">
        <v>0.42</v>
      </c>
      <c r="C56" s="516" t="s">
        <v>2742</v>
      </c>
      <c r="D56" s="507">
        <v>0.44523362242024705</v>
      </c>
      <c r="E56" s="508">
        <f t="shared" si="0"/>
        <v>8.6735325150561496E-2</v>
      </c>
      <c r="F56" s="509">
        <f ca="1">LOOKUP(C56,'Growth Pattern'!B$15:B$376,'Growth Pattern'!D$15:D$368)-(LOOKUP(C56,'Growth Pattern'!B$15:B$376,'Growth Pattern'!H$15:H$368)*LOOKUP(C56,'Growth Pattern'!B$15:B$376,'Growth Pattern'!I$15:I$368)/100)</f>
        <v>-5.0048550000000009</v>
      </c>
      <c r="G56" s="509">
        <f ca="1">LOOKUP(C56,'Growth Pattern'!B$15:B$376,'Growth Pattern'!E$15:E$368)-(LOOKUP(C56,'Growth Pattern'!B$15:B$376,'Growth Pattern'!H$15:H$368)*LOOKUP(C56,'Growth Pattern'!B$15:B$376,'Growth Pattern'!I$15:I$368)/100)</f>
        <v>-5.0048550000000009</v>
      </c>
      <c r="H56" s="509">
        <f ca="1">LOOKUP(C56,'Growth Pattern'!B$15:B$376,'Growth Pattern'!F$15:F$368)-(LOOKUP(C56,'Growth Pattern'!B$15:B$376,'Growth Pattern'!I$15:I$368)*LOOKUP(C56,'Growth Pattern'!B$15:B$376,'Growth Pattern'!H$15:H$368)/100)</f>
        <v>-5.0048550000000009</v>
      </c>
      <c r="I56" s="509">
        <f ca="1">LOOKUP(C56,'Growth Pattern'!B$15:B$376,'Growth Pattern'!G$15:G$368)-(LOOKUP(C56,'Growth Pattern'!B$15:B$376,'Growth Pattern'!H$15:H$368)*LOOKUP(C56,'Growth Pattern'!B$15:B$376,'Growth Pattern'!I$15:I$368)/100)</f>
        <v>-5.0048550000000009</v>
      </c>
      <c r="J56" s="510">
        <f t="shared" ca="1" si="1"/>
        <v>-592.82545088335348</v>
      </c>
      <c r="K56" s="511">
        <f ca="1">LOOKUP(C56,'Growth Pattern'!B$15:B$376,'Growth Pattern'!H$15:H$368)</f>
        <v>382.05</v>
      </c>
      <c r="L56" s="512">
        <f t="shared" ca="1" si="2"/>
        <v>-1.6444561370142214</v>
      </c>
      <c r="M56" s="513" t="e">
        <f>LN('Growth Pattern'!F69/'Growth Pattern'!D69)/2</f>
        <v>#DIV/0!</v>
      </c>
      <c r="N56" s="523"/>
      <c r="O56" s="528"/>
    </row>
    <row r="57" spans="1:15" x14ac:dyDescent="0.25">
      <c r="A57" s="507">
        <v>2.5470108899656978</v>
      </c>
      <c r="B57" s="507">
        <v>0.51</v>
      </c>
      <c r="C57" s="507" t="s">
        <v>1372</v>
      </c>
      <c r="D57" s="507">
        <v>0.52115743044746243</v>
      </c>
      <c r="E57" s="508">
        <f t="shared" si="0"/>
        <v>9.3340696448929228E-2</v>
      </c>
      <c r="F57" s="509">
        <f ca="1">LOOKUP(C57,'Growth Pattern'!B$15:B$376,'Growth Pattern'!D$15:D$368)-(LOOKUP(C57,'Growth Pattern'!B$15:B$376,'Growth Pattern'!H$15:H$368)*LOOKUP(C57,'Growth Pattern'!B$15:B$376,'Growth Pattern'!I$15:I$368)/100)</f>
        <v>41.566874999999996</v>
      </c>
      <c r="G57" s="509">
        <f ca="1">LOOKUP(C57,'Growth Pattern'!B$15:B$376,'Growth Pattern'!E$15:E$368)-(LOOKUP(C57,'Growth Pattern'!B$15:B$376,'Growth Pattern'!H$15:H$368)*LOOKUP(C57,'Growth Pattern'!B$15:B$376,'Growth Pattern'!I$15:I$368)/100)</f>
        <v>42.756874999999994</v>
      </c>
      <c r="H57" s="509">
        <f ca="1">LOOKUP(C57,'Growth Pattern'!B$15:B$376,'Growth Pattern'!F$15:F$368)-(LOOKUP(C57,'Growth Pattern'!B$15:B$376,'Growth Pattern'!I$15:I$368)*LOOKUP(C57,'Growth Pattern'!B$15:B$376,'Growth Pattern'!H$15:H$368)/100)</f>
        <v>54.686875000000001</v>
      </c>
      <c r="I57" s="509">
        <f ca="1">LOOKUP(C57,'Growth Pattern'!B$15:B$376,'Growth Pattern'!G$15:G$368)-(LOOKUP(C57,'Growth Pattern'!B$15:B$376,'Growth Pattern'!H$15:H$368)*LOOKUP(C57,'Growth Pattern'!B$15:B$376,'Growth Pattern'!I$15:I$368)/100)</f>
        <v>77.356875000000002</v>
      </c>
      <c r="J57" s="510">
        <f t="shared" ca="1" si="1"/>
        <v>4563.0582677054854</v>
      </c>
      <c r="K57" s="511">
        <f ca="1">LOOKUP(C57,'Growth Pattern'!B$15:B$376,'Growth Pattern'!H$15:H$368)</f>
        <v>569.04999999999995</v>
      </c>
      <c r="L57" s="512">
        <f t="shared" ca="1" si="2"/>
        <v>-0.87529197160873762</v>
      </c>
      <c r="M57" s="513">
        <f>LN('Growth Pattern'!F70/'Growth Pattern'!D70)/2</f>
        <v>0.11931754817215928</v>
      </c>
      <c r="N57" s="523"/>
      <c r="O57" s="528"/>
    </row>
    <row r="58" spans="1:15" x14ac:dyDescent="0.25">
      <c r="A58" s="507">
        <v>2.5552106546557436</v>
      </c>
      <c r="B58" s="507">
        <v>0.02</v>
      </c>
      <c r="C58" s="507" t="s">
        <v>2745</v>
      </c>
      <c r="D58" s="507">
        <v>0.69133194287983146</v>
      </c>
      <c r="E58" s="508">
        <f t="shared" si="0"/>
        <v>0.10814587903054534</v>
      </c>
      <c r="F58" s="509">
        <f ca="1">LOOKUP(C58,'Growth Pattern'!B$15:B$376,'Growth Pattern'!D$15:D$368)-(LOOKUP(C58,'Growth Pattern'!B$15:B$376,'Growth Pattern'!H$15:H$368)*LOOKUP(C58,'Growth Pattern'!B$15:B$376,'Growth Pattern'!I$15:I$368)/100)</f>
        <v>24.67</v>
      </c>
      <c r="G58" s="509">
        <f ca="1">LOOKUP(C58,'Growth Pattern'!B$15:B$376,'Growth Pattern'!E$15:E$368)-(LOOKUP(C58,'Growth Pattern'!B$15:B$376,'Growth Pattern'!H$15:H$368)*LOOKUP(C58,'Growth Pattern'!B$15:B$376,'Growth Pattern'!I$15:I$368)/100)</f>
        <v>32.299999999999997</v>
      </c>
      <c r="H58" s="509">
        <f ca="1">LOOKUP(C58,'Growth Pattern'!B$15:B$376,'Growth Pattern'!F$15:F$368)-(LOOKUP(C58,'Growth Pattern'!B$15:B$376,'Growth Pattern'!I$15:I$368)*LOOKUP(C58,'Growth Pattern'!B$15:B$376,'Growth Pattern'!H$15:H$368)/100)</f>
        <v>39.4</v>
      </c>
      <c r="I58" s="509">
        <f ca="1">LOOKUP(C58,'Growth Pattern'!B$15:B$376,'Growth Pattern'!G$15:G$368)-(LOOKUP(C58,'Growth Pattern'!B$15:B$376,'Growth Pattern'!H$15:H$368)*LOOKUP(C58,'Growth Pattern'!B$15:B$376,'Growth Pattern'!I$15:I$368)/100)</f>
        <v>45.97000000000002</v>
      </c>
      <c r="J58" s="510">
        <f t="shared" ca="1" si="1"/>
        <v>1286.1449749514095</v>
      </c>
      <c r="K58" s="511">
        <f ca="1">LOOKUP(C58,'Growth Pattern'!B$15:B$376,'Growth Pattern'!H$15:H$368)</f>
        <v>890.6</v>
      </c>
      <c r="L58" s="512">
        <f t="shared" ca="1" si="2"/>
        <v>-0.3075430706918193</v>
      </c>
      <c r="M58" s="513">
        <f>LN('Growth Pattern'!F71/'Growth Pattern'!D71)/2</f>
        <v>0.23408894288131132</v>
      </c>
      <c r="N58" s="523"/>
      <c r="O58" s="528"/>
    </row>
    <row r="59" spans="1:15" x14ac:dyDescent="0.25">
      <c r="A59" s="516">
        <v>2.1758512746121643</v>
      </c>
      <c r="B59" s="516">
        <v>0.28999999999999998</v>
      </c>
      <c r="C59" s="516" t="s">
        <v>4079</v>
      </c>
      <c r="D59" s="507">
        <v>0.64513518543630599</v>
      </c>
      <c r="E59" s="508">
        <f t="shared" si="0"/>
        <v>0.10412676113295863</v>
      </c>
      <c r="F59" s="509">
        <f ca="1">LOOKUP(C59,'Growth Pattern'!B$15:B$376,'Growth Pattern'!D$15:D$368)-(LOOKUP(C59,'Growth Pattern'!B$15:B$376,'Growth Pattern'!H$15:H$368)*LOOKUP(C59,'Growth Pattern'!B$15:B$376,'Growth Pattern'!I$15:I$368)/100)</f>
        <v>73.69</v>
      </c>
      <c r="G59" s="509">
        <f ca="1">LOOKUP(C59,'Growth Pattern'!B$15:B$376,'Growth Pattern'!E$15:E$368)-(LOOKUP(C59,'Growth Pattern'!B$15:B$376,'Growth Pattern'!H$15:H$368)*LOOKUP(C59,'Growth Pattern'!B$15:B$376,'Growth Pattern'!I$15:I$368)/100)</f>
        <v>98.35</v>
      </c>
      <c r="H59" s="509">
        <f ca="1">LOOKUP(C59,'Growth Pattern'!B$15:B$376,'Growth Pattern'!F$15:F$368)-(LOOKUP(C59,'Growth Pattern'!B$15:B$376,'Growth Pattern'!I$15:I$368)*LOOKUP(C59,'Growth Pattern'!B$15:B$376,'Growth Pattern'!H$15:H$368)/100)</f>
        <v>107.34</v>
      </c>
      <c r="I59" s="509">
        <f ca="1">LOOKUP(C59,'Growth Pattern'!B$15:B$376,'Growth Pattern'!G$15:G$368)-(LOOKUP(C59,'Growth Pattern'!B$15:B$376,'Growth Pattern'!H$15:H$368)*LOOKUP(C59,'Growth Pattern'!B$15:B$376,'Growth Pattern'!I$15:I$368)/100)</f>
        <v>107.34</v>
      </c>
      <c r="J59" s="510">
        <f t="shared" ca="1" si="1"/>
        <v>3556.0747637242303</v>
      </c>
      <c r="K59" s="511">
        <f ca="1">LOOKUP(C59,'Growth Pattern'!B$15:B$376,'Growth Pattern'!H$15:H$368)</f>
        <v>523.04999999999995</v>
      </c>
      <c r="L59" s="512">
        <f t="shared" ca="1" si="2"/>
        <v>-0.85291366611982677</v>
      </c>
      <c r="M59" s="513">
        <f>LN('Growth Pattern'!F72/'Growth Pattern'!D72)/2</f>
        <v>0.18806713098488745</v>
      </c>
      <c r="N59" s="523"/>
      <c r="O59" s="528"/>
    </row>
    <row r="60" spans="1:15" x14ac:dyDescent="0.25">
      <c r="A60" s="516">
        <v>2.5011093785869196</v>
      </c>
      <c r="B60" s="516">
        <v>0.17</v>
      </c>
      <c r="C60" s="516" t="s">
        <v>4080</v>
      </c>
      <c r="D60" s="507">
        <v>0.78306539039126333</v>
      </c>
      <c r="E60" s="508">
        <f t="shared" si="0"/>
        <v>0.11612668896403992</v>
      </c>
      <c r="F60" s="509">
        <f ca="1">LOOKUP(C60,'Growth Pattern'!B$15:B$376,'Growth Pattern'!D$15:D$368)-(LOOKUP(C60,'Growth Pattern'!B$15:B$376,'Growth Pattern'!H$15:H$368)*LOOKUP(C60,'Growth Pattern'!B$15:B$376,'Growth Pattern'!I$15:I$368)/100)</f>
        <v>12.17</v>
      </c>
      <c r="G60" s="509">
        <f ca="1">LOOKUP(C60,'Growth Pattern'!B$15:B$376,'Growth Pattern'!E$15:E$368)-(LOOKUP(C60,'Growth Pattern'!B$15:B$376,'Growth Pattern'!H$15:H$368)*LOOKUP(C60,'Growth Pattern'!B$15:B$376,'Growth Pattern'!I$15:I$368)/100)</f>
        <v>10.85</v>
      </c>
      <c r="H60" s="509">
        <f ca="1">LOOKUP(C60,'Growth Pattern'!B$15:B$376,'Growth Pattern'!F$15:F$368)-(LOOKUP(C60,'Growth Pattern'!B$15:B$376,'Growth Pattern'!I$15:I$368)*LOOKUP(C60,'Growth Pattern'!B$15:B$376,'Growth Pattern'!H$15:H$368)/100)</f>
        <v>12.7</v>
      </c>
      <c r="I60" s="509">
        <f ca="1">LOOKUP(C60,'Growth Pattern'!B$15:B$376,'Growth Pattern'!G$15:G$368)-(LOOKUP(C60,'Growth Pattern'!B$15:B$376,'Growth Pattern'!H$15:H$368)*LOOKUP(C60,'Growth Pattern'!B$15:B$376,'Growth Pattern'!I$15:I$368)/100)</f>
        <v>17.720000000000006</v>
      </c>
      <c r="J60" s="510">
        <f t="shared" ca="1" si="1"/>
        <v>384.85866085249285</v>
      </c>
      <c r="K60" s="511">
        <f ca="1">LOOKUP(C60,'Growth Pattern'!B$15:B$376,'Growth Pattern'!H$15:H$368)</f>
        <v>96.2</v>
      </c>
      <c r="L60" s="512">
        <f t="shared" ca="1" si="2"/>
        <v>-0.750038105451728</v>
      </c>
      <c r="M60" s="513">
        <f>LN('Growth Pattern'!F73/'Growth Pattern'!D73)/2</f>
        <v>2.1314043232554834E-2</v>
      </c>
      <c r="N60" s="523"/>
      <c r="O60" s="528"/>
    </row>
    <row r="61" spans="1:15" x14ac:dyDescent="0.25">
      <c r="A61" s="516">
        <v>2.7397917861522414</v>
      </c>
      <c r="B61" s="516"/>
      <c r="C61" s="516" t="s">
        <v>107</v>
      </c>
      <c r="D61" s="507">
        <v>0.66772524938544142</v>
      </c>
      <c r="E61" s="508">
        <f t="shared" si="0"/>
        <v>0.10609209669653341</v>
      </c>
      <c r="F61" s="509">
        <f ca="1">LOOKUP(C61,'Growth Pattern'!B$15:B$376,'Growth Pattern'!D$15:D$368)-(LOOKUP(C61,'Growth Pattern'!B$15:B$376,'Growth Pattern'!H$15:H$368)*LOOKUP(C61,'Growth Pattern'!B$15:B$376,'Growth Pattern'!I$15:I$368)/100)</f>
        <v>10.82</v>
      </c>
      <c r="G61" s="509">
        <f ca="1">LOOKUP(C61,'Growth Pattern'!B$15:B$376,'Growth Pattern'!E$15:E$368)-(LOOKUP(C61,'Growth Pattern'!B$15:B$376,'Growth Pattern'!H$15:H$368)*LOOKUP(C61,'Growth Pattern'!B$15:B$376,'Growth Pattern'!I$15:I$368)/100)</f>
        <v>15.35</v>
      </c>
      <c r="H61" s="509">
        <f ca="1">LOOKUP(C61,'Growth Pattern'!B$15:B$376,'Growth Pattern'!F$15:F$368)-(LOOKUP(C61,'Growth Pattern'!B$15:B$376,'Growth Pattern'!I$15:I$368)*LOOKUP(C61,'Growth Pattern'!B$15:B$376,'Growth Pattern'!H$15:H$368)/100)</f>
        <v>17.350000000000001</v>
      </c>
      <c r="I61" s="509">
        <f ca="1">LOOKUP(C61,'Growth Pattern'!B$15:B$376,'Growth Pattern'!G$15:G$368)-(LOOKUP(C61,'Growth Pattern'!B$15:B$376,'Growth Pattern'!H$15:H$368)*LOOKUP(C61,'Growth Pattern'!B$15:B$376,'Growth Pattern'!I$15:I$368)/100)</f>
        <v>17.350000000000001</v>
      </c>
      <c r="J61" s="510">
        <f t="shared" ca="1" si="1"/>
        <v>530.25806035865855</v>
      </c>
      <c r="K61" s="511">
        <f ca="1">LOOKUP(C61,'Growth Pattern'!B$15:B$376,'Growth Pattern'!H$15:H$368)</f>
        <v>262.75</v>
      </c>
      <c r="L61" s="512">
        <f t="shared" ca="1" si="2"/>
        <v>-0.50448655165698031</v>
      </c>
      <c r="M61" s="513">
        <f>LN('Growth Pattern'!F74/'Growth Pattern'!D74)/2</f>
        <v>0.23609811648726642</v>
      </c>
      <c r="N61" s="523"/>
      <c r="O61" s="528"/>
    </row>
    <row r="62" spans="1:15" x14ac:dyDescent="0.25">
      <c r="A62" s="516">
        <v>2.2130625551665775</v>
      </c>
      <c r="B62" s="516">
        <v>0.05</v>
      </c>
      <c r="C62" s="516" t="s">
        <v>4081</v>
      </c>
      <c r="D62" s="507">
        <v>0.76031205386752221</v>
      </c>
      <c r="E62" s="508">
        <f t="shared" si="0"/>
        <v>0.11414714868647444</v>
      </c>
      <c r="F62" s="509">
        <f ca="1">LOOKUP(C62,'Growth Pattern'!B$15:B$376,'Growth Pattern'!D$15:D$368)-(LOOKUP(C62,'Growth Pattern'!B$15:B$376,'Growth Pattern'!H$15:H$368)*LOOKUP(C62,'Growth Pattern'!B$15:B$376,'Growth Pattern'!I$15:I$368)/100)</f>
        <v>19.829999999999998</v>
      </c>
      <c r="G62" s="509">
        <f ca="1">LOOKUP(C62,'Growth Pattern'!B$15:B$376,'Growth Pattern'!E$15:E$368)-(LOOKUP(C62,'Growth Pattern'!B$15:B$376,'Growth Pattern'!H$15:H$368)*LOOKUP(C62,'Growth Pattern'!B$15:B$376,'Growth Pattern'!I$15:I$368)/100)</f>
        <v>22.25</v>
      </c>
      <c r="H62" s="509">
        <f ca="1">LOOKUP(C62,'Growth Pattern'!B$15:B$376,'Growth Pattern'!F$15:F$368)-(LOOKUP(C62,'Growth Pattern'!B$15:B$376,'Growth Pattern'!I$15:I$368)*LOOKUP(C62,'Growth Pattern'!B$15:B$376,'Growth Pattern'!H$15:H$368)/100)</f>
        <v>25.4</v>
      </c>
      <c r="I62" s="509">
        <f ca="1">LOOKUP(C62,'Growth Pattern'!B$15:B$376,'Growth Pattern'!G$15:G$368)-(LOOKUP(C62,'Growth Pattern'!B$15:B$376,'Growth Pattern'!H$15:H$368)*LOOKUP(C62,'Growth Pattern'!B$15:B$376,'Growth Pattern'!I$15:I$368)/100)</f>
        <v>29.27999999999999</v>
      </c>
      <c r="J62" s="510">
        <f t="shared" ca="1" si="1"/>
        <v>680.2585708240008</v>
      </c>
      <c r="K62" s="511">
        <f ca="1">LOOKUP(C62,'Growth Pattern'!B$15:B$376,'Growth Pattern'!H$15:H$368)</f>
        <v>492.35</v>
      </c>
      <c r="L62" s="512">
        <f t="shared" ca="1" si="2"/>
        <v>-0.2762310963555904</v>
      </c>
      <c r="M62" s="513">
        <f>LN('Growth Pattern'!F75/'Growth Pattern'!D75)/2</f>
        <v>0.12377661574639318</v>
      </c>
      <c r="N62" s="523"/>
      <c r="O62" s="528"/>
    </row>
    <row r="63" spans="1:15" x14ac:dyDescent="0.25">
      <c r="A63" s="507">
        <v>2.7579065907960616</v>
      </c>
      <c r="B63" s="507"/>
      <c r="C63" s="507" t="s">
        <v>1348</v>
      </c>
      <c r="D63" s="507">
        <v>0.34165694269054808</v>
      </c>
      <c r="E63" s="508">
        <f t="shared" si="0"/>
        <v>7.7724154014077687E-2</v>
      </c>
      <c r="F63" s="509">
        <f ca="1">LOOKUP(C63,'Growth Pattern'!B$15:B$376,'Growth Pattern'!D$15:D$368)-(LOOKUP(C63,'Growth Pattern'!B$15:B$376,'Growth Pattern'!H$15:H$368)*LOOKUP(C63,'Growth Pattern'!B$15:B$376,'Growth Pattern'!I$15:I$368)/100)</f>
        <v>0</v>
      </c>
      <c r="G63" s="509">
        <f ca="1">LOOKUP(C63,'Growth Pattern'!B$15:B$376,'Growth Pattern'!E$15:E$368)-(LOOKUP(C63,'Growth Pattern'!B$15:B$376,'Growth Pattern'!H$15:H$368)*LOOKUP(C63,'Growth Pattern'!B$15:B$376,'Growth Pattern'!I$15:I$368)/100)</f>
        <v>13.8</v>
      </c>
      <c r="H63" s="509">
        <f ca="1">LOOKUP(C63,'Growth Pattern'!B$15:B$376,'Growth Pattern'!F$15:F$368)-(LOOKUP(C63,'Growth Pattern'!B$15:B$376,'Growth Pattern'!I$15:I$368)*LOOKUP(C63,'Growth Pattern'!B$15:B$376,'Growth Pattern'!H$15:H$368)/100)</f>
        <v>37.799999999999997</v>
      </c>
      <c r="I63" s="509">
        <f ca="1">LOOKUP(C63,'Growth Pattern'!B$15:B$376,'Growth Pattern'!G$15:G$368)-(LOOKUP(C63,'Growth Pattern'!B$15:B$376,'Growth Pattern'!H$15:H$368)*LOOKUP(C63,'Growth Pattern'!B$15:B$376,'Growth Pattern'!I$15:I$368)/100)</f>
        <v>72</v>
      </c>
      <c r="J63" s="510">
        <f t="shared" ca="1" si="1"/>
        <v>-25228.231668070621</v>
      </c>
      <c r="K63" s="511">
        <f ca="1">LOOKUP(C63,'Growth Pattern'!B$15:B$376,'Growth Pattern'!H$15:H$368)</f>
        <v>95.6</v>
      </c>
      <c r="L63" s="512">
        <f t="shared" ca="1" si="2"/>
        <v>-1.0037894055064109</v>
      </c>
      <c r="M63" s="513" t="e">
        <f>LN('Growth Pattern'!F76/'Growth Pattern'!D76)/2</f>
        <v>#DIV/0!</v>
      </c>
      <c r="N63" s="523"/>
      <c r="O63" s="528"/>
    </row>
    <row r="64" spans="1:15" x14ac:dyDescent="0.25">
      <c r="A64" s="516">
        <v>0.65843634728302203</v>
      </c>
      <c r="B64" s="516">
        <v>0.28999999999999998</v>
      </c>
      <c r="C64" s="516" t="s">
        <v>5330</v>
      </c>
      <c r="D64" s="507">
        <v>0.50884890547898898</v>
      </c>
      <c r="E64" s="508">
        <f t="shared" si="0"/>
        <v>9.2269854776672044E-2</v>
      </c>
      <c r="F64" s="509">
        <f ca="1">LOOKUP(C64,'Growth Pattern'!B$15:B$376,'Growth Pattern'!D$15:D$368)-(LOOKUP(C64,'Growth Pattern'!B$15:B$376,'Growth Pattern'!H$15:H$368)*LOOKUP(C64,'Growth Pattern'!B$15:B$376,'Growth Pattern'!I$15:I$368)/100)</f>
        <v>0</v>
      </c>
      <c r="G64" s="509">
        <f ca="1">LOOKUP(C64,'Growth Pattern'!B$15:B$376,'Growth Pattern'!E$15:E$368)-(LOOKUP(C64,'Growth Pattern'!B$15:B$376,'Growth Pattern'!H$15:H$368)*LOOKUP(C64,'Growth Pattern'!B$15:B$376,'Growth Pattern'!I$15:I$368)/100)</f>
        <v>0</v>
      </c>
      <c r="H64" s="509">
        <f ca="1">LOOKUP(C64,'Growth Pattern'!B$15:B$376,'Growth Pattern'!F$15:F$368)-(LOOKUP(C64,'Growth Pattern'!B$15:B$376,'Growth Pattern'!I$15:I$368)*LOOKUP(C64,'Growth Pattern'!B$15:B$376,'Growth Pattern'!H$15:H$368)/100)</f>
        <v>0</v>
      </c>
      <c r="I64" s="509">
        <f ca="1">LOOKUP(C64,'Growth Pattern'!B$15:B$376,'Growth Pattern'!G$15:G$368)-(LOOKUP(C64,'Growth Pattern'!B$15:B$376,'Growth Pattern'!H$15:H$368)*LOOKUP(C64,'Growth Pattern'!B$15:B$376,'Growth Pattern'!I$15:I$368)/100)</f>
        <v>0</v>
      </c>
      <c r="J64" s="510">
        <f t="shared" ca="1" si="1"/>
        <v>0</v>
      </c>
      <c r="K64" s="511">
        <f ca="1">LOOKUP(C64,'Growth Pattern'!B$15:B$376,'Growth Pattern'!H$15:H$368)</f>
        <v>41.5</v>
      </c>
      <c r="L64" s="512" t="e">
        <f t="shared" ca="1" si="2"/>
        <v>#DIV/0!</v>
      </c>
      <c r="M64" s="513" t="e">
        <f>LN('Growth Pattern'!F77/'Growth Pattern'!D77)/2</f>
        <v>#DIV/0!</v>
      </c>
      <c r="N64" s="523"/>
      <c r="O64" s="528"/>
    </row>
    <row r="65" spans="1:15" x14ac:dyDescent="0.25">
      <c r="A65" s="516">
        <v>0.7007161302656405</v>
      </c>
      <c r="B65" s="516">
        <v>0.36</v>
      </c>
      <c r="C65" s="516" t="s">
        <v>4082</v>
      </c>
      <c r="D65" s="507">
        <v>0.98968166849615802</v>
      </c>
      <c r="E65" s="508">
        <f t="shared" si="0"/>
        <v>0.13410230515916577</v>
      </c>
      <c r="F65" s="509">
        <f ca="1">LOOKUP(C65,'Growth Pattern'!B$15:B$376,'Growth Pattern'!D$15:D$368)-(LOOKUP(C65,'Growth Pattern'!B$15:B$376,'Growth Pattern'!H$15:H$368)*LOOKUP(C65,'Growth Pattern'!B$15:B$376,'Growth Pattern'!I$15:I$368)/100)</f>
        <v>11.33</v>
      </c>
      <c r="G65" s="509">
        <f ca="1">LOOKUP(C65,'Growth Pattern'!B$15:B$376,'Growth Pattern'!E$15:E$368)-(LOOKUP(C65,'Growth Pattern'!B$15:B$376,'Growth Pattern'!H$15:H$368)*LOOKUP(C65,'Growth Pattern'!B$15:B$376,'Growth Pattern'!I$15:I$368)/100)</f>
        <v>14.32</v>
      </c>
      <c r="H65" s="509">
        <f ca="1">LOOKUP(C65,'Growth Pattern'!B$15:B$376,'Growth Pattern'!F$15:F$368)-(LOOKUP(C65,'Growth Pattern'!B$15:B$376,'Growth Pattern'!I$15:I$368)*LOOKUP(C65,'Growth Pattern'!B$15:B$376,'Growth Pattern'!H$15:H$368)/100)</f>
        <v>15.55</v>
      </c>
      <c r="I65" s="509">
        <f ca="1">LOOKUP(C65,'Growth Pattern'!B$15:B$376,'Growth Pattern'!G$15:G$368)-(LOOKUP(C65,'Growth Pattern'!B$15:B$376,'Growth Pattern'!H$15:H$368)*LOOKUP(C65,'Growth Pattern'!B$15:B$376,'Growth Pattern'!I$15:I$368)/100)</f>
        <v>15.55</v>
      </c>
      <c r="J65" s="510">
        <f t="shared" ca="1" si="1"/>
        <v>233.08831586654759</v>
      </c>
      <c r="K65" s="511">
        <f ca="1">LOOKUP(C65,'Growth Pattern'!B$15:B$376,'Growth Pattern'!H$15:H$368)</f>
        <v>47</v>
      </c>
      <c r="L65" s="512">
        <f t="shared" ca="1" si="2"/>
        <v>-0.79835969115281868</v>
      </c>
      <c r="M65" s="513">
        <f>LN('Growth Pattern'!F78/'Growth Pattern'!D78)/2</f>
        <v>0.15830328179266409</v>
      </c>
      <c r="N65" s="523"/>
      <c r="O65" s="528"/>
    </row>
    <row r="66" spans="1:15" x14ac:dyDescent="0.25">
      <c r="A66" s="516">
        <v>2.5231736728245835</v>
      </c>
      <c r="B66" s="516">
        <v>0.44</v>
      </c>
      <c r="C66" s="516" t="s">
        <v>4083</v>
      </c>
      <c r="D66" s="507">
        <v>0.51444790347749425</v>
      </c>
      <c r="E66" s="508">
        <f t="shared" ref="E66:E129" si="3">$O$12+D66*($P$13-$O$12)</f>
        <v>9.2756967602542012E-2</v>
      </c>
      <c r="F66" s="509">
        <f ca="1">LOOKUP(C66,'Growth Pattern'!B$15:B$376,'Growth Pattern'!D$15:D$368)-(LOOKUP(C66,'Growth Pattern'!B$15:B$376,'Growth Pattern'!H$15:H$368)*LOOKUP(C66,'Growth Pattern'!B$15:B$376,'Growth Pattern'!I$15:I$368)/100)</f>
        <v>0</v>
      </c>
      <c r="G66" s="509">
        <f ca="1">LOOKUP(C66,'Growth Pattern'!B$15:B$376,'Growth Pattern'!E$15:E$368)-(LOOKUP(C66,'Growth Pattern'!B$15:B$376,'Growth Pattern'!H$15:H$368)*LOOKUP(C66,'Growth Pattern'!B$15:B$376,'Growth Pattern'!I$15:I$368)/100)</f>
        <v>35.700000000000003</v>
      </c>
      <c r="H66" s="509">
        <f ca="1">LOOKUP(C66,'Growth Pattern'!B$15:B$376,'Growth Pattern'!F$15:F$368)-(LOOKUP(C66,'Growth Pattern'!B$15:B$376,'Growth Pattern'!I$15:I$368)*LOOKUP(C66,'Growth Pattern'!B$15:B$376,'Growth Pattern'!H$15:H$368)/100)</f>
        <v>43.5</v>
      </c>
      <c r="I66" s="509">
        <f ca="1">LOOKUP(C66,'Growth Pattern'!B$15:B$376,'Growth Pattern'!G$15:G$368)-(LOOKUP(C66,'Growth Pattern'!B$15:B$376,'Growth Pattern'!H$15:H$368)*LOOKUP(C66,'Growth Pattern'!B$15:B$376,'Growth Pattern'!I$15:I$368)/100)</f>
        <v>43.5</v>
      </c>
      <c r="J66" s="510">
        <f t="shared" ref="J66:J129" ca="1" si="4">F66+G66/((1+E66)*(1+$O$15))+H66/((1+E66)^2)*((1+$O$15)^2)+(I66/(E66-$P$16))/((1+E66)^3)*((1+$O$15)^3)</f>
        <v>2682.2886125458281</v>
      </c>
      <c r="K66" s="511">
        <f ca="1">LOOKUP(C66,'Growth Pattern'!B$15:B$376,'Growth Pattern'!H$15:H$368)</f>
        <v>307.60000000000002</v>
      </c>
      <c r="L66" s="512">
        <f t="shared" ref="L66:L129" ca="1" si="5">(K66-J66)/J66</f>
        <v>-0.88532181117227016</v>
      </c>
      <c r="M66" s="513" t="e">
        <f>LN('Growth Pattern'!F79/'Growth Pattern'!D79)/2</f>
        <v>#DIV/0!</v>
      </c>
      <c r="N66" s="523"/>
      <c r="O66" s="528"/>
    </row>
    <row r="67" spans="1:15" x14ac:dyDescent="0.25">
      <c r="A67" s="506">
        <v>1.7648478262112539</v>
      </c>
      <c r="B67" s="507">
        <v>0.4</v>
      </c>
      <c r="C67" s="507" t="s">
        <v>1349</v>
      </c>
      <c r="D67" s="507">
        <v>0.41119314896223358</v>
      </c>
      <c r="E67" s="508">
        <f t="shared" si="3"/>
        <v>8.3773803959714316E-2</v>
      </c>
      <c r="F67" s="509">
        <f ca="1">LOOKUP(C67,'Growth Pattern'!B$15:B$376,'Growth Pattern'!D$15:D$368)-(LOOKUP(C67,'Growth Pattern'!B$15:B$376,'Growth Pattern'!H$15:H$368)*LOOKUP(C67,'Growth Pattern'!B$15:B$376,'Growth Pattern'!I$15:I$368)/100)</f>
        <v>34.659999999999997</v>
      </c>
      <c r="G67" s="509">
        <f ca="1">LOOKUP(C67,'Growth Pattern'!B$15:B$376,'Growth Pattern'!E$15:E$368)-(LOOKUP(C67,'Growth Pattern'!B$15:B$376,'Growth Pattern'!H$15:H$368)*LOOKUP(C67,'Growth Pattern'!B$15:B$376,'Growth Pattern'!I$15:I$368)/100)</f>
        <v>38.6</v>
      </c>
      <c r="H67" s="509">
        <f ca="1">LOOKUP(C67,'Growth Pattern'!B$15:B$376,'Growth Pattern'!F$15:F$368)-(LOOKUP(C67,'Growth Pattern'!B$15:B$376,'Growth Pattern'!I$15:I$368)*LOOKUP(C67,'Growth Pattern'!B$15:B$376,'Growth Pattern'!H$15:H$368)/100)</f>
        <v>41.25</v>
      </c>
      <c r="I67" s="509">
        <f ca="1">LOOKUP(C67,'Growth Pattern'!B$15:B$376,'Growth Pattern'!G$15:G$368)-(LOOKUP(C67,'Growth Pattern'!B$15:B$376,'Growth Pattern'!H$15:H$368)*LOOKUP(C67,'Growth Pattern'!B$15:B$376,'Growth Pattern'!I$15:I$368)/100)</f>
        <v>41.25</v>
      </c>
      <c r="J67" s="510">
        <f t="shared" ca="1" si="4"/>
        <v>8692.142688238866</v>
      </c>
      <c r="K67" s="511">
        <f ca="1">LOOKUP(C67,'Growth Pattern'!B$15:B$376,'Growth Pattern'!H$15:H$368)</f>
        <v>279.3</v>
      </c>
      <c r="L67" s="512">
        <f t="shared" ca="1" si="5"/>
        <v>-0.96786753162969663</v>
      </c>
      <c r="M67" s="513">
        <f>LN('Growth Pattern'!F80/'Growth Pattern'!D80)/2</f>
        <v>8.7032414246614995E-2</v>
      </c>
      <c r="N67" s="523"/>
      <c r="O67" s="528"/>
    </row>
    <row r="68" spans="1:15" x14ac:dyDescent="0.25">
      <c r="A68" s="507">
        <v>2.6365592636262165</v>
      </c>
      <c r="B68" s="507">
        <v>0.4</v>
      </c>
      <c r="C68" s="507" t="s">
        <v>1857</v>
      </c>
      <c r="D68" s="507">
        <v>0.97014815101623664</v>
      </c>
      <c r="E68" s="508">
        <f t="shared" si="3"/>
        <v>0.13240288913841258</v>
      </c>
      <c r="F68" s="509">
        <f ca="1">LOOKUP(C68,'Growth Pattern'!B$15:B$376,'Growth Pattern'!D$15:D$368)-(LOOKUP(C68,'Growth Pattern'!B$15:B$376,'Growth Pattern'!H$15:H$368)*LOOKUP(C68,'Growth Pattern'!B$15:B$376,'Growth Pattern'!I$15:I$368)/100)</f>
        <v>5.15</v>
      </c>
      <c r="G68" s="509">
        <f ca="1">LOOKUP(C68,'Growth Pattern'!B$15:B$376,'Growth Pattern'!E$15:E$368)-(LOOKUP(C68,'Growth Pattern'!B$15:B$376,'Growth Pattern'!H$15:H$368)*LOOKUP(C68,'Growth Pattern'!B$15:B$376,'Growth Pattern'!I$15:I$368)/100)</f>
        <v>7</v>
      </c>
      <c r="H68" s="509">
        <f ca="1">LOOKUP(C68,'Growth Pattern'!B$15:B$376,'Growth Pattern'!F$15:F$368)-(LOOKUP(C68,'Growth Pattern'!B$15:B$376,'Growth Pattern'!I$15:I$368)*LOOKUP(C68,'Growth Pattern'!B$15:B$376,'Growth Pattern'!H$15:H$368)/100)</f>
        <v>7.11</v>
      </c>
      <c r="I68" s="509">
        <f ca="1">LOOKUP(C68,'Growth Pattern'!B$15:B$376,'Growth Pattern'!G$15:G$368)-(LOOKUP(C68,'Growth Pattern'!B$15:B$376,'Growth Pattern'!H$15:H$368)*LOOKUP(C68,'Growth Pattern'!B$15:B$376,'Growth Pattern'!I$15:I$368)/100)</f>
        <v>7.11</v>
      </c>
      <c r="J68" s="510">
        <f t="shared" ca="1" si="4"/>
        <v>110.31151581450231</v>
      </c>
      <c r="K68" s="511">
        <f ca="1">LOOKUP(C68,'Growth Pattern'!B$15:B$376,'Growth Pattern'!H$15:H$368)</f>
        <v>77.150000000000006</v>
      </c>
      <c r="L68" s="512">
        <f t="shared" ca="1" si="5"/>
        <v>-0.30061698970999606</v>
      </c>
      <c r="M68" s="513">
        <f>LN('Growth Pattern'!F81/'Growth Pattern'!D81)/2</f>
        <v>0.16125276456975235</v>
      </c>
      <c r="N68" s="523"/>
      <c r="O68" s="544"/>
    </row>
    <row r="69" spans="1:15" x14ac:dyDescent="0.25">
      <c r="A69" s="507">
        <v>0.38825243417736932</v>
      </c>
      <c r="B69" s="507">
        <v>0.03</v>
      </c>
      <c r="C69" s="507" t="s">
        <v>2748</v>
      </c>
      <c r="D69" s="507">
        <v>0.98982485207100601</v>
      </c>
      <c r="E69" s="508">
        <f t="shared" si="3"/>
        <v>0.13411476213017753</v>
      </c>
      <c r="F69" s="509">
        <f ca="1">LOOKUP(C69,'Growth Pattern'!B$15:B$376,'Growth Pattern'!D$15:D$368)-(LOOKUP(C69,'Growth Pattern'!B$15:B$376,'Growth Pattern'!H$15:H$368)*LOOKUP(C69,'Growth Pattern'!B$15:B$376,'Growth Pattern'!I$15:I$368)/100)</f>
        <v>0</v>
      </c>
      <c r="G69" s="509">
        <f ca="1">LOOKUP(C69,'Growth Pattern'!B$15:B$376,'Growth Pattern'!E$15:E$368)-(LOOKUP(C69,'Growth Pattern'!B$15:B$376,'Growth Pattern'!H$15:H$368)*LOOKUP(C69,'Growth Pattern'!B$15:B$376,'Growth Pattern'!I$15:I$368)/100)</f>
        <v>63.6</v>
      </c>
      <c r="H69" s="509">
        <f ca="1">LOOKUP(C69,'Growth Pattern'!B$15:B$376,'Growth Pattern'!F$15:F$368)-(LOOKUP(C69,'Growth Pattern'!B$15:B$376,'Growth Pattern'!I$15:I$368)*LOOKUP(C69,'Growth Pattern'!B$15:B$376,'Growth Pattern'!H$15:H$368)/100)</f>
        <v>108.9</v>
      </c>
      <c r="I69" s="509">
        <f ca="1">LOOKUP(C69,'Growth Pattern'!B$15:B$376,'Growth Pattern'!G$15:G$368)-(LOOKUP(C69,'Growth Pattern'!B$15:B$376,'Growth Pattern'!H$15:H$368)*LOOKUP(C69,'Growth Pattern'!B$15:B$376,'Growth Pattern'!I$15:I$368)/100)</f>
        <v>135.90000000000003</v>
      </c>
      <c r="J69" s="510">
        <f t="shared" ca="1" si="4"/>
        <v>1862.3476613739156</v>
      </c>
      <c r="K69" s="511">
        <f ca="1">LOOKUP(C69,'Growth Pattern'!B$15:B$376,'Growth Pattern'!H$15:H$368)</f>
        <v>429.9</v>
      </c>
      <c r="L69" s="512">
        <f t="shared" ca="1" si="5"/>
        <v>-0.76916232725158928</v>
      </c>
      <c r="M69" s="513" t="e">
        <f>LN('Growth Pattern'!F82/'Growth Pattern'!D82)/2</f>
        <v>#DIV/0!</v>
      </c>
      <c r="N69" s="523"/>
      <c r="O69" s="528"/>
    </row>
    <row r="70" spans="1:15" x14ac:dyDescent="0.25">
      <c r="A70" s="507">
        <v>1.3246206658911603</v>
      </c>
      <c r="B70" s="507">
        <v>0.1</v>
      </c>
      <c r="C70" s="507" t="s">
        <v>1373</v>
      </c>
      <c r="D70" s="507">
        <v>0.29716920895194565</v>
      </c>
      <c r="E70" s="508">
        <f t="shared" si="3"/>
        <v>7.3853721178819276E-2</v>
      </c>
      <c r="F70" s="509">
        <f ca="1">LOOKUP(C70,'Growth Pattern'!B$15:B$376,'Growth Pattern'!D$15:D$368)-(LOOKUP(C70,'Growth Pattern'!B$15:B$376,'Growth Pattern'!H$15:H$368)*LOOKUP(C70,'Growth Pattern'!B$15:B$376,'Growth Pattern'!I$15:I$368)/100)</f>
        <v>12.49</v>
      </c>
      <c r="G70" s="509">
        <f ca="1">LOOKUP(C70,'Growth Pattern'!B$15:B$376,'Growth Pattern'!E$15:E$368)-(LOOKUP(C70,'Growth Pattern'!B$15:B$376,'Growth Pattern'!H$15:H$368)*LOOKUP(C70,'Growth Pattern'!B$15:B$376,'Growth Pattern'!I$15:I$368)/100)</f>
        <v>12.67</v>
      </c>
      <c r="H70" s="509">
        <f ca="1">LOOKUP(C70,'Growth Pattern'!B$15:B$376,'Growth Pattern'!F$15:F$368)-(LOOKUP(C70,'Growth Pattern'!B$15:B$376,'Growth Pattern'!I$15:I$368)*LOOKUP(C70,'Growth Pattern'!B$15:B$376,'Growth Pattern'!H$15:H$368)/100)</f>
        <v>15.3</v>
      </c>
      <c r="I70" s="509">
        <f ca="1">LOOKUP(C70,'Growth Pattern'!B$15:B$376,'Growth Pattern'!G$15:G$368)-(LOOKUP(C70,'Growth Pattern'!B$15:B$376,'Growth Pattern'!H$15:H$368)*LOOKUP(C70,'Growth Pattern'!B$15:B$376,'Growth Pattern'!I$15:I$368)/100)</f>
        <v>20.380000000000003</v>
      </c>
      <c r="J70" s="510">
        <f t="shared" ca="1" si="4"/>
        <v>-2640.1103573773612</v>
      </c>
      <c r="K70" s="511">
        <f ca="1">LOOKUP(C70,'Growth Pattern'!B$15:B$376,'Growth Pattern'!H$15:H$368)</f>
        <v>315.5</v>
      </c>
      <c r="L70" s="512">
        <f t="shared" ca="1" si="5"/>
        <v>-1.1195025803063066</v>
      </c>
      <c r="M70" s="513">
        <f>LN('Growth Pattern'!F83/'Growth Pattern'!D83)/2</f>
        <v>0.10146225213045175</v>
      </c>
      <c r="N70" s="523"/>
      <c r="O70" s="528"/>
    </row>
    <row r="71" spans="1:15" x14ac:dyDescent="0.25">
      <c r="A71" s="506">
        <v>2.6243690219589824</v>
      </c>
      <c r="B71" s="507"/>
      <c r="C71" s="507" t="s">
        <v>1585</v>
      </c>
      <c r="D71" s="507">
        <v>0.34268157074855321</v>
      </c>
      <c r="E71" s="508">
        <f t="shared" si="3"/>
        <v>7.7813296655124126E-2</v>
      </c>
      <c r="F71" s="509">
        <f ca="1">LOOKUP(C71,'Growth Pattern'!B$15:B$376,'Growth Pattern'!D$15:D$368)-(LOOKUP(C71,'Growth Pattern'!B$15:B$376,'Growth Pattern'!H$15:H$368)*LOOKUP(C71,'Growth Pattern'!B$15:B$376,'Growth Pattern'!I$15:I$368)/100)</f>
        <v>3.2355150000000004</v>
      </c>
      <c r="G71" s="509">
        <f ca="1">LOOKUP(C71,'Growth Pattern'!B$15:B$376,'Growth Pattern'!E$15:E$368)-(LOOKUP(C71,'Growth Pattern'!B$15:B$376,'Growth Pattern'!H$15:H$368)*LOOKUP(C71,'Growth Pattern'!B$15:B$376,'Growth Pattern'!I$15:I$368)/100)</f>
        <v>3.9255149999999999</v>
      </c>
      <c r="H71" s="509">
        <f ca="1">LOOKUP(C71,'Growth Pattern'!B$15:B$376,'Growth Pattern'!F$15:F$368)-(LOOKUP(C71,'Growth Pattern'!B$15:B$376,'Growth Pattern'!I$15:I$368)*LOOKUP(C71,'Growth Pattern'!B$15:B$376,'Growth Pattern'!H$15:H$368)/100)</f>
        <v>5.1555150000000003</v>
      </c>
      <c r="I71" s="509">
        <f ca="1">LOOKUP(C71,'Growth Pattern'!B$15:B$376,'Growth Pattern'!G$15:G$368)-(LOOKUP(C71,'Growth Pattern'!B$15:B$376,'Growth Pattern'!H$15:H$368)*LOOKUP(C71,'Growth Pattern'!B$15:B$376,'Growth Pattern'!I$15:I$368)/100)</f>
        <v>6.9255150000000034</v>
      </c>
      <c r="J71" s="510">
        <f t="shared" ca="1" si="4"/>
        <v>-2518.1664014787725</v>
      </c>
      <c r="K71" s="511">
        <f ca="1">LOOKUP(C71,'Growth Pattern'!B$15:B$376,'Growth Pattern'!H$15:H$368)</f>
        <v>42.15</v>
      </c>
      <c r="L71" s="512">
        <f t="shared" ca="1" si="5"/>
        <v>-1.016738369622932</v>
      </c>
      <c r="M71" s="513">
        <f>LN('Growth Pattern'!F84/'Growth Pattern'!D84)/2</f>
        <v>0.19642730025811736</v>
      </c>
      <c r="N71" s="523"/>
      <c r="O71" s="528"/>
    </row>
    <row r="72" spans="1:15" x14ac:dyDescent="0.25">
      <c r="A72" s="516">
        <v>1.2026421808080019</v>
      </c>
      <c r="B72" s="516">
        <v>0.11</v>
      </c>
      <c r="C72" s="516" t="s">
        <v>4242</v>
      </c>
      <c r="D72" s="507">
        <v>0.16981421167899613</v>
      </c>
      <c r="E72" s="508">
        <f t="shared" si="3"/>
        <v>6.2773836416072662E-2</v>
      </c>
      <c r="F72" s="509">
        <f ca="1">LOOKUP(C72,'Growth Pattern'!B$15:B$376,'Growth Pattern'!D$15:D$368)-(LOOKUP(C72,'Growth Pattern'!B$15:B$376,'Growth Pattern'!H$15:H$368)*LOOKUP(C72,'Growth Pattern'!B$15:B$376,'Growth Pattern'!I$15:I$368)/100)</f>
        <v>11.099610000000002</v>
      </c>
      <c r="G72" s="509">
        <f ca="1">LOOKUP(C72,'Growth Pattern'!B$15:B$376,'Growth Pattern'!E$15:E$368)-(LOOKUP(C72,'Growth Pattern'!B$15:B$376,'Growth Pattern'!H$15:H$368)*LOOKUP(C72,'Growth Pattern'!B$15:B$376,'Growth Pattern'!I$15:I$368)/100)</f>
        <v>11.919610000000002</v>
      </c>
      <c r="H72" s="509">
        <f ca="1">LOOKUP(C72,'Growth Pattern'!B$15:B$376,'Growth Pattern'!F$15:F$368)-(LOOKUP(C72,'Growth Pattern'!B$15:B$376,'Growth Pattern'!I$15:I$368)*LOOKUP(C72,'Growth Pattern'!B$15:B$376,'Growth Pattern'!H$15:H$368)/100)</f>
        <v>16.679610000000004</v>
      </c>
      <c r="I72" s="509">
        <f ca="1">LOOKUP(C72,'Growth Pattern'!B$15:B$376,'Growth Pattern'!G$15:G$368)-(LOOKUP(C72,'Growth Pattern'!B$15:B$376,'Growth Pattern'!H$15:H$368)*LOOKUP(C72,'Growth Pattern'!B$15:B$376,'Growth Pattern'!I$15:I$368)/100)</f>
        <v>25.379610000000021</v>
      </c>
      <c r="J72" s="510">
        <f t="shared" ca="1" si="4"/>
        <v>-1190.2826438747916</v>
      </c>
      <c r="K72" s="511">
        <f ca="1">LOOKUP(C72,'Growth Pattern'!B$15:B$376,'Growth Pattern'!H$15:H$368)</f>
        <v>905.9</v>
      </c>
      <c r="L72" s="512">
        <f t="shared" ca="1" si="5"/>
        <v>-1.7610797356928392</v>
      </c>
      <c r="M72" s="513">
        <f>LN('Growth Pattern'!F85/'Growth Pattern'!D85)/2</f>
        <v>8.2463027875166919E-2</v>
      </c>
      <c r="N72" s="523"/>
      <c r="O72" s="528"/>
    </row>
    <row r="73" spans="1:15" x14ac:dyDescent="0.25">
      <c r="A73" s="506">
        <v>1.7527784210197308</v>
      </c>
      <c r="B73" s="506">
        <v>0.03</v>
      </c>
      <c r="C73" s="506" t="s">
        <v>2667</v>
      </c>
      <c r="D73" s="507">
        <v>0.60705395705322052</v>
      </c>
      <c r="E73" s="508">
        <f t="shared" si="3"/>
        <v>0.10081369426363018</v>
      </c>
      <c r="F73" s="509">
        <f ca="1">LOOKUP(C73,'Growth Pattern'!B$15:B$376,'Growth Pattern'!D$15:D$368)-(LOOKUP(C73,'Growth Pattern'!B$15:B$376,'Growth Pattern'!H$15:H$368)*LOOKUP(C73,'Growth Pattern'!B$15:B$376,'Growth Pattern'!I$15:I$368)/100)</f>
        <v>59.9</v>
      </c>
      <c r="G73" s="509">
        <f ca="1">LOOKUP(C73,'Growth Pattern'!B$15:B$376,'Growth Pattern'!E$15:E$368)-(LOOKUP(C73,'Growth Pattern'!B$15:B$376,'Growth Pattern'!H$15:H$368)*LOOKUP(C73,'Growth Pattern'!B$15:B$376,'Growth Pattern'!I$15:I$368)/100)</f>
        <v>67.05</v>
      </c>
      <c r="H73" s="509">
        <f ca="1">LOOKUP(C73,'Growth Pattern'!B$15:B$376,'Growth Pattern'!F$15:F$368)-(LOOKUP(C73,'Growth Pattern'!B$15:B$376,'Growth Pattern'!I$15:I$368)*LOOKUP(C73,'Growth Pattern'!B$15:B$376,'Growth Pattern'!H$15:H$368)/100)</f>
        <v>76</v>
      </c>
      <c r="I73" s="509">
        <f ca="1">LOOKUP(C73,'Growth Pattern'!B$15:B$376,'Growth Pattern'!G$15:G$368)-(LOOKUP(C73,'Growth Pattern'!B$15:B$376,'Growth Pattern'!H$15:H$368)*LOOKUP(C73,'Growth Pattern'!B$15:B$376,'Growth Pattern'!I$15:I$368)/100)</f>
        <v>86.75</v>
      </c>
      <c r="J73" s="510">
        <f t="shared" ca="1" si="4"/>
        <v>3308.014447617209</v>
      </c>
      <c r="K73" s="511">
        <f ca="1">LOOKUP(C73,'Growth Pattern'!B$15:B$376,'Growth Pattern'!H$15:H$368)</f>
        <v>1075.4000000000001</v>
      </c>
      <c r="L73" s="512">
        <f t="shared" ca="1" si="5"/>
        <v>-0.67491073058202034</v>
      </c>
      <c r="M73" s="513">
        <f>LN('Growth Pattern'!F86/'Growth Pattern'!D86)/2</f>
        <v>0.11902841758246373</v>
      </c>
      <c r="N73" s="523"/>
      <c r="O73" s="528"/>
    </row>
    <row r="74" spans="1:15" x14ac:dyDescent="0.25">
      <c r="A74" s="507">
        <v>2.5513083371985106</v>
      </c>
      <c r="B74" s="507">
        <v>0.35</v>
      </c>
      <c r="C74" s="507" t="s">
        <v>2668</v>
      </c>
      <c r="D74" s="507">
        <v>0.41081415564014923</v>
      </c>
      <c r="E74" s="508">
        <f t="shared" si="3"/>
        <v>8.3740831540692978E-2</v>
      </c>
      <c r="F74" s="509">
        <f ca="1">LOOKUP(C74,'Growth Pattern'!B$15:B$376,'Growth Pattern'!D$15:D$368)-(LOOKUP(C74,'Growth Pattern'!B$15:B$376,'Growth Pattern'!H$15:H$368)*LOOKUP(C74,'Growth Pattern'!B$15:B$376,'Growth Pattern'!I$15:I$368)/100)</f>
        <v>81.58</v>
      </c>
      <c r="G74" s="509">
        <f ca="1">LOOKUP(C74,'Growth Pattern'!B$15:B$376,'Growth Pattern'!E$15:E$368)-(LOOKUP(C74,'Growth Pattern'!B$15:B$376,'Growth Pattern'!H$15:H$368)*LOOKUP(C74,'Growth Pattern'!B$15:B$376,'Growth Pattern'!I$15:I$368)/100)</f>
        <v>97.2</v>
      </c>
      <c r="H74" s="509">
        <f ca="1">LOOKUP(C74,'Growth Pattern'!B$15:B$376,'Growth Pattern'!F$15:F$368)-(LOOKUP(C74,'Growth Pattern'!B$15:B$376,'Growth Pattern'!I$15:I$368)*LOOKUP(C74,'Growth Pattern'!B$15:B$376,'Growth Pattern'!H$15:H$368)/100)</f>
        <v>115.43</v>
      </c>
      <c r="I74" s="509">
        <f ca="1">LOOKUP(C74,'Growth Pattern'!B$15:B$376,'Growth Pattern'!G$15:G$368)-(LOOKUP(C74,'Growth Pattern'!B$15:B$376,'Growth Pattern'!H$15:H$368)*LOOKUP(C74,'Growth Pattern'!B$15:B$376,'Growth Pattern'!I$15:I$368)/100)</f>
        <v>136.27000000000004</v>
      </c>
      <c r="J74" s="510">
        <f t="shared" ca="1" si="4"/>
        <v>28888.63831063818</v>
      </c>
      <c r="K74" s="511">
        <f ca="1">LOOKUP(C74,'Growth Pattern'!B$15:B$376,'Growth Pattern'!H$15:H$368)</f>
        <v>536</v>
      </c>
      <c r="L74" s="512">
        <f t="shared" ca="1" si="5"/>
        <v>-0.98144599291124712</v>
      </c>
      <c r="M74" s="513">
        <f>LN('Growth Pattern'!F87/'Growth Pattern'!D87)/2</f>
        <v>0.17354007586870429</v>
      </c>
      <c r="N74" s="523"/>
      <c r="O74" s="528"/>
    </row>
    <row r="75" spans="1:15" x14ac:dyDescent="0.25">
      <c r="A75" s="507">
        <v>4.0087168510114077</v>
      </c>
      <c r="B75" s="507">
        <v>0.3</v>
      </c>
      <c r="C75" s="507" t="s">
        <v>3991</v>
      </c>
      <c r="D75" s="507">
        <v>0.53847251807220109</v>
      </c>
      <c r="E75" s="508">
        <f t="shared" si="3"/>
        <v>9.4847109072281499E-2</v>
      </c>
      <c r="F75" s="509">
        <f ca="1">LOOKUP(C75,'Growth Pattern'!B$15:B$376,'Growth Pattern'!D$15:D$368)-(LOOKUP(C75,'Growth Pattern'!B$15:B$376,'Growth Pattern'!H$15:H$368)*LOOKUP(C75,'Growth Pattern'!B$15:B$376,'Growth Pattern'!I$15:I$368)/100)</f>
        <v>16.54</v>
      </c>
      <c r="G75" s="509">
        <f ca="1">LOOKUP(C75,'Growth Pattern'!B$15:B$376,'Growth Pattern'!E$15:E$368)-(LOOKUP(C75,'Growth Pattern'!B$15:B$376,'Growth Pattern'!H$15:H$368)*LOOKUP(C75,'Growth Pattern'!B$15:B$376,'Growth Pattern'!I$15:I$368)/100)</f>
        <v>19.45</v>
      </c>
      <c r="H75" s="509">
        <f ca="1">LOOKUP(C75,'Growth Pattern'!B$15:B$376,'Growth Pattern'!F$15:F$368)-(LOOKUP(C75,'Growth Pattern'!B$15:B$376,'Growth Pattern'!I$15:I$368)*LOOKUP(C75,'Growth Pattern'!B$15:B$376,'Growth Pattern'!H$15:H$368)/100)</f>
        <v>23.85</v>
      </c>
      <c r="I75" s="509">
        <f ca="1">LOOKUP(C75,'Growth Pattern'!B$15:B$376,'Growth Pattern'!G$15:G$368)-(LOOKUP(C75,'Growth Pattern'!B$15:B$376,'Growth Pattern'!H$15:H$368)*LOOKUP(C75,'Growth Pattern'!B$15:B$376,'Growth Pattern'!I$15:I$368)/100)</f>
        <v>29.740000000000009</v>
      </c>
      <c r="J75" s="510">
        <f t="shared" ca="1" si="4"/>
        <v>1580.4973023617724</v>
      </c>
      <c r="K75" s="511">
        <f ca="1">LOOKUP(C75,'Growth Pattern'!B$15:B$376,'Growth Pattern'!H$15:H$368)</f>
        <v>316.8</v>
      </c>
      <c r="L75" s="512">
        <f t="shared" ca="1" si="5"/>
        <v>-0.79955676006115373</v>
      </c>
      <c r="M75" s="513">
        <f>LN('Growth Pattern'!F88/'Growth Pattern'!D88)/2</f>
        <v>0.18300126386940258</v>
      </c>
      <c r="N75" s="523"/>
      <c r="O75" s="528"/>
    </row>
    <row r="76" spans="1:15" x14ac:dyDescent="0.25">
      <c r="A76" s="507">
        <v>2.2890842306801651</v>
      </c>
      <c r="B76" s="507">
        <v>0.376</v>
      </c>
      <c r="C76" s="542" t="s">
        <v>3451</v>
      </c>
      <c r="D76" s="507">
        <v>9.0763747724898286E-2</v>
      </c>
      <c r="E76" s="508">
        <f t="shared" si="3"/>
        <v>5.5896446052066152E-2</v>
      </c>
      <c r="F76" s="509">
        <f ca="1">LOOKUP(C76,'Growth Pattern'!B$15:B$376,'Growth Pattern'!D$15:D$368)-(LOOKUP(C76,'Growth Pattern'!B$15:B$376,'Growth Pattern'!H$15:H$368)*LOOKUP(C76,'Growth Pattern'!B$15:B$376,'Growth Pattern'!I$15:I$368)/100)</f>
        <v>12.86</v>
      </c>
      <c r="G76" s="509">
        <f ca="1">LOOKUP(C76,'Growth Pattern'!B$15:B$376,'Growth Pattern'!E$15:E$368)-(LOOKUP(C76,'Growth Pattern'!B$15:B$376,'Growth Pattern'!H$15:H$368)*LOOKUP(C76,'Growth Pattern'!B$15:B$376,'Growth Pattern'!I$15:I$368)/100)</f>
        <v>14.2</v>
      </c>
      <c r="H76" s="509">
        <f ca="1">LOOKUP(C76,'Growth Pattern'!B$15:B$376,'Growth Pattern'!F$15:F$368)-(LOOKUP(C76,'Growth Pattern'!B$15:B$376,'Growth Pattern'!I$15:I$368)*LOOKUP(C76,'Growth Pattern'!B$15:B$376,'Growth Pattern'!H$15:H$368)/100)</f>
        <v>16.37</v>
      </c>
      <c r="I76" s="509">
        <f ca="1">LOOKUP(C76,'Growth Pattern'!B$15:B$376,'Growth Pattern'!G$15:G$368)-(LOOKUP(C76,'Growth Pattern'!B$15:B$376,'Growth Pattern'!H$15:H$368)*LOOKUP(C76,'Growth Pattern'!B$15:B$376,'Growth Pattern'!I$15:I$368)/100)</f>
        <v>19.370000000000008</v>
      </c>
      <c r="J76" s="510">
        <f t="shared" ca="1" si="4"/>
        <v>-641.63772547363703</v>
      </c>
      <c r="K76" s="511">
        <f ca="1">LOOKUP(C76,'Growth Pattern'!B$15:B$376,'Growth Pattern'!H$15:H$368)</f>
        <v>248</v>
      </c>
      <c r="L76" s="512">
        <f t="shared" ca="1" si="5"/>
        <v>-1.3865109393574608</v>
      </c>
      <c r="M76" s="513">
        <f>LN('Growth Pattern'!F89/'Growth Pattern'!D89)/2</f>
        <v>0.12066433628678516</v>
      </c>
      <c r="N76" s="523"/>
      <c r="O76" s="528"/>
    </row>
    <row r="77" spans="1:15" x14ac:dyDescent="0.25">
      <c r="A77" s="507">
        <v>1.6705626503055029</v>
      </c>
      <c r="B77" s="507">
        <v>0.21</v>
      </c>
      <c r="C77" s="542" t="s">
        <v>3993</v>
      </c>
      <c r="D77" s="507">
        <v>0.17042983434539594</v>
      </c>
      <c r="E77" s="508">
        <f t="shared" si="3"/>
        <v>6.2827395588049451E-2</v>
      </c>
      <c r="F77" s="509">
        <f ca="1">LOOKUP(C77,'Growth Pattern'!B$15:B$376,'Growth Pattern'!D$15:D$368)-(LOOKUP(C77,'Growth Pattern'!B$15:B$376,'Growth Pattern'!H$15:H$368)*LOOKUP(C77,'Growth Pattern'!B$15:B$376,'Growth Pattern'!I$15:I$368)/100)</f>
        <v>10.46156</v>
      </c>
      <c r="G77" s="509">
        <f ca="1">LOOKUP(C77,'Growth Pattern'!B$15:B$376,'Growth Pattern'!E$15:E$368)-(LOOKUP(C77,'Growth Pattern'!B$15:B$376,'Growth Pattern'!H$15:H$368)*LOOKUP(C77,'Growth Pattern'!B$15:B$376,'Growth Pattern'!I$15:I$368)/100)</f>
        <v>19.31156</v>
      </c>
      <c r="H77" s="509">
        <f ca="1">LOOKUP(C77,'Growth Pattern'!B$15:B$376,'Growth Pattern'!F$15:F$368)-(LOOKUP(C77,'Growth Pattern'!B$15:B$376,'Growth Pattern'!I$15:I$368)*LOOKUP(C77,'Growth Pattern'!B$15:B$376,'Growth Pattern'!H$15:H$368)/100)</f>
        <v>26.841559999999994</v>
      </c>
      <c r="I77" s="509">
        <f ca="1">LOOKUP(C77,'Growth Pattern'!B$15:B$376,'Growth Pattern'!G$15:G$368)-(LOOKUP(C77,'Growth Pattern'!B$15:B$376,'Growth Pattern'!H$15:H$368)*LOOKUP(C77,'Growth Pattern'!B$15:B$376,'Growth Pattern'!I$15:I$368)/100)</f>
        <v>33.051559999999988</v>
      </c>
      <c r="J77" s="510">
        <f t="shared" ca="1" si="4"/>
        <v>-1550.7321906676409</v>
      </c>
      <c r="K77" s="511">
        <f ca="1">LOOKUP(C77,'Growth Pattern'!B$15:B$376,'Growth Pattern'!H$15:H$368)</f>
        <v>707.6</v>
      </c>
      <c r="L77" s="512">
        <f t="shared" ca="1" si="5"/>
        <v>-1.4563005812727439</v>
      </c>
      <c r="M77" s="513">
        <f>LN('Growth Pattern'!F90/'Growth Pattern'!D90)/2</f>
        <v>0.27423341449260685</v>
      </c>
      <c r="N77" s="523"/>
      <c r="O77" s="528"/>
    </row>
    <row r="78" spans="1:15" x14ac:dyDescent="0.25">
      <c r="A78" s="507">
        <v>1.8259220611677176</v>
      </c>
      <c r="B78" s="507">
        <v>0.04</v>
      </c>
      <c r="C78" s="507" t="s">
        <v>4906</v>
      </c>
      <c r="D78" s="507">
        <v>0.65251564060162082</v>
      </c>
      <c r="E78" s="508">
        <f t="shared" si="3"/>
        <v>0.10476886073234101</v>
      </c>
      <c r="F78" s="509">
        <f ca="1">LOOKUP(C78,'Growth Pattern'!B$15:B$376,'Growth Pattern'!D$15:D$368)-(LOOKUP(C78,'Growth Pattern'!B$15:B$376,'Growth Pattern'!H$15:H$368)*LOOKUP(C78,'Growth Pattern'!B$15:B$376,'Growth Pattern'!I$15:I$368)/100)</f>
        <v>2.9</v>
      </c>
      <c r="G78" s="509">
        <f ca="1">LOOKUP(C78,'Growth Pattern'!B$15:B$376,'Growth Pattern'!E$15:E$368)-(LOOKUP(C78,'Growth Pattern'!B$15:B$376,'Growth Pattern'!H$15:H$368)*LOOKUP(C78,'Growth Pattern'!B$15:B$376,'Growth Pattern'!I$15:I$368)/100)</f>
        <v>3.36</v>
      </c>
      <c r="H78" s="509">
        <f ca="1">LOOKUP(C78,'Growth Pattern'!B$15:B$376,'Growth Pattern'!F$15:F$368)-(LOOKUP(C78,'Growth Pattern'!B$15:B$376,'Growth Pattern'!I$15:I$368)*LOOKUP(C78,'Growth Pattern'!B$15:B$376,'Growth Pattern'!H$15:H$368)/100)</f>
        <v>4.13</v>
      </c>
      <c r="I78" s="509">
        <f ca="1">LOOKUP(C78,'Growth Pattern'!B$15:B$376,'Growth Pattern'!G$15:G$368)-(LOOKUP(C78,'Growth Pattern'!B$15:B$376,'Growth Pattern'!H$15:H$368)*LOOKUP(C78,'Growth Pattern'!B$15:B$376,'Growth Pattern'!I$15:I$368)/100)</f>
        <v>5.2100000000000009</v>
      </c>
      <c r="J78" s="510">
        <f t="shared" ca="1" si="4"/>
        <v>165.32260064948136</v>
      </c>
      <c r="K78" s="511">
        <f ca="1">LOOKUP(C78,'Growth Pattern'!B$15:B$376,'Growth Pattern'!H$15:H$368)</f>
        <v>103.05</v>
      </c>
      <c r="L78" s="512">
        <f t="shared" ca="1" si="5"/>
        <v>-0.37667324615532971</v>
      </c>
      <c r="M78" s="513">
        <f>LN('Growth Pattern'!F91/'Growth Pattern'!D91)/2</f>
        <v>0.17678333499025656</v>
      </c>
      <c r="N78" s="523"/>
      <c r="O78" s="528"/>
    </row>
    <row r="79" spans="1:15" x14ac:dyDescent="0.25">
      <c r="A79" s="507">
        <v>3.0762015513171899</v>
      </c>
      <c r="B79" s="507">
        <v>0.13</v>
      </c>
      <c r="C79" s="507" t="s">
        <v>4909</v>
      </c>
      <c r="D79" s="507">
        <v>0.75124840725482989</v>
      </c>
      <c r="E79" s="508">
        <f t="shared" si="3"/>
        <v>0.11335861143117021</v>
      </c>
      <c r="F79" s="509">
        <f ca="1">LOOKUP(C79,'Growth Pattern'!B$15:B$376,'Growth Pattern'!D$15:D$368)-(LOOKUP(C79,'Growth Pattern'!B$15:B$376,'Growth Pattern'!H$15:H$368)*LOOKUP(C79,'Growth Pattern'!B$15:B$376,'Growth Pattern'!I$15:I$368)/100)</f>
        <v>0</v>
      </c>
      <c r="G79" s="509">
        <f ca="1">LOOKUP(C79,'Growth Pattern'!B$15:B$376,'Growth Pattern'!E$15:E$368)-(LOOKUP(C79,'Growth Pattern'!B$15:B$376,'Growth Pattern'!H$15:H$368)*LOOKUP(C79,'Growth Pattern'!B$15:B$376,'Growth Pattern'!I$15:I$368)/100)</f>
        <v>1.4</v>
      </c>
      <c r="H79" s="509">
        <f ca="1">LOOKUP(C79,'Growth Pattern'!B$15:B$376,'Growth Pattern'!F$15:F$368)-(LOOKUP(C79,'Growth Pattern'!B$15:B$376,'Growth Pattern'!I$15:I$368)*LOOKUP(C79,'Growth Pattern'!B$15:B$376,'Growth Pattern'!H$15:H$368)/100)</f>
        <v>3.9</v>
      </c>
      <c r="I79" s="509">
        <f ca="1">LOOKUP(C79,'Growth Pattern'!B$15:B$376,'Growth Pattern'!G$15:G$368)-(LOOKUP(C79,'Growth Pattern'!B$15:B$376,'Growth Pattern'!H$15:H$368)*LOOKUP(C79,'Growth Pattern'!B$15:B$376,'Growth Pattern'!I$15:I$368)/100)</f>
        <v>7.5000000000000009</v>
      </c>
      <c r="J79" s="510">
        <f t="shared" ca="1" si="4"/>
        <v>167.3138419570395</v>
      </c>
      <c r="K79" s="511">
        <f ca="1">LOOKUP(C79,'Growth Pattern'!B$15:B$376,'Growth Pattern'!H$15:H$368)</f>
        <v>42.95</v>
      </c>
      <c r="L79" s="512">
        <f t="shared" ca="1" si="5"/>
        <v>-0.74329679183968467</v>
      </c>
      <c r="M79" s="513" t="e">
        <f>LN('Growth Pattern'!F92/'Growth Pattern'!D92)/2</f>
        <v>#DIV/0!</v>
      </c>
      <c r="N79" s="523"/>
      <c r="O79" s="528"/>
    </row>
    <row r="80" spans="1:15" x14ac:dyDescent="0.25">
      <c r="A80" s="516">
        <v>4.1364369079660017</v>
      </c>
      <c r="B80" s="516">
        <v>0.3</v>
      </c>
      <c r="C80" s="516" t="s">
        <v>1551</v>
      </c>
      <c r="D80" s="507">
        <v>0.34492128687783025</v>
      </c>
      <c r="E80" s="508">
        <f t="shared" si="3"/>
        <v>7.8008151958371241E-2</v>
      </c>
      <c r="F80" s="509">
        <f ca="1">LOOKUP(C80,'Growth Pattern'!B$15:B$376,'Growth Pattern'!D$15:D$368)-(LOOKUP(C80,'Growth Pattern'!B$15:B$376,'Growth Pattern'!H$15:H$368)*LOOKUP(C80,'Growth Pattern'!B$15:B$376,'Growth Pattern'!I$15:I$368)/100)</f>
        <v>0</v>
      </c>
      <c r="G80" s="509">
        <f ca="1">LOOKUP(C80,'Growth Pattern'!B$15:B$376,'Growth Pattern'!E$15:E$368)-(LOOKUP(C80,'Growth Pattern'!B$15:B$376,'Growth Pattern'!H$15:H$368)*LOOKUP(C80,'Growth Pattern'!B$15:B$376,'Growth Pattern'!I$15:I$368)/100)</f>
        <v>-18.95</v>
      </c>
      <c r="H80" s="509">
        <f ca="1">LOOKUP(C80,'Growth Pattern'!B$15:B$376,'Growth Pattern'!F$15:F$368)-(LOOKUP(C80,'Growth Pattern'!B$15:B$376,'Growth Pattern'!I$15:I$368)*LOOKUP(C80,'Growth Pattern'!B$15:B$376,'Growth Pattern'!H$15:H$368)/100)</f>
        <v>-5.3</v>
      </c>
      <c r="I80" s="509">
        <f ca="1">LOOKUP(C80,'Growth Pattern'!B$15:B$376,'Growth Pattern'!G$15:G$368)-(LOOKUP(C80,'Growth Pattern'!B$15:B$376,'Growth Pattern'!H$15:H$368)*LOOKUP(C80,'Growth Pattern'!B$15:B$376,'Growth Pattern'!I$15:I$368)/100)</f>
        <v>40.950000000000045</v>
      </c>
      <c r="J80" s="510">
        <f t="shared" ca="1" si="4"/>
        <v>-16433.008016605294</v>
      </c>
      <c r="K80" s="511">
        <f ca="1">LOOKUP(C80,'Growth Pattern'!B$15:B$376,'Growth Pattern'!H$15:H$368)</f>
        <v>41.5</v>
      </c>
      <c r="L80" s="512">
        <f t="shared" ca="1" si="5"/>
        <v>-1.0025254049628689</v>
      </c>
      <c r="M80" s="513" t="e">
        <f>LN('Growth Pattern'!F93/'Growth Pattern'!D93)/2</f>
        <v>#DIV/0!</v>
      </c>
      <c r="N80" s="523"/>
      <c r="O80" s="528"/>
    </row>
    <row r="81" spans="1:15" x14ac:dyDescent="0.25">
      <c r="A81" s="516">
        <v>3.8201530861136144</v>
      </c>
      <c r="B81" s="516">
        <v>0.18</v>
      </c>
      <c r="C81" s="516" t="s">
        <v>2126</v>
      </c>
      <c r="D81" s="507">
        <v>0.52044398211465981</v>
      </c>
      <c r="E81" s="508">
        <f t="shared" si="3"/>
        <v>9.3278626443975415E-2</v>
      </c>
      <c r="F81" s="509">
        <f ca="1">LOOKUP(C81,'Growth Pattern'!B$15:B$376,'Growth Pattern'!D$15:D$368)-(LOOKUP(C81,'Growth Pattern'!B$15:B$376,'Growth Pattern'!H$15:H$368)*LOOKUP(C81,'Growth Pattern'!B$15:B$376,'Growth Pattern'!I$15:I$368)/100)</f>
        <v>10.73</v>
      </c>
      <c r="G81" s="509">
        <f ca="1">LOOKUP(C81,'Growth Pattern'!B$15:B$376,'Growth Pattern'!E$15:E$368)-(LOOKUP(C81,'Growth Pattern'!B$15:B$376,'Growth Pattern'!H$15:H$368)*LOOKUP(C81,'Growth Pattern'!B$15:B$376,'Growth Pattern'!I$15:I$368)/100)</f>
        <v>11.05</v>
      </c>
      <c r="H81" s="509">
        <f ca="1">LOOKUP(C81,'Growth Pattern'!B$15:B$376,'Growth Pattern'!F$15:F$368)-(LOOKUP(C81,'Growth Pattern'!B$15:B$376,'Growth Pattern'!I$15:I$368)*LOOKUP(C81,'Growth Pattern'!B$15:B$376,'Growth Pattern'!H$15:H$368)/100)</f>
        <v>12.02</v>
      </c>
      <c r="I81" s="509">
        <f ca="1">LOOKUP(C81,'Growth Pattern'!B$15:B$376,'Growth Pattern'!G$15:G$368)-(LOOKUP(C81,'Growth Pattern'!B$15:B$376,'Growth Pattern'!H$15:H$368)*LOOKUP(C81,'Growth Pattern'!B$15:B$376,'Growth Pattern'!I$15:I$368)/100)</f>
        <v>13.639999999999997</v>
      </c>
      <c r="J81" s="510">
        <f t="shared" ca="1" si="4"/>
        <v>816.97705129951999</v>
      </c>
      <c r="K81" s="511">
        <f ca="1">LOOKUP(C81,'Growth Pattern'!B$15:B$376,'Growth Pattern'!H$15:H$368)</f>
        <v>69.2</v>
      </c>
      <c r="L81" s="512">
        <f t="shared" ca="1" si="5"/>
        <v>-0.91529749839370955</v>
      </c>
      <c r="M81" s="513">
        <f>LN('Growth Pattern'!F94/'Growth Pattern'!D94)/2</f>
        <v>5.6764186232227176E-2</v>
      </c>
      <c r="N81" s="523"/>
      <c r="O81" s="528"/>
    </row>
    <row r="82" spans="1:15" x14ac:dyDescent="0.25">
      <c r="A82" s="516">
        <v>2.3227920521205285</v>
      </c>
      <c r="B82" s="516">
        <v>0.43</v>
      </c>
      <c r="C82" s="516" t="s">
        <v>4258</v>
      </c>
      <c r="D82" s="507">
        <v>0.61026618224063167</v>
      </c>
      <c r="E82" s="508">
        <f t="shared" si="3"/>
        <v>0.10109315785493496</v>
      </c>
      <c r="F82" s="509">
        <f ca="1">LOOKUP(C82,'Growth Pattern'!B$15:B$376,'Growth Pattern'!D$15:D$368)-(LOOKUP(C82,'Growth Pattern'!B$15:B$376,'Growth Pattern'!H$15:H$368)*LOOKUP(C82,'Growth Pattern'!B$15:B$376,'Growth Pattern'!I$15:I$368)/100)</f>
        <v>16.670000000000002</v>
      </c>
      <c r="G82" s="509">
        <f ca="1">LOOKUP(C82,'Growth Pattern'!B$15:B$376,'Growth Pattern'!E$15:E$368)-(LOOKUP(C82,'Growth Pattern'!B$15:B$376,'Growth Pattern'!H$15:H$368)*LOOKUP(C82,'Growth Pattern'!B$15:B$376,'Growth Pattern'!I$15:I$368)/100)</f>
        <v>21.1</v>
      </c>
      <c r="H82" s="509">
        <f ca="1">LOOKUP(C82,'Growth Pattern'!B$15:B$376,'Growth Pattern'!F$15:F$368)-(LOOKUP(C82,'Growth Pattern'!B$15:B$376,'Growth Pattern'!I$15:I$368)*LOOKUP(C82,'Growth Pattern'!B$15:B$376,'Growth Pattern'!H$15:H$368)/100)</f>
        <v>26.7</v>
      </c>
      <c r="I82" s="509">
        <f ca="1">LOOKUP(C82,'Growth Pattern'!B$15:B$376,'Growth Pattern'!G$15:G$368)-(LOOKUP(C82,'Growth Pattern'!B$15:B$376,'Growth Pattern'!H$15:H$368)*LOOKUP(C82,'Growth Pattern'!B$15:B$376,'Growth Pattern'!I$15:I$368)/100)</f>
        <v>33.47</v>
      </c>
      <c r="J82" s="510">
        <f t="shared" ca="1" si="4"/>
        <v>1246.4720439299422</v>
      </c>
      <c r="K82" s="511">
        <f ca="1">LOOKUP(C82,'Growth Pattern'!B$15:B$376,'Growth Pattern'!H$15:H$368)</f>
        <v>174.15</v>
      </c>
      <c r="L82" s="512">
        <f t="shared" ca="1" si="5"/>
        <v>-0.86028567519979759</v>
      </c>
      <c r="M82" s="513">
        <f>LN('Growth Pattern'!F95/'Growth Pattern'!D95)/2</f>
        <v>0.23552643432175055</v>
      </c>
      <c r="N82" s="523"/>
      <c r="O82" s="528"/>
    </row>
    <row r="83" spans="1:15" x14ac:dyDescent="0.25">
      <c r="A83" s="516">
        <v>2.4482999703101331</v>
      </c>
      <c r="B83" s="516">
        <v>0.23</v>
      </c>
      <c r="C83" s="516" t="s">
        <v>2127</v>
      </c>
      <c r="D83" s="507">
        <v>0.57709612675955779</v>
      </c>
      <c r="E83" s="508">
        <f t="shared" si="3"/>
        <v>9.8207363028081529E-2</v>
      </c>
      <c r="F83" s="509">
        <f ca="1">LOOKUP(C83,'Growth Pattern'!B$15:B$376,'Growth Pattern'!D$15:D$368)-(LOOKUP(C83,'Growth Pattern'!B$15:B$376,'Growth Pattern'!H$15:H$368)*LOOKUP(C83,'Growth Pattern'!B$15:B$376,'Growth Pattern'!I$15:I$368)/100)</f>
        <v>17.829999999999998</v>
      </c>
      <c r="G83" s="509">
        <f ca="1">LOOKUP(C83,'Growth Pattern'!B$15:B$376,'Growth Pattern'!E$15:E$368)-(LOOKUP(C83,'Growth Pattern'!B$15:B$376,'Growth Pattern'!H$15:H$368)*LOOKUP(C83,'Growth Pattern'!B$15:B$376,'Growth Pattern'!I$15:I$368)/100)</f>
        <v>19.7</v>
      </c>
      <c r="H83" s="509">
        <f ca="1">LOOKUP(C83,'Growth Pattern'!B$15:B$376,'Growth Pattern'!F$15:F$368)-(LOOKUP(C83,'Growth Pattern'!B$15:B$376,'Growth Pattern'!I$15:I$368)*LOOKUP(C83,'Growth Pattern'!B$15:B$376,'Growth Pattern'!H$15:H$368)/100)</f>
        <v>21.9</v>
      </c>
      <c r="I83" s="509">
        <f ca="1">LOOKUP(C83,'Growth Pattern'!B$15:B$376,'Growth Pattern'!G$15:G$368)-(LOOKUP(C83,'Growth Pattern'!B$15:B$376,'Growth Pattern'!H$15:H$368)*LOOKUP(C83,'Growth Pattern'!B$15:B$376,'Growth Pattern'!I$15:I$368)/100)</f>
        <v>24.429999999999996</v>
      </c>
      <c r="J83" s="510">
        <f t="shared" ca="1" si="4"/>
        <v>1066.9590953172117</v>
      </c>
      <c r="K83" s="511">
        <f ca="1">LOOKUP(C83,'Growth Pattern'!B$15:B$376,'Growth Pattern'!H$15:H$368)</f>
        <v>89.6</v>
      </c>
      <c r="L83" s="512">
        <f t="shared" ca="1" si="5"/>
        <v>-0.91602302244458444</v>
      </c>
      <c r="M83" s="513">
        <f>LN('Growth Pattern'!F96/'Growth Pattern'!D96)/2</f>
        <v>0.1028021024737031</v>
      </c>
      <c r="N83" s="523"/>
      <c r="O83" s="528"/>
    </row>
    <row r="84" spans="1:15" x14ac:dyDescent="0.25">
      <c r="A84" s="516">
        <v>4.8440351330257769</v>
      </c>
      <c r="B84" s="516">
        <v>0.15</v>
      </c>
      <c r="C84" s="516" t="s">
        <v>3453</v>
      </c>
      <c r="D84" s="507">
        <v>0.24062501510853013</v>
      </c>
      <c r="E84" s="508">
        <f t="shared" si="3"/>
        <v>6.8934376314442131E-2</v>
      </c>
      <c r="F84" s="509">
        <f ca="1">LOOKUP(C84,'Growth Pattern'!B$15:B$376,'Growth Pattern'!D$15:D$368)-(LOOKUP(C84,'Growth Pattern'!B$15:B$376,'Growth Pattern'!H$15:H$368)*LOOKUP(C84,'Growth Pattern'!B$15:B$376,'Growth Pattern'!I$15:I$368)/100)</f>
        <v>-1.9971349999999999</v>
      </c>
      <c r="G84" s="509">
        <f ca="1">LOOKUP(C84,'Growth Pattern'!B$15:B$376,'Growth Pattern'!E$15:E$368)-(LOOKUP(C84,'Growth Pattern'!B$15:B$376,'Growth Pattern'!H$15:H$368)*LOOKUP(C84,'Growth Pattern'!B$15:B$376,'Growth Pattern'!I$15:I$368)/100)</f>
        <v>3.0528649999999997</v>
      </c>
      <c r="H84" s="509">
        <f ca="1">LOOKUP(C84,'Growth Pattern'!B$15:B$376,'Growth Pattern'!F$15:F$368)-(LOOKUP(C84,'Growth Pattern'!B$15:B$376,'Growth Pattern'!I$15:I$368)*LOOKUP(C84,'Growth Pattern'!B$15:B$376,'Growth Pattern'!H$15:H$368)/100)</f>
        <v>8.3028650000000006</v>
      </c>
      <c r="I84" s="509">
        <f ca="1">LOOKUP(C84,'Growth Pattern'!B$15:B$376,'Growth Pattern'!G$15:G$368)-(LOOKUP(C84,'Growth Pattern'!B$15:B$376,'Growth Pattern'!H$15:H$368)*LOOKUP(C84,'Growth Pattern'!B$15:B$376,'Growth Pattern'!I$15:I$368)/100)</f>
        <v>13.752865000000003</v>
      </c>
      <c r="J84" s="510">
        <f t="shared" ca="1" si="4"/>
        <v>-1009.4442995668834</v>
      </c>
      <c r="K84" s="511">
        <f ca="1">LOOKUP(C84,'Growth Pattern'!B$15:B$376,'Growth Pattern'!H$15:H$368)</f>
        <v>66.349999999999994</v>
      </c>
      <c r="L84" s="512">
        <f t="shared" ca="1" si="5"/>
        <v>-1.065729233429193</v>
      </c>
      <c r="M84" s="513" t="e">
        <f>LN('Growth Pattern'!F97/'Growth Pattern'!D97)/2</f>
        <v>#DIV/0!</v>
      </c>
      <c r="N84" s="523"/>
      <c r="O84" s="528"/>
    </row>
    <row r="85" spans="1:15" x14ac:dyDescent="0.25">
      <c r="A85" s="507">
        <v>3.6537449550350081</v>
      </c>
      <c r="B85" s="507">
        <v>0.19210047682691689</v>
      </c>
      <c r="C85" s="507" t="s">
        <v>1374</v>
      </c>
      <c r="D85" s="507">
        <v>0.5493287395155082</v>
      </c>
      <c r="E85" s="508">
        <f t="shared" si="3"/>
        <v>9.5791600337849225E-2</v>
      </c>
      <c r="F85" s="509">
        <f ca="1">LOOKUP(C85,'Growth Pattern'!B$15:B$376,'Growth Pattern'!D$15:D$368)-(LOOKUP(C85,'Growth Pattern'!B$15:B$376,'Growth Pattern'!H$15:H$368)*LOOKUP(C85,'Growth Pattern'!B$15:B$376,'Growth Pattern'!I$15:I$368)/100)</f>
        <v>13.242759999999999</v>
      </c>
      <c r="G85" s="509">
        <f ca="1">LOOKUP(C85,'Growth Pattern'!B$15:B$376,'Growth Pattern'!E$15:E$368)-(LOOKUP(C85,'Growth Pattern'!B$15:B$376,'Growth Pattern'!H$15:H$368)*LOOKUP(C85,'Growth Pattern'!B$15:B$376,'Growth Pattern'!I$15:I$368)/100)</f>
        <v>8.9527599999999996</v>
      </c>
      <c r="H85" s="509">
        <f ca="1">LOOKUP(C85,'Growth Pattern'!B$15:B$376,'Growth Pattern'!F$15:F$368)-(LOOKUP(C85,'Growth Pattern'!B$15:B$376,'Growth Pattern'!I$15:I$368)*LOOKUP(C85,'Growth Pattern'!B$15:B$376,'Growth Pattern'!H$15:H$368)/100)</f>
        <v>11.70276</v>
      </c>
      <c r="I85" s="509">
        <f ca="1">LOOKUP(C85,'Growth Pattern'!B$15:B$376,'Growth Pattern'!G$15:G$368)-(LOOKUP(C85,'Growth Pattern'!B$15:B$376,'Growth Pattern'!H$15:H$368)*LOOKUP(C85,'Growth Pattern'!B$15:B$376,'Growth Pattern'!I$15:I$368)/100)</f>
        <v>21.492760000000011</v>
      </c>
      <c r="J85" s="510">
        <f t="shared" ca="1" si="4"/>
        <v>1065.5438565225556</v>
      </c>
      <c r="K85" s="511">
        <f ca="1">LOOKUP(C85,'Growth Pattern'!B$15:B$376,'Growth Pattern'!H$15:H$368)</f>
        <v>90.7</v>
      </c>
      <c r="L85" s="512">
        <f t="shared" ca="1" si="5"/>
        <v>-0.91487914885455479</v>
      </c>
      <c r="M85" s="513">
        <f>LN('Growth Pattern'!F98/'Growth Pattern'!D98)/2</f>
        <v>-5.6387411048526861E-2</v>
      </c>
      <c r="N85" s="523"/>
      <c r="O85" s="528"/>
    </row>
    <row r="86" spans="1:15" x14ac:dyDescent="0.25">
      <c r="A86" s="516">
        <v>1.5706927656889949</v>
      </c>
      <c r="B86" s="516">
        <v>0.14000000000000001</v>
      </c>
      <c r="C86" s="516" t="s">
        <v>3641</v>
      </c>
      <c r="D86" s="507">
        <v>0.47462870984561872</v>
      </c>
      <c r="E86" s="508">
        <f t="shared" si="3"/>
        <v>8.929269775656884E-2</v>
      </c>
      <c r="F86" s="509">
        <f ca="1">LOOKUP(C86,'Growth Pattern'!B$15:B$376,'Growth Pattern'!D$15:D$368)-(LOOKUP(C86,'Growth Pattern'!B$15:B$376,'Growth Pattern'!H$15:H$368)*LOOKUP(C86,'Growth Pattern'!B$15:B$376,'Growth Pattern'!I$15:I$368)/100)</f>
        <v>26.06</v>
      </c>
      <c r="G86" s="509">
        <f ca="1">LOOKUP(C86,'Growth Pattern'!B$15:B$376,'Growth Pattern'!E$15:E$368)-(LOOKUP(C86,'Growth Pattern'!B$15:B$376,'Growth Pattern'!H$15:H$368)*LOOKUP(C86,'Growth Pattern'!B$15:B$376,'Growth Pattern'!I$15:I$368)/100)</f>
        <v>27.3</v>
      </c>
      <c r="H86" s="509">
        <f ca="1">LOOKUP(C86,'Growth Pattern'!B$15:B$376,'Growth Pattern'!F$15:F$368)-(LOOKUP(C86,'Growth Pattern'!B$15:B$376,'Growth Pattern'!I$15:I$368)*LOOKUP(C86,'Growth Pattern'!B$15:B$376,'Growth Pattern'!H$15:H$368)/100)</f>
        <v>35.9</v>
      </c>
      <c r="I86" s="509">
        <f ca="1">LOOKUP(C86,'Growth Pattern'!B$15:B$376,'Growth Pattern'!G$15:G$368)-(LOOKUP(C86,'Growth Pattern'!B$15:B$376,'Growth Pattern'!H$15:H$368)*LOOKUP(C86,'Growth Pattern'!B$15:B$376,'Growth Pattern'!I$15:I$368)/100)</f>
        <v>51.86</v>
      </c>
      <c r="J86" s="510">
        <f t="shared" ca="1" si="4"/>
        <v>4399.1220393678504</v>
      </c>
      <c r="K86" s="511">
        <f ca="1">LOOKUP(C86,'Growth Pattern'!B$15:B$376,'Growth Pattern'!H$15:H$368)</f>
        <v>727.4</v>
      </c>
      <c r="L86" s="512">
        <f t="shared" ca="1" si="5"/>
        <v>-0.83464882458579692</v>
      </c>
      <c r="M86" s="513">
        <f>LN('Growth Pattern'!F99/'Growth Pattern'!D99)/2</f>
        <v>0.16016786189876708</v>
      </c>
      <c r="N86" s="523"/>
      <c r="O86" s="528"/>
    </row>
    <row r="87" spans="1:15" x14ac:dyDescent="0.25">
      <c r="A87" s="507">
        <v>2.1732624515748076</v>
      </c>
      <c r="B87" s="507">
        <v>0.48</v>
      </c>
      <c r="C87" s="507" t="s">
        <v>108</v>
      </c>
      <c r="D87" s="507">
        <v>0.26038740077124195</v>
      </c>
      <c r="E87" s="508">
        <f t="shared" si="3"/>
        <v>7.0653703867098044E-2</v>
      </c>
      <c r="F87" s="509">
        <f ca="1">LOOKUP(C87,'Growth Pattern'!B$15:B$376,'Growth Pattern'!D$15:D$368)-(LOOKUP(C87,'Growth Pattern'!B$15:B$376,'Growth Pattern'!H$15:H$368)*LOOKUP(C87,'Growth Pattern'!B$15:B$376,'Growth Pattern'!I$15:I$368)/100)</f>
        <v>22.012059999999998</v>
      </c>
      <c r="G87" s="509">
        <f ca="1">LOOKUP(C87,'Growth Pattern'!B$15:B$376,'Growth Pattern'!E$15:E$368)-(LOOKUP(C87,'Growth Pattern'!B$15:B$376,'Growth Pattern'!H$15:H$368)*LOOKUP(C87,'Growth Pattern'!B$15:B$376,'Growth Pattern'!I$15:I$368)/100)</f>
        <v>39.392060000000001</v>
      </c>
      <c r="H87" s="509">
        <f ca="1">LOOKUP(C87,'Growth Pattern'!B$15:B$376,'Growth Pattern'!F$15:F$368)-(LOOKUP(C87,'Growth Pattern'!B$15:B$376,'Growth Pattern'!I$15:I$368)*LOOKUP(C87,'Growth Pattern'!B$15:B$376,'Growth Pattern'!H$15:H$368)/100)</f>
        <v>31.242060000000002</v>
      </c>
      <c r="I87" s="509">
        <f ca="1">LOOKUP(C87,'Growth Pattern'!B$15:B$376,'Growth Pattern'!G$15:G$368)-(LOOKUP(C87,'Growth Pattern'!B$15:B$376,'Growth Pattern'!H$15:H$368)*LOOKUP(C87,'Growth Pattern'!B$15:B$376,'Growth Pattern'!I$15:I$368)/100)</f>
        <v>31.242060000000002</v>
      </c>
      <c r="J87" s="510">
        <f t="shared" ca="1" si="4"/>
        <v>-2637.6017037872016</v>
      </c>
      <c r="K87" s="511">
        <f ca="1">LOOKUP(C87,'Growth Pattern'!B$15:B$376,'Growth Pattern'!H$15:H$368)</f>
        <v>326.95</v>
      </c>
      <c r="L87" s="512">
        <f t="shared" ca="1" si="5"/>
        <v>-1.1239573054303644</v>
      </c>
      <c r="M87" s="513">
        <f>LN('Growth Pattern'!F100/'Growth Pattern'!D100)/2</f>
        <v>0.15700552983473462</v>
      </c>
      <c r="N87" s="523"/>
      <c r="O87" s="528"/>
    </row>
    <row r="88" spans="1:15" x14ac:dyDescent="0.25">
      <c r="A88" s="507">
        <v>1.4913116966916753</v>
      </c>
      <c r="B88" s="507">
        <v>0.3</v>
      </c>
      <c r="C88" s="507" t="s">
        <v>1375</v>
      </c>
      <c r="D88" s="507">
        <v>0.18573037023969735</v>
      </c>
      <c r="E88" s="508">
        <f t="shared" si="3"/>
        <v>6.4158542210853667E-2</v>
      </c>
      <c r="F88" s="509">
        <f ca="1">LOOKUP(C88,'Growth Pattern'!B$15:B$376,'Growth Pattern'!D$15:D$368)-(LOOKUP(C88,'Growth Pattern'!B$15:B$376,'Growth Pattern'!H$15:H$368)*LOOKUP(C88,'Growth Pattern'!B$15:B$376,'Growth Pattern'!I$15:I$368)/100)</f>
        <v>54.3</v>
      </c>
      <c r="G88" s="509">
        <f ca="1">LOOKUP(C88,'Growth Pattern'!B$15:B$376,'Growth Pattern'!E$15:E$368)-(LOOKUP(C88,'Growth Pattern'!B$15:B$376,'Growth Pattern'!H$15:H$368)*LOOKUP(C88,'Growth Pattern'!B$15:B$376,'Growth Pattern'!I$15:I$368)/100)</f>
        <v>64.67</v>
      </c>
      <c r="H88" s="509">
        <f ca="1">LOOKUP(C88,'Growth Pattern'!B$15:B$376,'Growth Pattern'!F$15:F$368)-(LOOKUP(C88,'Growth Pattern'!B$15:B$376,'Growth Pattern'!I$15:I$368)*LOOKUP(C88,'Growth Pattern'!B$15:B$376,'Growth Pattern'!H$15:H$368)/100)</f>
        <v>84.95</v>
      </c>
      <c r="I88" s="509">
        <f ca="1">LOOKUP(C88,'Growth Pattern'!B$15:B$376,'Growth Pattern'!G$15:G$368)-(LOOKUP(C88,'Growth Pattern'!B$15:B$376,'Growth Pattern'!H$15:H$368)*LOOKUP(C88,'Growth Pattern'!B$15:B$376,'Growth Pattern'!I$15:I$368)/100)</f>
        <v>115.14000000000001</v>
      </c>
      <c r="J88" s="510">
        <f t="shared" ca="1" si="4"/>
        <v>-5841.2294041520272</v>
      </c>
      <c r="K88" s="511">
        <f ca="1">LOOKUP(C88,'Growth Pattern'!B$15:B$376,'Growth Pattern'!H$15:H$368)</f>
        <v>1600.9</v>
      </c>
      <c r="L88" s="512">
        <f t="shared" ca="1" si="5"/>
        <v>-1.2740690168514965</v>
      </c>
      <c r="M88" s="513">
        <f>LN('Growth Pattern'!F101/'Growth Pattern'!D101)/2</f>
        <v>0.22376931058902569</v>
      </c>
      <c r="N88" s="523"/>
      <c r="O88" s="528"/>
    </row>
    <row r="89" spans="1:15" x14ac:dyDescent="0.25">
      <c r="A89" s="507">
        <v>3.2277679360790845</v>
      </c>
      <c r="B89" s="507">
        <v>0.55000000000000004</v>
      </c>
      <c r="C89" s="507" t="s">
        <v>5345</v>
      </c>
      <c r="D89" s="507">
        <v>0.56913657377213722</v>
      </c>
      <c r="E89" s="508">
        <f t="shared" si="3"/>
        <v>9.751488191817595E-2</v>
      </c>
      <c r="F89" s="509">
        <f ca="1">LOOKUP(C89,'Growth Pattern'!B$15:B$376,'Growth Pattern'!D$15:D$368)-(LOOKUP(C89,'Growth Pattern'!B$15:B$376,'Growth Pattern'!H$15:H$368)*LOOKUP(C89,'Growth Pattern'!B$15:B$376,'Growth Pattern'!I$15:I$368)/100)</f>
        <v>0</v>
      </c>
      <c r="G89" s="509">
        <f ca="1">LOOKUP(C89,'Growth Pattern'!B$15:B$376,'Growth Pattern'!E$15:E$368)-(LOOKUP(C89,'Growth Pattern'!B$15:B$376,'Growth Pattern'!H$15:H$368)*LOOKUP(C89,'Growth Pattern'!B$15:B$376,'Growth Pattern'!I$15:I$368)/100)</f>
        <v>0</v>
      </c>
      <c r="H89" s="509">
        <f ca="1">LOOKUP(C89,'Growth Pattern'!B$15:B$376,'Growth Pattern'!F$15:F$368)-(LOOKUP(C89,'Growth Pattern'!B$15:B$376,'Growth Pattern'!I$15:I$368)*LOOKUP(C89,'Growth Pattern'!B$15:B$376,'Growth Pattern'!H$15:H$368)/100)</f>
        <v>0</v>
      </c>
      <c r="I89" s="509">
        <f ca="1">LOOKUP(C89,'Growth Pattern'!B$15:B$376,'Growth Pattern'!G$15:G$368)-(LOOKUP(C89,'Growth Pattern'!B$15:B$376,'Growth Pattern'!H$15:H$368)*LOOKUP(C89,'Growth Pattern'!B$15:B$376,'Growth Pattern'!I$15:I$368)/100)</f>
        <v>0</v>
      </c>
      <c r="J89" s="510">
        <f t="shared" ca="1" si="4"/>
        <v>0</v>
      </c>
      <c r="K89" s="511">
        <f ca="1">LOOKUP(C89,'Growth Pattern'!B$15:B$376,'Growth Pattern'!H$15:H$368)</f>
        <v>53.5</v>
      </c>
      <c r="L89" s="512" t="e">
        <f t="shared" ca="1" si="5"/>
        <v>#DIV/0!</v>
      </c>
      <c r="M89" s="513" t="e">
        <f>LN('Growth Pattern'!F102/'Growth Pattern'!D102)/2</f>
        <v>#DIV/0!</v>
      </c>
      <c r="N89" s="523"/>
      <c r="O89" s="528"/>
    </row>
    <row r="90" spans="1:15" x14ac:dyDescent="0.25">
      <c r="A90" s="507">
        <v>2.7162153561145086</v>
      </c>
      <c r="B90" s="507">
        <v>0.17</v>
      </c>
      <c r="C90" s="507" t="s">
        <v>3682</v>
      </c>
      <c r="D90" s="507">
        <v>-8.3998929311866876E-3</v>
      </c>
      <c r="E90" s="508">
        <f t="shared" si="3"/>
        <v>4.7269209314986758E-2</v>
      </c>
      <c r="F90" s="509">
        <f ca="1">LOOKUP(C90,'Growth Pattern'!B$15:B$376,'Growth Pattern'!D$15:D$368)-(LOOKUP(C90,'Growth Pattern'!B$15:B$376,'Growth Pattern'!H$15:H$368)*LOOKUP(C90,'Growth Pattern'!B$15:B$376,'Growth Pattern'!I$15:I$368)/100)</f>
        <v>24.571760000000001</v>
      </c>
      <c r="G90" s="509">
        <f ca="1">LOOKUP(C90,'Growth Pattern'!B$15:B$376,'Growth Pattern'!E$15:E$368)-(LOOKUP(C90,'Growth Pattern'!B$15:B$376,'Growth Pattern'!H$15:H$368)*LOOKUP(C90,'Growth Pattern'!B$15:B$376,'Growth Pattern'!I$15:I$368)/100)</f>
        <v>31.651759999999999</v>
      </c>
      <c r="H90" s="509">
        <f ca="1">LOOKUP(C90,'Growth Pattern'!B$15:B$376,'Growth Pattern'!F$15:F$368)-(LOOKUP(C90,'Growth Pattern'!B$15:B$376,'Growth Pattern'!I$15:I$368)*LOOKUP(C90,'Growth Pattern'!B$15:B$376,'Growth Pattern'!H$15:H$368)/100)</f>
        <v>35.301759999999994</v>
      </c>
      <c r="I90" s="509">
        <f ca="1">LOOKUP(C90,'Growth Pattern'!B$15:B$376,'Growth Pattern'!G$15:G$368)-(LOOKUP(C90,'Growth Pattern'!B$15:B$376,'Growth Pattern'!H$15:H$368)*LOOKUP(C90,'Growth Pattern'!B$15:B$376,'Growth Pattern'!I$15:I$368)/100)</f>
        <v>35.301759999999994</v>
      </c>
      <c r="J90" s="510">
        <f t="shared" ca="1" si="4"/>
        <v>-852.01657223309178</v>
      </c>
      <c r="K90" s="511">
        <f ca="1">LOOKUP(C90,'Growth Pattern'!B$15:B$376,'Growth Pattern'!H$15:H$368)</f>
        <v>416.4</v>
      </c>
      <c r="L90" s="512">
        <f t="shared" ca="1" si="5"/>
        <v>-1.4887228882281442</v>
      </c>
      <c r="M90" s="513">
        <f>LN('Growth Pattern'!F103/'Growth Pattern'!D103)/2</f>
        <v>0.16564102480255272</v>
      </c>
      <c r="N90" s="523"/>
      <c r="O90" s="528"/>
    </row>
    <row r="91" spans="1:15" x14ac:dyDescent="0.25">
      <c r="A91" s="507">
        <v>2.5479766321867769</v>
      </c>
      <c r="B91" s="507">
        <v>0.16</v>
      </c>
      <c r="C91" s="507" t="s">
        <v>3684</v>
      </c>
      <c r="D91" s="507">
        <v>0.40484139255646778</v>
      </c>
      <c r="E91" s="508">
        <f t="shared" si="3"/>
        <v>8.3221201152412702E-2</v>
      </c>
      <c r="F91" s="509">
        <f ca="1">LOOKUP(C91,'Growth Pattern'!B$15:B$376,'Growth Pattern'!D$15:D$368)-(LOOKUP(C91,'Growth Pattern'!B$15:B$376,'Growth Pattern'!H$15:H$368)*LOOKUP(C91,'Growth Pattern'!B$15:B$376,'Growth Pattern'!I$15:I$368)/100)</f>
        <v>17.063980000000001</v>
      </c>
      <c r="G91" s="509">
        <f ca="1">LOOKUP(C91,'Growth Pattern'!B$15:B$376,'Growth Pattern'!E$15:E$368)-(LOOKUP(C91,'Growth Pattern'!B$15:B$376,'Growth Pattern'!H$15:H$368)*LOOKUP(C91,'Growth Pattern'!B$15:B$376,'Growth Pattern'!I$15:I$368)/100)</f>
        <v>78.083979999999997</v>
      </c>
      <c r="H91" s="509">
        <f ca="1">LOOKUP(C91,'Growth Pattern'!B$15:B$376,'Growth Pattern'!F$15:F$368)-(LOOKUP(C91,'Growth Pattern'!B$15:B$376,'Growth Pattern'!I$15:I$368)*LOOKUP(C91,'Growth Pattern'!B$15:B$376,'Growth Pattern'!H$15:H$368)/100)</f>
        <v>99.653980000000004</v>
      </c>
      <c r="I91" s="509">
        <f ca="1">LOOKUP(C91,'Growth Pattern'!B$15:B$376,'Growth Pattern'!G$15:G$368)-(LOOKUP(C91,'Growth Pattern'!B$15:B$376,'Growth Pattern'!H$15:H$368)*LOOKUP(C91,'Growth Pattern'!B$15:B$376,'Growth Pattern'!I$15:I$368)/100)</f>
        <v>99.653980000000004</v>
      </c>
      <c r="J91" s="510">
        <f t="shared" ca="1" si="4"/>
        <v>24514.346363724726</v>
      </c>
      <c r="K91" s="511">
        <f ca="1">LOOKUP(C91,'Growth Pattern'!B$15:B$376,'Growth Pattern'!H$15:H$368)</f>
        <v>1309.05</v>
      </c>
      <c r="L91" s="512">
        <f t="shared" ca="1" si="5"/>
        <v>-0.94660065658788783</v>
      </c>
      <c r="M91" s="513">
        <f>LN('Growth Pattern'!F104/'Growth Pattern'!D104)/2</f>
        <v>0.68601349591137195</v>
      </c>
      <c r="N91" s="523"/>
      <c r="O91" s="528"/>
    </row>
    <row r="92" spans="1:15" x14ac:dyDescent="0.25">
      <c r="A92" s="507">
        <v>2.3209479472488317</v>
      </c>
      <c r="B92" s="507"/>
      <c r="C92" s="507" t="s">
        <v>2557</v>
      </c>
      <c r="D92" s="507">
        <v>0.43172916464127459</v>
      </c>
      <c r="E92" s="508">
        <f t="shared" si="3"/>
        <v>8.55604373237909E-2</v>
      </c>
      <c r="F92" s="509">
        <f ca="1">LOOKUP(C92,'Growth Pattern'!B$15:B$376,'Growth Pattern'!D$15:D$368)-(LOOKUP(C92,'Growth Pattern'!B$15:B$376,'Growth Pattern'!H$15:H$368)*LOOKUP(C92,'Growth Pattern'!B$15:B$376,'Growth Pattern'!I$15:I$368)/100)</f>
        <v>0</v>
      </c>
      <c r="G92" s="509">
        <f ca="1">LOOKUP(C92,'Growth Pattern'!B$15:B$376,'Growth Pattern'!E$15:E$368)-(LOOKUP(C92,'Growth Pattern'!B$15:B$376,'Growth Pattern'!H$15:H$368)*LOOKUP(C92,'Growth Pattern'!B$15:B$376,'Growth Pattern'!I$15:I$368)/100)</f>
        <v>8.43</v>
      </c>
      <c r="H92" s="509">
        <f ca="1">LOOKUP(C92,'Growth Pattern'!B$15:B$376,'Growth Pattern'!F$15:F$368)-(LOOKUP(C92,'Growth Pattern'!B$15:B$376,'Growth Pattern'!I$15:I$368)*LOOKUP(C92,'Growth Pattern'!B$15:B$376,'Growth Pattern'!H$15:H$368)/100)</f>
        <v>11.43</v>
      </c>
      <c r="I92" s="509">
        <f ca="1">LOOKUP(C92,'Growth Pattern'!B$15:B$376,'Growth Pattern'!G$15:G$368)-(LOOKUP(C92,'Growth Pattern'!B$15:B$376,'Growth Pattern'!H$15:H$368)*LOOKUP(C92,'Growth Pattern'!B$15:B$376,'Growth Pattern'!I$15:I$368)/100)</f>
        <v>11.43</v>
      </c>
      <c r="J92" s="510">
        <f t="shared" ca="1" si="4"/>
        <v>1624.3145351457613</v>
      </c>
      <c r="K92" s="511">
        <f ca="1">LOOKUP(C92,'Growth Pattern'!B$15:B$376,'Growth Pattern'!H$15:H$368)</f>
        <v>221.75</v>
      </c>
      <c r="L92" s="512">
        <f t="shared" ca="1" si="5"/>
        <v>-0.86348087442306809</v>
      </c>
      <c r="M92" s="513" t="e">
        <f>LN('Growth Pattern'!F105/'Growth Pattern'!D105)/2</f>
        <v>#DIV/0!</v>
      </c>
      <c r="N92" s="523"/>
      <c r="O92" s="528"/>
    </row>
    <row r="93" spans="1:15" x14ac:dyDescent="0.25">
      <c r="A93" s="516">
        <v>3.607476479071948</v>
      </c>
      <c r="B93" s="516">
        <v>0.03</v>
      </c>
      <c r="C93" s="516" t="s">
        <v>2558</v>
      </c>
      <c r="D93" s="507">
        <v>1.0934445244888338</v>
      </c>
      <c r="E93" s="508">
        <f t="shared" si="3"/>
        <v>0.14312967363052853</v>
      </c>
      <c r="F93" s="509">
        <f ca="1">LOOKUP(C93,'Growth Pattern'!B$15:B$376,'Growth Pattern'!D$15:D$368)-(LOOKUP(C93,'Growth Pattern'!B$15:B$376,'Growth Pattern'!H$15:H$368)*LOOKUP(C93,'Growth Pattern'!B$15:B$376,'Growth Pattern'!I$15:I$368)/100)</f>
        <v>0</v>
      </c>
      <c r="G93" s="509">
        <f ca="1">LOOKUP(C93,'Growth Pattern'!B$15:B$376,'Growth Pattern'!E$15:E$368)-(LOOKUP(C93,'Growth Pattern'!B$15:B$376,'Growth Pattern'!H$15:H$368)*LOOKUP(C93,'Growth Pattern'!B$15:B$376,'Growth Pattern'!I$15:I$368)/100)</f>
        <v>30.05</v>
      </c>
      <c r="H93" s="509">
        <f ca="1">LOOKUP(C93,'Growth Pattern'!B$15:B$376,'Growth Pattern'!F$15:F$368)-(LOOKUP(C93,'Growth Pattern'!B$15:B$376,'Growth Pattern'!I$15:I$368)*LOOKUP(C93,'Growth Pattern'!B$15:B$376,'Growth Pattern'!H$15:H$368)/100)</f>
        <v>36.049999999999997</v>
      </c>
      <c r="I93" s="509">
        <f ca="1">LOOKUP(C93,'Growth Pattern'!B$15:B$376,'Growth Pattern'!G$15:G$368)-(LOOKUP(C93,'Growth Pattern'!B$15:B$376,'Growth Pattern'!H$15:H$368)*LOOKUP(C93,'Growth Pattern'!B$15:B$376,'Growth Pattern'!I$15:I$368)/100)</f>
        <v>36.049999999999997</v>
      </c>
      <c r="J93" s="510">
        <f t="shared" ca="1" si="4"/>
        <v>436.15831866123125</v>
      </c>
      <c r="K93" s="511">
        <f ca="1">LOOKUP(C93,'Growth Pattern'!B$15:B$376,'Growth Pattern'!H$15:H$368)</f>
        <v>223.5</v>
      </c>
      <c r="L93" s="512">
        <f t="shared" ca="1" si="5"/>
        <v>-0.48757139222742923</v>
      </c>
      <c r="M93" s="513" t="e">
        <f>LN('Growth Pattern'!F106/'Growth Pattern'!D106)/2</f>
        <v>#DIV/0!</v>
      </c>
      <c r="N93" s="523"/>
      <c r="O93" s="528"/>
    </row>
    <row r="94" spans="1:15" x14ac:dyDescent="0.25">
      <c r="A94" s="516">
        <v>1.6562556770354648</v>
      </c>
      <c r="B94" s="516">
        <v>0.13</v>
      </c>
      <c r="C94" s="516" t="s">
        <v>3687</v>
      </c>
      <c r="D94" s="507">
        <v>0.51566522872236398</v>
      </c>
      <c r="E94" s="508">
        <f t="shared" si="3"/>
        <v>9.2862874898845676E-2</v>
      </c>
      <c r="F94" s="509">
        <f ca="1">LOOKUP(C94,'Growth Pattern'!B$15:B$376,'Growth Pattern'!D$15:D$368)-(LOOKUP(C94,'Growth Pattern'!B$15:B$376,'Growth Pattern'!H$15:H$368)*LOOKUP(C94,'Growth Pattern'!B$15:B$376,'Growth Pattern'!I$15:I$368)/100)</f>
        <v>0</v>
      </c>
      <c r="G94" s="509">
        <f ca="1">LOOKUP(C94,'Growth Pattern'!B$15:B$376,'Growth Pattern'!E$15:E$368)-(LOOKUP(C94,'Growth Pattern'!B$15:B$376,'Growth Pattern'!H$15:H$368)*LOOKUP(C94,'Growth Pattern'!B$15:B$376,'Growth Pattern'!I$15:I$368)/100)</f>
        <v>34.4</v>
      </c>
      <c r="H94" s="509">
        <f ca="1">LOOKUP(C94,'Growth Pattern'!B$15:B$376,'Growth Pattern'!F$15:F$368)-(LOOKUP(C94,'Growth Pattern'!B$15:B$376,'Growth Pattern'!I$15:I$368)*LOOKUP(C94,'Growth Pattern'!B$15:B$376,'Growth Pattern'!H$15:H$368)/100)</f>
        <v>42.32</v>
      </c>
      <c r="I94" s="509">
        <f ca="1">LOOKUP(C94,'Growth Pattern'!B$15:B$376,'Growth Pattern'!G$15:G$368)-(LOOKUP(C94,'Growth Pattern'!B$15:B$376,'Growth Pattern'!H$15:H$368)*LOOKUP(C94,'Growth Pattern'!B$15:B$376,'Growth Pattern'!I$15:I$368)/100)</f>
        <v>42.32</v>
      </c>
      <c r="J94" s="510">
        <f t="shared" ca="1" si="4"/>
        <v>2587.5491476788102</v>
      </c>
      <c r="K94" s="511">
        <f ca="1">LOOKUP(C94,'Growth Pattern'!B$15:B$376,'Growth Pattern'!H$15:H$368)</f>
        <v>367.25</v>
      </c>
      <c r="L94" s="512">
        <f t="shared" ca="1" si="5"/>
        <v>-0.85807032870102362</v>
      </c>
      <c r="M94" s="513" t="e">
        <f>LN('Growth Pattern'!F107/'Growth Pattern'!D107)/2</f>
        <v>#DIV/0!</v>
      </c>
      <c r="N94" s="523"/>
      <c r="O94" s="528"/>
    </row>
    <row r="95" spans="1:15" x14ac:dyDescent="0.25">
      <c r="A95" s="506">
        <v>2.4406600338317515</v>
      </c>
      <c r="B95" s="507"/>
      <c r="C95" s="507" t="s">
        <v>1162</v>
      </c>
      <c r="D95" s="507">
        <v>0.17999238246305657</v>
      </c>
      <c r="E95" s="508">
        <f t="shared" si="3"/>
        <v>6.3659337274285924E-2</v>
      </c>
      <c r="F95" s="509">
        <f ca="1">LOOKUP(C95,'Growth Pattern'!B$15:B$376,'Growth Pattern'!D$15:D$368)-(LOOKUP(C95,'Growth Pattern'!B$15:B$376,'Growth Pattern'!H$15:H$368)*LOOKUP(C95,'Growth Pattern'!B$15:B$376,'Growth Pattern'!I$15:I$368)/100)</f>
        <v>-1.4990400000000002</v>
      </c>
      <c r="G95" s="509">
        <f ca="1">LOOKUP(C95,'Growth Pattern'!B$15:B$376,'Growth Pattern'!E$15:E$368)-(LOOKUP(C95,'Growth Pattern'!B$15:B$376,'Growth Pattern'!H$15:H$368)*LOOKUP(C95,'Growth Pattern'!B$15:B$376,'Growth Pattern'!I$15:I$368)/100)</f>
        <v>6.2009600000000002</v>
      </c>
      <c r="H95" s="509">
        <f ca="1">LOOKUP(C95,'Growth Pattern'!B$15:B$376,'Growth Pattern'!F$15:F$368)-(LOOKUP(C95,'Growth Pattern'!B$15:B$376,'Growth Pattern'!I$15:I$368)*LOOKUP(C95,'Growth Pattern'!B$15:B$376,'Growth Pattern'!H$15:H$368)/100)</f>
        <v>7.6009599999999997</v>
      </c>
      <c r="I95" s="509">
        <f ca="1">LOOKUP(C95,'Growth Pattern'!B$15:B$376,'Growth Pattern'!G$15:G$368)-(LOOKUP(C95,'Growth Pattern'!B$15:B$376,'Growth Pattern'!H$15:H$368)*LOOKUP(C95,'Growth Pattern'!B$15:B$376,'Growth Pattern'!I$15:I$368)/100)</f>
        <v>7.6009599999999997</v>
      </c>
      <c r="J95" s="510">
        <f t="shared" ca="1" si="4"/>
        <v>-375.4878769219963</v>
      </c>
      <c r="K95" s="511">
        <f ca="1">LOOKUP(C95,'Growth Pattern'!B$15:B$376,'Growth Pattern'!H$15:H$368)</f>
        <v>69.400000000000006</v>
      </c>
      <c r="L95" s="512">
        <f t="shared" ca="1" si="5"/>
        <v>-1.1848262068242941</v>
      </c>
      <c r="M95" s="513" t="e">
        <f>LN('Growth Pattern'!F108/'Growth Pattern'!D108)/2</f>
        <v>#DIV/0!</v>
      </c>
      <c r="N95" s="523"/>
      <c r="O95" s="528"/>
    </row>
    <row r="96" spans="1:15" x14ac:dyDescent="0.25">
      <c r="A96" s="506">
        <v>2.6567671257138974</v>
      </c>
      <c r="B96" s="506">
        <v>0.17</v>
      </c>
      <c r="C96" s="506" t="s">
        <v>1163</v>
      </c>
      <c r="D96" s="506">
        <v>0.39363562365599608</v>
      </c>
      <c r="E96" s="508">
        <f t="shared" si="3"/>
        <v>8.224629925807167E-2</v>
      </c>
      <c r="F96" s="509">
        <f ca="1">LOOKUP(C96,'Growth Pattern'!B$15:B$376,'Growth Pattern'!D$15:D$368)-(LOOKUP(C96,'Growth Pattern'!B$15:B$376,'Growth Pattern'!H$15:H$368)*LOOKUP(C96,'Growth Pattern'!B$15:B$376,'Growth Pattern'!I$15:I$368)/100)</f>
        <v>4.4478</v>
      </c>
      <c r="G96" s="509">
        <f ca="1">LOOKUP(C96,'Growth Pattern'!B$15:B$376,'Growth Pattern'!E$15:E$368)-(LOOKUP(C96,'Growth Pattern'!B$15:B$376,'Growth Pattern'!H$15:H$368)*LOOKUP(C96,'Growth Pattern'!B$15:B$376,'Growth Pattern'!I$15:I$368)/100)</f>
        <v>-8.1021999999999998</v>
      </c>
      <c r="H96" s="509">
        <f ca="1">LOOKUP(C96,'Growth Pattern'!B$15:B$376,'Growth Pattern'!F$15:F$368)-(LOOKUP(C96,'Growth Pattern'!B$15:B$376,'Growth Pattern'!I$15:I$368)*LOOKUP(C96,'Growth Pattern'!B$15:B$376,'Growth Pattern'!H$15:H$368)/100)</f>
        <v>4.6978</v>
      </c>
      <c r="I96" s="509">
        <f ca="1">LOOKUP(C96,'Growth Pattern'!B$15:B$376,'Growth Pattern'!G$15:G$368)-(LOOKUP(C96,'Growth Pattern'!B$15:B$376,'Growth Pattern'!H$15:H$368)*LOOKUP(C96,'Growth Pattern'!B$15:B$376,'Growth Pattern'!I$15:I$368)/100)</f>
        <v>42.847800000000021</v>
      </c>
      <c r="J96" s="510">
        <f t="shared" ca="1" si="4"/>
        <v>15049.104035460152</v>
      </c>
      <c r="K96" s="511">
        <f ca="1">LOOKUP(C96,'Growth Pattern'!B$15:B$376,'Growth Pattern'!H$15:H$368)</f>
        <v>61.5</v>
      </c>
      <c r="L96" s="512">
        <f t="shared" ca="1" si="5"/>
        <v>-0.99591337797552015</v>
      </c>
      <c r="M96" s="513">
        <f>LN('Growth Pattern'!F109/'Growth Pattern'!D109)/2</f>
        <v>2.0923554967750252E-2</v>
      </c>
      <c r="N96" s="523"/>
      <c r="O96" s="528"/>
    </row>
    <row r="97" spans="1:15" x14ac:dyDescent="0.25">
      <c r="A97" s="506">
        <v>1.8417549487709168</v>
      </c>
      <c r="B97" s="506">
        <v>0.16</v>
      </c>
      <c r="C97" s="506" t="s">
        <v>1164</v>
      </c>
      <c r="D97" s="506">
        <v>0.55644934648252919</v>
      </c>
      <c r="E97" s="508">
        <f t="shared" si="3"/>
        <v>9.6411093143980053E-2</v>
      </c>
      <c r="F97" s="509">
        <f ca="1">LOOKUP(C97,'Growth Pattern'!B$15:B$376,'Growth Pattern'!D$15:D$368)-(LOOKUP(C97,'Growth Pattern'!B$15:B$376,'Growth Pattern'!H$15:H$368)*LOOKUP(C97,'Growth Pattern'!B$15:B$376,'Growth Pattern'!I$15:I$368)/100)</f>
        <v>-40.007230000000007</v>
      </c>
      <c r="G97" s="509">
        <f ca="1">LOOKUP(C97,'Growth Pattern'!B$15:B$376,'Growth Pattern'!E$15:E$368)-(LOOKUP(C97,'Growth Pattern'!B$15:B$376,'Growth Pattern'!H$15:H$368)*LOOKUP(C97,'Growth Pattern'!B$15:B$376,'Growth Pattern'!I$15:I$368)/100)</f>
        <v>-38.577230000000007</v>
      </c>
      <c r="H97" s="509">
        <f ca="1">LOOKUP(C97,'Growth Pattern'!B$15:B$376,'Growth Pattern'!F$15:F$368)-(LOOKUP(C97,'Growth Pattern'!B$15:B$376,'Growth Pattern'!I$15:I$368)*LOOKUP(C97,'Growth Pattern'!B$15:B$376,'Growth Pattern'!H$15:H$368)/100)</f>
        <v>-36.127230000000012</v>
      </c>
      <c r="I97" s="509">
        <f ca="1">LOOKUP(C97,'Growth Pattern'!B$15:B$376,'Growth Pattern'!G$15:G$368)-(LOOKUP(C97,'Growth Pattern'!B$15:B$376,'Growth Pattern'!H$15:H$368)*LOOKUP(C97,'Growth Pattern'!B$15:B$376,'Growth Pattern'!I$15:I$368)/100)</f>
        <v>-32.657230000000013</v>
      </c>
      <c r="J97" s="510">
        <f t="shared" ca="1" si="4"/>
        <v>-1615.0527111789531</v>
      </c>
      <c r="K97" s="511">
        <f ca="1">LOOKUP(C97,'Growth Pattern'!B$15:B$376,'Growth Pattern'!H$15:H$368)</f>
        <v>276.3</v>
      </c>
      <c r="L97" s="512">
        <f t="shared" ca="1" si="5"/>
        <v>-1.1710780076015643</v>
      </c>
      <c r="M97" s="513">
        <f>LN('Growth Pattern'!F110/'Growth Pattern'!D110)/2</f>
        <v>0.12997415309516433</v>
      </c>
      <c r="N97" s="523"/>
      <c r="O97" s="528"/>
    </row>
    <row r="98" spans="1:15" x14ac:dyDescent="0.25">
      <c r="A98" s="527">
        <v>3.4741878117776088</v>
      </c>
      <c r="B98" s="527">
        <v>0.12</v>
      </c>
      <c r="C98" s="527" t="s">
        <v>3810</v>
      </c>
      <c r="D98" s="507">
        <v>0.84204437565407497</v>
      </c>
      <c r="E98" s="508">
        <f t="shared" si="3"/>
        <v>0.12125786068190453</v>
      </c>
      <c r="F98" s="509">
        <f ca="1">LOOKUP(C98,'Growth Pattern'!B$15:B$376,'Growth Pattern'!D$15:D$368)-(LOOKUP(C98,'Growth Pattern'!B$15:B$376,'Growth Pattern'!H$15:H$368)*LOOKUP(C98,'Growth Pattern'!B$15:B$376,'Growth Pattern'!I$15:I$368)/100)</f>
        <v>-3.21</v>
      </c>
      <c r="G98" s="509">
        <f ca="1">LOOKUP(C98,'Growth Pattern'!B$15:B$376,'Growth Pattern'!E$15:E$368)-(LOOKUP(C98,'Growth Pattern'!B$15:B$376,'Growth Pattern'!H$15:H$368)*LOOKUP(C98,'Growth Pattern'!B$15:B$376,'Growth Pattern'!I$15:I$368)/100)</f>
        <v>6.15</v>
      </c>
      <c r="H98" s="509">
        <f ca="1">LOOKUP(C98,'Growth Pattern'!B$15:B$376,'Growth Pattern'!F$15:F$368)-(LOOKUP(C98,'Growth Pattern'!B$15:B$376,'Growth Pattern'!I$15:I$368)*LOOKUP(C98,'Growth Pattern'!B$15:B$376,'Growth Pattern'!H$15:H$368)/100)</f>
        <v>10.75</v>
      </c>
      <c r="I98" s="509">
        <f ca="1">LOOKUP(C98,'Growth Pattern'!B$15:B$376,'Growth Pattern'!G$15:G$368)-(LOOKUP(C98,'Growth Pattern'!B$15:B$376,'Growth Pattern'!H$15:H$368)*LOOKUP(C98,'Growth Pattern'!B$15:B$376,'Growth Pattern'!I$15:I$368)/100)</f>
        <v>10.75</v>
      </c>
      <c r="J98" s="510">
        <f t="shared" ca="1" si="4"/>
        <v>195.66097339914793</v>
      </c>
      <c r="K98" s="511">
        <f ca="1">LOOKUP(C98,'Growth Pattern'!B$15:B$376,'Growth Pattern'!H$15:H$368)</f>
        <v>242.65</v>
      </c>
      <c r="L98" s="512">
        <f t="shared" ca="1" si="5"/>
        <v>0.24015533493741015</v>
      </c>
      <c r="M98" s="513" t="e">
        <f>LN('Growth Pattern'!F111/'Growth Pattern'!D111)/2</f>
        <v>#NUM!</v>
      </c>
      <c r="N98" s="523"/>
      <c r="O98" s="528"/>
    </row>
    <row r="99" spans="1:15" x14ac:dyDescent="0.25">
      <c r="A99" s="507">
        <v>2.6973773345909167</v>
      </c>
      <c r="B99" s="507">
        <v>0.122</v>
      </c>
      <c r="C99" s="507" t="s">
        <v>103</v>
      </c>
      <c r="D99" s="507">
        <v>0.65326310587462111</v>
      </c>
      <c r="E99" s="508">
        <f t="shared" si="3"/>
        <v>0.10483389021109205</v>
      </c>
      <c r="F99" s="509">
        <f ca="1">LOOKUP(C99,'Growth Pattern'!B$15:B$376,'Growth Pattern'!D$15:D$368)-(LOOKUP(C99,'Growth Pattern'!B$15:B$376,'Growth Pattern'!H$15:H$368)*LOOKUP(C99,'Growth Pattern'!B$15:B$376,'Growth Pattern'!I$15:I$368)/100)</f>
        <v>18.357174999999994</v>
      </c>
      <c r="G99" s="509">
        <f ca="1">LOOKUP(C99,'Growth Pattern'!B$15:B$376,'Growth Pattern'!E$15:E$368)-(LOOKUP(C99,'Growth Pattern'!B$15:B$376,'Growth Pattern'!H$15:H$368)*LOOKUP(C99,'Growth Pattern'!B$15:B$376,'Growth Pattern'!I$15:I$368)/100)</f>
        <v>33.357174999999998</v>
      </c>
      <c r="H99" s="509">
        <f ca="1">LOOKUP(C99,'Growth Pattern'!B$15:B$376,'Growth Pattern'!F$15:F$368)-(LOOKUP(C99,'Growth Pattern'!B$15:B$376,'Growth Pattern'!I$15:I$368)*LOOKUP(C99,'Growth Pattern'!B$15:B$376,'Growth Pattern'!H$15:H$368)/100)</f>
        <v>-19.942825000000003</v>
      </c>
      <c r="I99" s="509">
        <f ca="1">LOOKUP(C99,'Growth Pattern'!B$15:B$376,'Growth Pattern'!G$15:G$368)-(LOOKUP(C99,'Growth Pattern'!B$15:B$376,'Growth Pattern'!H$15:H$368)*LOOKUP(C99,'Growth Pattern'!B$15:B$376,'Growth Pattern'!I$15:I$368)/100)</f>
        <v>-19.942825000000003</v>
      </c>
      <c r="J99" s="510">
        <f t="shared" ca="1" si="4"/>
        <v>-563.24632423677667</v>
      </c>
      <c r="K99" s="511">
        <f ca="1">LOOKUP(C99,'Growth Pattern'!B$15:B$376,'Growth Pattern'!H$15:H$368)</f>
        <v>480.55</v>
      </c>
      <c r="L99" s="512">
        <f t="shared" ca="1" si="5"/>
        <v>-1.8531791142199927</v>
      </c>
      <c r="M99" s="513" t="e">
        <f>LN('Growth Pattern'!F112/'Growth Pattern'!D112)/2</f>
        <v>#NUM!</v>
      </c>
      <c r="N99" s="523"/>
      <c r="O99" s="528"/>
    </row>
    <row r="100" spans="1:15" x14ac:dyDescent="0.25">
      <c r="A100" s="527">
        <v>3.3056479268361536</v>
      </c>
      <c r="B100" s="527"/>
      <c r="C100" s="527" t="s">
        <v>1165</v>
      </c>
      <c r="D100" s="507">
        <v>0.77916334474243232</v>
      </c>
      <c r="E100" s="508">
        <f t="shared" si="3"/>
        <v>0.11578721099259162</v>
      </c>
      <c r="F100" s="509">
        <f ca="1">LOOKUP(C100,'Growth Pattern'!B$15:B$376,'Growth Pattern'!D$15:D$368)-(LOOKUP(C100,'Growth Pattern'!B$15:B$376,'Growth Pattern'!H$15:H$368)*LOOKUP(C100,'Growth Pattern'!B$15:B$376,'Growth Pattern'!I$15:I$368)/100)</f>
        <v>0</v>
      </c>
      <c r="G100" s="509">
        <f ca="1">LOOKUP(C100,'Growth Pattern'!B$15:B$376,'Growth Pattern'!E$15:E$368)-(LOOKUP(C100,'Growth Pattern'!B$15:B$376,'Growth Pattern'!H$15:H$368)*LOOKUP(C100,'Growth Pattern'!B$15:B$376,'Growth Pattern'!I$15:I$368)/100)</f>
        <v>3.6</v>
      </c>
      <c r="H100" s="509">
        <f ca="1">LOOKUP(C100,'Growth Pattern'!B$15:B$376,'Growth Pattern'!F$15:F$368)-(LOOKUP(C100,'Growth Pattern'!B$15:B$376,'Growth Pattern'!I$15:I$368)*LOOKUP(C100,'Growth Pattern'!B$15:B$376,'Growth Pattern'!H$15:H$368)/100)</f>
        <v>6.9</v>
      </c>
      <c r="I100" s="509">
        <f ca="1">LOOKUP(C100,'Growth Pattern'!B$15:B$376,'Growth Pattern'!G$15:G$368)-(LOOKUP(C100,'Growth Pattern'!B$15:B$376,'Growth Pattern'!H$15:H$368)*LOOKUP(C100,'Growth Pattern'!B$15:B$376,'Growth Pattern'!I$15:I$368)/100)</f>
        <v>9.9</v>
      </c>
      <c r="J100" s="510">
        <f t="shared" ca="1" si="4"/>
        <v>207.91082965997762</v>
      </c>
      <c r="K100" s="511">
        <f ca="1">LOOKUP(C100,'Growth Pattern'!B$15:B$376,'Growth Pattern'!H$15:H$368)</f>
        <v>43.85</v>
      </c>
      <c r="L100" s="512">
        <f t="shared" ca="1" si="5"/>
        <v>-0.78909227541579563</v>
      </c>
      <c r="M100" s="513" t="e">
        <f>LN('Growth Pattern'!F113/'Growth Pattern'!D113)/2</f>
        <v>#DIV/0!</v>
      </c>
      <c r="N100" s="523"/>
      <c r="O100" s="528"/>
    </row>
    <row r="101" spans="1:15" x14ac:dyDescent="0.25">
      <c r="A101" s="507">
        <v>3.0614495433425377</v>
      </c>
      <c r="B101" s="507">
        <v>8.0000000000000002E-3</v>
      </c>
      <c r="C101" s="507" t="s">
        <v>1166</v>
      </c>
      <c r="D101" s="507">
        <v>1.4691733953770478</v>
      </c>
      <c r="E101" s="508">
        <f t="shared" si="3"/>
        <v>0.17581808539780319</v>
      </c>
      <c r="F101" s="509">
        <f ca="1">LOOKUP(C101,'Growth Pattern'!B$15:B$376,'Growth Pattern'!D$15:D$368)-(LOOKUP(C101,'Growth Pattern'!B$15:B$376,'Growth Pattern'!H$15:H$368)*LOOKUP(C101,'Growth Pattern'!B$15:B$376,'Growth Pattern'!I$15:I$368)/100)</f>
        <v>2.8960699999999999</v>
      </c>
      <c r="G101" s="509">
        <f ca="1">LOOKUP(C101,'Growth Pattern'!B$15:B$376,'Growth Pattern'!E$15:E$368)-(LOOKUP(C101,'Growth Pattern'!B$15:B$376,'Growth Pattern'!H$15:H$368)*LOOKUP(C101,'Growth Pattern'!B$15:B$376,'Growth Pattern'!I$15:I$368)/100)</f>
        <v>3.9960700000000005</v>
      </c>
      <c r="H101" s="509">
        <f ca="1">LOOKUP(C101,'Growth Pattern'!B$15:B$376,'Growth Pattern'!F$15:F$368)-(LOOKUP(C101,'Growth Pattern'!B$15:B$376,'Growth Pattern'!I$15:I$368)*LOOKUP(C101,'Growth Pattern'!B$15:B$376,'Growth Pattern'!H$15:H$368)/100)</f>
        <v>7.096070000000001</v>
      </c>
      <c r="I101" s="509">
        <f ca="1">LOOKUP(C101,'Growth Pattern'!B$15:B$376,'Growth Pattern'!G$15:G$368)-(LOOKUP(C101,'Growth Pattern'!B$15:B$376,'Growth Pattern'!H$15:H$368)*LOOKUP(C101,'Growth Pattern'!B$15:B$376,'Growth Pattern'!I$15:I$368)/100)</f>
        <v>12.196070000000004</v>
      </c>
      <c r="J101" s="510">
        <f t="shared" ca="1" si="4"/>
        <v>89.725458970264995</v>
      </c>
      <c r="K101" s="511">
        <f ca="1">LOOKUP(C101,'Growth Pattern'!B$15:B$376,'Growth Pattern'!H$15:H$368)</f>
        <v>81.900000000000006</v>
      </c>
      <c r="L101" s="512">
        <f t="shared" ca="1" si="5"/>
        <v>-8.7215591428273953E-2</v>
      </c>
      <c r="M101" s="513">
        <f>LN('Growth Pattern'!F114/'Growth Pattern'!D114)/2</f>
        <v>0.35263427054614516</v>
      </c>
      <c r="N101" s="523"/>
      <c r="O101" s="528"/>
    </row>
    <row r="102" spans="1:15" x14ac:dyDescent="0.25">
      <c r="A102" s="516">
        <v>1.7657336811611075</v>
      </c>
      <c r="B102" s="516">
        <v>0.36</v>
      </c>
      <c r="C102" s="516" t="s">
        <v>4004</v>
      </c>
      <c r="D102" s="507">
        <v>0.4520511032088167</v>
      </c>
      <c r="E102" s="508">
        <f t="shared" si="3"/>
        <v>8.7328445979167058E-2</v>
      </c>
      <c r="F102" s="509">
        <f ca="1">LOOKUP(C102,'Growth Pattern'!B$15:B$376,'Growth Pattern'!D$15:D$368)-(LOOKUP(C102,'Growth Pattern'!B$15:B$376,'Growth Pattern'!H$15:H$368)*LOOKUP(C102,'Growth Pattern'!B$15:B$376,'Growth Pattern'!I$15:I$368)/100)</f>
        <v>6.69</v>
      </c>
      <c r="G102" s="509">
        <f ca="1">LOOKUP(C102,'Growth Pattern'!B$15:B$376,'Growth Pattern'!E$15:E$368)-(LOOKUP(C102,'Growth Pattern'!B$15:B$376,'Growth Pattern'!H$15:H$368)*LOOKUP(C102,'Growth Pattern'!B$15:B$376,'Growth Pattern'!I$15:I$368)/100)</f>
        <v>7.1</v>
      </c>
      <c r="H102" s="509">
        <f ca="1">LOOKUP(C102,'Growth Pattern'!B$15:B$376,'Growth Pattern'!F$15:F$368)-(LOOKUP(C102,'Growth Pattern'!B$15:B$376,'Growth Pattern'!I$15:I$368)*LOOKUP(C102,'Growth Pattern'!B$15:B$376,'Growth Pattern'!H$15:H$368)/100)</f>
        <v>8.6199999999999992</v>
      </c>
      <c r="I102" s="509">
        <f ca="1">LOOKUP(C102,'Growth Pattern'!B$15:B$376,'Growth Pattern'!G$15:G$368)-(LOOKUP(C102,'Growth Pattern'!B$15:B$376,'Growth Pattern'!H$15:H$368)*LOOKUP(C102,'Growth Pattern'!B$15:B$376,'Growth Pattern'!I$15:I$368)/100)</f>
        <v>11.25</v>
      </c>
      <c r="J102" s="510">
        <f t="shared" ca="1" si="4"/>
        <v>1214.659365495344</v>
      </c>
      <c r="K102" s="511">
        <f ca="1">LOOKUP(C102,'Growth Pattern'!B$15:B$376,'Growth Pattern'!H$15:H$368)</f>
        <v>158.80000000000001</v>
      </c>
      <c r="L102" s="512">
        <f t="shared" ca="1" si="5"/>
        <v>-0.86926375862154526</v>
      </c>
      <c r="M102" s="513">
        <f>LN('Growth Pattern'!F115/'Growth Pattern'!D115)/2</f>
        <v>0.12673560526773225</v>
      </c>
      <c r="N102" s="523"/>
      <c r="O102" s="528"/>
    </row>
    <row r="103" spans="1:15" x14ac:dyDescent="0.25">
      <c r="A103" s="516">
        <v>2.1223214402117216</v>
      </c>
      <c r="B103" s="516">
        <v>0.38700000000000001</v>
      </c>
      <c r="C103" s="516" t="s">
        <v>2288</v>
      </c>
      <c r="D103" s="507">
        <v>0.45438136596993867</v>
      </c>
      <c r="E103" s="508">
        <f t="shared" si="3"/>
        <v>8.753117883938466E-2</v>
      </c>
      <c r="F103" s="509">
        <f ca="1">LOOKUP(C103,'Growth Pattern'!B$15:B$376,'Growth Pattern'!D$15:D$368)-(LOOKUP(C103,'Growth Pattern'!B$15:B$376,'Growth Pattern'!H$15:H$368)*LOOKUP(C103,'Growth Pattern'!B$15:B$376,'Growth Pattern'!I$15:I$368)/100)</f>
        <v>27.16</v>
      </c>
      <c r="G103" s="509">
        <f ca="1">LOOKUP(C103,'Growth Pattern'!B$15:B$376,'Growth Pattern'!E$15:E$368)-(LOOKUP(C103,'Growth Pattern'!B$15:B$376,'Growth Pattern'!H$15:H$368)*LOOKUP(C103,'Growth Pattern'!B$15:B$376,'Growth Pattern'!I$15:I$368)/100)</f>
        <v>33.51</v>
      </c>
      <c r="H103" s="509">
        <f ca="1">LOOKUP(C103,'Growth Pattern'!B$15:B$376,'Growth Pattern'!F$15:F$368)-(LOOKUP(C103,'Growth Pattern'!B$15:B$376,'Growth Pattern'!I$15:I$368)*LOOKUP(C103,'Growth Pattern'!B$15:B$376,'Growth Pattern'!H$15:H$368)/100)</f>
        <v>44.8</v>
      </c>
      <c r="I103" s="509">
        <f ca="1">LOOKUP(C103,'Growth Pattern'!B$15:B$376,'Growth Pattern'!G$15:G$368)-(LOOKUP(C103,'Growth Pattern'!B$15:B$376,'Growth Pattern'!H$15:H$368)*LOOKUP(C103,'Growth Pattern'!B$15:B$376,'Growth Pattern'!I$15:I$368)/100)</f>
        <v>61.030000000000008</v>
      </c>
      <c r="J103" s="510">
        <f t="shared" ca="1" si="4"/>
        <v>6396.0649515208524</v>
      </c>
      <c r="K103" s="511">
        <f ca="1">LOOKUP(C103,'Growth Pattern'!B$15:B$376,'Growth Pattern'!H$15:H$368)</f>
        <v>432.65</v>
      </c>
      <c r="L103" s="512">
        <f t="shared" ca="1" si="5"/>
        <v>-0.93235684701777077</v>
      </c>
      <c r="M103" s="513">
        <f>LN('Growth Pattern'!F116/'Growth Pattern'!D116)/2</f>
        <v>0.250231418365222</v>
      </c>
      <c r="N103" s="523"/>
      <c r="O103" s="528"/>
    </row>
    <row r="104" spans="1:15" x14ac:dyDescent="0.25">
      <c r="A104" s="507">
        <v>1.9093937622340065</v>
      </c>
      <c r="B104" s="507"/>
      <c r="C104" s="507" t="s">
        <v>2289</v>
      </c>
      <c r="D104" s="507">
        <v>0.1751363221727717</v>
      </c>
      <c r="E104" s="508">
        <f t="shared" si="3"/>
        <v>6.3236860029031144E-2</v>
      </c>
      <c r="F104" s="509">
        <f ca="1">LOOKUP(C104,'Growth Pattern'!B$15:B$376,'Growth Pattern'!D$15:D$368)-(LOOKUP(C104,'Growth Pattern'!B$15:B$376,'Growth Pattern'!H$15:H$368)*LOOKUP(C104,'Growth Pattern'!B$15:B$376,'Growth Pattern'!I$15:I$368)/100)</f>
        <v>8.74</v>
      </c>
      <c r="G104" s="509">
        <f ca="1">LOOKUP(C104,'Growth Pattern'!B$15:B$376,'Growth Pattern'!E$15:E$368)-(LOOKUP(C104,'Growth Pattern'!B$15:B$376,'Growth Pattern'!H$15:H$368)*LOOKUP(C104,'Growth Pattern'!B$15:B$376,'Growth Pattern'!I$15:I$368)/100)</f>
        <v>5.7</v>
      </c>
      <c r="H104" s="509">
        <f ca="1">LOOKUP(C104,'Growth Pattern'!B$15:B$376,'Growth Pattern'!F$15:F$368)-(LOOKUP(C104,'Growth Pattern'!B$15:B$376,'Growth Pattern'!I$15:I$368)*LOOKUP(C104,'Growth Pattern'!B$15:B$376,'Growth Pattern'!H$15:H$368)/100)</f>
        <v>8.1999999999999993</v>
      </c>
      <c r="I104" s="509">
        <f ca="1">LOOKUP(C104,'Growth Pattern'!B$15:B$376,'Growth Pattern'!G$15:G$368)-(LOOKUP(C104,'Growth Pattern'!B$15:B$376,'Growth Pattern'!H$15:H$368)*LOOKUP(C104,'Growth Pattern'!B$15:B$376,'Growth Pattern'!I$15:I$368)/100)</f>
        <v>16.240000000000009</v>
      </c>
      <c r="J104" s="510">
        <f t="shared" ca="1" si="4"/>
        <v>-784.65568871333369</v>
      </c>
      <c r="K104" s="511">
        <f ca="1">LOOKUP(C104,'Growth Pattern'!B$15:B$376,'Growth Pattern'!H$15:H$368)</f>
        <v>48.1</v>
      </c>
      <c r="L104" s="512">
        <f t="shared" ca="1" si="5"/>
        <v>-1.0613007726725001</v>
      </c>
      <c r="M104" s="513">
        <f>LN('Growth Pattern'!F117/'Growth Pattern'!D117)/2</f>
        <v>-3.1888017698618404E-2</v>
      </c>
      <c r="N104" s="523"/>
      <c r="O104" s="528"/>
    </row>
    <row r="105" spans="1:15" x14ac:dyDescent="0.25">
      <c r="A105" s="516">
        <v>3.1678072537360937</v>
      </c>
      <c r="B105" s="516">
        <v>0.33</v>
      </c>
      <c r="C105" s="516" t="s">
        <v>2935</v>
      </c>
      <c r="D105" s="507">
        <v>0.58110221792881644</v>
      </c>
      <c r="E105" s="508">
        <f t="shared" si="3"/>
        <v>9.8555892959807045E-2</v>
      </c>
      <c r="F105" s="509">
        <f ca="1">LOOKUP(C105,'Growth Pattern'!B$15:B$376,'Growth Pattern'!D$15:D$368)-(LOOKUP(C105,'Growth Pattern'!B$15:B$376,'Growth Pattern'!H$15:H$368)*LOOKUP(C105,'Growth Pattern'!B$15:B$376,'Growth Pattern'!I$15:I$368)/100)</f>
        <v>10.67</v>
      </c>
      <c r="G105" s="509">
        <f ca="1">LOOKUP(C105,'Growth Pattern'!B$15:B$376,'Growth Pattern'!E$15:E$368)-(LOOKUP(C105,'Growth Pattern'!B$15:B$376,'Growth Pattern'!H$15:H$368)*LOOKUP(C105,'Growth Pattern'!B$15:B$376,'Growth Pattern'!I$15:I$368)/100)</f>
        <v>7.15</v>
      </c>
      <c r="H105" s="509">
        <f ca="1">LOOKUP(C105,'Growth Pattern'!B$15:B$376,'Growth Pattern'!F$15:F$368)-(LOOKUP(C105,'Growth Pattern'!B$15:B$376,'Growth Pattern'!I$15:I$368)*LOOKUP(C105,'Growth Pattern'!B$15:B$376,'Growth Pattern'!H$15:H$368)/100)</f>
        <v>9.75</v>
      </c>
      <c r="I105" s="509">
        <f ca="1">LOOKUP(C105,'Growth Pattern'!B$15:B$376,'Growth Pattern'!G$15:G$368)-(LOOKUP(C105,'Growth Pattern'!B$15:B$376,'Growth Pattern'!H$15:H$368)*LOOKUP(C105,'Growth Pattern'!B$15:B$376,'Growth Pattern'!I$15:I$368)/100)</f>
        <v>18.470000000000006</v>
      </c>
      <c r="J105" s="510">
        <f t="shared" ca="1" si="4"/>
        <v>776.04773817864486</v>
      </c>
      <c r="K105" s="511">
        <f ca="1">LOOKUP(C105,'Growth Pattern'!B$15:B$376,'Growth Pattern'!H$15:H$368)</f>
        <v>83.6</v>
      </c>
      <c r="L105" s="512">
        <f t="shared" ca="1" si="5"/>
        <v>-0.89227466831331004</v>
      </c>
      <c r="M105" s="513">
        <f>LN('Growth Pattern'!F118/'Growth Pattern'!D118)/2</f>
        <v>-4.5084390151953084E-2</v>
      </c>
      <c r="N105" s="523"/>
      <c r="O105" s="528"/>
    </row>
    <row r="106" spans="1:15" x14ac:dyDescent="0.25">
      <c r="A106" s="527">
        <v>2.3416256675954505</v>
      </c>
      <c r="B106" s="527">
        <v>0.15</v>
      </c>
      <c r="C106" s="527" t="s">
        <v>2936</v>
      </c>
      <c r="D106" s="507">
        <v>0.4434076284336238</v>
      </c>
      <c r="E106" s="508">
        <f t="shared" si="3"/>
        <v>8.6576463673725276E-2</v>
      </c>
      <c r="F106" s="509">
        <f ca="1">LOOKUP(C106,'Growth Pattern'!B$15:B$376,'Growth Pattern'!D$15:D$368)-(LOOKUP(C106,'Growth Pattern'!B$15:B$376,'Growth Pattern'!H$15:H$368)*LOOKUP(C106,'Growth Pattern'!B$15:B$376,'Growth Pattern'!I$15:I$368)/100)</f>
        <v>26.89</v>
      </c>
      <c r="G106" s="509">
        <f ca="1">LOOKUP(C106,'Growth Pattern'!B$15:B$376,'Growth Pattern'!E$15:E$368)-(LOOKUP(C106,'Growth Pattern'!B$15:B$376,'Growth Pattern'!H$15:H$368)*LOOKUP(C106,'Growth Pattern'!B$15:B$376,'Growth Pattern'!I$15:I$368)/100)</f>
        <v>29.63</v>
      </c>
      <c r="H106" s="509">
        <f ca="1">LOOKUP(C106,'Growth Pattern'!B$15:B$376,'Growth Pattern'!F$15:F$368)-(LOOKUP(C106,'Growth Pattern'!B$15:B$376,'Growth Pattern'!I$15:I$368)*LOOKUP(C106,'Growth Pattern'!B$15:B$376,'Growth Pattern'!H$15:H$368)/100)</f>
        <v>33.82</v>
      </c>
      <c r="I106" s="509">
        <f ca="1">LOOKUP(C106,'Growth Pattern'!B$15:B$376,'Growth Pattern'!G$15:G$368)-(LOOKUP(C106,'Growth Pattern'!B$15:B$376,'Growth Pattern'!H$15:H$368)*LOOKUP(C106,'Growth Pattern'!B$15:B$376,'Growth Pattern'!I$15:I$368)/100)</f>
        <v>39.460000000000008</v>
      </c>
      <c r="J106" s="510">
        <f t="shared" ca="1" si="4"/>
        <v>4759.9810808920065</v>
      </c>
      <c r="K106" s="511">
        <f ca="1">LOOKUP(C106,'Growth Pattern'!B$15:B$376,'Growth Pattern'!H$15:H$368)</f>
        <v>179.6</v>
      </c>
      <c r="L106" s="512">
        <f t="shared" ca="1" si="5"/>
        <v>-0.96226875759633401</v>
      </c>
      <c r="M106" s="513">
        <f>LN('Growth Pattern'!F119/'Growth Pattern'!D119)/2</f>
        <v>0.11464893659483043</v>
      </c>
      <c r="N106" s="523"/>
      <c r="O106" s="528"/>
    </row>
    <row r="107" spans="1:15" x14ac:dyDescent="0.25">
      <c r="A107" s="527">
        <v>3.3962187697418971</v>
      </c>
      <c r="B107" s="527">
        <v>0.11</v>
      </c>
      <c r="C107" s="527" t="s">
        <v>1859</v>
      </c>
      <c r="D107" s="507">
        <v>0.65553113954918996</v>
      </c>
      <c r="E107" s="508">
        <f t="shared" si="3"/>
        <v>0.10503120914077954</v>
      </c>
      <c r="F107" s="509">
        <f ca="1">LOOKUP(C107,'Growth Pattern'!B$15:B$376,'Growth Pattern'!D$15:D$368)-(LOOKUP(C107,'Growth Pattern'!B$15:B$376,'Growth Pattern'!H$15:H$368)*LOOKUP(C107,'Growth Pattern'!B$15:B$376,'Growth Pattern'!I$15:I$368)/100)</f>
        <v>-0.84824000000000011</v>
      </c>
      <c r="G107" s="509">
        <f ca="1">LOOKUP(C107,'Growth Pattern'!B$15:B$376,'Growth Pattern'!E$15:E$368)-(LOOKUP(C107,'Growth Pattern'!B$15:B$376,'Growth Pattern'!H$15:H$368)*LOOKUP(C107,'Growth Pattern'!B$15:B$376,'Growth Pattern'!I$15:I$368)/100)</f>
        <v>3.4517599999999997</v>
      </c>
      <c r="H107" s="509">
        <f ca="1">LOOKUP(C107,'Growth Pattern'!B$15:B$376,'Growth Pattern'!F$15:F$368)-(LOOKUP(C107,'Growth Pattern'!B$15:B$376,'Growth Pattern'!I$15:I$368)*LOOKUP(C107,'Growth Pattern'!B$15:B$376,'Growth Pattern'!H$15:H$368)/100)</f>
        <v>4.8117599999999996</v>
      </c>
      <c r="I107" s="509">
        <f ca="1">LOOKUP(C107,'Growth Pattern'!B$15:B$376,'Growth Pattern'!G$15:G$368)-(LOOKUP(C107,'Growth Pattern'!B$15:B$376,'Growth Pattern'!H$15:H$368)*LOOKUP(C107,'Growth Pattern'!B$15:B$376,'Growth Pattern'!I$15:I$368)/100)</f>
        <v>4.8117599999999996</v>
      </c>
      <c r="J107" s="510">
        <f t="shared" ca="1" si="4"/>
        <v>148.67779146172154</v>
      </c>
      <c r="K107" s="511">
        <f ca="1">LOOKUP(C107,'Growth Pattern'!B$15:B$376,'Growth Pattern'!H$15:H$368)</f>
        <v>46.1</v>
      </c>
      <c r="L107" s="512">
        <f t="shared" ca="1" si="5"/>
        <v>-0.68993351631895294</v>
      </c>
      <c r="M107" s="513" t="e">
        <f>LN('Growth Pattern'!F120/'Growth Pattern'!D120)/2</f>
        <v>#DIV/0!</v>
      </c>
      <c r="N107" s="523"/>
      <c r="O107" s="528"/>
    </row>
    <row r="108" spans="1:15" x14ac:dyDescent="0.25">
      <c r="A108" s="507">
        <v>1.4088320102350891</v>
      </c>
      <c r="B108" s="507">
        <v>0.3644</v>
      </c>
      <c r="C108" s="507" t="s">
        <v>2321</v>
      </c>
      <c r="D108" s="507">
        <v>0.26963435969514221</v>
      </c>
      <c r="E108" s="508">
        <f t="shared" si="3"/>
        <v>7.1458189293477373E-2</v>
      </c>
      <c r="F108" s="509">
        <f ca="1">LOOKUP(C108,'Growth Pattern'!B$15:B$376,'Growth Pattern'!D$15:D$368)-(LOOKUP(C108,'Growth Pattern'!B$15:B$376,'Growth Pattern'!H$15:H$368)*LOOKUP(C108,'Growth Pattern'!B$15:B$376,'Growth Pattern'!I$15:I$368)/100)</f>
        <v>24.75</v>
      </c>
      <c r="G108" s="509">
        <f ca="1">LOOKUP(C108,'Growth Pattern'!B$15:B$376,'Growth Pattern'!E$15:E$368)-(LOOKUP(C108,'Growth Pattern'!B$15:B$376,'Growth Pattern'!H$15:H$368)*LOOKUP(C108,'Growth Pattern'!B$15:B$376,'Growth Pattern'!I$15:I$368)/100)</f>
        <v>28.99</v>
      </c>
      <c r="H108" s="509">
        <f ca="1">LOOKUP(C108,'Growth Pattern'!B$15:B$376,'Growth Pattern'!F$15:F$368)-(LOOKUP(C108,'Growth Pattern'!B$15:B$376,'Growth Pattern'!I$15:I$368)*LOOKUP(C108,'Growth Pattern'!B$15:B$376,'Growth Pattern'!H$15:H$368)/100)</f>
        <v>33.4</v>
      </c>
      <c r="I108" s="509">
        <f ca="1">LOOKUP(C108,'Growth Pattern'!B$15:B$376,'Growth Pattern'!G$15:G$368)-(LOOKUP(C108,'Growth Pattern'!B$15:B$376,'Growth Pattern'!H$15:H$368)*LOOKUP(C108,'Growth Pattern'!B$15:B$376,'Growth Pattern'!I$15:I$368)/100)</f>
        <v>37.979999999999997</v>
      </c>
      <c r="J108" s="510">
        <f t="shared" ca="1" si="4"/>
        <v>-3533.8587799666466</v>
      </c>
      <c r="K108" s="511">
        <f ca="1">LOOKUP(C108,'Growth Pattern'!B$15:B$376,'Growth Pattern'!H$15:H$368)</f>
        <v>426.2</v>
      </c>
      <c r="L108" s="512">
        <f t="shared" ca="1" si="5"/>
        <v>-1.1206047062254203</v>
      </c>
      <c r="M108" s="513">
        <f>LN('Growth Pattern'!F121/'Growth Pattern'!D121)/2</f>
        <v>0.14986520548397772</v>
      </c>
      <c r="N108" s="523"/>
      <c r="O108" s="528"/>
    </row>
    <row r="109" spans="1:15" x14ac:dyDescent="0.25">
      <c r="A109" s="516">
        <v>2.8451129307665122</v>
      </c>
      <c r="B109" s="516">
        <v>0.14000000000000001</v>
      </c>
      <c r="C109" s="516" t="s">
        <v>1862</v>
      </c>
      <c r="D109" s="507">
        <v>0.91100040841042118</v>
      </c>
      <c r="E109" s="508">
        <f t="shared" si="3"/>
        <v>0.12725703553170664</v>
      </c>
      <c r="F109" s="509">
        <f ca="1">LOOKUP(C109,'Growth Pattern'!B$15:B$376,'Growth Pattern'!D$15:D$368)-(LOOKUP(C109,'Growth Pattern'!B$15:B$376,'Growth Pattern'!H$15:H$368)*LOOKUP(C109,'Growth Pattern'!B$15:B$376,'Growth Pattern'!I$15:I$368)/100)</f>
        <v>11.91</v>
      </c>
      <c r="G109" s="509">
        <f ca="1">LOOKUP(C109,'Growth Pattern'!B$15:B$376,'Growth Pattern'!E$15:E$368)-(LOOKUP(C109,'Growth Pattern'!B$15:B$376,'Growth Pattern'!H$15:H$368)*LOOKUP(C109,'Growth Pattern'!B$15:B$376,'Growth Pattern'!I$15:I$368)/100)</f>
        <v>10.1</v>
      </c>
      <c r="H109" s="509">
        <f ca="1">LOOKUP(C109,'Growth Pattern'!B$15:B$376,'Growth Pattern'!F$15:F$368)-(LOOKUP(C109,'Growth Pattern'!B$15:B$376,'Growth Pattern'!I$15:I$368)*LOOKUP(C109,'Growth Pattern'!B$15:B$376,'Growth Pattern'!H$15:H$368)/100)</f>
        <v>10</v>
      </c>
      <c r="I109" s="509">
        <f ca="1">LOOKUP(C109,'Growth Pattern'!B$15:B$376,'Growth Pattern'!G$15:G$368)-(LOOKUP(C109,'Growth Pattern'!B$15:B$376,'Growth Pattern'!H$15:H$368)*LOOKUP(C109,'Growth Pattern'!B$15:B$376,'Growth Pattern'!I$15:I$368)/100)</f>
        <v>11.610000000000005</v>
      </c>
      <c r="J109" s="510">
        <f t="shared" ca="1" si="4"/>
        <v>200.25236418340154</v>
      </c>
      <c r="K109" s="511">
        <f ca="1">LOOKUP(C109,'Growth Pattern'!B$15:B$376,'Growth Pattern'!H$15:H$368)</f>
        <v>103.75</v>
      </c>
      <c r="L109" s="512">
        <f t="shared" ca="1" si="5"/>
        <v>-0.481903744691971</v>
      </c>
      <c r="M109" s="513">
        <f>LN('Growth Pattern'!F122/'Growth Pattern'!D122)/2</f>
        <v>-8.7396645186581523E-2</v>
      </c>
      <c r="N109" s="523"/>
      <c r="O109" s="528"/>
    </row>
    <row r="110" spans="1:15" x14ac:dyDescent="0.25">
      <c r="A110" s="527">
        <v>2.035664249603006</v>
      </c>
      <c r="B110" s="527">
        <v>0.5</v>
      </c>
      <c r="C110" s="527" t="s">
        <v>2937</v>
      </c>
      <c r="D110" s="507">
        <v>0.44997830648511017</v>
      </c>
      <c r="E110" s="508">
        <f t="shared" si="3"/>
        <v>8.714811266420458E-2</v>
      </c>
      <c r="F110" s="509">
        <f ca="1">LOOKUP(C110,'Growth Pattern'!B$15:B$376,'Growth Pattern'!D$15:D$368)-(LOOKUP(C110,'Growth Pattern'!B$15:B$376,'Growth Pattern'!H$15:H$368)*LOOKUP(C110,'Growth Pattern'!B$15:B$376,'Growth Pattern'!I$15:I$368)/100)</f>
        <v>7.34</v>
      </c>
      <c r="G110" s="509">
        <f ca="1">LOOKUP(C110,'Growth Pattern'!B$15:B$376,'Growth Pattern'!E$15:E$368)-(LOOKUP(C110,'Growth Pattern'!B$15:B$376,'Growth Pattern'!H$15:H$368)*LOOKUP(C110,'Growth Pattern'!B$15:B$376,'Growth Pattern'!I$15:I$368)/100)</f>
        <v>8.0500000000000007</v>
      </c>
      <c r="H110" s="509">
        <f ca="1">LOOKUP(C110,'Growth Pattern'!B$15:B$376,'Growth Pattern'!F$15:F$368)-(LOOKUP(C110,'Growth Pattern'!B$15:B$376,'Growth Pattern'!I$15:I$368)*LOOKUP(C110,'Growth Pattern'!B$15:B$376,'Growth Pattern'!H$15:H$368)/100)</f>
        <v>9.6</v>
      </c>
      <c r="I110" s="509">
        <f ca="1">LOOKUP(C110,'Growth Pattern'!B$15:B$376,'Growth Pattern'!G$15:G$368)-(LOOKUP(C110,'Growth Pattern'!B$15:B$376,'Growth Pattern'!H$15:H$368)*LOOKUP(C110,'Growth Pattern'!B$15:B$376,'Growth Pattern'!I$15:I$368)/100)</f>
        <v>11.989999999999998</v>
      </c>
      <c r="J110" s="510">
        <f t="shared" ca="1" si="4"/>
        <v>1328.3214879220425</v>
      </c>
      <c r="K110" s="511">
        <f ca="1">LOOKUP(C110,'Growth Pattern'!B$15:B$376,'Growth Pattern'!H$15:H$368)</f>
        <v>114.35</v>
      </c>
      <c r="L110" s="512">
        <f t="shared" ca="1" si="5"/>
        <v>-0.91391391237758024</v>
      </c>
      <c r="M110" s="513">
        <f>LN('Growth Pattern'!F123/'Growth Pattern'!D123)/2</f>
        <v>0.13421212792368317</v>
      </c>
      <c r="N110" s="523"/>
      <c r="O110" s="528"/>
    </row>
    <row r="111" spans="1:15" x14ac:dyDescent="0.25">
      <c r="A111" s="527">
        <v>2.4837191721937351</v>
      </c>
      <c r="B111" s="527"/>
      <c r="C111" s="527" t="s">
        <v>1864</v>
      </c>
      <c r="D111" s="507">
        <v>0.48695020277635193</v>
      </c>
      <c r="E111" s="508">
        <f t="shared" si="3"/>
        <v>9.036466764154262E-2</v>
      </c>
      <c r="F111" s="509">
        <f ca="1">LOOKUP(C111,'Growth Pattern'!B$15:B$376,'Growth Pattern'!D$15:D$368)-(LOOKUP(C111,'Growth Pattern'!B$15:B$376,'Growth Pattern'!H$15:H$368)*LOOKUP(C111,'Growth Pattern'!B$15:B$376,'Growth Pattern'!I$15:I$368)/100)</f>
        <v>6.2322799999999994</v>
      </c>
      <c r="G111" s="509">
        <f ca="1">LOOKUP(C111,'Growth Pattern'!B$15:B$376,'Growth Pattern'!E$15:E$368)-(LOOKUP(C111,'Growth Pattern'!B$15:B$376,'Growth Pattern'!H$15:H$368)*LOOKUP(C111,'Growth Pattern'!B$15:B$376,'Growth Pattern'!I$15:I$368)/100)</f>
        <v>5.45228</v>
      </c>
      <c r="H111" s="509">
        <f ca="1">LOOKUP(C111,'Growth Pattern'!B$15:B$376,'Growth Pattern'!F$15:F$368)-(LOOKUP(C111,'Growth Pattern'!B$15:B$376,'Growth Pattern'!I$15:I$368)*LOOKUP(C111,'Growth Pattern'!B$15:B$376,'Growth Pattern'!H$15:H$368)/100)</f>
        <v>8.5822800000000008</v>
      </c>
      <c r="I111" s="509">
        <f ca="1">LOOKUP(C111,'Growth Pattern'!B$15:B$376,'Growth Pattern'!G$15:G$368)-(LOOKUP(C111,'Growth Pattern'!B$15:B$376,'Growth Pattern'!H$15:H$368)*LOOKUP(C111,'Growth Pattern'!B$15:B$376,'Growth Pattern'!I$15:I$368)/100)</f>
        <v>15.622280000000002</v>
      </c>
      <c r="J111" s="510">
        <f t="shared" ca="1" si="4"/>
        <v>1181.1676100684651</v>
      </c>
      <c r="K111" s="511">
        <f ca="1">LOOKUP(C111,'Growth Pattern'!B$15:B$376,'Growth Pattern'!H$15:H$368)</f>
        <v>253.2</v>
      </c>
      <c r="L111" s="512">
        <f t="shared" ca="1" si="5"/>
        <v>-0.78563584216017945</v>
      </c>
      <c r="M111" s="513">
        <f>LN('Growth Pattern'!F124/'Growth Pattern'!D124)/2</f>
        <v>0.12834817488953626</v>
      </c>
      <c r="N111" s="523"/>
      <c r="O111" s="528"/>
    </row>
    <row r="112" spans="1:15" x14ac:dyDescent="0.25">
      <c r="A112" s="527">
        <v>0.24651240482372869</v>
      </c>
      <c r="B112" s="527">
        <v>0.25</v>
      </c>
      <c r="C112" s="527" t="s">
        <v>2938</v>
      </c>
      <c r="D112" s="507">
        <v>0.97048161450973425</v>
      </c>
      <c r="E112" s="508">
        <f t="shared" si="3"/>
        <v>0.13243190046234687</v>
      </c>
      <c r="F112" s="509">
        <f ca="1">LOOKUP(C112,'Growth Pattern'!B$15:B$376,'Growth Pattern'!D$15:D$368)-(LOOKUP(C112,'Growth Pattern'!B$15:B$376,'Growth Pattern'!H$15:H$368)*LOOKUP(C112,'Growth Pattern'!B$15:B$376,'Growth Pattern'!I$15:I$368)/100)</f>
        <v>0</v>
      </c>
      <c r="G112" s="509">
        <f ca="1">LOOKUP(C112,'Growth Pattern'!B$15:B$376,'Growth Pattern'!E$15:E$368)-(LOOKUP(C112,'Growth Pattern'!B$15:B$376,'Growth Pattern'!H$15:H$368)*LOOKUP(C112,'Growth Pattern'!B$15:B$376,'Growth Pattern'!I$15:I$368)/100)</f>
        <v>3.55</v>
      </c>
      <c r="H112" s="509">
        <f ca="1">LOOKUP(C112,'Growth Pattern'!B$15:B$376,'Growth Pattern'!F$15:F$368)-(LOOKUP(C112,'Growth Pattern'!B$15:B$376,'Growth Pattern'!I$15:I$368)*LOOKUP(C112,'Growth Pattern'!B$15:B$376,'Growth Pattern'!H$15:H$368)/100)</f>
        <v>4.25</v>
      </c>
      <c r="I112" s="509">
        <f ca="1">LOOKUP(C112,'Growth Pattern'!B$15:B$376,'Growth Pattern'!G$15:G$368)-(LOOKUP(C112,'Growth Pattern'!B$15:B$376,'Growth Pattern'!H$15:H$368)*LOOKUP(C112,'Growth Pattern'!B$15:B$376,'Growth Pattern'!I$15:I$368)/100)</f>
        <v>4.25</v>
      </c>
      <c r="J112" s="510">
        <f t="shared" ca="1" si="4"/>
        <v>62.264725837002935</v>
      </c>
      <c r="K112" s="511">
        <f ca="1">LOOKUP(C112,'Growth Pattern'!B$15:B$376,'Growth Pattern'!H$15:H$368)</f>
        <v>14.5</v>
      </c>
      <c r="L112" s="512">
        <f t="shared" ca="1" si="5"/>
        <v>-0.76712336230375111</v>
      </c>
      <c r="M112" s="513" t="e">
        <f>LN('Growth Pattern'!F125/'Growth Pattern'!D125)/2</f>
        <v>#DIV/0!</v>
      </c>
      <c r="N112" s="523"/>
      <c r="O112" s="528"/>
    </row>
    <row r="113" spans="1:15" x14ac:dyDescent="0.25">
      <c r="A113" s="507">
        <v>3.1214562874123839</v>
      </c>
      <c r="B113" s="507">
        <v>0.09</v>
      </c>
      <c r="C113" s="507" t="s">
        <v>1865</v>
      </c>
      <c r="D113" s="507">
        <v>0.58105724181957596</v>
      </c>
      <c r="E113" s="508">
        <f t="shared" si="3"/>
        <v>9.8551980038303122E-2</v>
      </c>
      <c r="F113" s="509">
        <f ca="1">LOOKUP(C113,'Growth Pattern'!B$15:B$376,'Growth Pattern'!D$15:D$368)-(LOOKUP(C113,'Growth Pattern'!B$15:B$376,'Growth Pattern'!H$15:H$368)*LOOKUP(C113,'Growth Pattern'!B$15:B$376,'Growth Pattern'!I$15:I$368)/100)</f>
        <v>7.55</v>
      </c>
      <c r="G113" s="509">
        <f ca="1">LOOKUP(C113,'Growth Pattern'!B$15:B$376,'Growth Pattern'!E$15:E$368)-(LOOKUP(C113,'Growth Pattern'!B$15:B$376,'Growth Pattern'!H$15:H$368)*LOOKUP(C113,'Growth Pattern'!B$15:B$376,'Growth Pattern'!I$15:I$368)/100)</f>
        <v>8.9499999999999993</v>
      </c>
      <c r="H113" s="509">
        <f ca="1">LOOKUP(C113,'Growth Pattern'!B$15:B$376,'Growth Pattern'!F$15:F$368)-(LOOKUP(C113,'Growth Pattern'!B$15:B$376,'Growth Pattern'!I$15:I$368)*LOOKUP(C113,'Growth Pattern'!B$15:B$376,'Growth Pattern'!H$15:H$368)/100)</f>
        <v>9.1999999999999993</v>
      </c>
      <c r="I113" s="509">
        <f ca="1">LOOKUP(C113,'Growth Pattern'!B$15:B$376,'Growth Pattern'!G$15:G$368)-(LOOKUP(C113,'Growth Pattern'!B$15:B$376,'Growth Pattern'!H$15:H$368)*LOOKUP(C113,'Growth Pattern'!B$15:B$376,'Growth Pattern'!I$15:I$368)/100)</f>
        <v>9.1999999999999993</v>
      </c>
      <c r="J113" s="510">
        <f t="shared" ca="1" si="4"/>
        <v>397.37567626824307</v>
      </c>
      <c r="K113" s="511">
        <f ca="1">LOOKUP(C113,'Growth Pattern'!B$15:B$376,'Growth Pattern'!H$15:H$368)</f>
        <v>58.45</v>
      </c>
      <c r="L113" s="512">
        <f t="shared" ca="1" si="5"/>
        <v>-0.8529099703612858</v>
      </c>
      <c r="M113" s="513">
        <f>LN('Growth Pattern'!F126/'Growth Pattern'!D126)/2</f>
        <v>9.8827960397030651E-2</v>
      </c>
      <c r="N113" s="523"/>
      <c r="O113" s="528"/>
    </row>
    <row r="114" spans="1:15" x14ac:dyDescent="0.25">
      <c r="A114" s="516">
        <v>2.3843185498337052</v>
      </c>
      <c r="B114" s="516"/>
      <c r="C114" s="516" t="s">
        <v>2939</v>
      </c>
      <c r="D114" s="507">
        <v>0.51167641373610351</v>
      </c>
      <c r="E114" s="508">
        <f t="shared" si="3"/>
        <v>9.2515847995041006E-2</v>
      </c>
      <c r="F114" s="509">
        <f ca="1">LOOKUP(C114,'Growth Pattern'!B$15:B$376,'Growth Pattern'!D$15:D$368)-(LOOKUP(C114,'Growth Pattern'!B$15:B$376,'Growth Pattern'!H$15:H$368)*LOOKUP(C114,'Growth Pattern'!B$15:B$376,'Growth Pattern'!I$15:I$368)/100)</f>
        <v>20</v>
      </c>
      <c r="G114" s="509">
        <f ca="1">LOOKUP(C114,'Growth Pattern'!B$15:B$376,'Growth Pattern'!E$15:E$368)-(LOOKUP(C114,'Growth Pattern'!B$15:B$376,'Growth Pattern'!H$15:H$368)*LOOKUP(C114,'Growth Pattern'!B$15:B$376,'Growth Pattern'!I$15:I$368)/100)</f>
        <v>25.1</v>
      </c>
      <c r="H114" s="509">
        <f ca="1">LOOKUP(C114,'Growth Pattern'!B$15:B$376,'Growth Pattern'!F$15:F$368)-(LOOKUP(C114,'Growth Pattern'!B$15:B$376,'Growth Pattern'!I$15:I$368)*LOOKUP(C114,'Growth Pattern'!B$15:B$376,'Growth Pattern'!H$15:H$368)/100)</f>
        <v>31.5</v>
      </c>
      <c r="I114" s="509">
        <f ca="1">LOOKUP(C114,'Growth Pattern'!B$15:B$376,'Growth Pattern'!G$15:G$368)-(LOOKUP(C114,'Growth Pattern'!B$15:B$376,'Growth Pattern'!H$15:H$368)*LOOKUP(C114,'Growth Pattern'!B$15:B$376,'Growth Pattern'!I$15:I$368)/100)</f>
        <v>39.199999999999996</v>
      </c>
      <c r="J114" s="510">
        <f t="shared" ca="1" si="4"/>
        <v>2471.1970253381005</v>
      </c>
      <c r="K114" s="511">
        <f ca="1">LOOKUP(C114,'Growth Pattern'!B$15:B$376,'Growth Pattern'!H$15:H$368)</f>
        <v>363</v>
      </c>
      <c r="L114" s="512">
        <f t="shared" ca="1" si="5"/>
        <v>-0.85310762505861482</v>
      </c>
      <c r="M114" s="513">
        <f>LN('Growth Pattern'!F127/'Growth Pattern'!D127)/2</f>
        <v>0.22712763613879819</v>
      </c>
      <c r="N114" s="523"/>
      <c r="O114" s="528"/>
    </row>
    <row r="115" spans="1:15" x14ac:dyDescent="0.25">
      <c r="A115" s="516">
        <v>1.8559116926806811</v>
      </c>
      <c r="B115" s="516">
        <v>0.57999999999999996</v>
      </c>
      <c r="C115" s="516" t="s">
        <v>1376</v>
      </c>
      <c r="D115" s="507">
        <v>0.48610473959550149</v>
      </c>
      <c r="E115" s="508">
        <f t="shared" si="3"/>
        <v>9.0291112344808633E-2</v>
      </c>
      <c r="F115" s="509">
        <f ca="1">LOOKUP(C115,'Growth Pattern'!B$15:B$376,'Growth Pattern'!D$15:D$368)-(LOOKUP(C115,'Growth Pattern'!B$15:B$376,'Growth Pattern'!H$15:H$368)*LOOKUP(C115,'Growth Pattern'!B$15:B$376,'Growth Pattern'!I$15:I$368)/100)</f>
        <v>33.6</v>
      </c>
      <c r="G115" s="509">
        <f ca="1">LOOKUP(C115,'Growth Pattern'!B$15:B$376,'Growth Pattern'!E$15:E$368)-(LOOKUP(C115,'Growth Pattern'!B$15:B$376,'Growth Pattern'!H$15:H$368)*LOOKUP(C115,'Growth Pattern'!B$15:B$376,'Growth Pattern'!I$15:I$368)/100)</f>
        <v>36.700000000000003</v>
      </c>
      <c r="H115" s="509">
        <f ca="1">LOOKUP(C115,'Growth Pattern'!B$15:B$376,'Growth Pattern'!F$15:F$368)-(LOOKUP(C115,'Growth Pattern'!B$15:B$376,'Growth Pattern'!I$15:I$368)*LOOKUP(C115,'Growth Pattern'!B$15:B$376,'Growth Pattern'!H$15:H$368)/100)</f>
        <v>44.1</v>
      </c>
      <c r="I115" s="509">
        <f ca="1">LOOKUP(C115,'Growth Pattern'!B$15:B$376,'Growth Pattern'!G$15:G$368)-(LOOKUP(C115,'Growth Pattern'!B$15:B$376,'Growth Pattern'!H$15:H$368)*LOOKUP(C115,'Growth Pattern'!B$15:B$376,'Growth Pattern'!I$15:I$368)/100)</f>
        <v>55.8</v>
      </c>
      <c r="J115" s="510">
        <f t="shared" ca="1" si="4"/>
        <v>4287.9041885599463</v>
      </c>
      <c r="K115" s="511">
        <f ca="1">LOOKUP(C115,'Growth Pattern'!B$15:B$376,'Growth Pattern'!H$15:H$368)</f>
        <v>281.39999999999998</v>
      </c>
      <c r="L115" s="512">
        <f t="shared" ca="1" si="5"/>
        <v>-0.93437353363660258</v>
      </c>
      <c r="M115" s="513">
        <f>LN('Growth Pattern'!F128/'Growth Pattern'!D128)/2</f>
        <v>0.13596685774182088</v>
      </c>
      <c r="N115" s="523"/>
      <c r="O115" s="528"/>
    </row>
    <row r="116" spans="1:15" x14ac:dyDescent="0.25">
      <c r="A116" s="527">
        <v>1.5229616188171138</v>
      </c>
      <c r="B116" s="527">
        <v>0.26</v>
      </c>
      <c r="C116" s="527" t="s">
        <v>4092</v>
      </c>
      <c r="D116" s="507">
        <v>0.18624799234317943</v>
      </c>
      <c r="E116" s="508">
        <f t="shared" si="3"/>
        <v>6.4203575333856608E-2</v>
      </c>
      <c r="F116" s="509">
        <f ca="1">LOOKUP(C116,'Growth Pattern'!B$15:B$376,'Growth Pattern'!D$15:D$368)-(LOOKUP(C116,'Growth Pattern'!B$15:B$376,'Growth Pattern'!H$15:H$368)*LOOKUP(C116,'Growth Pattern'!B$15:B$376,'Growth Pattern'!I$15:I$368)/100)</f>
        <v>26.695439999999998</v>
      </c>
      <c r="G116" s="509">
        <f ca="1">LOOKUP(C116,'Growth Pattern'!B$15:B$376,'Growth Pattern'!E$15:E$368)-(LOOKUP(C116,'Growth Pattern'!B$15:B$376,'Growth Pattern'!H$15:H$368)*LOOKUP(C116,'Growth Pattern'!B$15:B$376,'Growth Pattern'!I$15:I$368)/100)</f>
        <v>39.095440000000004</v>
      </c>
      <c r="H116" s="509">
        <f ca="1">LOOKUP(C116,'Growth Pattern'!B$15:B$376,'Growth Pattern'!F$15:F$368)-(LOOKUP(C116,'Growth Pattern'!B$15:B$376,'Growth Pattern'!I$15:I$368)*LOOKUP(C116,'Growth Pattern'!B$15:B$376,'Growth Pattern'!H$15:H$368)/100)</f>
        <v>48.975439999999999</v>
      </c>
      <c r="I116" s="509">
        <f ca="1">LOOKUP(C116,'Growth Pattern'!B$15:B$376,'Growth Pattern'!G$15:G$368)-(LOOKUP(C116,'Growth Pattern'!B$15:B$376,'Growth Pattern'!H$15:H$368)*LOOKUP(C116,'Growth Pattern'!B$15:B$376,'Growth Pattern'!I$15:I$368)/100)</f>
        <v>48.975439999999999</v>
      </c>
      <c r="J116" s="510">
        <f t="shared" ca="1" si="4"/>
        <v>-2465.7643426785512</v>
      </c>
      <c r="K116" s="511">
        <f ca="1">LOOKUP(C116,'Growth Pattern'!B$15:B$376,'Growth Pattern'!H$15:H$368)</f>
        <v>2333.6</v>
      </c>
      <c r="L116" s="512">
        <f t="shared" ca="1" si="5"/>
        <v>-1.9464002539127556</v>
      </c>
      <c r="M116" s="513">
        <f>LN('Growth Pattern'!F129/'Growth Pattern'!D129)/2</f>
        <v>0.14429128389251555</v>
      </c>
      <c r="N116" s="523"/>
      <c r="O116" s="528"/>
    </row>
    <row r="117" spans="1:15" x14ac:dyDescent="0.25">
      <c r="A117" s="537">
        <v>2.0151094685069033</v>
      </c>
      <c r="B117" s="537">
        <v>0.06</v>
      </c>
      <c r="C117" s="537" t="s">
        <v>4087</v>
      </c>
      <c r="D117" s="507">
        <v>0.842455398229224</v>
      </c>
      <c r="E117" s="508">
        <f t="shared" si="3"/>
        <v>0.1212936196459425</v>
      </c>
      <c r="F117" s="509">
        <f ca="1">LOOKUP(C117,'Growth Pattern'!B$15:B$376,'Growth Pattern'!D$15:D$368)-(LOOKUP(C117,'Growth Pattern'!B$15:B$376,'Growth Pattern'!H$15:H$368)*LOOKUP(C117,'Growth Pattern'!B$15:B$376,'Growth Pattern'!I$15:I$368)/100)</f>
        <v>12.42</v>
      </c>
      <c r="G117" s="509">
        <f ca="1">LOOKUP(C117,'Growth Pattern'!B$15:B$376,'Growth Pattern'!E$15:E$368)-(LOOKUP(C117,'Growth Pattern'!B$15:B$376,'Growth Pattern'!H$15:H$368)*LOOKUP(C117,'Growth Pattern'!B$15:B$376,'Growth Pattern'!I$15:I$368)/100)</f>
        <v>17.7</v>
      </c>
      <c r="H117" s="509">
        <f ca="1">LOOKUP(C117,'Growth Pattern'!B$15:B$376,'Growth Pattern'!F$15:F$368)-(LOOKUP(C117,'Growth Pattern'!B$15:B$376,'Growth Pattern'!I$15:I$368)*LOOKUP(C117,'Growth Pattern'!B$15:B$376,'Growth Pattern'!H$15:H$368)/100)</f>
        <v>19.5</v>
      </c>
      <c r="I117" s="509">
        <f ca="1">LOOKUP(C117,'Growth Pattern'!B$15:B$376,'Growth Pattern'!G$15:G$368)-(LOOKUP(C117,'Growth Pattern'!B$15:B$376,'Growth Pattern'!H$15:H$368)*LOOKUP(C117,'Growth Pattern'!B$15:B$376,'Growth Pattern'!I$15:I$368)/100)</f>
        <v>19.5</v>
      </c>
      <c r="J117" s="510">
        <f t="shared" ca="1" si="4"/>
        <v>378.6752787411055</v>
      </c>
      <c r="K117" s="511">
        <f ca="1">LOOKUP(C117,'Growth Pattern'!B$15:B$376,'Growth Pattern'!H$15:H$368)</f>
        <v>291.39999999999998</v>
      </c>
      <c r="L117" s="512">
        <f t="shared" ca="1" si="5"/>
        <v>-0.23047524789906948</v>
      </c>
      <c r="M117" s="513">
        <f>LN('Growth Pattern'!F130/'Growth Pattern'!D130)/2</f>
        <v>0.22555319453218423</v>
      </c>
      <c r="N117" s="523"/>
      <c r="O117" s="528"/>
    </row>
    <row r="118" spans="1:15" x14ac:dyDescent="0.25">
      <c r="A118" s="516">
        <v>2.7268312030389459</v>
      </c>
      <c r="B118" s="516"/>
      <c r="C118" s="516" t="s">
        <v>2914</v>
      </c>
      <c r="D118" s="507">
        <v>0.37925078414042079</v>
      </c>
      <c r="E118" s="508">
        <f t="shared" si="3"/>
        <v>8.0994818220216619E-2</v>
      </c>
      <c r="F118" s="509">
        <f ca="1">LOOKUP(C118,'Growth Pattern'!B$15:B$376,'Growth Pattern'!D$15:D$368)-(LOOKUP(C118,'Growth Pattern'!B$15:B$376,'Growth Pattern'!H$15:H$368)*LOOKUP(C118,'Growth Pattern'!B$15:B$376,'Growth Pattern'!I$15:I$368)/100)</f>
        <v>11.33</v>
      </c>
      <c r="G118" s="509">
        <f ca="1">LOOKUP(C118,'Growth Pattern'!B$15:B$376,'Growth Pattern'!E$15:E$368)-(LOOKUP(C118,'Growth Pattern'!B$15:B$376,'Growth Pattern'!H$15:H$368)*LOOKUP(C118,'Growth Pattern'!B$15:B$376,'Growth Pattern'!I$15:I$368)/100)</f>
        <v>14.6</v>
      </c>
      <c r="H118" s="509">
        <f ca="1">LOOKUP(C118,'Growth Pattern'!B$15:B$376,'Growth Pattern'!F$15:F$368)-(LOOKUP(C118,'Growth Pattern'!B$15:B$376,'Growth Pattern'!I$15:I$368)*LOOKUP(C118,'Growth Pattern'!B$15:B$376,'Growth Pattern'!H$15:H$368)/100)</f>
        <v>17.600000000000001</v>
      </c>
      <c r="I118" s="509">
        <f ca="1">LOOKUP(C118,'Growth Pattern'!B$15:B$376,'Growth Pattern'!G$15:G$368)-(LOOKUP(C118,'Growth Pattern'!B$15:B$376,'Growth Pattern'!H$15:H$368)*LOOKUP(C118,'Growth Pattern'!B$15:B$376,'Growth Pattern'!I$15:I$368)/100)</f>
        <v>20.330000000000005</v>
      </c>
      <c r="J118" s="510">
        <f t="shared" ca="1" si="4"/>
        <v>16217.82224377712</v>
      </c>
      <c r="K118" s="511">
        <f ca="1">LOOKUP(C118,'Growth Pattern'!B$15:B$376,'Growth Pattern'!H$15:H$368)</f>
        <v>385.75</v>
      </c>
      <c r="L118" s="512">
        <f t="shared" ca="1" si="5"/>
        <v>-0.97621443901643368</v>
      </c>
      <c r="M118" s="513">
        <f>LN('Growth Pattern'!F131/'Growth Pattern'!D131)/2</f>
        <v>0.22022241350209565</v>
      </c>
      <c r="N118" s="523"/>
      <c r="O118" s="528"/>
    </row>
    <row r="119" spans="1:15" x14ac:dyDescent="0.25">
      <c r="A119" s="506">
        <v>2.1533419465217674</v>
      </c>
      <c r="B119" s="506"/>
      <c r="C119" s="506" t="s">
        <v>2916</v>
      </c>
      <c r="D119" s="507">
        <v>0.40973257346199066</v>
      </c>
      <c r="E119" s="508">
        <f t="shared" si="3"/>
        <v>8.364673389119319E-2</v>
      </c>
      <c r="F119" s="509">
        <f ca="1">LOOKUP(C119,'Growth Pattern'!B$15:B$376,'Growth Pattern'!D$15:D$368)-(LOOKUP(C119,'Growth Pattern'!B$15:B$376,'Growth Pattern'!H$15:H$368)*LOOKUP(C119,'Growth Pattern'!B$15:B$376,'Growth Pattern'!I$15:I$368)/100)</f>
        <v>0</v>
      </c>
      <c r="G119" s="509">
        <f ca="1">LOOKUP(C119,'Growth Pattern'!B$15:B$376,'Growth Pattern'!E$15:E$368)-(LOOKUP(C119,'Growth Pattern'!B$15:B$376,'Growth Pattern'!H$15:H$368)*LOOKUP(C119,'Growth Pattern'!B$15:B$376,'Growth Pattern'!I$15:I$368)/100)</f>
        <v>0</v>
      </c>
      <c r="H119" s="509">
        <f ca="1">LOOKUP(C119,'Growth Pattern'!B$15:B$376,'Growth Pattern'!F$15:F$368)-(LOOKUP(C119,'Growth Pattern'!B$15:B$376,'Growth Pattern'!I$15:I$368)*LOOKUP(C119,'Growth Pattern'!B$15:B$376,'Growth Pattern'!H$15:H$368)/100)</f>
        <v>0</v>
      </c>
      <c r="I119" s="509">
        <f ca="1">LOOKUP(C119,'Growth Pattern'!B$15:B$376,'Growth Pattern'!G$15:G$368)-(LOOKUP(C119,'Growth Pattern'!B$15:B$376,'Growth Pattern'!H$15:H$368)*LOOKUP(C119,'Growth Pattern'!B$15:B$376,'Growth Pattern'!I$15:I$368)/100)</f>
        <v>0</v>
      </c>
      <c r="J119" s="510">
        <f t="shared" ca="1" si="4"/>
        <v>0</v>
      </c>
      <c r="K119" s="511">
        <f ca="1">LOOKUP(C119,'Growth Pattern'!B$15:B$376,'Growth Pattern'!H$15:H$368)</f>
        <v>265.8</v>
      </c>
      <c r="L119" s="512" t="e">
        <f t="shared" ca="1" si="5"/>
        <v>#DIV/0!</v>
      </c>
      <c r="M119" s="513" t="e">
        <f>LN('Growth Pattern'!F132/'Growth Pattern'!D132)/2</f>
        <v>#DIV/0!</v>
      </c>
      <c r="N119" s="523"/>
      <c r="O119" s="528"/>
    </row>
    <row r="120" spans="1:15" x14ac:dyDescent="0.25">
      <c r="A120" s="507">
        <v>2.2870833935434174</v>
      </c>
      <c r="B120" s="507">
        <v>0.01</v>
      </c>
      <c r="C120" s="507" t="s">
        <v>2940</v>
      </c>
      <c r="D120" s="507">
        <v>1.3304991069227996</v>
      </c>
      <c r="E120" s="508">
        <f t="shared" si="3"/>
        <v>0.16375342230228357</v>
      </c>
      <c r="F120" s="509">
        <f ca="1">LOOKUP(C120,'Growth Pattern'!B$15:B$376,'Growth Pattern'!D$15:D$368)-(LOOKUP(C120,'Growth Pattern'!B$15:B$376,'Growth Pattern'!H$15:H$368)*LOOKUP(C120,'Growth Pattern'!B$15:B$376,'Growth Pattern'!I$15:I$368)/100)</f>
        <v>20.659700000000001</v>
      </c>
      <c r="G120" s="509">
        <f ca="1">LOOKUP(C120,'Growth Pattern'!B$15:B$376,'Growth Pattern'!E$15:E$368)-(LOOKUP(C120,'Growth Pattern'!B$15:B$376,'Growth Pattern'!H$15:H$368)*LOOKUP(C120,'Growth Pattern'!B$15:B$376,'Growth Pattern'!I$15:I$368)/100)</f>
        <v>24.149700000000003</v>
      </c>
      <c r="H120" s="509">
        <f ca="1">LOOKUP(C120,'Growth Pattern'!B$15:B$376,'Growth Pattern'!F$15:F$368)-(LOOKUP(C120,'Growth Pattern'!B$15:B$376,'Growth Pattern'!I$15:I$368)*LOOKUP(C120,'Growth Pattern'!B$15:B$376,'Growth Pattern'!H$15:H$368)/100)</f>
        <v>32.149700000000003</v>
      </c>
      <c r="I120" s="509">
        <f ca="1">LOOKUP(C120,'Growth Pattern'!B$15:B$376,'Growth Pattern'!G$15:G$368)-(LOOKUP(C120,'Growth Pattern'!B$15:B$376,'Growth Pattern'!H$15:H$368)*LOOKUP(C120,'Growth Pattern'!B$15:B$376,'Growth Pattern'!I$15:I$368)/100)</f>
        <v>44.659700000000008</v>
      </c>
      <c r="J120" s="510">
        <f t="shared" ca="1" si="4"/>
        <v>403.47192164178603</v>
      </c>
      <c r="K120" s="511">
        <f ca="1">LOOKUP(C120,'Growth Pattern'!B$15:B$376,'Growth Pattern'!H$15:H$368)</f>
        <v>859</v>
      </c>
      <c r="L120" s="512">
        <f t="shared" ca="1" si="5"/>
        <v>1.1290205189610316</v>
      </c>
      <c r="M120" s="513">
        <f>LN('Growth Pattern'!F133/'Growth Pattern'!D133)/2</f>
        <v>0.15891594329461756</v>
      </c>
      <c r="N120" s="523"/>
      <c r="O120" s="528"/>
    </row>
    <row r="121" spans="1:15" x14ac:dyDescent="0.25">
      <c r="A121" s="516">
        <v>3.9382837805146629</v>
      </c>
      <c r="B121" s="516">
        <v>0.02</v>
      </c>
      <c r="C121" s="516" t="s">
        <v>2941</v>
      </c>
      <c r="D121" s="507">
        <v>1.2646522684802941</v>
      </c>
      <c r="E121" s="508">
        <f t="shared" si="3"/>
        <v>0.1580247473577856</v>
      </c>
      <c r="F121" s="509">
        <f ca="1">LOOKUP(C121,'Growth Pattern'!B$15:B$376,'Growth Pattern'!D$15:D$368)-(LOOKUP(C121,'Growth Pattern'!B$15:B$376,'Growth Pattern'!H$15:H$368)*LOOKUP(C121,'Growth Pattern'!B$15:B$376,'Growth Pattern'!I$15:I$368)/100)</f>
        <v>0</v>
      </c>
      <c r="G121" s="509">
        <f ca="1">LOOKUP(C121,'Growth Pattern'!B$15:B$376,'Growth Pattern'!E$15:E$368)-(LOOKUP(C121,'Growth Pattern'!B$15:B$376,'Growth Pattern'!H$15:H$368)*LOOKUP(C121,'Growth Pattern'!B$15:B$376,'Growth Pattern'!I$15:I$368)/100)</f>
        <v>0</v>
      </c>
      <c r="H121" s="509">
        <f ca="1">LOOKUP(C121,'Growth Pattern'!B$15:B$376,'Growth Pattern'!F$15:F$368)-(LOOKUP(C121,'Growth Pattern'!B$15:B$376,'Growth Pattern'!I$15:I$368)*LOOKUP(C121,'Growth Pattern'!B$15:B$376,'Growth Pattern'!H$15:H$368)/100)</f>
        <v>0</v>
      </c>
      <c r="I121" s="509">
        <f ca="1">LOOKUP(C121,'Growth Pattern'!B$15:B$376,'Growth Pattern'!G$15:G$368)-(LOOKUP(C121,'Growth Pattern'!B$15:B$376,'Growth Pattern'!H$15:H$368)*LOOKUP(C121,'Growth Pattern'!B$15:B$376,'Growth Pattern'!I$15:I$368)/100)</f>
        <v>0</v>
      </c>
      <c r="J121" s="510">
        <f t="shared" ca="1" si="4"/>
        <v>0</v>
      </c>
      <c r="K121" s="511">
        <f ca="1">LOOKUP(C121,'Growth Pattern'!B$15:B$376,'Growth Pattern'!H$15:H$368)</f>
        <v>63.35</v>
      </c>
      <c r="L121" s="512" t="e">
        <f t="shared" ca="1" si="5"/>
        <v>#DIV/0!</v>
      </c>
      <c r="M121" s="513" t="e">
        <f>LN('Growth Pattern'!F134/'Growth Pattern'!D134)/2</f>
        <v>#DIV/0!</v>
      </c>
      <c r="N121" s="523"/>
      <c r="O121" s="528"/>
    </row>
    <row r="122" spans="1:15" x14ac:dyDescent="0.25">
      <c r="A122" s="516">
        <v>1.312925759394193</v>
      </c>
      <c r="B122" s="516">
        <v>0.39</v>
      </c>
      <c r="C122" s="516" t="s">
        <v>1472</v>
      </c>
      <c r="D122" s="507">
        <v>0.2443300520999282</v>
      </c>
      <c r="E122" s="508">
        <f t="shared" si="3"/>
        <v>6.9256714532693761E-2</v>
      </c>
      <c r="F122" s="509">
        <f ca="1">LOOKUP(C122,'Growth Pattern'!B$15:B$376,'Growth Pattern'!D$15:D$368)-(LOOKUP(C122,'Growth Pattern'!B$15:B$376,'Growth Pattern'!H$15:H$368)*LOOKUP(C122,'Growth Pattern'!B$15:B$376,'Growth Pattern'!I$15:I$368)/100)</f>
        <v>300.83</v>
      </c>
      <c r="G122" s="509">
        <f ca="1">LOOKUP(C122,'Growth Pattern'!B$15:B$376,'Growth Pattern'!E$15:E$368)-(LOOKUP(C122,'Growth Pattern'!B$15:B$376,'Growth Pattern'!H$15:H$368)*LOOKUP(C122,'Growth Pattern'!B$15:B$376,'Growth Pattern'!I$15:I$368)/100)</f>
        <v>227.5</v>
      </c>
      <c r="H122" s="509">
        <f ca="1">LOOKUP(C122,'Growth Pattern'!B$15:B$376,'Growth Pattern'!F$15:F$368)-(LOOKUP(C122,'Growth Pattern'!B$15:B$376,'Growth Pattern'!I$15:I$368)*LOOKUP(C122,'Growth Pattern'!B$15:B$376,'Growth Pattern'!H$15:H$368)/100)</f>
        <v>237.19</v>
      </c>
      <c r="I122" s="509">
        <f ca="1">LOOKUP(C122,'Growth Pattern'!B$15:B$376,'Growth Pattern'!G$15:G$368)-(LOOKUP(C122,'Growth Pattern'!B$15:B$376,'Growth Pattern'!H$15:H$368)*LOOKUP(C122,'Growth Pattern'!B$15:B$376,'Growth Pattern'!I$15:I$368)/100)</f>
        <v>329.90000000000003</v>
      </c>
      <c r="J122" s="510">
        <f t="shared" ca="1" si="4"/>
        <v>-24397.766752469612</v>
      </c>
      <c r="K122" s="511">
        <f ca="1">LOOKUP(C122,'Growth Pattern'!B$15:B$376,'Growth Pattern'!H$15:H$368)</f>
        <v>2258.25</v>
      </c>
      <c r="L122" s="512">
        <f t="shared" ca="1" si="5"/>
        <v>-1.0925597011772159</v>
      </c>
      <c r="M122" s="513">
        <f>LN('Growth Pattern'!F135/'Growth Pattern'!D135)/2</f>
        <v>-0.11884190671313698</v>
      </c>
      <c r="N122" s="523"/>
      <c r="O122" s="528"/>
    </row>
    <row r="123" spans="1:15" x14ac:dyDescent="0.25">
      <c r="A123" s="527">
        <v>1.9875360047836883</v>
      </c>
      <c r="B123" s="527">
        <v>0.03</v>
      </c>
      <c r="C123" s="527" t="s">
        <v>1329</v>
      </c>
      <c r="D123" s="507">
        <v>1.0484113720705881</v>
      </c>
      <c r="E123" s="508">
        <f t="shared" si="3"/>
        <v>0.13921178937014117</v>
      </c>
      <c r="F123" s="509">
        <f ca="1">LOOKUP(C123,'Growth Pattern'!B$15:B$376,'Growth Pattern'!D$15:D$368)-(LOOKUP(C123,'Growth Pattern'!B$15:B$376,'Growth Pattern'!H$15:H$368)*LOOKUP(C123,'Growth Pattern'!B$15:B$376,'Growth Pattern'!I$15:I$368)/100)</f>
        <v>1.8234999999999997</v>
      </c>
      <c r="G123" s="509">
        <f ca="1">LOOKUP(C123,'Growth Pattern'!B$15:B$376,'Growth Pattern'!E$15:E$368)-(LOOKUP(C123,'Growth Pattern'!B$15:B$376,'Growth Pattern'!H$15:H$368)*LOOKUP(C123,'Growth Pattern'!B$15:B$376,'Growth Pattern'!I$15:I$368)/100)</f>
        <v>3.1435</v>
      </c>
      <c r="H123" s="509">
        <f ca="1">LOOKUP(C123,'Growth Pattern'!B$15:B$376,'Growth Pattern'!F$15:F$368)-(LOOKUP(C123,'Growth Pattern'!B$15:B$376,'Growth Pattern'!I$15:I$368)*LOOKUP(C123,'Growth Pattern'!B$15:B$376,'Growth Pattern'!H$15:H$368)/100)</f>
        <v>4.0034999999999989</v>
      </c>
      <c r="I123" s="509">
        <f ca="1">LOOKUP(C123,'Growth Pattern'!B$15:B$376,'Growth Pattern'!G$15:G$368)-(LOOKUP(C123,'Growth Pattern'!B$15:B$376,'Growth Pattern'!H$15:H$368)*LOOKUP(C123,'Growth Pattern'!B$15:B$376,'Growth Pattern'!I$15:I$368)/100)</f>
        <v>4.0034999999999989</v>
      </c>
      <c r="J123" s="510">
        <f t="shared" ca="1" si="4"/>
        <v>53.399485197891899</v>
      </c>
      <c r="K123" s="511">
        <f ca="1">LOOKUP(C123,'Growth Pattern'!B$15:B$376,'Growth Pattern'!H$15:H$368)</f>
        <v>85.9</v>
      </c>
      <c r="L123" s="512">
        <f t="shared" ca="1" si="5"/>
        <v>0.60862974018691773</v>
      </c>
      <c r="M123" s="513">
        <f>LN('Growth Pattern'!F136/'Growth Pattern'!D136)/2</f>
        <v>0.18624561669100873</v>
      </c>
      <c r="N123" s="523"/>
      <c r="O123" s="528"/>
    </row>
    <row r="124" spans="1:15" x14ac:dyDescent="0.25">
      <c r="A124" s="527">
        <v>2.0808626819049163</v>
      </c>
      <c r="B124" s="527">
        <v>0.03</v>
      </c>
      <c r="C124" s="527" t="s">
        <v>109</v>
      </c>
      <c r="D124" s="507">
        <v>1.1098154937807061</v>
      </c>
      <c r="E124" s="508">
        <f t="shared" si="3"/>
        <v>0.14455394795892146</v>
      </c>
      <c r="F124" s="509">
        <f ca="1">LOOKUP(C124,'Growth Pattern'!B$15:B$376,'Growth Pattern'!D$15:D$368)-(LOOKUP(C124,'Growth Pattern'!B$15:B$376,'Growth Pattern'!H$15:H$368)*LOOKUP(C124,'Growth Pattern'!B$15:B$376,'Growth Pattern'!I$15:I$368)/100)</f>
        <v>0</v>
      </c>
      <c r="G124" s="509">
        <f ca="1">LOOKUP(C124,'Growth Pattern'!B$15:B$376,'Growth Pattern'!E$15:E$368)-(LOOKUP(C124,'Growth Pattern'!B$15:B$376,'Growth Pattern'!H$15:H$368)*LOOKUP(C124,'Growth Pattern'!B$15:B$376,'Growth Pattern'!I$15:I$368)/100)</f>
        <v>14.4</v>
      </c>
      <c r="H124" s="509">
        <f ca="1">LOOKUP(C124,'Growth Pattern'!B$15:B$376,'Growth Pattern'!F$15:F$368)-(LOOKUP(C124,'Growth Pattern'!B$15:B$376,'Growth Pattern'!I$15:I$368)*LOOKUP(C124,'Growth Pattern'!B$15:B$376,'Growth Pattern'!H$15:H$368)/100)</f>
        <v>16.5</v>
      </c>
      <c r="I124" s="509">
        <f ca="1">LOOKUP(C124,'Growth Pattern'!B$15:B$376,'Growth Pattern'!G$15:G$368)-(LOOKUP(C124,'Growth Pattern'!B$15:B$376,'Growth Pattern'!H$15:H$368)*LOOKUP(C124,'Growth Pattern'!B$15:B$376,'Growth Pattern'!I$15:I$368)/100)</f>
        <v>16.5</v>
      </c>
      <c r="J124" s="510">
        <f t="shared" ca="1" si="4"/>
        <v>195.64842048363323</v>
      </c>
      <c r="K124" s="511">
        <f ca="1">LOOKUP(C124,'Growth Pattern'!B$15:B$376,'Growth Pattern'!H$15:H$368)</f>
        <v>226.05</v>
      </c>
      <c r="L124" s="512">
        <f t="shared" ca="1" si="5"/>
        <v>0.15538883187104491</v>
      </c>
      <c r="M124" s="513" t="e">
        <f>LN('Growth Pattern'!F137/'Growth Pattern'!D137)/2</f>
        <v>#DIV/0!</v>
      </c>
      <c r="N124" s="523"/>
      <c r="O124" s="528"/>
    </row>
    <row r="125" spans="1:15" x14ac:dyDescent="0.25">
      <c r="A125" s="537">
        <v>2.9497531836517026</v>
      </c>
      <c r="B125" s="537">
        <v>0.13</v>
      </c>
      <c r="C125" s="537" t="s">
        <v>1866</v>
      </c>
      <c r="D125" s="507">
        <v>0.55645777145396946</v>
      </c>
      <c r="E125" s="508">
        <f t="shared" si="3"/>
        <v>9.6411826116495347E-2</v>
      </c>
      <c r="F125" s="509">
        <f ca="1">LOOKUP(C125,'Growth Pattern'!B$15:B$376,'Growth Pattern'!D$15:D$368)-(LOOKUP(C125,'Growth Pattern'!B$15:B$376,'Growth Pattern'!H$15:H$368)*LOOKUP(C125,'Growth Pattern'!B$15:B$376,'Growth Pattern'!I$15:I$368)/100)</f>
        <v>27.435469999999999</v>
      </c>
      <c r="G125" s="509">
        <f ca="1">LOOKUP(C125,'Growth Pattern'!B$15:B$376,'Growth Pattern'!E$15:E$368)-(LOOKUP(C125,'Growth Pattern'!B$15:B$376,'Growth Pattern'!H$15:H$368)*LOOKUP(C125,'Growth Pattern'!B$15:B$376,'Growth Pattern'!I$15:I$368)/100)</f>
        <v>74.80547</v>
      </c>
      <c r="H125" s="509">
        <f ca="1">LOOKUP(C125,'Growth Pattern'!B$15:B$376,'Growth Pattern'!F$15:F$368)-(LOOKUP(C125,'Growth Pattern'!B$15:B$376,'Growth Pattern'!I$15:I$368)*LOOKUP(C125,'Growth Pattern'!B$15:B$376,'Growth Pattern'!H$15:H$368)/100)</f>
        <v>55.205470000000005</v>
      </c>
      <c r="I125" s="509">
        <f ca="1">LOOKUP(C125,'Growth Pattern'!B$15:B$376,'Growth Pattern'!G$15:G$368)-(LOOKUP(C125,'Growth Pattern'!B$15:B$376,'Growth Pattern'!H$15:H$368)*LOOKUP(C125,'Growth Pattern'!B$15:B$376,'Growth Pattern'!I$15:I$368)/100)</f>
        <v>55.205470000000005</v>
      </c>
      <c r="J125" s="510">
        <f t="shared" ca="1" si="4"/>
        <v>2693.7239800480311</v>
      </c>
      <c r="K125" s="511">
        <f ca="1">LOOKUP(C125,'Growth Pattern'!B$15:B$376,'Growth Pattern'!H$15:H$368)</f>
        <v>353.9</v>
      </c>
      <c r="L125" s="512">
        <f t="shared" ca="1" si="5"/>
        <v>-0.86862054070079975</v>
      </c>
      <c r="M125" s="513">
        <f>LN('Growth Pattern'!F138/'Growth Pattern'!D138)/2</f>
        <v>0.31289300683593291</v>
      </c>
      <c r="N125" s="523"/>
      <c r="O125" s="528"/>
    </row>
    <row r="126" spans="1:15" x14ac:dyDescent="0.25">
      <c r="A126" s="506">
        <v>1.7909345480972476</v>
      </c>
      <c r="B126" s="506">
        <v>0.12</v>
      </c>
      <c r="C126" s="506" t="s">
        <v>1867</v>
      </c>
      <c r="D126" s="507">
        <v>0.74417743240437084</v>
      </c>
      <c r="E126" s="508">
        <f t="shared" si="3"/>
        <v>0.11274343661918027</v>
      </c>
      <c r="F126" s="509">
        <f ca="1">LOOKUP(C126,'Growth Pattern'!B$15:B$376,'Growth Pattern'!D$15:D$368)-(LOOKUP(C126,'Growth Pattern'!B$15:B$376,'Growth Pattern'!H$15:H$368)*LOOKUP(C126,'Growth Pattern'!B$15:B$376,'Growth Pattern'!I$15:I$368)/100)</f>
        <v>6.3445450000000001</v>
      </c>
      <c r="G126" s="509">
        <f ca="1">LOOKUP(C126,'Growth Pattern'!B$15:B$376,'Growth Pattern'!E$15:E$368)-(LOOKUP(C126,'Growth Pattern'!B$15:B$376,'Growth Pattern'!H$15:H$368)*LOOKUP(C126,'Growth Pattern'!B$15:B$376,'Growth Pattern'!I$15:I$368)/100)</f>
        <v>6.3445450000000001</v>
      </c>
      <c r="H126" s="509">
        <f ca="1">LOOKUP(C126,'Growth Pattern'!B$15:B$376,'Growth Pattern'!F$15:F$368)-(LOOKUP(C126,'Growth Pattern'!B$15:B$376,'Growth Pattern'!I$15:I$368)*LOOKUP(C126,'Growth Pattern'!B$15:B$376,'Growth Pattern'!H$15:H$368)/100)</f>
        <v>7.5945450000000001</v>
      </c>
      <c r="I126" s="509">
        <f ca="1">LOOKUP(C126,'Growth Pattern'!B$15:B$376,'Growth Pattern'!G$15:G$368)-(LOOKUP(C126,'Growth Pattern'!B$15:B$376,'Growth Pattern'!H$15:H$368)*LOOKUP(C126,'Growth Pattern'!B$15:B$376,'Growth Pattern'!I$15:I$368)/100)</f>
        <v>10.094545</v>
      </c>
      <c r="J126" s="510">
        <f t="shared" ca="1" si="4"/>
        <v>241.93718429266772</v>
      </c>
      <c r="K126" s="511">
        <f ca="1">LOOKUP(C126,'Growth Pattern'!B$15:B$376,'Growth Pattern'!H$15:H$368)</f>
        <v>99.55</v>
      </c>
      <c r="L126" s="512">
        <f t="shared" ca="1" si="5"/>
        <v>-0.58852955864950507</v>
      </c>
      <c r="M126" s="513">
        <f>LN('Growth Pattern'!F139/'Growth Pattern'!D139)/2</f>
        <v>7.8530945017358356E-2</v>
      </c>
      <c r="N126" s="523"/>
      <c r="O126" s="528"/>
    </row>
    <row r="127" spans="1:15" x14ac:dyDescent="0.25">
      <c r="A127" s="516">
        <v>2.3019661086777821</v>
      </c>
      <c r="B127" s="516">
        <v>0.52</v>
      </c>
      <c r="C127" s="516" t="s">
        <v>430</v>
      </c>
      <c r="D127" s="507">
        <v>7.3676443597456062E-3</v>
      </c>
      <c r="E127" s="508">
        <f t="shared" si="3"/>
        <v>4.864098505929787E-2</v>
      </c>
      <c r="F127" s="509">
        <f ca="1">LOOKUP(C127,'Growth Pattern'!B$15:B$376,'Growth Pattern'!D$15:D$368)-(LOOKUP(C127,'Growth Pattern'!B$15:B$376,'Growth Pattern'!H$15:H$368)*LOOKUP(C127,'Growth Pattern'!B$15:B$376,'Growth Pattern'!I$15:I$368)/100)</f>
        <v>20.400789999999997</v>
      </c>
      <c r="G127" s="509">
        <f ca="1">LOOKUP(C127,'Growth Pattern'!B$15:B$376,'Growth Pattern'!E$15:E$368)-(LOOKUP(C127,'Growth Pattern'!B$15:B$376,'Growth Pattern'!H$15:H$368)*LOOKUP(C127,'Growth Pattern'!B$15:B$376,'Growth Pattern'!I$15:I$368)/100)</f>
        <v>13.680789999999998</v>
      </c>
      <c r="H127" s="509">
        <f ca="1">LOOKUP(C127,'Growth Pattern'!B$15:B$376,'Growth Pattern'!F$15:F$368)-(LOOKUP(C127,'Growth Pattern'!B$15:B$376,'Growth Pattern'!I$15:I$368)*LOOKUP(C127,'Growth Pattern'!B$15:B$376,'Growth Pattern'!H$15:H$368)/100)</f>
        <v>16.180789999999998</v>
      </c>
      <c r="I127" s="509">
        <f ca="1">LOOKUP(C127,'Growth Pattern'!B$15:B$376,'Growth Pattern'!G$15:G$368)-(LOOKUP(C127,'Growth Pattern'!B$15:B$376,'Growth Pattern'!H$15:H$368)*LOOKUP(C127,'Growth Pattern'!B$15:B$376,'Growth Pattern'!I$15:I$368)/100)</f>
        <v>27.900790000000004</v>
      </c>
      <c r="J127" s="510">
        <f t="shared" ca="1" si="4"/>
        <v>-723.40541188861062</v>
      </c>
      <c r="K127" s="511">
        <f ca="1">LOOKUP(C127,'Growth Pattern'!B$15:B$376,'Growth Pattern'!H$15:H$368)</f>
        <v>140.15</v>
      </c>
      <c r="L127" s="512">
        <f t="shared" ca="1" si="5"/>
        <v>-1.1937364549625185</v>
      </c>
      <c r="M127" s="513">
        <f>LN('Growth Pattern'!F140/'Growth Pattern'!D140)/2</f>
        <v>-9.9433976454181741E-2</v>
      </c>
      <c r="N127" s="523"/>
      <c r="O127" s="528"/>
    </row>
    <row r="128" spans="1:15" x14ac:dyDescent="0.25">
      <c r="A128" s="516">
        <v>2.2669486081086023</v>
      </c>
      <c r="B128" s="516">
        <v>0.17</v>
      </c>
      <c r="C128" s="516" t="s">
        <v>1474</v>
      </c>
      <c r="D128" s="507">
        <v>0.48412821475085971</v>
      </c>
      <c r="E128" s="508">
        <f t="shared" si="3"/>
        <v>9.0119154683324793E-2</v>
      </c>
      <c r="F128" s="509">
        <f ca="1">LOOKUP(C128,'Growth Pattern'!B$15:B$376,'Growth Pattern'!D$15:D$368)-(LOOKUP(C128,'Growth Pattern'!B$15:B$376,'Growth Pattern'!H$15:H$368)*LOOKUP(C128,'Growth Pattern'!B$15:B$376,'Growth Pattern'!I$15:I$368)/100)</f>
        <v>5.48719</v>
      </c>
      <c r="G128" s="509">
        <f ca="1">LOOKUP(C128,'Growth Pattern'!B$15:B$376,'Growth Pattern'!E$15:E$368)-(LOOKUP(C128,'Growth Pattern'!B$15:B$376,'Growth Pattern'!H$15:H$368)*LOOKUP(C128,'Growth Pattern'!B$15:B$376,'Growth Pattern'!I$15:I$368)/100)</f>
        <v>5.4771900000000002</v>
      </c>
      <c r="H128" s="509">
        <f ca="1">LOOKUP(C128,'Growth Pattern'!B$15:B$376,'Growth Pattern'!F$15:F$368)-(LOOKUP(C128,'Growth Pattern'!B$15:B$376,'Growth Pattern'!I$15:I$368)*LOOKUP(C128,'Growth Pattern'!B$15:B$376,'Growth Pattern'!H$15:H$368)/100)</f>
        <v>6.5271899999999992</v>
      </c>
      <c r="I128" s="509">
        <f ca="1">LOOKUP(C128,'Growth Pattern'!B$15:B$376,'Growth Pattern'!G$15:G$368)-(LOOKUP(C128,'Growth Pattern'!B$15:B$376,'Growth Pattern'!H$15:H$368)*LOOKUP(C128,'Growth Pattern'!B$15:B$376,'Growth Pattern'!I$15:I$368)/100)</f>
        <v>8.6371899999999968</v>
      </c>
      <c r="J128" s="510">
        <f t="shared" ca="1" si="4"/>
        <v>674.88419202650516</v>
      </c>
      <c r="K128" s="511">
        <f ca="1">LOOKUP(C128,'Growth Pattern'!B$15:B$376,'Growth Pattern'!H$15:H$368)</f>
        <v>130.94999999999999</v>
      </c>
      <c r="L128" s="512">
        <f t="shared" ca="1" si="5"/>
        <v>-0.80596671021914057</v>
      </c>
      <c r="M128" s="513">
        <f>LN('Growth Pattern'!F141/'Growth Pattern'!D141)/2</f>
        <v>6.0538965776617958E-2</v>
      </c>
      <c r="N128" s="523"/>
      <c r="O128" s="528"/>
    </row>
    <row r="129" spans="1:15" x14ac:dyDescent="0.25">
      <c r="A129" s="516">
        <v>2.0581951436178838</v>
      </c>
      <c r="B129" s="516">
        <v>0.3</v>
      </c>
      <c r="C129" s="516" t="s">
        <v>1330</v>
      </c>
      <c r="D129" s="507">
        <v>0.34058184563789373</v>
      </c>
      <c r="E129" s="508">
        <f t="shared" si="3"/>
        <v>7.7630620570496758E-2</v>
      </c>
      <c r="F129" s="509">
        <f ca="1">LOOKUP(C129,'Growth Pattern'!B$15:B$376,'Growth Pattern'!D$15:D$368)-(LOOKUP(C129,'Growth Pattern'!B$15:B$376,'Growth Pattern'!H$15:H$368)*LOOKUP(C129,'Growth Pattern'!B$15:B$376,'Growth Pattern'!I$15:I$368)/100)</f>
        <v>1.4331200000000024</v>
      </c>
      <c r="G129" s="509">
        <f ca="1">LOOKUP(C129,'Growth Pattern'!B$15:B$376,'Growth Pattern'!E$15:E$368)-(LOOKUP(C129,'Growth Pattern'!B$15:B$376,'Growth Pattern'!H$15:H$368)*LOOKUP(C129,'Growth Pattern'!B$15:B$376,'Growth Pattern'!I$15:I$368)/100)</f>
        <v>6.1531200000000013</v>
      </c>
      <c r="H129" s="509">
        <f ca="1">LOOKUP(C129,'Growth Pattern'!B$15:B$376,'Growth Pattern'!F$15:F$368)-(LOOKUP(C129,'Growth Pattern'!B$15:B$376,'Growth Pattern'!I$15:I$368)*LOOKUP(C129,'Growth Pattern'!B$15:B$376,'Growth Pattern'!H$15:H$368)/100)</f>
        <v>8.1531200000000013</v>
      </c>
      <c r="I129" s="509">
        <f ca="1">LOOKUP(C129,'Growth Pattern'!B$15:B$376,'Growth Pattern'!G$15:G$368)-(LOOKUP(C129,'Growth Pattern'!B$15:B$376,'Growth Pattern'!H$15:H$368)*LOOKUP(C129,'Growth Pattern'!B$15:B$376,'Growth Pattern'!I$15:I$368)/100)</f>
        <v>8.1531200000000013</v>
      </c>
      <c r="J129" s="510">
        <f t="shared" ca="1" si="4"/>
        <v>-2735.4991436901259</v>
      </c>
      <c r="K129" s="511">
        <f ca="1">LOOKUP(C129,'Growth Pattern'!B$15:B$376,'Growth Pattern'!H$15:H$368)</f>
        <v>350.2</v>
      </c>
      <c r="L129" s="512">
        <f t="shared" ca="1" si="5"/>
        <v>-1.128020511652432</v>
      </c>
      <c r="M129" s="513">
        <f>LN('Growth Pattern'!F142/'Growth Pattern'!D142)/2</f>
        <v>0.20223774946149903</v>
      </c>
      <c r="N129" s="523"/>
      <c r="O129" s="528"/>
    </row>
    <row r="130" spans="1:15" x14ac:dyDescent="0.25">
      <c r="A130" s="516">
        <v>1.6838829906083674</v>
      </c>
      <c r="B130" s="516">
        <v>0.13</v>
      </c>
      <c r="C130" s="516" t="s">
        <v>1868</v>
      </c>
      <c r="D130" s="507">
        <v>0.81826749576866431</v>
      </c>
      <c r="E130" s="508">
        <f t="shared" ref="E130:E193" si="6">$O$12+D130*($P$13-$O$12)</f>
        <v>0.1191892721318738</v>
      </c>
      <c r="F130" s="509">
        <f ca="1">LOOKUP(C130,'Growth Pattern'!B$15:B$376,'Growth Pattern'!D$15:D$368)-(LOOKUP(C130,'Growth Pattern'!B$15:B$376,'Growth Pattern'!H$15:H$368)*LOOKUP(C130,'Growth Pattern'!B$15:B$376,'Growth Pattern'!I$15:I$368)/100)</f>
        <v>4.5642249999999995</v>
      </c>
      <c r="G130" s="509">
        <f ca="1">LOOKUP(C130,'Growth Pattern'!B$15:B$376,'Growth Pattern'!E$15:E$368)-(LOOKUP(C130,'Growth Pattern'!B$15:B$376,'Growth Pattern'!H$15:H$368)*LOOKUP(C130,'Growth Pattern'!B$15:B$376,'Growth Pattern'!I$15:I$368)/100)</f>
        <v>6.2042249999999992</v>
      </c>
      <c r="H130" s="509">
        <f ca="1">LOOKUP(C130,'Growth Pattern'!B$15:B$376,'Growth Pattern'!F$15:F$368)-(LOOKUP(C130,'Growth Pattern'!B$15:B$376,'Growth Pattern'!I$15:I$368)*LOOKUP(C130,'Growth Pattern'!B$15:B$376,'Growth Pattern'!H$15:H$368)/100)</f>
        <v>8.0042249999999999</v>
      </c>
      <c r="I130" s="509">
        <f ca="1">LOOKUP(C130,'Growth Pattern'!B$15:B$376,'Growth Pattern'!G$15:G$368)-(LOOKUP(C130,'Growth Pattern'!B$15:B$376,'Growth Pattern'!H$15:H$368)*LOOKUP(C130,'Growth Pattern'!B$15:B$376,'Growth Pattern'!I$15:I$368)/100)</f>
        <v>9.9642250000000026</v>
      </c>
      <c r="J130" s="510">
        <f t="shared" ref="J130:J193" ca="1" si="7">F130+G130/((1+E130)*(1+$O$15))+H130/((1+E130)^2)*((1+$O$15)^2)+(I130/(E130-$P$16))/((1+E130)^3)*((1+$O$15)^3)</f>
        <v>197.86799975572808</v>
      </c>
      <c r="K130" s="511">
        <f ca="1">LOOKUP(C130,'Growth Pattern'!B$15:B$376,'Growth Pattern'!H$15:H$368)</f>
        <v>80.25</v>
      </c>
      <c r="L130" s="512">
        <f t="shared" ref="L130:L193" ca="1" si="8">(K130-J130)/J130</f>
        <v>-0.59442658692122929</v>
      </c>
      <c r="M130" s="513">
        <f>LN('Growth Pattern'!F143/'Growth Pattern'!D143)/2</f>
        <v>0.19846510282916355</v>
      </c>
      <c r="N130" s="523"/>
      <c r="O130" s="528"/>
    </row>
    <row r="131" spans="1:15" x14ac:dyDescent="0.25">
      <c r="A131" s="516">
        <v>2.3667846943568778</v>
      </c>
      <c r="B131" s="516">
        <v>0.17</v>
      </c>
      <c r="C131" s="516" t="s">
        <v>1869</v>
      </c>
      <c r="D131" s="507">
        <v>0.77404805899421603</v>
      </c>
      <c r="E131" s="508">
        <f t="shared" si="6"/>
        <v>0.11534218113249681</v>
      </c>
      <c r="F131" s="509">
        <f ca="1">LOOKUP(C131,'Growth Pattern'!B$15:B$376,'Growth Pattern'!D$15:D$368)-(LOOKUP(C131,'Growth Pattern'!B$15:B$376,'Growth Pattern'!H$15:H$368)*LOOKUP(C131,'Growth Pattern'!B$15:B$376,'Growth Pattern'!I$15:I$368)/100)</f>
        <v>6.2999900000000011</v>
      </c>
      <c r="G131" s="509">
        <f ca="1">LOOKUP(C131,'Growth Pattern'!B$15:B$376,'Growth Pattern'!E$15:E$368)-(LOOKUP(C131,'Growth Pattern'!B$15:B$376,'Growth Pattern'!H$15:H$368)*LOOKUP(C131,'Growth Pattern'!B$15:B$376,'Growth Pattern'!I$15:I$368)/100)</f>
        <v>8.59999</v>
      </c>
      <c r="H131" s="509">
        <f ca="1">LOOKUP(C131,'Growth Pattern'!B$15:B$376,'Growth Pattern'!F$15:F$368)-(LOOKUP(C131,'Growth Pattern'!B$15:B$376,'Growth Pattern'!I$15:I$368)*LOOKUP(C131,'Growth Pattern'!B$15:B$376,'Growth Pattern'!H$15:H$368)/100)</f>
        <v>11.799990000000001</v>
      </c>
      <c r="I131" s="509">
        <f ca="1">LOOKUP(C131,'Growth Pattern'!B$15:B$376,'Growth Pattern'!G$15:G$368)-(LOOKUP(C131,'Growth Pattern'!B$15:B$376,'Growth Pattern'!H$15:H$368)*LOOKUP(C131,'Growth Pattern'!B$15:B$376,'Growth Pattern'!I$15:I$368)/100)</f>
        <v>15.899990000000006</v>
      </c>
      <c r="J131" s="510">
        <f t="shared" ca="1" si="7"/>
        <v>347.74558734493121</v>
      </c>
      <c r="K131" s="511">
        <f ca="1">LOOKUP(C131,'Growth Pattern'!B$15:B$376,'Growth Pattern'!H$15:H$368)</f>
        <v>140.44999999999999</v>
      </c>
      <c r="L131" s="512">
        <f t="shared" ca="1" si="8"/>
        <v>-0.5961127758015613</v>
      </c>
      <c r="M131" s="513">
        <f>LN('Growth Pattern'!F144/'Growth Pattern'!D144)/2</f>
        <v>0.24275390789085041</v>
      </c>
      <c r="N131" s="523"/>
      <c r="O131" s="528"/>
    </row>
    <row r="132" spans="1:15" x14ac:dyDescent="0.25">
      <c r="A132" s="516">
        <v>3.0494586614405521</v>
      </c>
      <c r="B132" s="516">
        <v>0.15</v>
      </c>
      <c r="C132" s="516" t="s">
        <v>1331</v>
      </c>
      <c r="D132" s="507">
        <v>0.82903292971361331</v>
      </c>
      <c r="E132" s="508">
        <f t="shared" si="6"/>
        <v>0.12012586488508437</v>
      </c>
      <c r="F132" s="509">
        <f ca="1">LOOKUP(C132,'Growth Pattern'!B$15:B$376,'Growth Pattern'!D$15:D$368)-(LOOKUP(C132,'Growth Pattern'!B$15:B$376,'Growth Pattern'!H$15:H$368)*LOOKUP(C132,'Growth Pattern'!B$15:B$376,'Growth Pattern'!I$15:I$368)/100)</f>
        <v>0.4</v>
      </c>
      <c r="G132" s="509">
        <f ca="1">LOOKUP(C132,'Growth Pattern'!B$15:B$376,'Growth Pattern'!E$15:E$368)-(LOOKUP(C132,'Growth Pattern'!B$15:B$376,'Growth Pattern'!H$15:H$368)*LOOKUP(C132,'Growth Pattern'!B$15:B$376,'Growth Pattern'!I$15:I$368)/100)</f>
        <v>6.86</v>
      </c>
      <c r="H132" s="509">
        <f ca="1">LOOKUP(C132,'Growth Pattern'!B$15:B$376,'Growth Pattern'!F$15:F$368)-(LOOKUP(C132,'Growth Pattern'!B$15:B$376,'Growth Pattern'!I$15:I$368)*LOOKUP(C132,'Growth Pattern'!B$15:B$376,'Growth Pattern'!H$15:H$368)/100)</f>
        <v>11.72</v>
      </c>
      <c r="I132" s="509">
        <f ca="1">LOOKUP(C132,'Growth Pattern'!B$15:B$376,'Growth Pattern'!G$15:G$368)-(LOOKUP(C132,'Growth Pattern'!B$15:B$376,'Growth Pattern'!H$15:H$368)*LOOKUP(C132,'Growth Pattern'!B$15:B$376,'Growth Pattern'!I$15:I$368)/100)</f>
        <v>14.97999999999999</v>
      </c>
      <c r="J132" s="510">
        <f t="shared" ca="1" si="7"/>
        <v>281.50132319401223</v>
      </c>
      <c r="K132" s="511">
        <f ca="1">LOOKUP(C132,'Growth Pattern'!B$15:B$376,'Growth Pattern'!H$15:H$368)</f>
        <v>49.8</v>
      </c>
      <c r="L132" s="512">
        <f t="shared" ca="1" si="8"/>
        <v>-0.82309141770648953</v>
      </c>
      <c r="M132" s="513">
        <f>LN('Growth Pattern'!F145/'Growth Pattern'!D145)/2</f>
        <v>1.6887937580115109</v>
      </c>
      <c r="N132" s="523"/>
      <c r="O132" s="528"/>
    </row>
    <row r="133" spans="1:15" x14ac:dyDescent="0.25">
      <c r="A133" s="516">
        <v>2.9768141119099432</v>
      </c>
      <c r="B133" s="516">
        <v>0.55000000000000004</v>
      </c>
      <c r="C133" s="516" t="s">
        <v>1332</v>
      </c>
      <c r="D133" s="507">
        <v>1.1322541071271236E-2</v>
      </c>
      <c r="E133" s="508">
        <f t="shared" si="6"/>
        <v>4.8985061073200602E-2</v>
      </c>
      <c r="F133" s="509">
        <f ca="1">LOOKUP(C133,'Growth Pattern'!B$15:B$376,'Growth Pattern'!D$15:D$368)-(LOOKUP(C133,'Growth Pattern'!B$15:B$376,'Growth Pattern'!H$15:H$368)*LOOKUP(C133,'Growth Pattern'!B$15:B$376,'Growth Pattern'!I$15:I$368)/100)</f>
        <v>1.02</v>
      </c>
      <c r="G133" s="509">
        <f ca="1">LOOKUP(C133,'Growth Pattern'!B$15:B$376,'Growth Pattern'!E$15:E$368)-(LOOKUP(C133,'Growth Pattern'!B$15:B$376,'Growth Pattern'!H$15:H$368)*LOOKUP(C133,'Growth Pattern'!B$15:B$376,'Growth Pattern'!I$15:I$368)/100)</f>
        <v>1.05</v>
      </c>
      <c r="H133" s="509">
        <f ca="1">LOOKUP(C133,'Growth Pattern'!B$15:B$376,'Growth Pattern'!F$15:F$368)-(LOOKUP(C133,'Growth Pattern'!B$15:B$376,'Growth Pattern'!I$15:I$368)*LOOKUP(C133,'Growth Pattern'!B$15:B$376,'Growth Pattern'!H$15:H$368)/100)</f>
        <v>1.6</v>
      </c>
      <c r="I133" s="509">
        <f ca="1">LOOKUP(C133,'Growth Pattern'!B$15:B$376,'Growth Pattern'!G$15:G$368)-(LOOKUP(C133,'Growth Pattern'!B$15:B$376,'Growth Pattern'!H$15:H$368)*LOOKUP(C133,'Growth Pattern'!B$15:B$376,'Growth Pattern'!I$15:I$368)/100)</f>
        <v>2.6700000000000004</v>
      </c>
      <c r="J133" s="510">
        <f t="shared" ca="1" si="7"/>
        <v>-71.106700158033533</v>
      </c>
      <c r="K133" s="511">
        <f ca="1">LOOKUP(C133,'Growth Pattern'!B$15:B$376,'Growth Pattern'!H$15:H$368)</f>
        <v>22.45</v>
      </c>
      <c r="L133" s="512">
        <f t="shared" ca="1" si="8"/>
        <v>-1.3157227089726458</v>
      </c>
      <c r="M133" s="513">
        <f>LN('Growth Pattern'!F146/'Growth Pattern'!D146)/2</f>
        <v>0.22510050097477791</v>
      </c>
      <c r="N133" s="523"/>
      <c r="O133" s="528"/>
    </row>
    <row r="134" spans="1:15" x14ac:dyDescent="0.25">
      <c r="A134" s="516">
        <v>2.2258765971314753</v>
      </c>
      <c r="B134" s="516">
        <v>0.04</v>
      </c>
      <c r="C134" s="516" t="s">
        <v>1333</v>
      </c>
      <c r="D134" s="507">
        <v>0.93304054869052722</v>
      </c>
      <c r="E134" s="508">
        <f t="shared" si="6"/>
        <v>0.12917452773607588</v>
      </c>
      <c r="F134" s="509">
        <f ca="1">LOOKUP(C134,'Growth Pattern'!B$15:B$376,'Growth Pattern'!D$15:D$368)-(LOOKUP(C134,'Growth Pattern'!B$15:B$376,'Growth Pattern'!H$15:H$368)*LOOKUP(C134,'Growth Pattern'!B$15:B$376,'Growth Pattern'!I$15:I$368)/100)</f>
        <v>-3.7455599999999998</v>
      </c>
      <c r="G134" s="509">
        <f ca="1">LOOKUP(C134,'Growth Pattern'!B$15:B$376,'Growth Pattern'!E$15:E$368)-(LOOKUP(C134,'Growth Pattern'!B$15:B$376,'Growth Pattern'!H$15:H$368)*LOOKUP(C134,'Growth Pattern'!B$15:B$376,'Growth Pattern'!I$15:I$368)/100)</f>
        <v>17.30444</v>
      </c>
      <c r="H134" s="509">
        <f ca="1">LOOKUP(C134,'Growth Pattern'!B$15:B$376,'Growth Pattern'!F$15:F$368)-(LOOKUP(C134,'Growth Pattern'!B$15:B$376,'Growth Pattern'!I$15:I$368)*LOOKUP(C134,'Growth Pattern'!B$15:B$376,'Growth Pattern'!H$15:H$368)/100)</f>
        <v>26.024439999999998</v>
      </c>
      <c r="I134" s="509">
        <f ca="1">LOOKUP(C134,'Growth Pattern'!B$15:B$376,'Growth Pattern'!G$15:G$368)-(LOOKUP(C134,'Growth Pattern'!B$15:B$376,'Growth Pattern'!H$15:H$368)*LOOKUP(C134,'Growth Pattern'!B$15:B$376,'Growth Pattern'!I$15:I$368)/100)</f>
        <v>26.024439999999998</v>
      </c>
      <c r="J134" s="510">
        <f t="shared" ca="1" si="7"/>
        <v>399.57522833511484</v>
      </c>
      <c r="K134" s="511">
        <f ca="1">LOOKUP(C134,'Growth Pattern'!B$15:B$376,'Growth Pattern'!H$15:H$368)</f>
        <v>382.2</v>
      </c>
      <c r="L134" s="512">
        <f t="shared" ca="1" si="8"/>
        <v>-4.3484248028865885E-2</v>
      </c>
      <c r="M134" s="513" t="e">
        <f>LN('Growth Pattern'!F147/'Growth Pattern'!D147)/2</f>
        <v>#DIV/0!</v>
      </c>
      <c r="N134" s="523"/>
      <c r="O134" s="528"/>
    </row>
    <row r="135" spans="1:15" x14ac:dyDescent="0.25">
      <c r="A135" s="516">
        <v>2.1692277625128051</v>
      </c>
      <c r="B135" s="516">
        <v>0.04</v>
      </c>
      <c r="C135" s="516" t="s">
        <v>4144</v>
      </c>
      <c r="D135" s="507">
        <v>0.58269760220395483</v>
      </c>
      <c r="E135" s="508">
        <f t="shared" si="6"/>
        <v>9.8694691391744083E-2</v>
      </c>
      <c r="F135" s="509">
        <f ca="1">LOOKUP(C135,'Growth Pattern'!B$15:B$376,'Growth Pattern'!D$15:D$368)-(LOOKUP(C135,'Growth Pattern'!B$15:B$376,'Growth Pattern'!H$15:H$368)*LOOKUP(C135,'Growth Pattern'!B$15:B$376,'Growth Pattern'!I$15:I$368)/100)</f>
        <v>4.3710500000000003</v>
      </c>
      <c r="G135" s="509">
        <f ca="1">LOOKUP(C135,'Growth Pattern'!B$15:B$376,'Growth Pattern'!E$15:E$368)-(LOOKUP(C135,'Growth Pattern'!B$15:B$376,'Growth Pattern'!H$15:H$368)*LOOKUP(C135,'Growth Pattern'!B$15:B$376,'Growth Pattern'!I$15:I$368)/100)</f>
        <v>3.3710500000000003</v>
      </c>
      <c r="H135" s="509">
        <f ca="1">LOOKUP(C135,'Growth Pattern'!B$15:B$376,'Growth Pattern'!F$15:F$368)-(LOOKUP(C135,'Growth Pattern'!B$15:B$376,'Growth Pattern'!I$15:I$368)*LOOKUP(C135,'Growth Pattern'!B$15:B$376,'Growth Pattern'!H$15:H$368)/100)</f>
        <v>5.22105</v>
      </c>
      <c r="I135" s="509">
        <f ca="1">LOOKUP(C135,'Growth Pattern'!B$15:B$376,'Growth Pattern'!G$15:G$368)-(LOOKUP(C135,'Growth Pattern'!B$15:B$376,'Growth Pattern'!H$15:H$368)*LOOKUP(C135,'Growth Pattern'!B$15:B$376,'Growth Pattern'!I$15:I$368)/100)</f>
        <v>9.9210500000000028</v>
      </c>
      <c r="J135" s="510">
        <f t="shared" ca="1" si="7"/>
        <v>411.90104151498366</v>
      </c>
      <c r="K135" s="511">
        <f ca="1">LOOKUP(C135,'Growth Pattern'!B$15:B$376,'Growth Pattern'!H$15:H$368)</f>
        <v>105.3</v>
      </c>
      <c r="L135" s="512">
        <f t="shared" ca="1" si="8"/>
        <v>-0.74435607248599411</v>
      </c>
      <c r="M135" s="513">
        <f>LN('Growth Pattern'!F148/'Growth Pattern'!D148)/2</f>
        <v>3.449643574347571E-2</v>
      </c>
      <c r="N135" s="523"/>
      <c r="O135" s="528"/>
    </row>
    <row r="136" spans="1:15" x14ac:dyDescent="0.25">
      <c r="A136" s="507">
        <v>1.8690525552043915</v>
      </c>
      <c r="B136" s="507">
        <v>0.52</v>
      </c>
      <c r="C136" s="507" t="s">
        <v>1377</v>
      </c>
      <c r="D136" s="507">
        <v>0.17257785773247442</v>
      </c>
      <c r="E136" s="508">
        <f t="shared" si="6"/>
        <v>6.301427362272527E-2</v>
      </c>
      <c r="F136" s="509">
        <f ca="1">LOOKUP(C136,'Growth Pattern'!B$15:B$376,'Growth Pattern'!D$15:D$368)-(LOOKUP(C136,'Growth Pattern'!B$15:B$376,'Growth Pattern'!H$15:H$368)*LOOKUP(C136,'Growth Pattern'!B$15:B$376,'Growth Pattern'!I$15:I$368)/100)</f>
        <v>14.272995</v>
      </c>
      <c r="G136" s="509">
        <f ca="1">LOOKUP(C136,'Growth Pattern'!B$15:B$376,'Growth Pattern'!E$15:E$368)-(LOOKUP(C136,'Growth Pattern'!B$15:B$376,'Growth Pattern'!H$15:H$368)*LOOKUP(C136,'Growth Pattern'!B$15:B$376,'Growth Pattern'!I$15:I$368)/100)</f>
        <v>19.802994999999999</v>
      </c>
      <c r="H136" s="509">
        <f ca="1">LOOKUP(C136,'Growth Pattern'!B$15:B$376,'Growth Pattern'!F$15:F$368)-(LOOKUP(C136,'Growth Pattern'!B$15:B$376,'Growth Pattern'!I$15:I$368)*LOOKUP(C136,'Growth Pattern'!B$15:B$376,'Growth Pattern'!H$15:H$368)/100)</f>
        <v>27.302994999999999</v>
      </c>
      <c r="I136" s="509">
        <f ca="1">LOOKUP(C136,'Growth Pattern'!B$15:B$376,'Growth Pattern'!G$15:G$368)-(LOOKUP(C136,'Growth Pattern'!B$15:B$376,'Growth Pattern'!H$15:H$368)*LOOKUP(C136,'Growth Pattern'!B$15:B$376,'Growth Pattern'!I$15:I$368)/100)</f>
        <v>36.772994999999995</v>
      </c>
      <c r="J136" s="510">
        <f t="shared" ca="1" si="7"/>
        <v>-1745.2380609984461</v>
      </c>
      <c r="K136" s="511">
        <f ca="1">LOOKUP(C136,'Growth Pattern'!B$15:B$376,'Growth Pattern'!H$15:H$368)</f>
        <v>505.95</v>
      </c>
      <c r="L136" s="512">
        <f t="shared" ca="1" si="8"/>
        <v>-1.2899031434774848</v>
      </c>
      <c r="M136" s="513">
        <f>LN('Growth Pattern'!F149/'Growth Pattern'!D149)/2</f>
        <v>0.26917886357809612</v>
      </c>
      <c r="N136" s="523"/>
      <c r="O136" s="528"/>
    </row>
    <row r="137" spans="1:15" x14ac:dyDescent="0.25">
      <c r="A137" s="541">
        <v>1.7762476688034776</v>
      </c>
      <c r="B137" s="541">
        <v>0.51</v>
      </c>
      <c r="C137" s="541" t="s">
        <v>639</v>
      </c>
      <c r="D137" s="507">
        <v>0.53609894848166995</v>
      </c>
      <c r="E137" s="508">
        <f t="shared" si="6"/>
        <v>9.4640608517905289E-2</v>
      </c>
      <c r="F137" s="509">
        <f ca="1">LOOKUP(C137,'Growth Pattern'!B$15:B$376,'Growth Pattern'!D$15:D$368)-(LOOKUP(C137,'Growth Pattern'!B$15:B$376,'Growth Pattern'!H$15:H$368)*LOOKUP(C137,'Growth Pattern'!B$15:B$376,'Growth Pattern'!I$15:I$368)/100)</f>
        <v>66.900000000000006</v>
      </c>
      <c r="G137" s="509">
        <f ca="1">LOOKUP(C137,'Growth Pattern'!B$15:B$376,'Growth Pattern'!E$15:E$368)-(LOOKUP(C137,'Growth Pattern'!B$15:B$376,'Growth Pattern'!H$15:H$368)*LOOKUP(C137,'Growth Pattern'!B$15:B$376,'Growth Pattern'!I$15:I$368)/100)</f>
        <v>85.05</v>
      </c>
      <c r="H137" s="509">
        <f ca="1">LOOKUP(C137,'Growth Pattern'!B$15:B$376,'Growth Pattern'!F$15:F$368)-(LOOKUP(C137,'Growth Pattern'!B$15:B$376,'Growth Pattern'!I$15:I$368)*LOOKUP(C137,'Growth Pattern'!B$15:B$376,'Growth Pattern'!H$15:H$368)/100)</f>
        <v>109.65</v>
      </c>
      <c r="I137" s="509">
        <f ca="1">LOOKUP(C137,'Growth Pattern'!B$15:B$376,'Growth Pattern'!G$15:G$368)-(LOOKUP(C137,'Growth Pattern'!B$15:B$376,'Growth Pattern'!H$15:H$368)*LOOKUP(C137,'Growth Pattern'!B$15:B$376,'Growth Pattern'!I$15:I$368)/100)</f>
        <v>140.69999999999999</v>
      </c>
      <c r="J137" s="510">
        <f t="shared" ca="1" si="7"/>
        <v>7563.0067555004016</v>
      </c>
      <c r="K137" s="511">
        <f ca="1">LOOKUP(C137,'Growth Pattern'!B$15:B$376,'Growth Pattern'!H$15:H$368)</f>
        <v>2315.6999999999998</v>
      </c>
      <c r="L137" s="512">
        <f t="shared" ca="1" si="8"/>
        <v>-0.69381225286942338</v>
      </c>
      <c r="M137" s="513">
        <f>LN('Growth Pattern'!F150/'Growth Pattern'!D150)/2</f>
        <v>0.24704725386485721</v>
      </c>
      <c r="N137" s="523"/>
      <c r="O137" s="528"/>
    </row>
    <row r="138" spans="1:15" x14ac:dyDescent="0.25">
      <c r="A138" s="507">
        <v>1.7403236955766077</v>
      </c>
      <c r="B138" s="507">
        <v>0.48</v>
      </c>
      <c r="C138" s="507" t="s">
        <v>4337</v>
      </c>
      <c r="D138" s="507">
        <v>0.20307656669993249</v>
      </c>
      <c r="E138" s="508">
        <f t="shared" si="6"/>
        <v>6.5667661302894129E-2</v>
      </c>
      <c r="F138" s="509">
        <f ca="1">LOOKUP(C138,'Growth Pattern'!B$15:B$376,'Growth Pattern'!D$15:D$368)-(LOOKUP(C138,'Growth Pattern'!B$15:B$376,'Growth Pattern'!H$15:H$368)*LOOKUP(C138,'Growth Pattern'!B$15:B$376,'Growth Pattern'!I$15:I$368)/100)</f>
        <v>19.18</v>
      </c>
      <c r="G138" s="509">
        <f ca="1">LOOKUP(C138,'Growth Pattern'!B$15:B$376,'Growth Pattern'!E$15:E$368)-(LOOKUP(C138,'Growth Pattern'!B$15:B$376,'Growth Pattern'!H$15:H$368)*LOOKUP(C138,'Growth Pattern'!B$15:B$376,'Growth Pattern'!I$15:I$368)/100)</f>
        <v>23.4</v>
      </c>
      <c r="H138" s="509">
        <f ca="1">LOOKUP(C138,'Growth Pattern'!B$15:B$376,'Growth Pattern'!F$15:F$368)-(LOOKUP(C138,'Growth Pattern'!B$15:B$376,'Growth Pattern'!I$15:I$368)*LOOKUP(C138,'Growth Pattern'!B$15:B$376,'Growth Pattern'!H$15:H$368)/100)</f>
        <v>27.9</v>
      </c>
      <c r="I138" s="509">
        <f ca="1">LOOKUP(C138,'Growth Pattern'!B$15:B$376,'Growth Pattern'!G$15:G$368)-(LOOKUP(C138,'Growth Pattern'!B$15:B$376,'Growth Pattern'!H$15:H$368)*LOOKUP(C138,'Growth Pattern'!B$15:B$376,'Growth Pattern'!I$15:I$368)/100)</f>
        <v>32.68</v>
      </c>
      <c r="J138" s="510">
        <f t="shared" ca="1" si="7"/>
        <v>-1818.3756901529484</v>
      </c>
      <c r="K138" s="511">
        <f ca="1">LOOKUP(C138,'Growth Pattern'!B$15:B$376,'Growth Pattern'!H$15:H$368)</f>
        <v>658.85</v>
      </c>
      <c r="L138" s="512">
        <f t="shared" ca="1" si="8"/>
        <v>-1.3623288650238072</v>
      </c>
      <c r="M138" s="513">
        <f>LN('Growth Pattern'!F151/'Growth Pattern'!D151)/2</f>
        <v>0.18737930968601385</v>
      </c>
      <c r="N138" s="523"/>
      <c r="O138" s="528"/>
    </row>
    <row r="139" spans="1:15" x14ac:dyDescent="0.25">
      <c r="A139" s="507">
        <v>2.7152469737213969</v>
      </c>
      <c r="B139" s="507">
        <v>0.26</v>
      </c>
      <c r="C139" s="507" t="s">
        <v>3032</v>
      </c>
      <c r="D139" s="507">
        <v>0.30210349499066624</v>
      </c>
      <c r="E139" s="508">
        <f t="shared" si="6"/>
        <v>7.4283004064187974E-2</v>
      </c>
      <c r="F139" s="509">
        <f ca="1">LOOKUP(C139,'Growth Pattern'!B$15:B$376,'Growth Pattern'!D$15:D$368)-(LOOKUP(C139,'Growth Pattern'!B$15:B$376,'Growth Pattern'!H$15:H$368)*LOOKUP(C139,'Growth Pattern'!B$15:B$376,'Growth Pattern'!I$15:I$368)/100)</f>
        <v>111.77</v>
      </c>
      <c r="G139" s="509">
        <f ca="1">LOOKUP(C139,'Growth Pattern'!B$15:B$376,'Growth Pattern'!E$15:E$368)-(LOOKUP(C139,'Growth Pattern'!B$15:B$376,'Growth Pattern'!H$15:H$368)*LOOKUP(C139,'Growth Pattern'!B$15:B$376,'Growth Pattern'!I$15:I$368)/100)</f>
        <v>101.2</v>
      </c>
      <c r="H139" s="509">
        <f ca="1">LOOKUP(C139,'Growth Pattern'!B$15:B$376,'Growth Pattern'!F$15:F$368)-(LOOKUP(C139,'Growth Pattern'!B$15:B$376,'Growth Pattern'!I$15:I$368)*LOOKUP(C139,'Growth Pattern'!B$15:B$376,'Growth Pattern'!H$15:H$368)/100)</f>
        <v>119.17</v>
      </c>
      <c r="I139" s="509">
        <f ca="1">LOOKUP(C139,'Growth Pattern'!B$15:B$376,'Growth Pattern'!G$15:G$368)-(LOOKUP(C139,'Growth Pattern'!B$15:B$376,'Growth Pattern'!H$15:H$368)*LOOKUP(C139,'Growth Pattern'!B$15:B$376,'Growth Pattern'!I$15:I$368)/100)</f>
        <v>165.68</v>
      </c>
      <c r="J139" s="510">
        <f t="shared" ca="1" si="7"/>
        <v>-23065.470507876511</v>
      </c>
      <c r="K139" s="511">
        <f ca="1">LOOKUP(C139,'Growth Pattern'!B$15:B$376,'Growth Pattern'!H$15:H$368)</f>
        <v>1808.75</v>
      </c>
      <c r="L139" s="512">
        <f t="shared" ca="1" si="8"/>
        <v>-1.0784180838358506</v>
      </c>
      <c r="M139" s="513">
        <f>LN('Growth Pattern'!F152/'Growth Pattern'!D152)/2</f>
        <v>3.2053928352597308E-2</v>
      </c>
      <c r="N139" s="523"/>
      <c r="O139" s="528"/>
    </row>
    <row r="140" spans="1:15" x14ac:dyDescent="0.25">
      <c r="A140" s="516">
        <v>2.6568079729631253</v>
      </c>
      <c r="B140" s="516">
        <v>0.28999999999999998</v>
      </c>
      <c r="C140" s="516" t="s">
        <v>3034</v>
      </c>
      <c r="D140" s="507">
        <v>0.43712006971909712</v>
      </c>
      <c r="E140" s="508">
        <f t="shared" si="6"/>
        <v>8.6029446065561455E-2</v>
      </c>
      <c r="F140" s="509">
        <f ca="1">LOOKUP(C140,'Growth Pattern'!B$15:B$376,'Growth Pattern'!D$15:D$368)-(LOOKUP(C140,'Growth Pattern'!B$15:B$376,'Growth Pattern'!H$15:H$368)*LOOKUP(C140,'Growth Pattern'!B$15:B$376,'Growth Pattern'!I$15:I$368)/100)</f>
        <v>0</v>
      </c>
      <c r="G140" s="509">
        <f ca="1">LOOKUP(C140,'Growth Pattern'!B$15:B$376,'Growth Pattern'!E$15:E$368)-(LOOKUP(C140,'Growth Pattern'!B$15:B$376,'Growth Pattern'!H$15:H$368)*LOOKUP(C140,'Growth Pattern'!B$15:B$376,'Growth Pattern'!I$15:I$368)/100)</f>
        <v>0.4</v>
      </c>
      <c r="H140" s="509">
        <f ca="1">LOOKUP(C140,'Growth Pattern'!B$15:B$376,'Growth Pattern'!F$15:F$368)-(LOOKUP(C140,'Growth Pattern'!B$15:B$376,'Growth Pattern'!I$15:I$368)*LOOKUP(C140,'Growth Pattern'!B$15:B$376,'Growth Pattern'!H$15:H$368)/100)</f>
        <v>1.8</v>
      </c>
      <c r="I140" s="509">
        <f ca="1">LOOKUP(C140,'Growth Pattern'!B$15:B$376,'Growth Pattern'!G$15:G$368)-(LOOKUP(C140,'Growth Pattern'!B$15:B$376,'Growth Pattern'!H$15:H$368)*LOOKUP(C140,'Growth Pattern'!B$15:B$376,'Growth Pattern'!I$15:I$368)/100)</f>
        <v>4.200000000000002</v>
      </c>
      <c r="J140" s="510">
        <f t="shared" ca="1" si="7"/>
        <v>545.70429141621184</v>
      </c>
      <c r="K140" s="511">
        <f ca="1">LOOKUP(C140,'Growth Pattern'!B$15:B$376,'Growth Pattern'!H$15:H$368)</f>
        <v>33.549999999999997</v>
      </c>
      <c r="L140" s="512">
        <f t="shared" ca="1" si="8"/>
        <v>-0.93851981645053406</v>
      </c>
      <c r="M140" s="513" t="e">
        <f>LN('Growth Pattern'!F153/'Growth Pattern'!D153)/2</f>
        <v>#DIV/0!</v>
      </c>
      <c r="N140" s="523"/>
      <c r="O140" s="528"/>
    </row>
    <row r="141" spans="1:15" x14ac:dyDescent="0.25">
      <c r="A141" s="516">
        <v>2.3135681606162972</v>
      </c>
      <c r="B141" s="516">
        <v>0.31</v>
      </c>
      <c r="C141" s="543" t="s">
        <v>3036</v>
      </c>
      <c r="D141" s="507">
        <v>0.46761146869288994</v>
      </c>
      <c r="E141" s="508">
        <f t="shared" si="6"/>
        <v>8.8682197776281432E-2</v>
      </c>
      <c r="F141" s="509">
        <f ca="1">LOOKUP(C141,'Growth Pattern'!B$15:B$376,'Growth Pattern'!D$15:D$368)-(LOOKUP(C141,'Growth Pattern'!B$15:B$376,'Growth Pattern'!H$15:H$368)*LOOKUP(C141,'Growth Pattern'!B$15:B$376,'Growth Pattern'!I$15:I$368)/100)</f>
        <v>22.16</v>
      </c>
      <c r="G141" s="509">
        <f ca="1">LOOKUP(C141,'Growth Pattern'!B$15:B$376,'Growth Pattern'!E$15:E$368)-(LOOKUP(C141,'Growth Pattern'!B$15:B$376,'Growth Pattern'!H$15:H$368)*LOOKUP(C141,'Growth Pattern'!B$15:B$376,'Growth Pattern'!I$15:I$368)/100)</f>
        <v>16.7</v>
      </c>
      <c r="H141" s="509">
        <f ca="1">LOOKUP(C141,'Growth Pattern'!B$15:B$376,'Growth Pattern'!F$15:F$368)-(LOOKUP(C141,'Growth Pattern'!B$15:B$376,'Growth Pattern'!I$15:I$368)*LOOKUP(C141,'Growth Pattern'!B$15:B$376,'Growth Pattern'!H$15:H$368)/100)</f>
        <v>20.2</v>
      </c>
      <c r="I141" s="509">
        <f ca="1">LOOKUP(C141,'Growth Pattern'!B$15:B$376,'Growth Pattern'!G$15:G$368)-(LOOKUP(C141,'Growth Pattern'!B$15:B$376,'Growth Pattern'!H$15:H$368)*LOOKUP(C141,'Growth Pattern'!B$15:B$376,'Growth Pattern'!I$15:I$368)/100)</f>
        <v>32.660000000000011</v>
      </c>
      <c r="J141" s="510">
        <f t="shared" ca="1" si="7"/>
        <v>2969.8420227528654</v>
      </c>
      <c r="K141" s="511">
        <f ca="1">LOOKUP(C141,'Growth Pattern'!B$15:B$376,'Growth Pattern'!H$15:H$368)</f>
        <v>192.1</v>
      </c>
      <c r="L141" s="512">
        <f t="shared" ca="1" si="8"/>
        <v>-0.93531642473631149</v>
      </c>
      <c r="M141" s="513">
        <f>LN('Growth Pattern'!F154/'Growth Pattern'!D154)/2</f>
        <v>-4.6303128735962013E-2</v>
      </c>
      <c r="N141" s="523"/>
      <c r="O141" s="528"/>
    </row>
    <row r="142" spans="1:15" x14ac:dyDescent="0.25">
      <c r="A142" s="516">
        <v>1.8536030415864009</v>
      </c>
      <c r="B142" s="516">
        <v>0.23</v>
      </c>
      <c r="C142" s="516" t="s">
        <v>1378</v>
      </c>
      <c r="D142" s="507">
        <v>0.37725980927353397</v>
      </c>
      <c r="E142" s="508">
        <f t="shared" si="6"/>
        <v>8.0821603406797463E-2</v>
      </c>
      <c r="F142" s="509">
        <f ca="1">LOOKUP(C142,'Growth Pattern'!B$15:B$376,'Growth Pattern'!D$15:D$368)-(LOOKUP(C142,'Growth Pattern'!B$15:B$376,'Growth Pattern'!H$15:H$368)*LOOKUP(C142,'Growth Pattern'!B$15:B$376,'Growth Pattern'!I$15:I$368)/100)</f>
        <v>9.6</v>
      </c>
      <c r="G142" s="509">
        <f ca="1">LOOKUP(C142,'Growth Pattern'!B$15:B$376,'Growth Pattern'!E$15:E$368)-(LOOKUP(C142,'Growth Pattern'!B$15:B$376,'Growth Pattern'!H$15:H$368)*LOOKUP(C142,'Growth Pattern'!B$15:B$376,'Growth Pattern'!I$15:I$368)/100)</f>
        <v>9.82</v>
      </c>
      <c r="H142" s="509">
        <f ca="1">LOOKUP(C142,'Growth Pattern'!B$15:B$376,'Growth Pattern'!F$15:F$368)-(LOOKUP(C142,'Growth Pattern'!B$15:B$376,'Growth Pattern'!I$15:I$368)*LOOKUP(C142,'Growth Pattern'!B$15:B$376,'Growth Pattern'!H$15:H$368)/100)</f>
        <v>11.5</v>
      </c>
      <c r="I142" s="509">
        <f ca="1">LOOKUP(C142,'Growth Pattern'!B$15:B$376,'Growth Pattern'!G$15:G$368)-(LOOKUP(C142,'Growth Pattern'!B$15:B$376,'Growth Pattern'!H$15:H$368)*LOOKUP(C142,'Growth Pattern'!B$15:B$376,'Growth Pattern'!I$15:I$368)/100)</f>
        <v>14.64</v>
      </c>
      <c r="J142" s="510">
        <f t="shared" ca="1" si="7"/>
        <v>14141.447341971912</v>
      </c>
      <c r="K142" s="511">
        <f ca="1">LOOKUP(C142,'Growth Pattern'!B$15:B$376,'Growth Pattern'!H$15:H$368)</f>
        <v>310.2</v>
      </c>
      <c r="L142" s="512">
        <f t="shared" ca="1" si="8"/>
        <v>-0.97806448007062718</v>
      </c>
      <c r="M142" s="513">
        <f>LN('Growth Pattern'!F155/'Growth Pattern'!D155)/2</f>
        <v>9.0291968447706941E-2</v>
      </c>
      <c r="N142" s="523"/>
      <c r="O142" s="528"/>
    </row>
    <row r="143" spans="1:15" x14ac:dyDescent="0.25">
      <c r="A143" s="516">
        <v>1.9089594147021189</v>
      </c>
      <c r="B143" s="516">
        <v>0.25</v>
      </c>
      <c r="C143" s="516" t="s">
        <v>904</v>
      </c>
      <c r="D143" s="507">
        <v>0.37091630767401679</v>
      </c>
      <c r="E143" s="508">
        <f t="shared" si="6"/>
        <v>8.026971876763947E-2</v>
      </c>
      <c r="F143" s="509">
        <f ca="1">LOOKUP(C143,'Growth Pattern'!B$15:B$376,'Growth Pattern'!D$15:D$368)-(LOOKUP(C143,'Growth Pattern'!B$15:B$376,'Growth Pattern'!H$15:H$368)*LOOKUP(C143,'Growth Pattern'!B$15:B$376,'Growth Pattern'!I$15:I$368)/100)</f>
        <v>95.65</v>
      </c>
      <c r="G143" s="509">
        <f ca="1">LOOKUP(C143,'Growth Pattern'!B$15:B$376,'Growth Pattern'!E$15:E$368)-(LOOKUP(C143,'Growth Pattern'!B$15:B$376,'Growth Pattern'!H$15:H$368)*LOOKUP(C143,'Growth Pattern'!B$15:B$376,'Growth Pattern'!I$15:I$368)/100)</f>
        <v>105.5</v>
      </c>
      <c r="H143" s="509">
        <f ca="1">LOOKUP(C143,'Growth Pattern'!B$15:B$376,'Growth Pattern'!F$15:F$368)-(LOOKUP(C143,'Growth Pattern'!B$15:B$376,'Growth Pattern'!I$15:I$368)*LOOKUP(C143,'Growth Pattern'!B$15:B$376,'Growth Pattern'!H$15:H$368)/100)</f>
        <v>131.19999999999999</v>
      </c>
      <c r="I143" s="509">
        <f ca="1">LOOKUP(C143,'Growth Pattern'!B$15:B$376,'Growth Pattern'!G$15:G$368)-(LOOKUP(C143,'Growth Pattern'!B$15:B$376,'Growth Pattern'!H$15:H$368)*LOOKUP(C143,'Growth Pattern'!B$15:B$376,'Growth Pattern'!I$15:I$368)/100)</f>
        <v>172.75</v>
      </c>
      <c r="J143" s="510">
        <f t="shared" ca="1" si="7"/>
        <v>508360.21353397355</v>
      </c>
      <c r="K143" s="511">
        <f ca="1">LOOKUP(C143,'Growth Pattern'!B$15:B$376,'Growth Pattern'!H$15:H$368)</f>
        <v>134.55000000000001</v>
      </c>
      <c r="L143" s="512">
        <f t="shared" ca="1" si="8"/>
        <v>-0.99973532547115629</v>
      </c>
      <c r="M143" s="513">
        <f>LN('Growth Pattern'!F156/'Growth Pattern'!D156)/2</f>
        <v>0.15801359031186329</v>
      </c>
      <c r="N143" s="523"/>
      <c r="O143" s="528"/>
    </row>
    <row r="144" spans="1:15" x14ac:dyDescent="0.25">
      <c r="A144" s="516">
        <v>0.72525355230112676</v>
      </c>
      <c r="B144" s="516">
        <v>0.26</v>
      </c>
      <c r="C144" s="516" t="s">
        <v>906</v>
      </c>
      <c r="D144" s="507">
        <v>0.97031479135178922</v>
      </c>
      <c r="E144" s="508">
        <f t="shared" si="6"/>
        <v>0.13241738684760568</v>
      </c>
      <c r="F144" s="509">
        <f ca="1">LOOKUP(C144,'Growth Pattern'!B$15:B$376,'Growth Pattern'!D$15:D$368)-(LOOKUP(C144,'Growth Pattern'!B$15:B$376,'Growth Pattern'!H$15:H$368)*LOOKUP(C144,'Growth Pattern'!B$15:B$376,'Growth Pattern'!I$15:I$368)/100)</f>
        <v>12.351934999999997</v>
      </c>
      <c r="G144" s="509">
        <f ca="1">LOOKUP(C144,'Growth Pattern'!B$15:B$376,'Growth Pattern'!E$15:E$368)-(LOOKUP(C144,'Growth Pattern'!B$15:B$376,'Growth Pattern'!H$15:H$368)*LOOKUP(C144,'Growth Pattern'!B$15:B$376,'Growth Pattern'!I$15:I$368)/100)</f>
        <v>34.661935</v>
      </c>
      <c r="H144" s="509">
        <f ca="1">LOOKUP(C144,'Growth Pattern'!B$15:B$376,'Growth Pattern'!F$15:F$368)-(LOOKUP(C144,'Growth Pattern'!B$15:B$376,'Growth Pattern'!I$15:I$368)*LOOKUP(C144,'Growth Pattern'!B$15:B$376,'Growth Pattern'!H$15:H$368)/100)</f>
        <v>50.461934999999997</v>
      </c>
      <c r="I144" s="509">
        <f ca="1">LOOKUP(C144,'Growth Pattern'!B$15:B$376,'Growth Pattern'!G$15:G$368)-(LOOKUP(C144,'Growth Pattern'!B$15:B$376,'Growth Pattern'!H$15:H$368)*LOOKUP(C144,'Growth Pattern'!B$15:B$376,'Growth Pattern'!I$15:I$368)/100)</f>
        <v>50.461934999999997</v>
      </c>
      <c r="J144" s="510">
        <f t="shared" ca="1" si="7"/>
        <v>745.2432312304943</v>
      </c>
      <c r="K144" s="511">
        <f ca="1">LOOKUP(C144,'Growth Pattern'!B$15:B$376,'Growth Pattern'!H$15:H$368)</f>
        <v>1958.65</v>
      </c>
      <c r="L144" s="512">
        <f t="shared" ca="1" si="8"/>
        <v>1.6282023343788203</v>
      </c>
      <c r="M144" s="513">
        <f>LN('Growth Pattern'!F157/'Growth Pattern'!D157)/2</f>
        <v>0.22410715697899775</v>
      </c>
      <c r="N144" s="523"/>
      <c r="O144" s="528"/>
    </row>
    <row r="145" spans="1:15" x14ac:dyDescent="0.25">
      <c r="A145" s="516">
        <v>2.3532949246383743</v>
      </c>
      <c r="B145" s="516">
        <v>0.09</v>
      </c>
      <c r="C145" s="516" t="s">
        <v>908</v>
      </c>
      <c r="D145" s="507">
        <v>0.72872250007332418</v>
      </c>
      <c r="E145" s="508">
        <f t="shared" si="6"/>
        <v>0.11139885750637921</v>
      </c>
      <c r="F145" s="509">
        <f ca="1">LOOKUP(C145,'Growth Pattern'!B$15:B$376,'Growth Pattern'!D$15:D$368)-(LOOKUP(C145,'Growth Pattern'!B$15:B$376,'Growth Pattern'!H$15:H$368)*LOOKUP(C145,'Growth Pattern'!B$15:B$376,'Growth Pattern'!I$15:I$368)/100)</f>
        <v>0.72106000000000003</v>
      </c>
      <c r="G145" s="509">
        <f ca="1">LOOKUP(C145,'Growth Pattern'!B$15:B$376,'Growth Pattern'!E$15:E$368)-(LOOKUP(C145,'Growth Pattern'!B$15:B$376,'Growth Pattern'!H$15:H$368)*LOOKUP(C145,'Growth Pattern'!B$15:B$376,'Growth Pattern'!I$15:I$368)/100)</f>
        <v>1.4010600000000002</v>
      </c>
      <c r="H145" s="509">
        <f ca="1">LOOKUP(C145,'Growth Pattern'!B$15:B$376,'Growth Pattern'!F$15:F$368)-(LOOKUP(C145,'Growth Pattern'!B$15:B$376,'Growth Pattern'!I$15:I$368)*LOOKUP(C145,'Growth Pattern'!B$15:B$376,'Growth Pattern'!H$15:H$368)/100)</f>
        <v>2.3510599999999999</v>
      </c>
      <c r="I145" s="509">
        <f ca="1">LOOKUP(C145,'Growth Pattern'!B$15:B$376,'Growth Pattern'!G$15:G$368)-(LOOKUP(C145,'Growth Pattern'!B$15:B$376,'Growth Pattern'!H$15:H$368)*LOOKUP(C145,'Growth Pattern'!B$15:B$376,'Growth Pattern'!I$15:I$368)/100)</f>
        <v>3.5710599999999983</v>
      </c>
      <c r="J145" s="510">
        <f t="shared" ca="1" si="7"/>
        <v>86.73142618226052</v>
      </c>
      <c r="K145" s="511">
        <f ca="1">LOOKUP(C145,'Growth Pattern'!B$15:B$376,'Growth Pattern'!H$15:H$368)</f>
        <v>40.6</v>
      </c>
      <c r="L145" s="512">
        <f t="shared" ca="1" si="8"/>
        <v>-0.53188824642775145</v>
      </c>
      <c r="M145" s="513">
        <f>LN('Growth Pattern'!F158/'Growth Pattern'!D158)/2</f>
        <v>0.50973748405469288</v>
      </c>
      <c r="N145" s="523"/>
      <c r="O145" s="528"/>
    </row>
    <row r="146" spans="1:15" x14ac:dyDescent="0.25">
      <c r="A146" s="516">
        <v>2.266873876292578</v>
      </c>
      <c r="B146" s="516">
        <v>7.0000000000000007E-2</v>
      </c>
      <c r="C146" s="516" t="s">
        <v>1870</v>
      </c>
      <c r="D146" s="507">
        <v>0.6016582742635318</v>
      </c>
      <c r="E146" s="508">
        <f t="shared" si="6"/>
        <v>0.10034426986092727</v>
      </c>
      <c r="F146" s="509">
        <f ca="1">LOOKUP(C146,'Growth Pattern'!B$15:B$376,'Growth Pattern'!D$15:D$368)-(LOOKUP(C146,'Growth Pattern'!B$15:B$376,'Growth Pattern'!H$15:H$368)*LOOKUP(C146,'Growth Pattern'!B$15:B$376,'Growth Pattern'!I$15:I$368)/100)</f>
        <v>6.84</v>
      </c>
      <c r="G146" s="509">
        <f ca="1">LOOKUP(C146,'Growth Pattern'!B$15:B$376,'Growth Pattern'!E$15:E$368)-(LOOKUP(C146,'Growth Pattern'!B$15:B$376,'Growth Pattern'!H$15:H$368)*LOOKUP(C146,'Growth Pattern'!B$15:B$376,'Growth Pattern'!I$15:I$368)/100)</f>
        <v>7.7</v>
      </c>
      <c r="H146" s="509">
        <f ca="1">LOOKUP(C146,'Growth Pattern'!B$15:B$376,'Growth Pattern'!F$15:F$368)-(LOOKUP(C146,'Growth Pattern'!B$15:B$376,'Growth Pattern'!I$15:I$368)*LOOKUP(C146,'Growth Pattern'!B$15:B$376,'Growth Pattern'!H$15:H$368)/100)</f>
        <v>9.5</v>
      </c>
      <c r="I146" s="509">
        <f ca="1">LOOKUP(C146,'Growth Pattern'!B$15:B$376,'Growth Pattern'!G$15:G$368)-(LOOKUP(C146,'Growth Pattern'!B$15:B$376,'Growth Pattern'!H$15:H$368)*LOOKUP(C146,'Growth Pattern'!B$15:B$376,'Growth Pattern'!I$15:I$368)/100)</f>
        <v>12.240000000000002</v>
      </c>
      <c r="J146" s="510">
        <f t="shared" ca="1" si="7"/>
        <v>473.28374024774126</v>
      </c>
      <c r="K146" s="511">
        <f ca="1">LOOKUP(C146,'Growth Pattern'!B$15:B$376,'Growth Pattern'!H$15:H$368)</f>
        <v>161.94999999999999</v>
      </c>
      <c r="L146" s="512">
        <f t="shared" ca="1" si="8"/>
        <v>-0.65781626067435373</v>
      </c>
      <c r="M146" s="513">
        <f>LN('Growth Pattern'!F159/'Growth Pattern'!D159)/2</f>
        <v>0.16425203348601802</v>
      </c>
      <c r="N146" s="523"/>
      <c r="O146" s="528"/>
    </row>
    <row r="147" spans="1:15" x14ac:dyDescent="0.25">
      <c r="A147" s="516">
        <v>2.2076436194186972</v>
      </c>
      <c r="B147" s="516">
        <v>0.48</v>
      </c>
      <c r="C147" s="516" t="s">
        <v>1259</v>
      </c>
      <c r="D147" s="507">
        <v>0.22680471784213052</v>
      </c>
      <c r="E147" s="508">
        <f t="shared" si="6"/>
        <v>6.7732010452265359E-2</v>
      </c>
      <c r="F147" s="509">
        <f ca="1">LOOKUP(C147,'Growth Pattern'!B$15:B$376,'Growth Pattern'!D$15:D$368)-(LOOKUP(C147,'Growth Pattern'!B$15:B$376,'Growth Pattern'!H$15:H$368)*LOOKUP(C147,'Growth Pattern'!B$15:B$376,'Growth Pattern'!I$15:I$368)/100)</f>
        <v>-1.57</v>
      </c>
      <c r="G147" s="509">
        <f ca="1">LOOKUP(C147,'Growth Pattern'!B$15:B$376,'Growth Pattern'!E$15:E$368)-(LOOKUP(C147,'Growth Pattern'!B$15:B$376,'Growth Pattern'!H$15:H$368)*LOOKUP(C147,'Growth Pattern'!B$15:B$376,'Growth Pattern'!I$15:I$368)/100)</f>
        <v>-3.2</v>
      </c>
      <c r="H147" s="509">
        <f ca="1">LOOKUP(C147,'Growth Pattern'!B$15:B$376,'Growth Pattern'!F$15:F$368)-(LOOKUP(C147,'Growth Pattern'!B$15:B$376,'Growth Pattern'!I$15:I$368)*LOOKUP(C147,'Growth Pattern'!B$15:B$376,'Growth Pattern'!H$15:H$368)/100)</f>
        <v>-2.5</v>
      </c>
      <c r="I147" s="509">
        <f ca="1">LOOKUP(C147,'Growth Pattern'!B$15:B$376,'Growth Pattern'!G$15:G$368)-(LOOKUP(C147,'Growth Pattern'!B$15:B$376,'Growth Pattern'!H$15:H$368)*LOOKUP(C147,'Growth Pattern'!B$15:B$376,'Growth Pattern'!I$15:I$368)/100)</f>
        <v>0.53000000000000336</v>
      </c>
      <c r="J147" s="510">
        <f t="shared" ca="1" si="7"/>
        <v>-42.250681189377993</v>
      </c>
      <c r="K147" s="511">
        <f ca="1">LOOKUP(C147,'Growth Pattern'!B$15:B$376,'Growth Pattern'!H$15:H$368)</f>
        <v>15.8</v>
      </c>
      <c r="L147" s="512">
        <f t="shared" ca="1" si="8"/>
        <v>-1.3739584677742946</v>
      </c>
      <c r="M147" s="513">
        <f>LN('Growth Pattern'!F160/'Growth Pattern'!D160)/2</f>
        <v>0.23260755625696913</v>
      </c>
      <c r="N147" s="523"/>
      <c r="O147" s="528"/>
    </row>
    <row r="148" spans="1:15" x14ac:dyDescent="0.25">
      <c r="A148" s="516">
        <v>2.267503984131745</v>
      </c>
      <c r="B148" s="516">
        <v>0.43</v>
      </c>
      <c r="C148" s="516" t="s">
        <v>4363</v>
      </c>
      <c r="D148" s="507">
        <v>0.4403649615219738</v>
      </c>
      <c r="E148" s="508">
        <f t="shared" si="6"/>
        <v>8.6311751652411728E-2</v>
      </c>
      <c r="F148" s="509">
        <f ca="1">LOOKUP(C148,'Growth Pattern'!B$15:B$376,'Growth Pattern'!D$15:D$368)-(LOOKUP(C148,'Growth Pattern'!B$15:B$376,'Growth Pattern'!H$15:H$368)*LOOKUP(C148,'Growth Pattern'!B$15:B$376,'Growth Pattern'!I$15:I$368)/100)</f>
        <v>35.99</v>
      </c>
      <c r="G148" s="509">
        <f ca="1">LOOKUP(C148,'Growth Pattern'!B$15:B$376,'Growth Pattern'!E$15:E$368)-(LOOKUP(C148,'Growth Pattern'!B$15:B$376,'Growth Pattern'!H$15:H$368)*LOOKUP(C148,'Growth Pattern'!B$15:B$376,'Growth Pattern'!I$15:I$368)/100)</f>
        <v>45.3</v>
      </c>
      <c r="H148" s="509">
        <f ca="1">LOOKUP(C148,'Growth Pattern'!B$15:B$376,'Growth Pattern'!F$15:F$368)-(LOOKUP(C148,'Growth Pattern'!B$15:B$376,'Growth Pattern'!I$15:I$368)*LOOKUP(C148,'Growth Pattern'!B$15:B$376,'Growth Pattern'!H$15:H$368)/100)</f>
        <v>57.4</v>
      </c>
      <c r="I148" s="509">
        <f ca="1">LOOKUP(C148,'Growth Pattern'!B$15:B$376,'Growth Pattern'!G$15:G$368)-(LOOKUP(C148,'Growth Pattern'!B$15:B$376,'Growth Pattern'!H$15:H$368)*LOOKUP(C148,'Growth Pattern'!B$15:B$376,'Growth Pattern'!I$15:I$368)/100)</f>
        <v>72.289999999999992</v>
      </c>
      <c r="J148" s="510">
        <f t="shared" ca="1" si="7"/>
        <v>9060.7214352745832</v>
      </c>
      <c r="K148" s="511">
        <f ca="1">LOOKUP(C148,'Growth Pattern'!B$15:B$376,'Growth Pattern'!H$15:H$368)</f>
        <v>1043.2</v>
      </c>
      <c r="L148" s="512">
        <f t="shared" ca="1" si="8"/>
        <v>-0.88486568012799904</v>
      </c>
      <c r="M148" s="513">
        <f>LN('Growth Pattern'!F161/'Growth Pattern'!D161)/2</f>
        <v>0.23340159061729063</v>
      </c>
      <c r="N148" s="523"/>
      <c r="O148" s="528"/>
    </row>
    <row r="149" spans="1:15" x14ac:dyDescent="0.25">
      <c r="A149" s="506">
        <v>2.1947559863178343</v>
      </c>
      <c r="B149" s="506">
        <v>0.48</v>
      </c>
      <c r="C149" s="506" t="s">
        <v>1336</v>
      </c>
      <c r="D149" s="507">
        <v>0.33125144261722728</v>
      </c>
      <c r="E149" s="508">
        <f t="shared" si="6"/>
        <v>7.6818875507698781E-2</v>
      </c>
      <c r="F149" s="509">
        <f ca="1">LOOKUP(C149,'Growth Pattern'!B$15:B$376,'Growth Pattern'!D$15:D$368)-(LOOKUP(C149,'Growth Pattern'!B$15:B$376,'Growth Pattern'!H$15:H$368)*LOOKUP(C149,'Growth Pattern'!B$15:B$376,'Growth Pattern'!I$15:I$368)/100)</f>
        <v>42.59</v>
      </c>
      <c r="G149" s="509">
        <f ca="1">LOOKUP(C149,'Growth Pattern'!B$15:B$376,'Growth Pattern'!E$15:E$368)-(LOOKUP(C149,'Growth Pattern'!B$15:B$376,'Growth Pattern'!H$15:H$368)*LOOKUP(C149,'Growth Pattern'!B$15:B$376,'Growth Pattern'!I$15:I$368)/100)</f>
        <v>42.3</v>
      </c>
      <c r="H149" s="509">
        <f ca="1">LOOKUP(C149,'Growth Pattern'!B$15:B$376,'Growth Pattern'!F$15:F$368)-(LOOKUP(C149,'Growth Pattern'!B$15:B$376,'Growth Pattern'!I$15:I$368)*LOOKUP(C149,'Growth Pattern'!B$15:B$376,'Growth Pattern'!H$15:H$368)/100)</f>
        <v>46.35</v>
      </c>
      <c r="I149" s="509">
        <f ca="1">LOOKUP(C149,'Growth Pattern'!B$15:B$376,'Growth Pattern'!G$15:G$368)-(LOOKUP(C149,'Growth Pattern'!B$15:B$376,'Growth Pattern'!H$15:H$368)*LOOKUP(C149,'Growth Pattern'!B$15:B$376,'Growth Pattern'!I$15:I$368)/100)</f>
        <v>54.740000000000023</v>
      </c>
      <c r="J149" s="510">
        <f t="shared" ca="1" si="7"/>
        <v>-13659.644026974285</v>
      </c>
      <c r="K149" s="511">
        <f ca="1">LOOKUP(C149,'Growth Pattern'!B$15:B$376,'Growth Pattern'!H$15:H$368)</f>
        <v>854.95</v>
      </c>
      <c r="L149" s="512">
        <f t="shared" ca="1" si="8"/>
        <v>-1.0625894787822943</v>
      </c>
      <c r="M149" s="513">
        <f>LN('Growth Pattern'!F162/'Growth Pattern'!D162)/2</f>
        <v>4.2300904038371008E-2</v>
      </c>
      <c r="N149" s="523"/>
      <c r="O149" s="528"/>
    </row>
    <row r="150" spans="1:15" x14ac:dyDescent="0.25">
      <c r="A150" s="516">
        <v>2.4643344447571236</v>
      </c>
      <c r="B150" s="516">
        <v>0.45</v>
      </c>
      <c r="C150" s="516" t="s">
        <v>3787</v>
      </c>
      <c r="D150" s="507">
        <v>0.40352956881549618</v>
      </c>
      <c r="E150" s="508">
        <f t="shared" si="6"/>
        <v>8.310707248694818E-2</v>
      </c>
      <c r="F150" s="509">
        <f ca="1">LOOKUP(C150,'Growth Pattern'!B$15:B$376,'Growth Pattern'!D$15:D$368)-(LOOKUP(C150,'Growth Pattern'!B$15:B$376,'Growth Pattern'!H$15:H$368)*LOOKUP(C150,'Growth Pattern'!B$15:B$376,'Growth Pattern'!I$15:I$368)/100)</f>
        <v>14.08</v>
      </c>
      <c r="G150" s="509">
        <f ca="1">LOOKUP(C150,'Growth Pattern'!B$15:B$376,'Growth Pattern'!E$15:E$368)-(LOOKUP(C150,'Growth Pattern'!B$15:B$376,'Growth Pattern'!H$15:H$368)*LOOKUP(C150,'Growth Pattern'!B$15:B$376,'Growth Pattern'!I$15:I$368)/100)</f>
        <v>15.93</v>
      </c>
      <c r="H150" s="509">
        <f ca="1">LOOKUP(C150,'Growth Pattern'!B$15:B$376,'Growth Pattern'!F$15:F$368)-(LOOKUP(C150,'Growth Pattern'!B$15:B$376,'Growth Pattern'!I$15:I$368)*LOOKUP(C150,'Growth Pattern'!B$15:B$376,'Growth Pattern'!H$15:H$368)/100)</f>
        <v>18.45</v>
      </c>
      <c r="I150" s="509">
        <f ca="1">LOOKUP(C150,'Growth Pattern'!B$15:B$376,'Growth Pattern'!G$15:G$368)-(LOOKUP(C150,'Growth Pattern'!B$15:B$376,'Growth Pattern'!H$15:H$368)*LOOKUP(C150,'Growth Pattern'!B$15:B$376,'Growth Pattern'!I$15:I$368)/100)</f>
        <v>21.64</v>
      </c>
      <c r="J150" s="510">
        <f t="shared" ca="1" si="7"/>
        <v>5525.9174971585853</v>
      </c>
      <c r="K150" s="511">
        <f ca="1">LOOKUP(C150,'Growth Pattern'!B$15:B$376,'Growth Pattern'!H$15:H$368)</f>
        <v>133.25</v>
      </c>
      <c r="L150" s="512">
        <f t="shared" ca="1" si="8"/>
        <v>-0.97588635732102103</v>
      </c>
      <c r="M150" s="513">
        <f>LN('Growth Pattern'!F163/'Growth Pattern'!D163)/2</f>
        <v>0.1351545098783199</v>
      </c>
      <c r="N150" s="523"/>
      <c r="O150" s="528"/>
    </row>
    <row r="151" spans="1:15" x14ac:dyDescent="0.25">
      <c r="A151" s="516">
        <v>2.454693370252508</v>
      </c>
      <c r="B151" s="516">
        <v>0.13</v>
      </c>
      <c r="C151" s="516" t="s">
        <v>4360</v>
      </c>
      <c r="D151" s="507">
        <v>0.78499512814985561</v>
      </c>
      <c r="E151" s="508">
        <f t="shared" si="6"/>
        <v>0.11629457614903745</v>
      </c>
      <c r="F151" s="509">
        <f ca="1">LOOKUP(C151,'Growth Pattern'!B$15:B$376,'Growth Pattern'!D$15:D$368)-(LOOKUP(C151,'Growth Pattern'!B$15:B$376,'Growth Pattern'!H$15:H$368)*LOOKUP(C151,'Growth Pattern'!B$15:B$376,'Growth Pattern'!I$15:I$368)/100)</f>
        <v>7.74</v>
      </c>
      <c r="G151" s="509">
        <f ca="1">LOOKUP(C151,'Growth Pattern'!B$15:B$376,'Growth Pattern'!E$15:E$368)-(LOOKUP(C151,'Growth Pattern'!B$15:B$376,'Growth Pattern'!H$15:H$368)*LOOKUP(C151,'Growth Pattern'!B$15:B$376,'Growth Pattern'!I$15:I$368)/100)</f>
        <v>9.1999999999999993</v>
      </c>
      <c r="H151" s="509">
        <f ca="1">LOOKUP(C151,'Growth Pattern'!B$15:B$376,'Growth Pattern'!F$15:F$368)-(LOOKUP(C151,'Growth Pattern'!B$15:B$376,'Growth Pattern'!I$15:I$368)*LOOKUP(C151,'Growth Pattern'!B$15:B$376,'Growth Pattern'!H$15:H$368)/100)</f>
        <v>11.1</v>
      </c>
      <c r="I151" s="509">
        <f ca="1">LOOKUP(C151,'Growth Pattern'!B$15:B$376,'Growth Pattern'!G$15:G$368)-(LOOKUP(C151,'Growth Pattern'!B$15:B$376,'Growth Pattern'!H$15:H$368)*LOOKUP(C151,'Growth Pattern'!B$15:B$376,'Growth Pattern'!I$15:I$368)/100)</f>
        <v>13.440000000000001</v>
      </c>
      <c r="J151" s="510">
        <f t="shared" ca="1" si="7"/>
        <v>291.09724328567086</v>
      </c>
      <c r="K151" s="511">
        <f ca="1">LOOKUP(C151,'Growth Pattern'!B$15:B$376,'Growth Pattern'!H$15:H$368)</f>
        <v>137.30000000000001</v>
      </c>
      <c r="L151" s="512">
        <f t="shared" ca="1" si="8"/>
        <v>-0.52833630971469059</v>
      </c>
      <c r="M151" s="513">
        <f>LN('Growth Pattern'!F164/'Growth Pattern'!D164)/2</f>
        <v>0.18027171035832631</v>
      </c>
      <c r="N151" s="523"/>
      <c r="O151" s="528"/>
    </row>
    <row r="152" spans="1:15" x14ac:dyDescent="0.25">
      <c r="A152" s="516">
        <v>1.611514397764952</v>
      </c>
      <c r="B152" s="516">
        <v>0.13</v>
      </c>
      <c r="C152" s="516" t="s">
        <v>1379</v>
      </c>
      <c r="D152" s="507">
        <v>0.53232558043711753</v>
      </c>
      <c r="E152" s="508">
        <f t="shared" si="6"/>
        <v>9.4312325498029231E-2</v>
      </c>
      <c r="F152" s="509">
        <f ca="1">LOOKUP(C152,'Growth Pattern'!B$15:B$376,'Growth Pattern'!D$15:D$368)-(LOOKUP(C152,'Growth Pattern'!B$15:B$376,'Growth Pattern'!H$15:H$368)*LOOKUP(C152,'Growth Pattern'!B$15:B$376,'Growth Pattern'!I$15:I$368)/100)</f>
        <v>92.16</v>
      </c>
      <c r="G152" s="509">
        <f ca="1">LOOKUP(C152,'Growth Pattern'!B$15:B$376,'Growth Pattern'!E$15:E$368)-(LOOKUP(C152,'Growth Pattern'!B$15:B$376,'Growth Pattern'!H$15:H$368)*LOOKUP(C152,'Growth Pattern'!B$15:B$376,'Growth Pattern'!I$15:I$368)/100)</f>
        <v>122.15</v>
      </c>
      <c r="H152" s="509">
        <f ca="1">LOOKUP(C152,'Growth Pattern'!B$15:B$376,'Growth Pattern'!F$15:F$368)-(LOOKUP(C152,'Growth Pattern'!B$15:B$376,'Growth Pattern'!I$15:I$368)*LOOKUP(C152,'Growth Pattern'!B$15:B$376,'Growth Pattern'!H$15:H$368)/100)</f>
        <v>128.25</v>
      </c>
      <c r="I152" s="509">
        <f ca="1">LOOKUP(C152,'Growth Pattern'!B$15:B$376,'Growth Pattern'!G$15:G$368)-(LOOKUP(C152,'Growth Pattern'!B$15:B$376,'Growth Pattern'!H$15:H$368)*LOOKUP(C152,'Growth Pattern'!B$15:B$376,'Growth Pattern'!I$15:I$368)/100)</f>
        <v>128.25</v>
      </c>
      <c r="J152" s="510">
        <f t="shared" ca="1" si="7"/>
        <v>7148.7876756307005</v>
      </c>
      <c r="K152" s="511">
        <f ca="1">LOOKUP(C152,'Growth Pattern'!B$15:B$376,'Growth Pattern'!H$15:H$368)</f>
        <v>2170.35</v>
      </c>
      <c r="L152" s="512">
        <f t="shared" ca="1" si="8"/>
        <v>-0.69640306881704661</v>
      </c>
      <c r="M152" s="513">
        <f>LN('Growth Pattern'!F165/'Growth Pattern'!D165)/2</f>
        <v>0.1652276435516489</v>
      </c>
      <c r="N152" s="523"/>
      <c r="O152" s="528"/>
    </row>
    <row r="153" spans="1:15" x14ac:dyDescent="0.25">
      <c r="A153" s="516">
        <v>3.0195016690463148</v>
      </c>
      <c r="B153" s="516"/>
      <c r="C153" s="516" t="s">
        <v>1337</v>
      </c>
      <c r="D153" s="507">
        <v>0.40726448388587094</v>
      </c>
      <c r="E153" s="508">
        <f t="shared" si="6"/>
        <v>8.3432010098070775E-2</v>
      </c>
      <c r="F153" s="509">
        <f ca="1">LOOKUP(C153,'Growth Pattern'!B$15:B$376,'Growth Pattern'!D$15:D$368)-(LOOKUP(C153,'Growth Pattern'!B$15:B$376,'Growth Pattern'!H$15:H$368)*LOOKUP(C153,'Growth Pattern'!B$15:B$376,'Growth Pattern'!I$15:I$368)/100)</f>
        <v>0</v>
      </c>
      <c r="G153" s="509">
        <f ca="1">LOOKUP(C153,'Growth Pattern'!B$15:B$376,'Growth Pattern'!E$15:E$368)-(LOOKUP(C153,'Growth Pattern'!B$15:B$376,'Growth Pattern'!H$15:H$368)*LOOKUP(C153,'Growth Pattern'!B$15:B$376,'Growth Pattern'!I$15:I$368)/100)</f>
        <v>2.9</v>
      </c>
      <c r="H153" s="509">
        <f ca="1">LOOKUP(C153,'Growth Pattern'!B$15:B$376,'Growth Pattern'!F$15:F$368)-(LOOKUP(C153,'Growth Pattern'!B$15:B$376,'Growth Pattern'!I$15:I$368)*LOOKUP(C153,'Growth Pattern'!B$15:B$376,'Growth Pattern'!H$15:H$368)/100)</f>
        <v>3.6</v>
      </c>
      <c r="I153" s="509">
        <f ca="1">LOOKUP(C153,'Growth Pattern'!B$15:B$376,'Growth Pattern'!G$15:G$368)-(LOOKUP(C153,'Growth Pattern'!B$15:B$376,'Growth Pattern'!H$15:H$368)*LOOKUP(C153,'Growth Pattern'!B$15:B$376,'Growth Pattern'!I$15:I$368)/100)</f>
        <v>3.6</v>
      </c>
      <c r="J153" s="510">
        <f t="shared" ca="1" si="7"/>
        <v>830.54415226829894</v>
      </c>
      <c r="K153" s="511">
        <f ca="1">LOOKUP(C153,'Growth Pattern'!B$15:B$376,'Growth Pattern'!H$15:H$368)</f>
        <v>33.6</v>
      </c>
      <c r="L153" s="512">
        <f t="shared" ca="1" si="8"/>
        <v>-0.95954459506067791</v>
      </c>
      <c r="M153" s="513" t="e">
        <f>LN('Growth Pattern'!F166/'Growth Pattern'!D166)/2</f>
        <v>#DIV/0!</v>
      </c>
      <c r="N153" s="523"/>
      <c r="O153" s="528"/>
    </row>
    <row r="154" spans="1:15" x14ac:dyDescent="0.25">
      <c r="A154" s="506">
        <v>0.73297081367132721</v>
      </c>
      <c r="B154" s="516">
        <v>0.25</v>
      </c>
      <c r="C154" s="516" t="s">
        <v>1338</v>
      </c>
      <c r="D154" s="507">
        <v>0.97059589181661876</v>
      </c>
      <c r="E154" s="508">
        <f t="shared" si="6"/>
        <v>0.13244184258804584</v>
      </c>
      <c r="F154" s="509">
        <f ca="1">LOOKUP(C154,'Growth Pattern'!B$15:B$376,'Growth Pattern'!D$15:D$368)-(LOOKUP(C154,'Growth Pattern'!B$15:B$376,'Growth Pattern'!H$15:H$368)*LOOKUP(C154,'Growth Pattern'!B$15:B$376,'Growth Pattern'!I$15:I$368)/100)</f>
        <v>8.8000000000000007</v>
      </c>
      <c r="G154" s="509">
        <f ca="1">LOOKUP(C154,'Growth Pattern'!B$15:B$376,'Growth Pattern'!E$15:E$368)-(LOOKUP(C154,'Growth Pattern'!B$15:B$376,'Growth Pattern'!H$15:H$368)*LOOKUP(C154,'Growth Pattern'!B$15:B$376,'Growth Pattern'!I$15:I$368)/100)</f>
        <v>11.94</v>
      </c>
      <c r="H154" s="509">
        <f ca="1">LOOKUP(C154,'Growth Pattern'!B$15:B$376,'Growth Pattern'!F$15:F$368)-(LOOKUP(C154,'Growth Pattern'!B$15:B$376,'Growth Pattern'!I$15:I$368)*LOOKUP(C154,'Growth Pattern'!B$15:B$376,'Growth Pattern'!H$15:H$368)/100)</f>
        <v>15.6</v>
      </c>
      <c r="I154" s="509">
        <f ca="1">LOOKUP(C154,'Growth Pattern'!B$15:B$376,'Growth Pattern'!G$15:G$368)-(LOOKUP(C154,'Growth Pattern'!B$15:B$376,'Growth Pattern'!H$15:H$368)*LOOKUP(C154,'Growth Pattern'!B$15:B$376,'Growth Pattern'!I$15:I$368)/100)</f>
        <v>19.780000000000005</v>
      </c>
      <c r="J154" s="510">
        <f t="shared" ca="1" si="7"/>
        <v>291.22519214681211</v>
      </c>
      <c r="K154" s="511">
        <f ca="1">LOOKUP(C154,'Growth Pattern'!B$15:B$376,'Growth Pattern'!H$15:H$368)</f>
        <v>17.05</v>
      </c>
      <c r="L154" s="512">
        <f t="shared" ca="1" si="8"/>
        <v>-0.94145424070523132</v>
      </c>
      <c r="M154" s="513">
        <f>LN('Growth Pattern'!F167/'Growth Pattern'!D167)/2</f>
        <v>0.28625959638566523</v>
      </c>
      <c r="N154" s="523"/>
      <c r="O154" s="528"/>
    </row>
    <row r="155" spans="1:15" x14ac:dyDescent="0.25">
      <c r="A155" s="516">
        <v>2.5920008583297003</v>
      </c>
      <c r="B155" s="516">
        <v>0.14000000000000001</v>
      </c>
      <c r="C155" s="516" t="s">
        <v>1339</v>
      </c>
      <c r="D155" s="507">
        <v>0.39443980317397698</v>
      </c>
      <c r="E155" s="508">
        <f t="shared" si="6"/>
        <v>8.2316262876135998E-2</v>
      </c>
      <c r="F155" s="509">
        <f ca="1">LOOKUP(C155,'Growth Pattern'!B$15:B$376,'Growth Pattern'!D$15:D$368)-(LOOKUP(C155,'Growth Pattern'!B$15:B$376,'Growth Pattern'!H$15:H$368)*LOOKUP(C155,'Growth Pattern'!B$15:B$376,'Growth Pattern'!I$15:I$368)/100)</f>
        <v>9.84</v>
      </c>
      <c r="G155" s="509">
        <f ca="1">LOOKUP(C155,'Growth Pattern'!B$15:B$376,'Growth Pattern'!E$15:E$368)-(LOOKUP(C155,'Growth Pattern'!B$15:B$376,'Growth Pattern'!H$15:H$368)*LOOKUP(C155,'Growth Pattern'!B$15:B$376,'Growth Pattern'!I$15:I$368)/100)</f>
        <v>20.32</v>
      </c>
      <c r="H155" s="509">
        <f ca="1">LOOKUP(C155,'Growth Pattern'!B$15:B$376,'Growth Pattern'!F$15:F$368)-(LOOKUP(C155,'Growth Pattern'!B$15:B$376,'Growth Pattern'!I$15:I$368)*LOOKUP(C155,'Growth Pattern'!B$15:B$376,'Growth Pattern'!H$15:H$368)/100)</f>
        <v>26.9</v>
      </c>
      <c r="I155" s="509">
        <f ca="1">LOOKUP(C155,'Growth Pattern'!B$15:B$376,'Growth Pattern'!G$15:G$368)-(LOOKUP(C155,'Growth Pattern'!B$15:B$376,'Growth Pattern'!H$15:H$368)*LOOKUP(C155,'Growth Pattern'!B$15:B$376,'Growth Pattern'!I$15:I$368)/100)</f>
        <v>26.9</v>
      </c>
      <c r="J155" s="510">
        <f t="shared" ca="1" si="7"/>
        <v>9211.7134960041203</v>
      </c>
      <c r="K155" s="511">
        <f ca="1">LOOKUP(C155,'Growth Pattern'!B$15:B$376,'Growth Pattern'!H$15:H$368)</f>
        <v>151.65</v>
      </c>
      <c r="L155" s="512">
        <f t="shared" ca="1" si="8"/>
        <v>-0.98353726480249493</v>
      </c>
      <c r="M155" s="513">
        <f>LN('Growth Pattern'!F168/'Growth Pattern'!D168)/2</f>
        <v>0.50283528777181563</v>
      </c>
      <c r="N155" s="523"/>
      <c r="O155" s="528"/>
    </row>
    <row r="156" spans="1:15" x14ac:dyDescent="0.25">
      <c r="A156" s="516">
        <v>1.8797637462223891</v>
      </c>
      <c r="B156" s="516"/>
      <c r="C156" s="516" t="s">
        <v>2246</v>
      </c>
      <c r="D156" s="507">
        <v>0.29948887221259746</v>
      </c>
      <c r="E156" s="508">
        <f t="shared" si="6"/>
        <v>7.4055531882495987E-2</v>
      </c>
      <c r="F156" s="509">
        <f ca="1">LOOKUP(C156,'Growth Pattern'!B$15:B$376,'Growth Pattern'!D$15:D$368)-(LOOKUP(C156,'Growth Pattern'!B$15:B$376,'Growth Pattern'!H$15:H$368)*LOOKUP(C156,'Growth Pattern'!B$15:B$376,'Growth Pattern'!I$15:I$368)/100)</f>
        <v>7.6798999999999999</v>
      </c>
      <c r="G156" s="509">
        <f ca="1">LOOKUP(C156,'Growth Pattern'!B$15:B$376,'Growth Pattern'!E$15:E$368)-(LOOKUP(C156,'Growth Pattern'!B$15:B$376,'Growth Pattern'!H$15:H$368)*LOOKUP(C156,'Growth Pattern'!B$15:B$376,'Growth Pattern'!I$15:I$368)/100)</f>
        <v>1.4499000000000004</v>
      </c>
      <c r="H156" s="509">
        <f ca="1">LOOKUP(C156,'Growth Pattern'!B$15:B$376,'Growth Pattern'!F$15:F$368)-(LOOKUP(C156,'Growth Pattern'!B$15:B$376,'Growth Pattern'!I$15:I$368)*LOOKUP(C156,'Growth Pattern'!B$15:B$376,'Growth Pattern'!H$15:H$368)/100)</f>
        <v>4.0499000000000001</v>
      </c>
      <c r="I156" s="509">
        <f ca="1">LOOKUP(C156,'Growth Pattern'!B$15:B$376,'Growth Pattern'!G$15:G$368)-(LOOKUP(C156,'Growth Pattern'!B$15:B$376,'Growth Pattern'!H$15:H$368)*LOOKUP(C156,'Growth Pattern'!B$15:B$376,'Growth Pattern'!I$15:I$368)/100)</f>
        <v>15.479900000000004</v>
      </c>
      <c r="J156" s="510">
        <f t="shared" ca="1" si="7"/>
        <v>-2089.1798943927611</v>
      </c>
      <c r="K156" s="511">
        <f ca="1">LOOKUP(C156,'Growth Pattern'!B$15:B$376,'Growth Pattern'!H$15:H$368)</f>
        <v>84.75</v>
      </c>
      <c r="L156" s="512">
        <f t="shared" ca="1" si="8"/>
        <v>-1.0405661571928124</v>
      </c>
      <c r="M156" s="513">
        <f>LN('Growth Pattern'!F169/'Growth Pattern'!D169)/2</f>
        <v>-0.23500181462286779</v>
      </c>
      <c r="N156" s="523"/>
      <c r="O156" s="528"/>
    </row>
    <row r="157" spans="1:15" x14ac:dyDescent="0.25">
      <c r="A157" s="516">
        <v>1.8920226938463405</v>
      </c>
      <c r="B157" s="516">
        <v>0.25</v>
      </c>
      <c r="C157" s="516" t="s">
        <v>1340</v>
      </c>
      <c r="D157" s="507">
        <v>0.29444071862256649</v>
      </c>
      <c r="E157" s="508">
        <f t="shared" si="6"/>
        <v>7.3616342520163289E-2</v>
      </c>
      <c r="F157" s="509">
        <f ca="1">LOOKUP(C157,'Growth Pattern'!B$15:B$376,'Growth Pattern'!D$15:D$368)-(LOOKUP(C157,'Growth Pattern'!B$15:B$376,'Growth Pattern'!H$15:H$368)*LOOKUP(C157,'Growth Pattern'!B$15:B$376,'Growth Pattern'!I$15:I$368)/100)</f>
        <v>10.90395</v>
      </c>
      <c r="G157" s="509">
        <f ca="1">LOOKUP(C157,'Growth Pattern'!B$15:B$376,'Growth Pattern'!E$15:E$368)-(LOOKUP(C157,'Growth Pattern'!B$15:B$376,'Growth Pattern'!H$15:H$368)*LOOKUP(C157,'Growth Pattern'!B$15:B$376,'Growth Pattern'!I$15:I$368)/100)</f>
        <v>14.013949999999999</v>
      </c>
      <c r="H157" s="509">
        <f ca="1">LOOKUP(C157,'Growth Pattern'!B$15:B$376,'Growth Pattern'!F$15:F$368)-(LOOKUP(C157,'Growth Pattern'!B$15:B$376,'Growth Pattern'!I$15:I$368)*LOOKUP(C157,'Growth Pattern'!B$15:B$376,'Growth Pattern'!H$15:H$368)/100)</f>
        <v>16.513950000000001</v>
      </c>
      <c r="I157" s="509">
        <f ca="1">LOOKUP(C157,'Growth Pattern'!B$15:B$376,'Growth Pattern'!G$15:G$368)-(LOOKUP(C157,'Growth Pattern'!B$15:B$376,'Growth Pattern'!H$15:H$368)*LOOKUP(C157,'Growth Pattern'!B$15:B$376,'Growth Pattern'!I$15:I$368)/100)</f>
        <v>16.513950000000001</v>
      </c>
      <c r="J157" s="510">
        <f t="shared" ca="1" si="7"/>
        <v>-2052.1384867906672</v>
      </c>
      <c r="K157" s="511">
        <f ca="1">LOOKUP(C157,'Growth Pattern'!B$15:B$376,'Growth Pattern'!H$15:H$368)</f>
        <v>332.3</v>
      </c>
      <c r="L157" s="512">
        <f t="shared" ca="1" si="8"/>
        <v>-1.1619286427982174</v>
      </c>
      <c r="M157" s="513">
        <f>LN('Growth Pattern'!F170/'Growth Pattern'!D170)/2</f>
        <v>0.15540224493631755</v>
      </c>
      <c r="N157" s="523"/>
      <c r="O157" s="528"/>
    </row>
    <row r="158" spans="1:15" x14ac:dyDescent="0.25">
      <c r="A158" s="516">
        <v>1.6137504524260358</v>
      </c>
      <c r="B158" s="516">
        <v>0.28999999999999998</v>
      </c>
      <c r="C158" s="516" t="s">
        <v>2248</v>
      </c>
      <c r="D158" s="507">
        <v>0.36154251164469992</v>
      </c>
      <c r="E158" s="508">
        <f t="shared" si="6"/>
        <v>7.9454198513088894E-2</v>
      </c>
      <c r="F158" s="509">
        <f ca="1">LOOKUP(C158,'Growth Pattern'!B$15:B$376,'Growth Pattern'!D$15:D$368)-(LOOKUP(C158,'Growth Pattern'!B$15:B$376,'Growth Pattern'!H$15:H$368)*LOOKUP(C158,'Growth Pattern'!B$15:B$376,'Growth Pattern'!I$15:I$368)/100)</f>
        <v>-3.9048499999999997</v>
      </c>
      <c r="G158" s="509">
        <f ca="1">LOOKUP(C158,'Growth Pattern'!B$15:B$376,'Growth Pattern'!E$15:E$368)-(LOOKUP(C158,'Growth Pattern'!B$15:B$376,'Growth Pattern'!H$15:H$368)*LOOKUP(C158,'Growth Pattern'!B$15:B$376,'Growth Pattern'!I$15:I$368)/100)</f>
        <v>0.39514999999999989</v>
      </c>
      <c r="H158" s="509">
        <f ca="1">LOOKUP(C158,'Growth Pattern'!B$15:B$376,'Growth Pattern'!F$15:F$368)-(LOOKUP(C158,'Growth Pattern'!B$15:B$376,'Growth Pattern'!I$15:I$368)*LOOKUP(C158,'Growth Pattern'!B$15:B$376,'Growth Pattern'!H$15:H$368)/100)</f>
        <v>2.6951499999999999</v>
      </c>
      <c r="I158" s="509">
        <f ca="1">LOOKUP(C158,'Growth Pattern'!B$15:B$376,'Growth Pattern'!G$15:G$368)-(LOOKUP(C158,'Growth Pattern'!B$15:B$376,'Growth Pattern'!H$15:H$368)*LOOKUP(C158,'Growth Pattern'!B$15:B$376,'Growth Pattern'!I$15:I$368)/100)</f>
        <v>2.6951499999999999</v>
      </c>
      <c r="J158" s="510">
        <f t="shared" ca="1" si="7"/>
        <v>-3927.0926515357987</v>
      </c>
      <c r="K158" s="511">
        <f ca="1">LOOKUP(C158,'Growth Pattern'!B$15:B$376,'Growth Pattern'!H$15:H$368)</f>
        <v>79.75</v>
      </c>
      <c r="L158" s="512">
        <f t="shared" ca="1" si="8"/>
        <v>-1.0203076441216155</v>
      </c>
      <c r="M158" s="513" t="e">
        <f>LN('Growth Pattern'!F171/'Growth Pattern'!D171)/2</f>
        <v>#NUM!</v>
      </c>
      <c r="N158" s="523"/>
      <c r="O158" s="528"/>
    </row>
    <row r="159" spans="1:15" x14ac:dyDescent="0.25">
      <c r="A159" s="516">
        <v>2.3651484082933547</v>
      </c>
      <c r="B159" s="516"/>
      <c r="C159" s="516" t="s">
        <v>1341</v>
      </c>
      <c r="D159" s="507">
        <v>0.28654723831417067</v>
      </c>
      <c r="E159" s="508">
        <f t="shared" si="6"/>
        <v>7.2929609733332845E-2</v>
      </c>
      <c r="F159" s="509">
        <f ca="1">LOOKUP(C159,'Growth Pattern'!B$15:B$376,'Growth Pattern'!D$15:D$368)-(LOOKUP(C159,'Growth Pattern'!B$15:B$376,'Growth Pattern'!H$15:H$368)*LOOKUP(C159,'Growth Pattern'!B$15:B$376,'Growth Pattern'!I$15:I$368)/100)</f>
        <v>14.49</v>
      </c>
      <c r="G159" s="509">
        <f ca="1">LOOKUP(C159,'Growth Pattern'!B$15:B$376,'Growth Pattern'!E$15:E$368)-(LOOKUP(C159,'Growth Pattern'!B$15:B$376,'Growth Pattern'!H$15:H$368)*LOOKUP(C159,'Growth Pattern'!B$15:B$376,'Growth Pattern'!I$15:I$368)/100)</f>
        <v>16.5</v>
      </c>
      <c r="H159" s="509">
        <f ca="1">LOOKUP(C159,'Growth Pattern'!B$15:B$376,'Growth Pattern'!F$15:F$368)-(LOOKUP(C159,'Growth Pattern'!B$15:B$376,'Growth Pattern'!I$15:I$368)*LOOKUP(C159,'Growth Pattern'!B$15:B$376,'Growth Pattern'!H$15:H$368)/100)</f>
        <v>22.75</v>
      </c>
      <c r="I159" s="509">
        <f ca="1">LOOKUP(C159,'Growth Pattern'!B$15:B$376,'Growth Pattern'!G$15:G$368)-(LOOKUP(C159,'Growth Pattern'!B$15:B$376,'Growth Pattern'!H$15:H$368)*LOOKUP(C159,'Growth Pattern'!B$15:B$376,'Growth Pattern'!I$15:I$368)/100)</f>
        <v>33.240000000000009</v>
      </c>
      <c r="J159" s="510">
        <f t="shared" ca="1" si="7"/>
        <v>-3756.6772562521624</v>
      </c>
      <c r="K159" s="511">
        <f ca="1">LOOKUP(C159,'Growth Pattern'!B$15:B$376,'Growth Pattern'!H$15:H$368)</f>
        <v>147.30000000000001</v>
      </c>
      <c r="L159" s="512">
        <f t="shared" ca="1" si="8"/>
        <v>-1.039210182284052</v>
      </c>
      <c r="M159" s="513">
        <f>LN('Growth Pattern'!F172/'Growth Pattern'!D172)/2</f>
        <v>0.22555319453218417</v>
      </c>
      <c r="N159" s="523"/>
      <c r="O159" s="528"/>
    </row>
    <row r="160" spans="1:15" x14ac:dyDescent="0.25">
      <c r="A160" s="516">
        <v>2.4191374011705493</v>
      </c>
      <c r="B160" s="516">
        <v>0.26</v>
      </c>
      <c r="C160" s="516" t="s">
        <v>3201</v>
      </c>
      <c r="D160" s="507">
        <v>0.71515001759128549</v>
      </c>
      <c r="E160" s="508">
        <f t="shared" si="6"/>
        <v>0.11021805153044184</v>
      </c>
      <c r="F160" s="509">
        <f ca="1">LOOKUP(C160,'Growth Pattern'!B$15:B$376,'Growth Pattern'!D$15:D$368)-(LOOKUP(C160,'Growth Pattern'!B$15:B$376,'Growth Pattern'!H$15:H$368)*LOOKUP(C160,'Growth Pattern'!B$15:B$376,'Growth Pattern'!I$15:I$368)/100)</f>
        <v>9.8183800000000012</v>
      </c>
      <c r="G160" s="509">
        <f ca="1">LOOKUP(C160,'Growth Pattern'!B$15:B$376,'Growth Pattern'!E$15:E$368)-(LOOKUP(C160,'Growth Pattern'!B$15:B$376,'Growth Pattern'!H$15:H$368)*LOOKUP(C160,'Growth Pattern'!B$15:B$376,'Growth Pattern'!I$15:I$368)/100)</f>
        <v>26.71838</v>
      </c>
      <c r="H160" s="509">
        <f ca="1">LOOKUP(C160,'Growth Pattern'!B$15:B$376,'Growth Pattern'!F$15:F$368)-(LOOKUP(C160,'Growth Pattern'!B$15:B$376,'Growth Pattern'!I$15:I$368)*LOOKUP(C160,'Growth Pattern'!B$15:B$376,'Growth Pattern'!H$15:H$368)/100)</f>
        <v>63.138380000000005</v>
      </c>
      <c r="I160" s="509">
        <f ca="1">LOOKUP(C160,'Growth Pattern'!B$15:B$376,'Growth Pattern'!G$15:G$368)-(LOOKUP(C160,'Growth Pattern'!B$15:B$376,'Growth Pattern'!H$15:H$368)*LOOKUP(C160,'Growth Pattern'!B$15:B$376,'Growth Pattern'!I$15:I$368)/100)</f>
        <v>119.07838000000007</v>
      </c>
      <c r="J160" s="510">
        <f t="shared" ca="1" si="7"/>
        <v>2964.7712693490948</v>
      </c>
      <c r="K160" s="511">
        <f ca="1">LOOKUP(C160,'Growth Pattern'!B$15:B$376,'Growth Pattern'!H$15:H$368)</f>
        <v>858.9</v>
      </c>
      <c r="L160" s="512">
        <f t="shared" ca="1" si="8"/>
        <v>-0.71029805608290031</v>
      </c>
      <c r="M160" s="513">
        <f>LN('Growth Pattern'!F173/'Growth Pattern'!D173)/2</f>
        <v>0.76332183751220906</v>
      </c>
      <c r="N160" s="523"/>
      <c r="O160" s="528"/>
    </row>
    <row r="161" spans="1:15" x14ac:dyDescent="0.25">
      <c r="A161" s="516">
        <v>2.5328790738725737</v>
      </c>
      <c r="B161" s="516"/>
      <c r="C161" s="516" t="s">
        <v>1342</v>
      </c>
      <c r="D161" s="507">
        <v>0.71581289401091219</v>
      </c>
      <c r="E161" s="508">
        <f t="shared" si="6"/>
        <v>0.11027572177894937</v>
      </c>
      <c r="F161" s="509">
        <f ca="1">LOOKUP(C161,'Growth Pattern'!B$15:B$376,'Growth Pattern'!D$15:D$368)-(LOOKUP(C161,'Growth Pattern'!B$15:B$376,'Growth Pattern'!H$15:H$368)*LOOKUP(C161,'Growth Pattern'!B$15:B$376,'Growth Pattern'!I$15:I$368)/100)</f>
        <v>34.26</v>
      </c>
      <c r="G161" s="509">
        <f ca="1">LOOKUP(C161,'Growth Pattern'!B$15:B$376,'Growth Pattern'!E$15:E$368)-(LOOKUP(C161,'Growth Pattern'!B$15:B$376,'Growth Pattern'!H$15:H$368)*LOOKUP(C161,'Growth Pattern'!B$15:B$376,'Growth Pattern'!I$15:I$368)/100)</f>
        <v>40.75</v>
      </c>
      <c r="H161" s="509">
        <f ca="1">LOOKUP(C161,'Growth Pattern'!B$15:B$376,'Growth Pattern'!F$15:F$368)-(LOOKUP(C161,'Growth Pattern'!B$15:B$376,'Growth Pattern'!I$15:I$368)*LOOKUP(C161,'Growth Pattern'!B$15:B$376,'Growth Pattern'!H$15:H$368)/100)</f>
        <v>51.4</v>
      </c>
      <c r="I161" s="509">
        <f ca="1">LOOKUP(C161,'Growth Pattern'!B$15:B$376,'Growth Pattern'!G$15:G$368)-(LOOKUP(C161,'Growth Pattern'!B$15:B$376,'Growth Pattern'!H$15:H$368)*LOOKUP(C161,'Growth Pattern'!B$15:B$376,'Growth Pattern'!I$15:I$368)/100)</f>
        <v>66.20999999999998</v>
      </c>
      <c r="J161" s="510">
        <f t="shared" ca="1" si="7"/>
        <v>1710.5112774946856</v>
      </c>
      <c r="K161" s="511">
        <f ca="1">LOOKUP(C161,'Growth Pattern'!B$15:B$376,'Growth Pattern'!H$15:H$368)</f>
        <v>426.3</v>
      </c>
      <c r="L161" s="512">
        <f t="shared" ca="1" si="8"/>
        <v>-0.75077627045851236</v>
      </c>
      <c r="M161" s="513">
        <f>LN('Growth Pattern'!F174/'Growth Pattern'!D174)/2</f>
        <v>0.20282983978257277</v>
      </c>
      <c r="N161" s="523"/>
      <c r="O161" s="528"/>
    </row>
    <row r="162" spans="1:15" x14ac:dyDescent="0.25">
      <c r="A162" s="516">
        <v>2.8219256002155895</v>
      </c>
      <c r="B162" s="516">
        <v>0.28999999999999998</v>
      </c>
      <c r="C162" s="516" t="s">
        <v>2931</v>
      </c>
      <c r="D162" s="507">
        <v>0.35398517906829907</v>
      </c>
      <c r="E162" s="508">
        <f t="shared" si="6"/>
        <v>7.8796710578942025E-2</v>
      </c>
      <c r="F162" s="509">
        <f ca="1">LOOKUP(C162,'Growth Pattern'!B$15:B$376,'Growth Pattern'!D$15:D$368)-(LOOKUP(C162,'Growth Pattern'!B$15:B$376,'Growth Pattern'!H$15:H$368)*LOOKUP(C162,'Growth Pattern'!B$15:B$376,'Growth Pattern'!I$15:I$368)/100)</f>
        <v>0</v>
      </c>
      <c r="G162" s="509">
        <f ca="1">LOOKUP(C162,'Growth Pattern'!B$15:B$376,'Growth Pattern'!E$15:E$368)-(LOOKUP(C162,'Growth Pattern'!B$15:B$376,'Growth Pattern'!H$15:H$368)*LOOKUP(C162,'Growth Pattern'!B$15:B$376,'Growth Pattern'!I$15:I$368)/100)</f>
        <v>-6.2</v>
      </c>
      <c r="H162" s="509">
        <f ca="1">LOOKUP(C162,'Growth Pattern'!B$15:B$376,'Growth Pattern'!F$15:F$368)-(LOOKUP(C162,'Growth Pattern'!B$15:B$376,'Growth Pattern'!I$15:I$368)*LOOKUP(C162,'Growth Pattern'!B$15:B$376,'Growth Pattern'!H$15:H$368)/100)</f>
        <v>14</v>
      </c>
      <c r="I162" s="509">
        <f ca="1">LOOKUP(C162,'Growth Pattern'!B$15:B$376,'Growth Pattern'!G$15:G$368)-(LOOKUP(C162,'Growth Pattern'!B$15:B$376,'Growth Pattern'!H$15:H$368)*LOOKUP(C162,'Growth Pattern'!B$15:B$376,'Growth Pattern'!I$15:I$368)/100)</f>
        <v>60.600000000000023</v>
      </c>
      <c r="J162" s="510">
        <f t="shared" ca="1" si="7"/>
        <v>-40106.582893259249</v>
      </c>
      <c r="K162" s="511">
        <f ca="1">LOOKUP(C162,'Growth Pattern'!B$15:B$376,'Growth Pattern'!H$15:H$368)</f>
        <v>141.35</v>
      </c>
      <c r="L162" s="512">
        <f t="shared" ca="1" si="8"/>
        <v>-1.0035243590902818</v>
      </c>
      <c r="M162" s="513" t="e">
        <f>LN('Growth Pattern'!F175/'Growth Pattern'!D175)/2</f>
        <v>#DIV/0!</v>
      </c>
      <c r="N162" s="523"/>
      <c r="O162" s="528"/>
    </row>
    <row r="163" spans="1:15" x14ac:dyDescent="0.25">
      <c r="A163" s="506">
        <v>2.4076813035343929</v>
      </c>
      <c r="B163" s="506">
        <v>0.17</v>
      </c>
      <c r="C163" s="506" t="s">
        <v>2932</v>
      </c>
      <c r="D163" s="507">
        <v>0.27173476095407467</v>
      </c>
      <c r="E163" s="508">
        <f t="shared" si="6"/>
        <v>7.1640924203004497E-2</v>
      </c>
      <c r="F163" s="509">
        <f ca="1">LOOKUP(C163,'Growth Pattern'!B$15:B$376,'Growth Pattern'!D$15:D$368)-(LOOKUP(C163,'Growth Pattern'!B$15:B$376,'Growth Pattern'!H$15:H$368)*LOOKUP(C163,'Growth Pattern'!B$15:B$376,'Growth Pattern'!I$15:I$368)/100)</f>
        <v>15.38</v>
      </c>
      <c r="G163" s="509">
        <f ca="1">LOOKUP(C163,'Growth Pattern'!B$15:B$376,'Growth Pattern'!E$15:E$368)-(LOOKUP(C163,'Growth Pattern'!B$15:B$376,'Growth Pattern'!H$15:H$368)*LOOKUP(C163,'Growth Pattern'!B$15:B$376,'Growth Pattern'!I$15:I$368)/100)</f>
        <v>13</v>
      </c>
      <c r="H163" s="509">
        <f ca="1">LOOKUP(C163,'Growth Pattern'!B$15:B$376,'Growth Pattern'!F$15:F$368)-(LOOKUP(C163,'Growth Pattern'!B$15:B$376,'Growth Pattern'!I$15:I$368)*LOOKUP(C163,'Growth Pattern'!B$15:B$376,'Growth Pattern'!H$15:H$368)/100)</f>
        <v>15.8</v>
      </c>
      <c r="I163" s="509">
        <f ca="1">LOOKUP(C163,'Growth Pattern'!B$15:B$376,'Growth Pattern'!G$15:G$368)-(LOOKUP(C163,'Growth Pattern'!B$15:B$376,'Growth Pattern'!H$15:H$368)*LOOKUP(C163,'Growth Pattern'!B$15:B$376,'Growth Pattern'!I$15:I$368)/100)</f>
        <v>23.780000000000015</v>
      </c>
      <c r="J163" s="510">
        <f t="shared" ca="1" si="7"/>
        <v>-2270.2938735228004</v>
      </c>
      <c r="K163" s="511">
        <f ca="1">LOOKUP(C163,'Growth Pattern'!B$15:B$376,'Growth Pattern'!H$15:H$368)</f>
        <v>152.15</v>
      </c>
      <c r="L163" s="512">
        <f t="shared" ca="1" si="8"/>
        <v>-1.0670177556194123</v>
      </c>
      <c r="M163" s="513">
        <f>LN('Growth Pattern'!F176/'Growth Pattern'!D176)/2</f>
        <v>1.3470987977711646E-2</v>
      </c>
      <c r="N163" s="523"/>
      <c r="O163" s="528"/>
    </row>
    <row r="164" spans="1:15" x14ac:dyDescent="0.25">
      <c r="A164" s="527">
        <v>1.48214922476736</v>
      </c>
      <c r="B164" s="527">
        <v>0.16</v>
      </c>
      <c r="C164" s="527" t="s">
        <v>1380</v>
      </c>
      <c r="D164" s="507">
        <v>0.34918811102168351</v>
      </c>
      <c r="E164" s="508">
        <f t="shared" si="6"/>
        <v>7.8379365658886466E-2</v>
      </c>
      <c r="F164" s="509">
        <f ca="1">LOOKUP(C164,'Growth Pattern'!B$15:B$376,'Growth Pattern'!D$15:D$368)-(LOOKUP(C164,'Growth Pattern'!B$15:B$376,'Growth Pattern'!H$15:H$368)*LOOKUP(C164,'Growth Pattern'!B$15:B$376,'Growth Pattern'!I$15:I$368)/100)</f>
        <v>108.87</v>
      </c>
      <c r="G164" s="509">
        <f ca="1">LOOKUP(C164,'Growth Pattern'!B$15:B$376,'Growth Pattern'!E$15:E$368)-(LOOKUP(C164,'Growth Pattern'!B$15:B$376,'Growth Pattern'!H$15:H$368)*LOOKUP(C164,'Growth Pattern'!B$15:B$376,'Growth Pattern'!I$15:I$368)/100)</f>
        <v>120.7</v>
      </c>
      <c r="H164" s="509">
        <f ca="1">LOOKUP(C164,'Growth Pattern'!B$15:B$376,'Growth Pattern'!F$15:F$368)-(LOOKUP(C164,'Growth Pattern'!B$15:B$376,'Growth Pattern'!I$15:I$368)*LOOKUP(C164,'Growth Pattern'!B$15:B$376,'Growth Pattern'!H$15:H$368)/100)</f>
        <v>149.13</v>
      </c>
      <c r="I164" s="509">
        <f ca="1">LOOKUP(C164,'Growth Pattern'!B$15:B$376,'Growth Pattern'!G$15:G$368)-(LOOKUP(C164,'Growth Pattern'!B$15:B$376,'Growth Pattern'!H$15:H$368)*LOOKUP(C164,'Growth Pattern'!B$15:B$376,'Growth Pattern'!I$15:I$368)/100)</f>
        <v>194.16000000000003</v>
      </c>
      <c r="J164" s="510">
        <f t="shared" ca="1" si="7"/>
        <v>-95185.415604400434</v>
      </c>
      <c r="K164" s="511">
        <f ca="1">LOOKUP(C164,'Growth Pattern'!B$15:B$376,'Growth Pattern'!H$15:H$368)</f>
        <v>2849.85</v>
      </c>
      <c r="L164" s="512">
        <f t="shared" ca="1" si="8"/>
        <v>-1.0299399858886391</v>
      </c>
      <c r="M164" s="513">
        <f>LN('Growth Pattern'!F177/'Growth Pattern'!D177)/2</f>
        <v>0.15733194944080106</v>
      </c>
      <c r="N164" s="523"/>
      <c r="O164" s="528"/>
    </row>
    <row r="165" spans="1:15" x14ac:dyDescent="0.25">
      <c r="A165" s="527">
        <v>2.9117090593512129</v>
      </c>
      <c r="B165" s="527">
        <v>0.66</v>
      </c>
      <c r="C165" s="527" t="s">
        <v>1871</v>
      </c>
      <c r="D165" s="507">
        <v>0.28463231915838405</v>
      </c>
      <c r="E165" s="508">
        <f t="shared" si="6"/>
        <v>7.276301176677942E-2</v>
      </c>
      <c r="F165" s="509">
        <f ca="1">LOOKUP(C165,'Growth Pattern'!B$15:B$376,'Growth Pattern'!D$15:D$368)-(LOOKUP(C165,'Growth Pattern'!B$15:B$376,'Growth Pattern'!H$15:H$368)*LOOKUP(C165,'Growth Pattern'!B$15:B$376,'Growth Pattern'!I$15:I$368)/100)</f>
        <v>4.24</v>
      </c>
      <c r="G165" s="509">
        <f ca="1">LOOKUP(C165,'Growth Pattern'!B$15:B$376,'Growth Pattern'!E$15:E$368)-(LOOKUP(C165,'Growth Pattern'!B$15:B$376,'Growth Pattern'!H$15:H$368)*LOOKUP(C165,'Growth Pattern'!B$15:B$376,'Growth Pattern'!I$15:I$368)/100)</f>
        <v>2</v>
      </c>
      <c r="H165" s="509">
        <f ca="1">LOOKUP(C165,'Growth Pattern'!B$15:B$376,'Growth Pattern'!F$15:F$368)-(LOOKUP(C165,'Growth Pattern'!B$15:B$376,'Growth Pattern'!I$15:I$368)*LOOKUP(C165,'Growth Pattern'!B$15:B$376,'Growth Pattern'!H$15:H$368)/100)</f>
        <v>3.2</v>
      </c>
      <c r="I165" s="509">
        <f ca="1">LOOKUP(C165,'Growth Pattern'!B$15:B$376,'Growth Pattern'!G$15:G$368)-(LOOKUP(C165,'Growth Pattern'!B$15:B$376,'Growth Pattern'!H$15:H$368)*LOOKUP(C165,'Growth Pattern'!B$15:B$376,'Growth Pattern'!I$15:I$368)/100)</f>
        <v>7.840000000000007</v>
      </c>
      <c r="J165" s="510">
        <f t="shared" ca="1" si="7"/>
        <v>-868.61442110136522</v>
      </c>
      <c r="K165" s="511">
        <f ca="1">LOOKUP(C165,'Growth Pattern'!B$15:B$376,'Growth Pattern'!H$15:H$368)</f>
        <v>43.95</v>
      </c>
      <c r="L165" s="512">
        <f t="shared" ca="1" si="8"/>
        <v>-1.0505978244573391</v>
      </c>
      <c r="M165" s="513">
        <f>LN('Growth Pattern'!F178/'Growth Pattern'!D178)/2</f>
        <v>-0.14070622971909272</v>
      </c>
      <c r="N165" s="523"/>
      <c r="O165" s="528"/>
    </row>
    <row r="166" spans="1:15" x14ac:dyDescent="0.25">
      <c r="A166" s="516">
        <v>3.3163570286158608</v>
      </c>
      <c r="B166" s="516"/>
      <c r="C166" s="516" t="s">
        <v>2998</v>
      </c>
      <c r="D166" s="507">
        <v>0.1450704004279654</v>
      </c>
      <c r="E166" s="508">
        <f t="shared" si="6"/>
        <v>6.062112483723299E-2</v>
      </c>
      <c r="F166" s="509">
        <f ca="1">LOOKUP(C166,'Growth Pattern'!B$15:B$376,'Growth Pattern'!D$15:D$368)-(LOOKUP(C166,'Growth Pattern'!B$15:B$376,'Growth Pattern'!H$15:H$368)*LOOKUP(C166,'Growth Pattern'!B$15:B$376,'Growth Pattern'!I$15:I$368)/100)</f>
        <v>-5.0110200000000003</v>
      </c>
      <c r="G166" s="509">
        <f ca="1">LOOKUP(C166,'Growth Pattern'!B$15:B$376,'Growth Pattern'!E$15:E$368)-(LOOKUP(C166,'Growth Pattern'!B$15:B$376,'Growth Pattern'!H$15:H$368)*LOOKUP(C166,'Growth Pattern'!B$15:B$376,'Growth Pattern'!I$15:I$368)/100)</f>
        <v>-5.0110200000000003</v>
      </c>
      <c r="H166" s="509">
        <f ca="1">LOOKUP(C166,'Growth Pattern'!B$15:B$376,'Growth Pattern'!F$15:F$368)-(LOOKUP(C166,'Growth Pattern'!B$15:B$376,'Growth Pattern'!I$15:I$368)*LOOKUP(C166,'Growth Pattern'!B$15:B$376,'Growth Pattern'!H$15:H$368)/100)</f>
        <v>-5.0110200000000003</v>
      </c>
      <c r="I166" s="509">
        <f ca="1">LOOKUP(C166,'Growth Pattern'!B$15:B$376,'Growth Pattern'!G$15:G$368)-(LOOKUP(C166,'Growth Pattern'!B$15:B$376,'Growth Pattern'!H$15:H$368)*LOOKUP(C166,'Growth Pattern'!B$15:B$376,'Growth Pattern'!I$15:I$368)/100)</f>
        <v>-5.0110200000000003</v>
      </c>
      <c r="J166" s="510">
        <f t="shared" ca="1" si="7"/>
        <v>202.53866602011993</v>
      </c>
      <c r="K166" s="511">
        <f ca="1">LOOKUP(C166,'Growth Pattern'!B$15:B$376,'Growth Pattern'!H$15:H$368)</f>
        <v>258.3</v>
      </c>
      <c r="L166" s="512">
        <f t="shared" ca="1" si="8"/>
        <v>0.27531204325371045</v>
      </c>
      <c r="M166" s="513" t="e">
        <f>LN('Growth Pattern'!F179/'Growth Pattern'!D179)/2</f>
        <v>#DIV/0!</v>
      </c>
      <c r="N166" s="523"/>
      <c r="O166" s="528"/>
    </row>
    <row r="167" spans="1:15" x14ac:dyDescent="0.25">
      <c r="A167" s="516">
        <v>2.6943129442577791</v>
      </c>
      <c r="B167" s="516">
        <v>0.15</v>
      </c>
      <c r="C167" s="516" t="s">
        <v>3822</v>
      </c>
      <c r="D167" s="507">
        <v>0.43855767833117232</v>
      </c>
      <c r="E167" s="508">
        <f t="shared" si="6"/>
        <v>8.6154518014811998E-2</v>
      </c>
      <c r="F167" s="509">
        <f ca="1">LOOKUP(C167,'Growth Pattern'!B$15:B$376,'Growth Pattern'!D$15:D$368)-(LOOKUP(C167,'Growth Pattern'!B$15:B$376,'Growth Pattern'!H$15:H$368)*LOOKUP(C167,'Growth Pattern'!B$15:B$376,'Growth Pattern'!I$15:I$368)/100)</f>
        <v>13.930079999999998</v>
      </c>
      <c r="G167" s="509">
        <f ca="1">LOOKUP(C167,'Growth Pattern'!B$15:B$376,'Growth Pattern'!E$15:E$368)-(LOOKUP(C167,'Growth Pattern'!B$15:B$376,'Growth Pattern'!H$15:H$368)*LOOKUP(C167,'Growth Pattern'!B$15:B$376,'Growth Pattern'!I$15:I$368)/100)</f>
        <v>17.010080000000002</v>
      </c>
      <c r="H167" s="509">
        <f ca="1">LOOKUP(C167,'Growth Pattern'!B$15:B$376,'Growth Pattern'!F$15:F$368)-(LOOKUP(C167,'Growth Pattern'!B$15:B$376,'Growth Pattern'!I$15:I$368)*LOOKUP(C167,'Growth Pattern'!B$15:B$376,'Growth Pattern'!H$15:H$368)/100)</f>
        <v>21.410080000000001</v>
      </c>
      <c r="I167" s="509">
        <f ca="1">LOOKUP(C167,'Growth Pattern'!B$15:B$376,'Growth Pattern'!G$15:G$368)-(LOOKUP(C167,'Growth Pattern'!B$15:B$376,'Growth Pattern'!H$15:H$368)*LOOKUP(C167,'Growth Pattern'!B$15:B$376,'Growth Pattern'!I$15:I$368)/100)</f>
        <v>27.130079999999992</v>
      </c>
      <c r="J167" s="510">
        <f t="shared" ca="1" si="7"/>
        <v>3487.9272619585322</v>
      </c>
      <c r="K167" s="511">
        <f ca="1">LOOKUP(C167,'Growth Pattern'!B$15:B$376,'Growth Pattern'!H$15:H$368)</f>
        <v>296.8</v>
      </c>
      <c r="L167" s="512">
        <f t="shared" ca="1" si="8"/>
        <v>-0.91490648235785121</v>
      </c>
      <c r="M167" s="513">
        <f>LN('Growth Pattern'!F180/'Growth Pattern'!D180)/2</f>
        <v>0.18487351275304259</v>
      </c>
      <c r="N167" s="523"/>
      <c r="O167" s="528"/>
    </row>
    <row r="168" spans="1:15" x14ac:dyDescent="0.25">
      <c r="A168" s="507">
        <v>1.4588471906114704</v>
      </c>
      <c r="B168" s="507">
        <v>0.16</v>
      </c>
      <c r="C168" s="507" t="s">
        <v>2497</v>
      </c>
      <c r="D168" s="507">
        <v>0.33030533726519473</v>
      </c>
      <c r="E168" s="508">
        <f t="shared" si="6"/>
        <v>7.6736564342071947E-2</v>
      </c>
      <c r="F168" s="509">
        <f ca="1">LOOKUP(C168,'Growth Pattern'!B$15:B$376,'Growth Pattern'!D$15:D$368)-(LOOKUP(C168,'Growth Pattern'!B$15:B$376,'Growth Pattern'!H$15:H$368)*LOOKUP(C168,'Growth Pattern'!B$15:B$376,'Growth Pattern'!I$15:I$368)/100)</f>
        <v>5.31</v>
      </c>
      <c r="G168" s="509">
        <f ca="1">LOOKUP(C168,'Growth Pattern'!B$15:B$376,'Growth Pattern'!E$15:E$368)-(LOOKUP(C168,'Growth Pattern'!B$15:B$376,'Growth Pattern'!H$15:H$368)*LOOKUP(C168,'Growth Pattern'!B$15:B$376,'Growth Pattern'!I$15:I$368)/100)</f>
        <v>6.4</v>
      </c>
      <c r="H168" s="509">
        <f ca="1">LOOKUP(C168,'Growth Pattern'!B$15:B$376,'Growth Pattern'!F$15:F$368)-(LOOKUP(C168,'Growth Pattern'!B$15:B$376,'Growth Pattern'!I$15:I$368)*LOOKUP(C168,'Growth Pattern'!B$15:B$376,'Growth Pattern'!H$15:H$368)/100)</f>
        <v>7.57</v>
      </c>
      <c r="I168" s="509">
        <f ca="1">LOOKUP(C168,'Growth Pattern'!B$15:B$376,'Growth Pattern'!G$15:G$368)-(LOOKUP(C168,'Growth Pattern'!B$15:B$376,'Growth Pattern'!H$15:H$368)*LOOKUP(C168,'Growth Pattern'!B$15:B$376,'Growth Pattern'!I$15:I$368)/100)</f>
        <v>8.8199999999999985</v>
      </c>
      <c r="J168" s="510">
        <f t="shared" ca="1" si="7"/>
        <v>-2147.2527805969607</v>
      </c>
      <c r="K168" s="511">
        <f ca="1">LOOKUP(C168,'Growth Pattern'!B$15:B$376,'Growth Pattern'!H$15:H$368)</f>
        <v>186.55</v>
      </c>
      <c r="L168" s="512">
        <f t="shared" ca="1" si="8"/>
        <v>-1.0868784531032891</v>
      </c>
      <c r="M168" s="513">
        <f>LN('Growth Pattern'!F181/'Growth Pattern'!D181)/2</f>
        <v>0.17730061609775505</v>
      </c>
      <c r="N168" s="523"/>
      <c r="O168" s="528"/>
    </row>
    <row r="169" spans="1:15" x14ac:dyDescent="0.25">
      <c r="A169" s="527">
        <v>2.4738758223095334</v>
      </c>
      <c r="B169" s="527"/>
      <c r="C169" s="527" t="s">
        <v>1844</v>
      </c>
      <c r="D169" s="507">
        <v>0.38301901519045928</v>
      </c>
      <c r="E169" s="508">
        <f t="shared" si="6"/>
        <v>8.1322654321569959E-2</v>
      </c>
      <c r="F169" s="509">
        <f ca="1">LOOKUP(C169,'Growth Pattern'!B$15:B$376,'Growth Pattern'!D$15:D$368)-(LOOKUP(C169,'Growth Pattern'!B$15:B$376,'Growth Pattern'!H$15:H$368)*LOOKUP(C169,'Growth Pattern'!B$15:B$376,'Growth Pattern'!I$15:I$368)/100)</f>
        <v>0</v>
      </c>
      <c r="G169" s="509">
        <f ca="1">LOOKUP(C169,'Growth Pattern'!B$15:B$376,'Growth Pattern'!E$15:E$368)-(LOOKUP(C169,'Growth Pattern'!B$15:B$376,'Growth Pattern'!H$15:H$368)*LOOKUP(C169,'Growth Pattern'!B$15:B$376,'Growth Pattern'!I$15:I$368)/100)</f>
        <v>11.1</v>
      </c>
      <c r="H169" s="509">
        <f ca="1">LOOKUP(C169,'Growth Pattern'!B$15:B$376,'Growth Pattern'!F$15:F$368)-(LOOKUP(C169,'Growth Pattern'!B$15:B$376,'Growth Pattern'!I$15:I$368)*LOOKUP(C169,'Growth Pattern'!B$15:B$376,'Growth Pattern'!H$15:H$368)/100)</f>
        <v>12.7</v>
      </c>
      <c r="I169" s="509">
        <f ca="1">LOOKUP(C169,'Growth Pattern'!B$15:B$376,'Growth Pattern'!G$15:G$368)-(LOOKUP(C169,'Growth Pattern'!B$15:B$376,'Growth Pattern'!H$15:H$368)*LOOKUP(C169,'Growth Pattern'!B$15:B$376,'Growth Pattern'!I$15:I$368)/100)</f>
        <v>12.7</v>
      </c>
      <c r="J169" s="510">
        <f t="shared" ca="1" si="7"/>
        <v>7615.4916831526371</v>
      </c>
      <c r="K169" s="511">
        <f ca="1">LOOKUP(C169,'Growth Pattern'!B$15:B$376,'Growth Pattern'!H$15:H$368)</f>
        <v>349.35</v>
      </c>
      <c r="L169" s="512">
        <f t="shared" ca="1" si="8"/>
        <v>-0.95412640253119185</v>
      </c>
      <c r="M169" s="513" t="e">
        <f>LN('Growth Pattern'!F182/'Growth Pattern'!D182)/2</f>
        <v>#DIV/0!</v>
      </c>
      <c r="N169" s="523"/>
      <c r="O169" s="528"/>
    </row>
    <row r="170" spans="1:15" x14ac:dyDescent="0.25">
      <c r="A170" s="527">
        <v>3.2605864625359482</v>
      </c>
      <c r="B170" s="527">
        <v>0.39</v>
      </c>
      <c r="C170" s="527" t="s">
        <v>2999</v>
      </c>
      <c r="D170" s="507">
        <v>0.63669177212214234</v>
      </c>
      <c r="E170" s="508">
        <f t="shared" si="6"/>
        <v>0.10339218417462639</v>
      </c>
      <c r="F170" s="509">
        <f ca="1">LOOKUP(C170,'Growth Pattern'!B$15:B$376,'Growth Pattern'!D$15:D$368)-(LOOKUP(C170,'Growth Pattern'!B$15:B$376,'Growth Pattern'!H$15:H$368)*LOOKUP(C170,'Growth Pattern'!B$15:B$376,'Growth Pattern'!I$15:I$368)/100)</f>
        <v>6.6919000000000004</v>
      </c>
      <c r="G170" s="509">
        <f ca="1">LOOKUP(C170,'Growth Pattern'!B$15:B$376,'Growth Pattern'!E$15:E$368)-(LOOKUP(C170,'Growth Pattern'!B$15:B$376,'Growth Pattern'!H$15:H$368)*LOOKUP(C170,'Growth Pattern'!B$15:B$376,'Growth Pattern'!I$15:I$368)/100)</f>
        <v>6.7218999999999998</v>
      </c>
      <c r="H170" s="509">
        <f ca="1">LOOKUP(C170,'Growth Pattern'!B$15:B$376,'Growth Pattern'!F$15:F$368)-(LOOKUP(C170,'Growth Pattern'!B$15:B$376,'Growth Pattern'!I$15:I$368)*LOOKUP(C170,'Growth Pattern'!B$15:B$376,'Growth Pattern'!H$15:H$368)/100)</f>
        <v>7.7318999999999996</v>
      </c>
      <c r="I170" s="509">
        <f ca="1">LOOKUP(C170,'Growth Pattern'!B$15:B$376,'Growth Pattern'!G$15:G$368)-(LOOKUP(C170,'Growth Pattern'!B$15:B$376,'Growth Pattern'!H$15:H$368)*LOOKUP(C170,'Growth Pattern'!B$15:B$376,'Growth Pattern'!I$15:I$368)/100)</f>
        <v>9.7219000000000015</v>
      </c>
      <c r="J170" s="510">
        <f t="shared" ca="1" si="7"/>
        <v>328.51358355586234</v>
      </c>
      <c r="K170" s="511">
        <f ca="1">LOOKUP(C170,'Growth Pattern'!B$15:B$376,'Growth Pattern'!H$15:H$368)</f>
        <v>69.400000000000006</v>
      </c>
      <c r="L170" s="512">
        <f t="shared" ca="1" si="8"/>
        <v>-0.78874541731636227</v>
      </c>
      <c r="M170" s="513">
        <f>LN('Growth Pattern'!F183/'Growth Pattern'!D183)/2</f>
        <v>6.5010281987229773E-2</v>
      </c>
      <c r="N170" s="523"/>
      <c r="O170" s="528"/>
    </row>
    <row r="171" spans="1:15" x14ac:dyDescent="0.25">
      <c r="A171" s="516">
        <v>2.8506555851849273</v>
      </c>
      <c r="B171" s="516">
        <v>3</v>
      </c>
      <c r="C171" s="516" t="s">
        <v>530</v>
      </c>
      <c r="D171" s="507">
        <v>0.80319697071534346</v>
      </c>
      <c r="E171" s="508">
        <f t="shared" si="6"/>
        <v>0.11787813645223488</v>
      </c>
      <c r="F171" s="509">
        <f ca="1">LOOKUP(C171,'Growth Pattern'!B$15:B$376,'Growth Pattern'!D$15:D$368)-(LOOKUP(C171,'Growth Pattern'!B$15:B$376,'Growth Pattern'!H$15:H$368)*LOOKUP(C171,'Growth Pattern'!B$15:B$376,'Growth Pattern'!I$15:I$368)/100)</f>
        <v>8.08</v>
      </c>
      <c r="G171" s="509">
        <f ca="1">LOOKUP(C171,'Growth Pattern'!B$15:B$376,'Growth Pattern'!E$15:E$368)-(LOOKUP(C171,'Growth Pattern'!B$15:B$376,'Growth Pattern'!H$15:H$368)*LOOKUP(C171,'Growth Pattern'!B$15:B$376,'Growth Pattern'!I$15:I$368)/100)</f>
        <v>4.3</v>
      </c>
      <c r="H171" s="509">
        <f ca="1">LOOKUP(C171,'Growth Pattern'!B$15:B$376,'Growth Pattern'!F$15:F$368)-(LOOKUP(C171,'Growth Pattern'!B$15:B$376,'Growth Pattern'!I$15:I$368)*LOOKUP(C171,'Growth Pattern'!B$15:B$376,'Growth Pattern'!H$15:H$368)/100)</f>
        <v>5.7</v>
      </c>
      <c r="I171" s="509">
        <f ca="1">LOOKUP(C171,'Growth Pattern'!B$15:B$376,'Growth Pattern'!G$15:G$368)-(LOOKUP(C171,'Growth Pattern'!B$15:B$376,'Growth Pattern'!H$15:H$368)*LOOKUP(C171,'Growth Pattern'!B$15:B$376,'Growth Pattern'!I$15:I$368)/100)</f>
        <v>12.28000000000001</v>
      </c>
      <c r="J171" s="510">
        <f t="shared" ca="1" si="7"/>
        <v>248.56178486423491</v>
      </c>
      <c r="K171" s="511">
        <f ca="1">LOOKUP(C171,'Growth Pattern'!B$15:B$376,'Growth Pattern'!H$15:H$368)</f>
        <v>81.8</v>
      </c>
      <c r="L171" s="512">
        <f t="shared" ca="1" si="8"/>
        <v>-0.67090677255685405</v>
      </c>
      <c r="M171" s="513">
        <f>LN('Growth Pattern'!F184/'Growth Pattern'!D184)/2</f>
        <v>-0.1744628488462498</v>
      </c>
      <c r="N171" s="523"/>
      <c r="O171" s="528"/>
    </row>
    <row r="172" spans="1:15" x14ac:dyDescent="0.25">
      <c r="A172" s="506">
        <v>2.4348840645775378</v>
      </c>
      <c r="B172" s="506"/>
      <c r="C172" s="506" t="s">
        <v>531</v>
      </c>
      <c r="D172" s="507">
        <v>0.3910199048707178</v>
      </c>
      <c r="E172" s="508">
        <f t="shared" si="6"/>
        <v>8.2018731723752458E-2</v>
      </c>
      <c r="F172" s="509">
        <f ca="1">LOOKUP(C172,'Growth Pattern'!B$15:B$376,'Growth Pattern'!D$15:D$368)-(LOOKUP(C172,'Growth Pattern'!B$15:B$376,'Growth Pattern'!H$15:H$368)*LOOKUP(C172,'Growth Pattern'!B$15:B$376,'Growth Pattern'!I$15:I$368)/100)</f>
        <v>1.19</v>
      </c>
      <c r="G172" s="509">
        <f ca="1">LOOKUP(C172,'Growth Pattern'!B$15:B$376,'Growth Pattern'!E$15:E$368)-(LOOKUP(C172,'Growth Pattern'!B$15:B$376,'Growth Pattern'!H$15:H$368)*LOOKUP(C172,'Growth Pattern'!B$15:B$376,'Growth Pattern'!I$15:I$368)/100)</f>
        <v>0.8</v>
      </c>
      <c r="H172" s="509">
        <f ca="1">LOOKUP(C172,'Growth Pattern'!B$15:B$376,'Growth Pattern'!F$15:F$368)-(LOOKUP(C172,'Growth Pattern'!B$15:B$376,'Growth Pattern'!I$15:I$368)*LOOKUP(C172,'Growth Pattern'!B$15:B$376,'Growth Pattern'!H$15:H$368)/100)</f>
        <v>2.25</v>
      </c>
      <c r="I172" s="509">
        <f ca="1">LOOKUP(C172,'Growth Pattern'!B$15:B$376,'Growth Pattern'!G$15:G$368)-(LOOKUP(C172,'Growth Pattern'!B$15:B$376,'Growth Pattern'!H$15:H$368)*LOOKUP(C172,'Growth Pattern'!B$15:B$376,'Growth Pattern'!I$15:I$368)/100)</f>
        <v>5.5400000000000018</v>
      </c>
      <c r="J172" s="510">
        <f t="shared" ca="1" si="7"/>
        <v>2170.1921789915828</v>
      </c>
      <c r="K172" s="511">
        <f ca="1">LOOKUP(C172,'Growth Pattern'!B$15:B$376,'Growth Pattern'!H$15:H$368)</f>
        <v>48.1</v>
      </c>
      <c r="L172" s="512">
        <f t="shared" ca="1" si="8"/>
        <v>-0.9778360642593642</v>
      </c>
      <c r="M172" s="513">
        <f>LN('Growth Pattern'!F185/'Growth Pattern'!D185)/2</f>
        <v>0.31848845454644542</v>
      </c>
      <c r="N172" s="523"/>
      <c r="O172" s="528"/>
    </row>
    <row r="173" spans="1:15" x14ac:dyDescent="0.25">
      <c r="A173" s="516">
        <v>2.9915116583676413</v>
      </c>
      <c r="B173" s="516"/>
      <c r="C173" s="543" t="s">
        <v>533</v>
      </c>
      <c r="D173" s="507">
        <v>0.46290100657568289</v>
      </c>
      <c r="E173" s="508">
        <f t="shared" si="6"/>
        <v>8.8272387572084415E-2</v>
      </c>
      <c r="F173" s="509">
        <f ca="1">LOOKUP(C173,'Growth Pattern'!B$15:B$376,'Growth Pattern'!D$15:D$368)-(LOOKUP(C173,'Growth Pattern'!B$15:B$376,'Growth Pattern'!H$15:H$368)*LOOKUP(C173,'Growth Pattern'!B$15:B$376,'Growth Pattern'!I$15:I$368)/100)</f>
        <v>0</v>
      </c>
      <c r="G173" s="509">
        <f ca="1">LOOKUP(C173,'Growth Pattern'!B$15:B$376,'Growth Pattern'!E$15:E$368)-(LOOKUP(C173,'Growth Pattern'!B$15:B$376,'Growth Pattern'!H$15:H$368)*LOOKUP(C173,'Growth Pattern'!B$15:B$376,'Growth Pattern'!I$15:I$368)/100)</f>
        <v>7.7</v>
      </c>
      <c r="H173" s="509">
        <f ca="1">LOOKUP(C173,'Growth Pattern'!B$15:B$376,'Growth Pattern'!F$15:F$368)-(LOOKUP(C173,'Growth Pattern'!B$15:B$376,'Growth Pattern'!I$15:I$368)*LOOKUP(C173,'Growth Pattern'!B$15:B$376,'Growth Pattern'!H$15:H$368)/100)</f>
        <v>11.35</v>
      </c>
      <c r="I173" s="509">
        <f ca="1">LOOKUP(C173,'Growth Pattern'!B$15:B$376,'Growth Pattern'!G$15:G$368)-(LOOKUP(C173,'Growth Pattern'!B$15:B$376,'Growth Pattern'!H$15:H$368)*LOOKUP(C173,'Growth Pattern'!B$15:B$376,'Growth Pattern'!I$15:I$368)/100)</f>
        <v>11.35</v>
      </c>
      <c r="J173" s="510">
        <f t="shared" ca="1" si="7"/>
        <v>1081.1747698778861</v>
      </c>
      <c r="K173" s="511">
        <f ca="1">LOOKUP(C173,'Growth Pattern'!B$15:B$376,'Growth Pattern'!H$15:H$368)</f>
        <v>163.35</v>
      </c>
      <c r="L173" s="512">
        <f t="shared" ca="1" si="8"/>
        <v>-0.84891434340587724</v>
      </c>
      <c r="M173" s="513" t="e">
        <f>LN('Growth Pattern'!F186/'Growth Pattern'!D186)/2</f>
        <v>#DIV/0!</v>
      </c>
      <c r="N173" s="523"/>
      <c r="O173" s="528"/>
    </row>
    <row r="174" spans="1:15" x14ac:dyDescent="0.25">
      <c r="A174" s="516">
        <v>2.0975414681832545</v>
      </c>
      <c r="B174" s="516"/>
      <c r="C174" s="516" t="s">
        <v>538</v>
      </c>
      <c r="D174" s="507">
        <v>0.13740202399176263</v>
      </c>
      <c r="E174" s="508">
        <f t="shared" si="6"/>
        <v>5.9953976087283353E-2</v>
      </c>
      <c r="F174" s="509">
        <f ca="1">LOOKUP(C174,'Growth Pattern'!B$15:B$376,'Growth Pattern'!D$15:D$368)-(LOOKUP(C174,'Growth Pattern'!B$15:B$376,'Growth Pattern'!H$15:H$368)*LOOKUP(C174,'Growth Pattern'!B$15:B$376,'Growth Pattern'!I$15:I$368)/100)</f>
        <v>105.69</v>
      </c>
      <c r="G174" s="509">
        <f ca="1">LOOKUP(C174,'Growth Pattern'!B$15:B$376,'Growth Pattern'!E$15:E$368)-(LOOKUP(C174,'Growth Pattern'!B$15:B$376,'Growth Pattern'!H$15:H$368)*LOOKUP(C174,'Growth Pattern'!B$15:B$376,'Growth Pattern'!I$15:I$368)/100)</f>
        <v>127.9</v>
      </c>
      <c r="H174" s="509">
        <f ca="1">LOOKUP(C174,'Growth Pattern'!B$15:B$376,'Growth Pattern'!F$15:F$368)-(LOOKUP(C174,'Growth Pattern'!B$15:B$376,'Growth Pattern'!I$15:I$368)*LOOKUP(C174,'Growth Pattern'!B$15:B$376,'Growth Pattern'!H$15:H$368)/100)</f>
        <v>153</v>
      </c>
      <c r="I174" s="509">
        <f ca="1">LOOKUP(C174,'Growth Pattern'!B$15:B$376,'Growth Pattern'!G$15:G$368)-(LOOKUP(C174,'Growth Pattern'!B$15:B$376,'Growth Pattern'!H$15:H$368)*LOOKUP(C174,'Growth Pattern'!B$15:B$376,'Growth Pattern'!I$15:I$368)/100)</f>
        <v>180.99</v>
      </c>
      <c r="J174" s="510">
        <f t="shared" ca="1" si="7"/>
        <v>-7219.1406725290135</v>
      </c>
      <c r="K174" s="511">
        <f ca="1">LOOKUP(C174,'Growth Pattern'!B$15:B$376,'Growth Pattern'!H$15:H$368)</f>
        <v>795.65</v>
      </c>
      <c r="L174" s="512">
        <f t="shared" ca="1" si="8"/>
        <v>-1.1102139487359881</v>
      </c>
      <c r="M174" s="513">
        <f>LN('Growth Pattern'!F187/'Growth Pattern'!D187)/2</f>
        <v>0.18496382018558974</v>
      </c>
      <c r="N174" s="523"/>
      <c r="O174" s="528"/>
    </row>
    <row r="175" spans="1:15" x14ac:dyDescent="0.25">
      <c r="A175" s="507">
        <v>2.8408018683936711</v>
      </c>
      <c r="B175" s="507">
        <v>0.04</v>
      </c>
      <c r="C175" s="507" t="s">
        <v>1576</v>
      </c>
      <c r="D175" s="507">
        <v>1.3811652943148418</v>
      </c>
      <c r="E175" s="508">
        <f t="shared" si="6"/>
        <v>0.16816138060539126</v>
      </c>
      <c r="F175" s="509">
        <f ca="1">LOOKUP(C175,'Growth Pattern'!B$15:B$376,'Growth Pattern'!D$15:D$368)-(LOOKUP(C175,'Growth Pattern'!B$15:B$376,'Growth Pattern'!H$15:H$368)*LOOKUP(C175,'Growth Pattern'!B$15:B$376,'Growth Pattern'!I$15:I$368)/100)</f>
        <v>-1.9951699999999999</v>
      </c>
      <c r="G175" s="509">
        <f ca="1">LOOKUP(C175,'Growth Pattern'!B$15:B$376,'Growth Pattern'!E$15:E$368)-(LOOKUP(C175,'Growth Pattern'!B$15:B$376,'Growth Pattern'!H$15:H$368)*LOOKUP(C175,'Growth Pattern'!B$15:B$376,'Growth Pattern'!I$15:I$368)/100)</f>
        <v>13.704829999999999</v>
      </c>
      <c r="H175" s="509">
        <f ca="1">LOOKUP(C175,'Growth Pattern'!B$15:B$376,'Growth Pattern'!F$15:F$368)-(LOOKUP(C175,'Growth Pattern'!B$15:B$376,'Growth Pattern'!I$15:I$368)*LOOKUP(C175,'Growth Pattern'!B$15:B$376,'Growth Pattern'!H$15:H$368)/100)</f>
        <v>16.704830000000001</v>
      </c>
      <c r="I175" s="509">
        <f ca="1">LOOKUP(C175,'Growth Pattern'!B$15:B$376,'Growth Pattern'!G$15:G$368)-(LOOKUP(C175,'Growth Pattern'!B$15:B$376,'Growth Pattern'!H$15:H$368)*LOOKUP(C175,'Growth Pattern'!B$15:B$376,'Growth Pattern'!I$15:I$368)/100)</f>
        <v>16.704830000000001</v>
      </c>
      <c r="J175" s="510">
        <f t="shared" ca="1" si="7"/>
        <v>140.84365995972223</v>
      </c>
      <c r="K175" s="511">
        <f ca="1">LOOKUP(C175,'Growth Pattern'!B$15:B$376,'Growth Pattern'!H$15:H$368)</f>
        <v>157.1</v>
      </c>
      <c r="L175" s="512">
        <f t="shared" ca="1" si="8"/>
        <v>0.11542117014657721</v>
      </c>
      <c r="M175" s="513" t="e">
        <f>LN('Growth Pattern'!F188/'Growth Pattern'!D188)/2</f>
        <v>#DIV/0!</v>
      </c>
      <c r="N175" s="523"/>
      <c r="O175" s="528"/>
    </row>
    <row r="176" spans="1:15" x14ac:dyDescent="0.25">
      <c r="A176" s="516">
        <v>3.2531464081820083</v>
      </c>
      <c r="B176" s="516">
        <v>0.31</v>
      </c>
      <c r="C176" s="516" t="s">
        <v>2919</v>
      </c>
      <c r="D176" s="507">
        <v>0.34585075797519643</v>
      </c>
      <c r="E176" s="508">
        <f t="shared" si="6"/>
        <v>7.8089015943842099E-2</v>
      </c>
      <c r="F176" s="509">
        <f ca="1">LOOKUP(C176,'Growth Pattern'!B$15:B$376,'Growth Pattern'!D$15:D$368)-(LOOKUP(C176,'Growth Pattern'!B$15:B$376,'Growth Pattern'!H$15:H$368)*LOOKUP(C176,'Growth Pattern'!B$15:B$376,'Growth Pattern'!I$15:I$368)/100)</f>
        <v>-69.81</v>
      </c>
      <c r="G176" s="509">
        <f ca="1">LOOKUP(C176,'Growth Pattern'!B$15:B$376,'Growth Pattern'!E$15:E$368)-(LOOKUP(C176,'Growth Pattern'!B$15:B$376,'Growth Pattern'!H$15:H$368)*LOOKUP(C176,'Growth Pattern'!B$15:B$376,'Growth Pattern'!I$15:I$368)/100)</f>
        <v>20.05</v>
      </c>
      <c r="H176" s="509">
        <f ca="1">LOOKUP(C176,'Growth Pattern'!B$15:B$376,'Growth Pattern'!F$15:F$368)-(LOOKUP(C176,'Growth Pattern'!B$15:B$376,'Growth Pattern'!I$15:I$368)*LOOKUP(C176,'Growth Pattern'!B$15:B$376,'Growth Pattern'!H$15:H$368)/100)</f>
        <v>61.6</v>
      </c>
      <c r="I176" s="509">
        <f ca="1">LOOKUP(C176,'Growth Pattern'!B$15:B$376,'Growth Pattern'!G$15:G$368)-(LOOKUP(C176,'Growth Pattern'!B$15:B$376,'Growth Pattern'!H$15:H$368)*LOOKUP(C176,'Growth Pattern'!B$15:B$376,'Growth Pattern'!I$15:I$368)/100)</f>
        <v>61.6</v>
      </c>
      <c r="J176" s="510">
        <f t="shared" ca="1" si="7"/>
        <v>-25723.473520842013</v>
      </c>
      <c r="K176" s="511">
        <f ca="1">LOOKUP(C176,'Growth Pattern'!B$15:B$376,'Growth Pattern'!H$15:H$368)</f>
        <v>453.2</v>
      </c>
      <c r="L176" s="512">
        <f t="shared" ca="1" si="8"/>
        <v>-1.0176181494164387</v>
      </c>
      <c r="M176" s="513" t="e">
        <f>LN('Growth Pattern'!F189/'Growth Pattern'!D189)/2</f>
        <v>#NUM!</v>
      </c>
      <c r="N176" s="523"/>
      <c r="O176" s="528"/>
    </row>
    <row r="177" spans="1:15" x14ac:dyDescent="0.25">
      <c r="A177" s="506">
        <v>1.6276789189531595</v>
      </c>
      <c r="B177" s="506">
        <v>0.17</v>
      </c>
      <c r="C177" s="491" t="s">
        <v>5352</v>
      </c>
      <c r="D177" s="507">
        <v>0.34082930330514316</v>
      </c>
      <c r="E177" s="508">
        <f t="shared" si="6"/>
        <v>7.7652149387547456E-2</v>
      </c>
      <c r="F177" s="509">
        <f ca="1">LOOKUP(C177,'Growth Pattern'!B$15:B$376,'Growth Pattern'!D$15:D$368)-(LOOKUP(C177,'Growth Pattern'!B$15:B$376,'Growth Pattern'!H$15:H$368)*LOOKUP(C177,'Growth Pattern'!B$15:B$376,'Growth Pattern'!I$15:I$368)/100)</f>
        <v>38.630000000000003</v>
      </c>
      <c r="G177" s="509">
        <f ca="1">LOOKUP(C177,'Growth Pattern'!B$15:B$376,'Growth Pattern'!E$15:E$368)-(LOOKUP(C177,'Growth Pattern'!B$15:B$376,'Growth Pattern'!H$15:H$368)*LOOKUP(C177,'Growth Pattern'!B$15:B$376,'Growth Pattern'!I$15:I$368)/100)</f>
        <v>42</v>
      </c>
      <c r="H177" s="509">
        <f ca="1">LOOKUP(C177,'Growth Pattern'!B$15:B$376,'Growth Pattern'!F$15:F$368)-(LOOKUP(C177,'Growth Pattern'!B$15:B$376,'Growth Pattern'!I$15:I$368)*LOOKUP(C177,'Growth Pattern'!B$15:B$376,'Growth Pattern'!H$15:H$368)/100)</f>
        <v>54.91</v>
      </c>
      <c r="I177" s="509">
        <f ca="1">LOOKUP(C177,'Growth Pattern'!B$15:B$376,'Growth Pattern'!G$15:G$368)-(LOOKUP(C177,'Growth Pattern'!B$15:B$376,'Growth Pattern'!H$15:H$368)*LOOKUP(C177,'Growth Pattern'!B$15:B$376,'Growth Pattern'!I$15:I$368)/100)</f>
        <v>77.359999999999985</v>
      </c>
      <c r="J177" s="510">
        <f t="shared" ca="1" si="7"/>
        <v>-26202.649768434894</v>
      </c>
      <c r="K177" s="511">
        <f ca="1">LOOKUP(C177,'Growth Pattern'!B$15:B$376,'Growth Pattern'!H$15:H$368)</f>
        <v>640.65</v>
      </c>
      <c r="L177" s="512">
        <f t="shared" ca="1" si="8"/>
        <v>-1.0244498173147267</v>
      </c>
      <c r="M177" s="513">
        <f>LN('Growth Pattern'!F190/'Growth Pattern'!D190)/2</f>
        <v>0.17583315230629562</v>
      </c>
      <c r="N177" s="523"/>
      <c r="O177" s="528"/>
    </row>
    <row r="178" spans="1:15" x14ac:dyDescent="0.25">
      <c r="A178" s="516">
        <v>2.8869609438519785</v>
      </c>
      <c r="B178" s="516">
        <v>0.23</v>
      </c>
      <c r="C178" s="516" t="s">
        <v>110</v>
      </c>
      <c r="D178" s="507">
        <v>0.40090839690045882</v>
      </c>
      <c r="E178" s="508">
        <f t="shared" si="6"/>
        <v>8.2879030530339931E-2</v>
      </c>
      <c r="F178" s="509">
        <f ca="1">LOOKUP(C178,'Growth Pattern'!B$15:B$376,'Growth Pattern'!D$15:D$368)-(LOOKUP(C178,'Growth Pattern'!B$15:B$376,'Growth Pattern'!H$15:H$368)*LOOKUP(C178,'Growth Pattern'!B$15:B$376,'Growth Pattern'!I$15:I$368)/100)</f>
        <v>83.29</v>
      </c>
      <c r="G178" s="509">
        <f ca="1">LOOKUP(C178,'Growth Pattern'!B$15:B$376,'Growth Pattern'!E$15:E$368)-(LOOKUP(C178,'Growth Pattern'!B$15:B$376,'Growth Pattern'!H$15:H$368)*LOOKUP(C178,'Growth Pattern'!B$15:B$376,'Growth Pattern'!I$15:I$368)/100)</f>
        <v>64.66</v>
      </c>
      <c r="H178" s="509">
        <f ca="1">LOOKUP(C178,'Growth Pattern'!B$15:B$376,'Growth Pattern'!F$15:F$368)-(LOOKUP(C178,'Growth Pattern'!B$15:B$376,'Growth Pattern'!I$15:I$368)*LOOKUP(C178,'Growth Pattern'!B$15:B$376,'Growth Pattern'!H$15:H$368)/100)</f>
        <v>107.8</v>
      </c>
      <c r="I178" s="509">
        <f ca="1">LOOKUP(C178,'Growth Pattern'!B$15:B$376,'Growth Pattern'!G$15:G$368)-(LOOKUP(C178,'Growth Pattern'!B$15:B$376,'Growth Pattern'!H$15:H$368)*LOOKUP(C178,'Growth Pattern'!B$15:B$376,'Growth Pattern'!I$15:I$368)/100)</f>
        <v>212.71000000000004</v>
      </c>
      <c r="J178" s="510">
        <f t="shared" ca="1" si="7"/>
        <v>58418.694546690131</v>
      </c>
      <c r="K178" s="511">
        <f ca="1">LOOKUP(C178,'Growth Pattern'!B$15:B$376,'Growth Pattern'!H$15:H$368)</f>
        <v>918.95</v>
      </c>
      <c r="L178" s="512">
        <f t="shared" ca="1" si="8"/>
        <v>-0.9842695902890205</v>
      </c>
      <c r="M178" s="513">
        <f>LN('Growth Pattern'!F191/'Growth Pattern'!D191)/2</f>
        <v>0.12897458226382374</v>
      </c>
      <c r="N178" s="523"/>
      <c r="O178" s="528"/>
    </row>
    <row r="179" spans="1:15" x14ac:dyDescent="0.25">
      <c r="A179" s="527">
        <v>1.9152061602881087</v>
      </c>
      <c r="B179" s="527">
        <v>0.22</v>
      </c>
      <c r="C179" s="545" t="s">
        <v>4835</v>
      </c>
      <c r="D179" s="507">
        <v>0.30660128717467078</v>
      </c>
      <c r="E179" s="508">
        <f t="shared" si="6"/>
        <v>7.4674311984196357E-2</v>
      </c>
      <c r="F179" s="509">
        <f ca="1">LOOKUP(C179,'Growth Pattern'!B$15:B$376,'Growth Pattern'!D$15:D$368)-(LOOKUP(C179,'Growth Pattern'!B$15:B$376,'Growth Pattern'!H$15:H$368)*LOOKUP(C179,'Growth Pattern'!B$15:B$376,'Growth Pattern'!I$15:I$368)/100)</f>
        <v>26.330380000000002</v>
      </c>
      <c r="G179" s="509">
        <f ca="1">LOOKUP(C179,'Growth Pattern'!B$15:B$376,'Growth Pattern'!E$15:E$368)-(LOOKUP(C179,'Growth Pattern'!B$15:B$376,'Growth Pattern'!H$15:H$368)*LOOKUP(C179,'Growth Pattern'!B$15:B$376,'Growth Pattern'!I$15:I$368)/100)</f>
        <v>17.510380000000001</v>
      </c>
      <c r="H179" s="509">
        <f ca="1">LOOKUP(C179,'Growth Pattern'!B$15:B$376,'Growth Pattern'!F$15:F$368)-(LOOKUP(C179,'Growth Pattern'!B$15:B$376,'Growth Pattern'!I$15:I$368)*LOOKUP(C179,'Growth Pattern'!B$15:B$376,'Growth Pattern'!H$15:H$368)/100)</f>
        <v>8.7103800000000007</v>
      </c>
      <c r="I179" s="509">
        <f ca="1">LOOKUP(C179,'Growth Pattern'!B$15:B$376,'Growth Pattern'!G$15:G$368)-(LOOKUP(C179,'Growth Pattern'!B$15:B$376,'Growth Pattern'!H$15:H$368)*LOOKUP(C179,'Growth Pattern'!B$15:B$376,'Growth Pattern'!I$15:I$368)/100)</f>
        <v>8.7103800000000007</v>
      </c>
      <c r="J179" s="510">
        <f t="shared" ca="1" si="7"/>
        <v>-1267.57719072535</v>
      </c>
      <c r="K179" s="511">
        <f ca="1">LOOKUP(C179,'Growth Pattern'!B$15:B$376,'Growth Pattern'!H$15:H$368)</f>
        <v>109.7</v>
      </c>
      <c r="L179" s="512">
        <f t="shared" ca="1" si="8"/>
        <v>-1.0865430530011557</v>
      </c>
      <c r="M179" s="513">
        <f>LN('Growth Pattern'!F192/'Growth Pattern'!D192)/2</f>
        <v>-0.39391936993410204</v>
      </c>
      <c r="N179" s="523"/>
      <c r="O179" s="528"/>
    </row>
    <row r="180" spans="1:15" x14ac:dyDescent="0.25">
      <c r="A180" s="516">
        <v>3.037938987949437</v>
      </c>
      <c r="B180" s="516">
        <v>0.18</v>
      </c>
      <c r="C180" s="516" t="s">
        <v>1813</v>
      </c>
      <c r="D180" s="507">
        <v>0.62902802979413597</v>
      </c>
      <c r="E180" s="508">
        <f t="shared" si="6"/>
        <v>0.10272543859208984</v>
      </c>
      <c r="F180" s="509">
        <f ca="1">LOOKUP(C180,'Growth Pattern'!B$15:B$376,'Growth Pattern'!D$15:D$368)-(LOOKUP(C180,'Growth Pattern'!B$15:B$376,'Growth Pattern'!H$15:H$368)*LOOKUP(C180,'Growth Pattern'!B$15:B$376,'Growth Pattern'!I$15:I$368)/100)</f>
        <v>17.2134</v>
      </c>
      <c r="G180" s="509">
        <f ca="1">LOOKUP(C180,'Growth Pattern'!B$15:B$376,'Growth Pattern'!E$15:E$368)-(LOOKUP(C180,'Growth Pattern'!B$15:B$376,'Growth Pattern'!H$15:H$368)*LOOKUP(C180,'Growth Pattern'!B$15:B$376,'Growth Pattern'!I$15:I$368)/100)</f>
        <v>9.9034000000000013</v>
      </c>
      <c r="H180" s="509">
        <f ca="1">LOOKUP(C180,'Growth Pattern'!B$15:B$376,'Growth Pattern'!F$15:F$368)-(LOOKUP(C180,'Growth Pattern'!B$15:B$376,'Growth Pattern'!I$15:I$368)*LOOKUP(C180,'Growth Pattern'!B$15:B$376,'Growth Pattern'!H$15:H$368)/100)</f>
        <v>9.9034000000000013</v>
      </c>
      <c r="I180" s="509">
        <f ca="1">LOOKUP(C180,'Growth Pattern'!B$15:B$376,'Growth Pattern'!G$15:G$368)-(LOOKUP(C180,'Growth Pattern'!B$15:B$376,'Growth Pattern'!H$15:H$368)*LOOKUP(C180,'Growth Pattern'!B$15:B$376,'Growth Pattern'!I$15:I$368)/100)</f>
        <v>17.213400000000014</v>
      </c>
      <c r="J180" s="510">
        <f t="shared" ca="1" si="7"/>
        <v>599.21326854849679</v>
      </c>
      <c r="K180" s="511">
        <f ca="1">LOOKUP(C180,'Growth Pattern'!B$15:B$376,'Growth Pattern'!H$15:H$368)</f>
        <v>43.8</v>
      </c>
      <c r="L180" s="512">
        <f t="shared" ca="1" si="8"/>
        <v>-0.92690415533337767</v>
      </c>
      <c r="M180" s="513">
        <f>LN('Growth Pattern'!F193/'Growth Pattern'!D193)/2</f>
        <v>-0.23171482427681886</v>
      </c>
      <c r="N180" s="523"/>
      <c r="O180" s="528"/>
    </row>
    <row r="181" spans="1:15" x14ac:dyDescent="0.25">
      <c r="A181" s="506">
        <v>2.3594200744644511</v>
      </c>
      <c r="B181" s="506">
        <v>0.23</v>
      </c>
      <c r="C181" s="506" t="s">
        <v>2922</v>
      </c>
      <c r="D181" s="507">
        <v>0.18292263586085916</v>
      </c>
      <c r="E181" s="508">
        <f t="shared" si="6"/>
        <v>6.3914269319894745E-2</v>
      </c>
      <c r="F181" s="509">
        <f ca="1">LOOKUP(C181,'Growth Pattern'!B$15:B$376,'Growth Pattern'!D$15:D$368)-(LOOKUP(C181,'Growth Pattern'!B$15:B$376,'Growth Pattern'!H$15:H$368)*LOOKUP(C181,'Growth Pattern'!B$15:B$376,'Growth Pattern'!I$15:I$368)/100)</f>
        <v>36.252000000000002</v>
      </c>
      <c r="G181" s="509">
        <f ca="1">LOOKUP(C181,'Growth Pattern'!B$15:B$376,'Growth Pattern'!E$15:E$368)-(LOOKUP(C181,'Growth Pattern'!B$15:B$376,'Growth Pattern'!H$15:H$368)*LOOKUP(C181,'Growth Pattern'!B$15:B$376,'Growth Pattern'!I$15:I$368)/100)</f>
        <v>11.212</v>
      </c>
      <c r="H181" s="509">
        <f ca="1">LOOKUP(C181,'Growth Pattern'!B$15:B$376,'Growth Pattern'!F$15:F$368)-(LOOKUP(C181,'Growth Pattern'!B$15:B$376,'Growth Pattern'!I$15:I$368)*LOOKUP(C181,'Growth Pattern'!B$15:B$376,'Growth Pattern'!H$15:H$368)/100)</f>
        <v>21.512</v>
      </c>
      <c r="I181" s="509">
        <f ca="1">LOOKUP(C181,'Growth Pattern'!B$15:B$376,'Growth Pattern'!G$15:G$368)-(LOOKUP(C181,'Growth Pattern'!B$15:B$376,'Growth Pattern'!H$15:H$368)*LOOKUP(C181,'Growth Pattern'!B$15:B$376,'Growth Pattern'!I$15:I$368)/100)</f>
        <v>67.152000000000072</v>
      </c>
      <c r="J181" s="510">
        <f t="shared" ca="1" si="7"/>
        <v>-3400.7608693243692</v>
      </c>
      <c r="K181" s="511">
        <f ca="1">LOOKUP(C181,'Growth Pattern'!B$15:B$376,'Growth Pattern'!H$15:H$368)</f>
        <v>87.2</v>
      </c>
      <c r="L181" s="512">
        <f t="shared" ca="1" si="8"/>
        <v>-1.0256413206781352</v>
      </c>
      <c r="M181" s="513">
        <f>LN('Growth Pattern'!F194/'Growth Pattern'!D194)/2</f>
        <v>-0.23174120612773499</v>
      </c>
      <c r="N181" s="523"/>
      <c r="O181" s="528"/>
    </row>
    <row r="182" spans="1:15" x14ac:dyDescent="0.25">
      <c r="A182" s="527">
        <v>2.544084444443127</v>
      </c>
      <c r="B182" s="527">
        <v>0.03</v>
      </c>
      <c r="C182" s="527" t="s">
        <v>1580</v>
      </c>
      <c r="D182" s="507">
        <v>0.74156925631698112</v>
      </c>
      <c r="E182" s="508">
        <f t="shared" si="6"/>
        <v>0.11251652529957737</v>
      </c>
      <c r="F182" s="509">
        <f ca="1">LOOKUP(C182,'Growth Pattern'!B$15:B$376,'Growth Pattern'!D$15:D$368)-(LOOKUP(C182,'Growth Pattern'!B$15:B$376,'Growth Pattern'!H$15:H$368)*LOOKUP(C182,'Growth Pattern'!B$15:B$376,'Growth Pattern'!I$15:I$368)/100)</f>
        <v>10.187675</v>
      </c>
      <c r="G182" s="509">
        <f ca="1">LOOKUP(C182,'Growth Pattern'!B$15:B$376,'Growth Pattern'!E$15:E$368)-(LOOKUP(C182,'Growth Pattern'!B$15:B$376,'Growth Pattern'!H$15:H$368)*LOOKUP(C182,'Growth Pattern'!B$15:B$376,'Growth Pattern'!I$15:I$368)/100)</f>
        <v>12.107675</v>
      </c>
      <c r="H182" s="509">
        <f ca="1">LOOKUP(C182,'Growth Pattern'!B$15:B$376,'Growth Pattern'!F$15:F$368)-(LOOKUP(C182,'Growth Pattern'!B$15:B$376,'Growth Pattern'!I$15:I$368)*LOOKUP(C182,'Growth Pattern'!B$15:B$376,'Growth Pattern'!H$15:H$368)/100)</f>
        <v>14.207675</v>
      </c>
      <c r="I182" s="509">
        <f ca="1">LOOKUP(C182,'Growth Pattern'!B$15:B$376,'Growth Pattern'!G$15:G$368)-(LOOKUP(C182,'Growth Pattern'!B$15:B$376,'Growth Pattern'!H$15:H$368)*LOOKUP(C182,'Growth Pattern'!B$15:B$376,'Growth Pattern'!I$15:I$368)/100)</f>
        <v>16.487674999999999</v>
      </c>
      <c r="J182" s="510">
        <f t="shared" ca="1" si="7"/>
        <v>400.7941417575002</v>
      </c>
      <c r="K182" s="511">
        <f ca="1">LOOKUP(C182,'Growth Pattern'!B$15:B$376,'Growth Pattern'!H$15:H$368)</f>
        <v>75.75</v>
      </c>
      <c r="L182" s="512">
        <f t="shared" ca="1" si="8"/>
        <v>-0.81100023152076806</v>
      </c>
      <c r="M182" s="513">
        <f>LN('Growth Pattern'!F195/'Growth Pattern'!D195)/2</f>
        <v>0.15358448006263881</v>
      </c>
      <c r="N182" s="523"/>
      <c r="O182" s="528"/>
    </row>
    <row r="183" spans="1:15" x14ac:dyDescent="0.25">
      <c r="A183" s="527">
        <v>2.8644084939498384</v>
      </c>
      <c r="B183" s="527">
        <v>0.28000000000000003</v>
      </c>
      <c r="C183" s="527" t="s">
        <v>1582</v>
      </c>
      <c r="D183" s="507">
        <v>0.26028393833394448</v>
      </c>
      <c r="E183" s="508">
        <f t="shared" si="6"/>
        <v>7.064470263505318E-2</v>
      </c>
      <c r="F183" s="509">
        <f ca="1">LOOKUP(C183,'Growth Pattern'!B$15:B$376,'Growth Pattern'!D$15:D$368)-(LOOKUP(C183,'Growth Pattern'!B$15:B$376,'Growth Pattern'!H$15:H$368)*LOOKUP(C183,'Growth Pattern'!B$15:B$376,'Growth Pattern'!I$15:I$368)/100)</f>
        <v>0</v>
      </c>
      <c r="G183" s="509">
        <f ca="1">LOOKUP(C183,'Growth Pattern'!B$15:B$376,'Growth Pattern'!E$15:E$368)-(LOOKUP(C183,'Growth Pattern'!B$15:B$376,'Growth Pattern'!H$15:H$368)*LOOKUP(C183,'Growth Pattern'!B$15:B$376,'Growth Pattern'!I$15:I$368)/100)</f>
        <v>23.53</v>
      </c>
      <c r="H183" s="509">
        <f ca="1">LOOKUP(C183,'Growth Pattern'!B$15:B$376,'Growth Pattern'!F$15:F$368)-(LOOKUP(C183,'Growth Pattern'!B$15:B$376,'Growth Pattern'!I$15:I$368)*LOOKUP(C183,'Growth Pattern'!B$15:B$376,'Growth Pattern'!H$15:H$368)/100)</f>
        <v>33.44</v>
      </c>
      <c r="I183" s="509">
        <f ca="1">LOOKUP(C183,'Growth Pattern'!B$15:B$376,'Growth Pattern'!G$15:G$368)-(LOOKUP(C183,'Growth Pattern'!B$15:B$376,'Growth Pattern'!H$15:H$368)*LOOKUP(C183,'Growth Pattern'!B$15:B$376,'Growth Pattern'!I$15:I$368)/100)</f>
        <v>33.44</v>
      </c>
      <c r="J183" s="510">
        <f t="shared" ca="1" si="7"/>
        <v>-2861.3943626067717</v>
      </c>
      <c r="K183" s="511">
        <f ca="1">LOOKUP(C183,'Growth Pattern'!B$15:B$376,'Growth Pattern'!H$15:H$368)</f>
        <v>144.75</v>
      </c>
      <c r="L183" s="512">
        <f t="shared" ca="1" si="8"/>
        <v>-1.0505872248480042</v>
      </c>
      <c r="M183" s="513" t="e">
        <f>LN('Growth Pattern'!F196/'Growth Pattern'!D196)/2</f>
        <v>#DIV/0!</v>
      </c>
      <c r="N183" s="523"/>
      <c r="O183" s="528"/>
    </row>
    <row r="184" spans="1:15" x14ac:dyDescent="0.25">
      <c r="A184" s="527">
        <v>2.0503145305785107</v>
      </c>
      <c r="B184" s="527"/>
      <c r="C184" s="527" t="s">
        <v>5311</v>
      </c>
      <c r="D184" s="507">
        <v>0.54205575067711487</v>
      </c>
      <c r="E184" s="508">
        <f t="shared" si="6"/>
        <v>9.5158850308908999E-2</v>
      </c>
      <c r="F184" s="509">
        <f ca="1">LOOKUP(C184,'Growth Pattern'!B$15:B$376,'Growth Pattern'!D$15:D$368)-(LOOKUP(C184,'Growth Pattern'!B$15:B$376,'Growth Pattern'!H$15:H$368)*LOOKUP(C184,'Growth Pattern'!B$15:B$376,'Growth Pattern'!I$15:I$368)/100)</f>
        <v>-1.998675</v>
      </c>
      <c r="G184" s="509">
        <f ca="1">LOOKUP(C184,'Growth Pattern'!B$15:B$376,'Growth Pattern'!E$15:E$368)-(LOOKUP(C184,'Growth Pattern'!B$15:B$376,'Growth Pattern'!H$15:H$368)*LOOKUP(C184,'Growth Pattern'!B$15:B$376,'Growth Pattern'!I$15:I$368)/100)</f>
        <v>5.0313250000000007</v>
      </c>
      <c r="H184" s="509">
        <f ca="1">LOOKUP(C184,'Growth Pattern'!B$15:B$376,'Growth Pattern'!F$15:F$368)-(LOOKUP(C184,'Growth Pattern'!B$15:B$376,'Growth Pattern'!I$15:I$368)*LOOKUP(C184,'Growth Pattern'!B$15:B$376,'Growth Pattern'!H$15:H$368)/100)</f>
        <v>7.0413249999999987</v>
      </c>
      <c r="I184" s="509">
        <f ca="1">LOOKUP(C184,'Growth Pattern'!B$15:B$376,'Growth Pattern'!G$15:G$368)-(LOOKUP(C184,'Growth Pattern'!B$15:B$376,'Growth Pattern'!H$15:H$368)*LOOKUP(C184,'Growth Pattern'!B$15:B$376,'Growth Pattern'!I$15:I$368)/100)</f>
        <v>7.0413249999999987</v>
      </c>
      <c r="J184" s="510">
        <f t="shared" ca="1" si="7"/>
        <v>362.10256271383764</v>
      </c>
      <c r="K184" s="511">
        <f ca="1">LOOKUP(C184,'Growth Pattern'!B$15:B$376,'Growth Pattern'!H$15:H$368)</f>
        <v>85.05</v>
      </c>
      <c r="L184" s="512">
        <f t="shared" ca="1" si="8"/>
        <v>-0.76512179487883569</v>
      </c>
      <c r="M184" s="513" t="e">
        <f>LN('Growth Pattern'!F197/'Growth Pattern'!D197)/2</f>
        <v>#DIV/0!</v>
      </c>
      <c r="N184" s="523"/>
      <c r="O184" s="528"/>
    </row>
    <row r="185" spans="1:15" x14ac:dyDescent="0.25">
      <c r="A185" s="506">
        <v>2.3687955382943602</v>
      </c>
      <c r="B185" s="506">
        <v>0.23</v>
      </c>
      <c r="C185" s="506" t="s">
        <v>5312</v>
      </c>
      <c r="D185" s="507">
        <v>0.53387381070068585</v>
      </c>
      <c r="E185" s="508">
        <f t="shared" si="6"/>
        <v>9.4447021530959671E-2</v>
      </c>
      <c r="F185" s="509">
        <f ca="1">LOOKUP(C185,'Growth Pattern'!B$15:B$376,'Growth Pattern'!D$15:D$368)-(LOOKUP(C185,'Growth Pattern'!B$15:B$376,'Growth Pattern'!H$15:H$368)*LOOKUP(C185,'Growth Pattern'!B$15:B$376,'Growth Pattern'!I$15:I$368)/100)</f>
        <v>12.86</v>
      </c>
      <c r="G185" s="509">
        <f ca="1">LOOKUP(C185,'Growth Pattern'!B$15:B$376,'Growth Pattern'!E$15:E$368)-(LOOKUP(C185,'Growth Pattern'!B$15:B$376,'Growth Pattern'!H$15:H$368)*LOOKUP(C185,'Growth Pattern'!B$15:B$376,'Growth Pattern'!I$15:I$368)/100)</f>
        <v>13.6</v>
      </c>
      <c r="H185" s="509">
        <f ca="1">LOOKUP(C185,'Growth Pattern'!B$15:B$376,'Growth Pattern'!F$15:F$368)-(LOOKUP(C185,'Growth Pattern'!B$15:B$376,'Growth Pattern'!I$15:I$368)*LOOKUP(C185,'Growth Pattern'!B$15:B$376,'Growth Pattern'!H$15:H$368)/100)</f>
        <v>15.95</v>
      </c>
      <c r="I185" s="509">
        <f ca="1">LOOKUP(C185,'Growth Pattern'!B$15:B$376,'Growth Pattern'!G$15:G$368)-(LOOKUP(C185,'Growth Pattern'!B$15:B$376,'Growth Pattern'!H$15:H$368)*LOOKUP(C185,'Growth Pattern'!B$15:B$376,'Growth Pattern'!I$15:I$368)/100)</f>
        <v>19.909999999999997</v>
      </c>
      <c r="J185" s="510">
        <f t="shared" ca="1" si="7"/>
        <v>1089.8588232828872</v>
      </c>
      <c r="K185" s="511">
        <f ca="1">LOOKUP(C185,'Growth Pattern'!B$15:B$376,'Growth Pattern'!H$15:H$368)</f>
        <v>117.65</v>
      </c>
      <c r="L185" s="512">
        <f t="shared" ca="1" si="8"/>
        <v>-0.89205023853859067</v>
      </c>
      <c r="M185" s="513">
        <f>LN('Growth Pattern'!F198/'Growth Pattern'!D198)/2</f>
        <v>0.10766855521069012</v>
      </c>
      <c r="N185" s="523"/>
      <c r="O185" s="528"/>
    </row>
    <row r="186" spans="1:15" x14ac:dyDescent="0.25">
      <c r="A186" s="506">
        <v>2.4853642070837623</v>
      </c>
      <c r="B186" s="506">
        <v>0.05</v>
      </c>
      <c r="C186" s="506" t="s">
        <v>5313</v>
      </c>
      <c r="D186" s="507">
        <v>0.93221945722574717</v>
      </c>
      <c r="E186" s="508">
        <f t="shared" si="6"/>
        <v>0.12910309277864002</v>
      </c>
      <c r="F186" s="509">
        <f ca="1">LOOKUP(C186,'Growth Pattern'!B$15:B$376,'Growth Pattern'!D$15:D$368)-(LOOKUP(C186,'Growth Pattern'!B$15:B$376,'Growth Pattern'!H$15:H$368)*LOOKUP(C186,'Growth Pattern'!B$15:B$376,'Growth Pattern'!I$15:I$368)/100)</f>
        <v>-4.0075099999999999</v>
      </c>
      <c r="G186" s="509">
        <f ca="1">LOOKUP(C186,'Growth Pattern'!B$15:B$376,'Growth Pattern'!E$15:E$368)-(LOOKUP(C186,'Growth Pattern'!B$15:B$376,'Growth Pattern'!H$15:H$368)*LOOKUP(C186,'Growth Pattern'!B$15:B$376,'Growth Pattern'!I$15:I$368)/100)</f>
        <v>11.39249</v>
      </c>
      <c r="H186" s="509">
        <f ca="1">LOOKUP(C186,'Growth Pattern'!B$15:B$376,'Growth Pattern'!F$15:F$368)-(LOOKUP(C186,'Growth Pattern'!B$15:B$376,'Growth Pattern'!I$15:I$368)*LOOKUP(C186,'Growth Pattern'!B$15:B$376,'Growth Pattern'!H$15:H$368)/100)</f>
        <v>16.192489999999999</v>
      </c>
      <c r="I186" s="509">
        <f ca="1">LOOKUP(C186,'Growth Pattern'!B$15:B$376,'Growth Pattern'!G$15:G$368)-(LOOKUP(C186,'Growth Pattern'!B$15:B$376,'Growth Pattern'!H$15:H$368)*LOOKUP(C186,'Growth Pattern'!B$15:B$376,'Growth Pattern'!I$15:I$368)/100)</f>
        <v>16.192489999999999</v>
      </c>
      <c r="J186" s="510">
        <f t="shared" ca="1" si="7"/>
        <v>247.87247239346647</v>
      </c>
      <c r="K186" s="511">
        <f ca="1">LOOKUP(C186,'Growth Pattern'!B$15:B$376,'Growth Pattern'!H$15:H$368)</f>
        <v>106.3</v>
      </c>
      <c r="L186" s="512">
        <f t="shared" ca="1" si="8"/>
        <v>-0.57115044291299077</v>
      </c>
      <c r="M186" s="513" t="e">
        <f>LN('Growth Pattern'!F199/'Growth Pattern'!D199)/2</f>
        <v>#DIV/0!</v>
      </c>
      <c r="N186" s="523"/>
      <c r="O186" s="528"/>
    </row>
    <row r="187" spans="1:15" x14ac:dyDescent="0.25">
      <c r="A187" s="516">
        <v>1.9478021893408144</v>
      </c>
      <c r="B187" s="516"/>
      <c r="C187" s="516" t="s">
        <v>5314</v>
      </c>
      <c r="D187" s="507">
        <v>0.1675671667181978</v>
      </c>
      <c r="E187" s="508">
        <f t="shared" si="6"/>
        <v>6.2578343504483214E-2</v>
      </c>
      <c r="F187" s="509">
        <f ca="1">LOOKUP(C187,'Growth Pattern'!B$15:B$376,'Growth Pattern'!D$15:D$368)-(LOOKUP(C187,'Growth Pattern'!B$15:B$376,'Growth Pattern'!H$15:H$368)*LOOKUP(C187,'Growth Pattern'!B$15:B$376,'Growth Pattern'!I$15:I$368)/100)</f>
        <v>35.92</v>
      </c>
      <c r="G187" s="509">
        <f ca="1">LOOKUP(C187,'Growth Pattern'!B$15:B$376,'Growth Pattern'!E$15:E$368)-(LOOKUP(C187,'Growth Pattern'!B$15:B$376,'Growth Pattern'!H$15:H$368)*LOOKUP(C187,'Growth Pattern'!B$15:B$376,'Growth Pattern'!I$15:I$368)/100)</f>
        <v>37.29</v>
      </c>
      <c r="H187" s="509">
        <f ca="1">LOOKUP(C187,'Growth Pattern'!B$15:B$376,'Growth Pattern'!F$15:F$368)-(LOOKUP(C187,'Growth Pattern'!B$15:B$376,'Growth Pattern'!I$15:I$368)*LOOKUP(C187,'Growth Pattern'!B$15:B$376,'Growth Pattern'!H$15:H$368)/100)</f>
        <v>46.11</v>
      </c>
      <c r="I187" s="509">
        <f ca="1">LOOKUP(C187,'Growth Pattern'!B$15:B$376,'Growth Pattern'!G$15:G$368)-(LOOKUP(C187,'Growth Pattern'!B$15:B$376,'Growth Pattern'!H$15:H$368)*LOOKUP(C187,'Growth Pattern'!B$15:B$376,'Growth Pattern'!I$15:I$368)/100)</f>
        <v>62.380000000000017</v>
      </c>
      <c r="J187" s="510">
        <f t="shared" ca="1" si="7"/>
        <v>-2872.6573281364776</v>
      </c>
      <c r="K187" s="511">
        <f ca="1">LOOKUP(C187,'Growth Pattern'!B$15:B$376,'Growth Pattern'!H$15:H$368)</f>
        <v>421.9</v>
      </c>
      <c r="L187" s="512">
        <f t="shared" ca="1" si="8"/>
        <v>-1.1468674999512354</v>
      </c>
      <c r="M187" s="513">
        <f>LN('Growth Pattern'!F200/'Growth Pattern'!D200)/2</f>
        <v>0.1248678013923076</v>
      </c>
      <c r="N187" s="523"/>
      <c r="O187" s="528"/>
    </row>
    <row r="188" spans="1:15" x14ac:dyDescent="0.25">
      <c r="A188" s="516">
        <v>1.7904461195381784</v>
      </c>
      <c r="B188" s="516">
        <v>0.09</v>
      </c>
      <c r="C188" s="516" t="s">
        <v>1584</v>
      </c>
      <c r="D188" s="507">
        <v>1.0746679792611746</v>
      </c>
      <c r="E188" s="508">
        <f t="shared" si="6"/>
        <v>0.14149611419572222</v>
      </c>
      <c r="F188" s="509">
        <f ca="1">LOOKUP(C188,'Growth Pattern'!B$15:B$376,'Growth Pattern'!D$15:D$368)-(LOOKUP(C188,'Growth Pattern'!B$15:B$376,'Growth Pattern'!H$15:H$368)*LOOKUP(C188,'Growth Pattern'!B$15:B$376,'Growth Pattern'!I$15:I$368)/100)</f>
        <v>6.91</v>
      </c>
      <c r="G188" s="509">
        <f ca="1">LOOKUP(C188,'Growth Pattern'!B$15:B$376,'Growth Pattern'!E$15:E$368)-(LOOKUP(C188,'Growth Pattern'!B$15:B$376,'Growth Pattern'!H$15:H$368)*LOOKUP(C188,'Growth Pattern'!B$15:B$376,'Growth Pattern'!I$15:I$368)/100)</f>
        <v>8.39</v>
      </c>
      <c r="H188" s="509">
        <f ca="1">LOOKUP(C188,'Growth Pattern'!B$15:B$376,'Growth Pattern'!F$15:F$368)-(LOOKUP(C188,'Growth Pattern'!B$15:B$376,'Growth Pattern'!I$15:I$368)*LOOKUP(C188,'Growth Pattern'!B$15:B$376,'Growth Pattern'!H$15:H$368)/100)</f>
        <v>10.29</v>
      </c>
      <c r="I188" s="509">
        <f ca="1">LOOKUP(C188,'Growth Pattern'!B$15:B$376,'Growth Pattern'!G$15:G$368)-(LOOKUP(C188,'Growth Pattern'!B$15:B$376,'Growth Pattern'!H$15:H$368)*LOOKUP(C188,'Growth Pattern'!B$15:B$376,'Growth Pattern'!I$15:I$368)/100)</f>
        <v>12.609999999999996</v>
      </c>
      <c r="J188" s="510">
        <f t="shared" ca="1" si="7"/>
        <v>160.01893168841261</v>
      </c>
      <c r="K188" s="511">
        <f ca="1">LOOKUP(C188,'Growth Pattern'!B$15:B$376,'Growth Pattern'!H$15:H$368)</f>
        <v>16.600000000000001</v>
      </c>
      <c r="L188" s="512">
        <f t="shared" ca="1" si="8"/>
        <v>-0.89626227456434115</v>
      </c>
      <c r="M188" s="513">
        <f>LN('Growth Pattern'!F201/'Growth Pattern'!D201)/2</f>
        <v>0.19910145603318982</v>
      </c>
      <c r="N188" s="523"/>
      <c r="O188" s="528"/>
    </row>
    <row r="189" spans="1:15" x14ac:dyDescent="0.25">
      <c r="A189" s="516">
        <v>2.5835324716884722</v>
      </c>
      <c r="B189" s="516">
        <v>0.03</v>
      </c>
      <c r="C189" s="516" t="s">
        <v>5315</v>
      </c>
      <c r="D189" s="507">
        <v>1.2165409905980162</v>
      </c>
      <c r="E189" s="508">
        <f t="shared" si="6"/>
        <v>0.15383906618202742</v>
      </c>
      <c r="F189" s="509">
        <f ca="1">LOOKUP(C189,'Growth Pattern'!B$15:B$376,'Growth Pattern'!D$15:D$368)-(LOOKUP(C189,'Growth Pattern'!B$15:B$376,'Growth Pattern'!H$15:H$368)*LOOKUP(C189,'Growth Pattern'!B$15:B$376,'Growth Pattern'!I$15:I$368)/100)</f>
        <v>51.88</v>
      </c>
      <c r="G189" s="509">
        <f ca="1">LOOKUP(C189,'Growth Pattern'!B$15:B$376,'Growth Pattern'!E$15:E$368)-(LOOKUP(C189,'Growth Pattern'!B$15:B$376,'Growth Pattern'!H$15:H$368)*LOOKUP(C189,'Growth Pattern'!B$15:B$376,'Growth Pattern'!I$15:I$368)/100)</f>
        <v>22.1</v>
      </c>
      <c r="H189" s="509">
        <f ca="1">LOOKUP(C189,'Growth Pattern'!B$15:B$376,'Growth Pattern'!F$15:F$368)-(LOOKUP(C189,'Growth Pattern'!B$15:B$376,'Growth Pattern'!I$15:I$368)*LOOKUP(C189,'Growth Pattern'!B$15:B$376,'Growth Pattern'!H$15:H$368)/100)</f>
        <v>28.05</v>
      </c>
      <c r="I189" s="509">
        <f ca="1">LOOKUP(C189,'Growth Pattern'!B$15:B$376,'Growth Pattern'!G$15:G$368)-(LOOKUP(C189,'Growth Pattern'!B$15:B$376,'Growth Pattern'!H$15:H$368)*LOOKUP(C189,'Growth Pattern'!B$15:B$376,'Growth Pattern'!I$15:I$368)/100)</f>
        <v>69.730000000000047</v>
      </c>
      <c r="J189" s="510">
        <f t="shared" ca="1" si="7"/>
        <v>706.85126537378483</v>
      </c>
      <c r="K189" s="511">
        <f ca="1">LOOKUP(C189,'Growth Pattern'!B$15:B$376,'Growth Pattern'!H$15:H$368)</f>
        <v>197.55</v>
      </c>
      <c r="L189" s="512">
        <f t="shared" ca="1" si="8"/>
        <v>-0.72052111996215351</v>
      </c>
      <c r="M189" s="513">
        <f>LN('Growth Pattern'!F202/'Growth Pattern'!D202)/2</f>
        <v>-0.30747236373976888</v>
      </c>
      <c r="N189" s="523"/>
      <c r="O189" s="528"/>
    </row>
    <row r="190" spans="1:15" x14ac:dyDescent="0.25">
      <c r="A190" s="516">
        <v>3.0549260566453431</v>
      </c>
      <c r="B190" s="516">
        <v>0.43</v>
      </c>
      <c r="C190" s="516" t="s">
        <v>4408</v>
      </c>
      <c r="D190" s="507">
        <v>0.3874719731011983</v>
      </c>
      <c r="E190" s="508">
        <f t="shared" si="6"/>
        <v>8.1710061659804253E-2</v>
      </c>
      <c r="F190" s="509">
        <f ca="1">LOOKUP(C190,'Growth Pattern'!B$15:B$376,'Growth Pattern'!D$15:D$368)-(LOOKUP(C190,'Growth Pattern'!B$15:B$376,'Growth Pattern'!H$15:H$368)*LOOKUP(C190,'Growth Pattern'!B$15:B$376,'Growth Pattern'!I$15:I$368)/100)</f>
        <v>0</v>
      </c>
      <c r="G190" s="509">
        <f ca="1">LOOKUP(C190,'Growth Pattern'!B$15:B$376,'Growth Pattern'!E$15:E$368)-(LOOKUP(C190,'Growth Pattern'!B$15:B$376,'Growth Pattern'!H$15:H$368)*LOOKUP(C190,'Growth Pattern'!B$15:B$376,'Growth Pattern'!I$15:I$368)/100)</f>
        <v>12</v>
      </c>
      <c r="H190" s="509">
        <f ca="1">LOOKUP(C190,'Growth Pattern'!B$15:B$376,'Growth Pattern'!F$15:F$368)-(LOOKUP(C190,'Growth Pattern'!B$15:B$376,'Growth Pattern'!I$15:I$368)*LOOKUP(C190,'Growth Pattern'!B$15:B$376,'Growth Pattern'!H$15:H$368)/100)</f>
        <v>14</v>
      </c>
      <c r="I190" s="509">
        <f ca="1">LOOKUP(C190,'Growth Pattern'!B$15:B$376,'Growth Pattern'!G$15:G$368)-(LOOKUP(C190,'Growth Pattern'!B$15:B$376,'Growth Pattern'!H$15:H$368)*LOOKUP(C190,'Growth Pattern'!B$15:B$376,'Growth Pattern'!I$15:I$368)/100)</f>
        <v>14</v>
      </c>
      <c r="J190" s="510">
        <f t="shared" ca="1" si="7"/>
        <v>6491.2616080106882</v>
      </c>
      <c r="K190" s="511">
        <f ca="1">LOOKUP(C190,'Growth Pattern'!B$15:B$376,'Growth Pattern'!H$15:H$368)</f>
        <v>314.39999999999998</v>
      </c>
      <c r="L190" s="512">
        <f t="shared" ca="1" si="8"/>
        <v>-0.95156565564820139</v>
      </c>
      <c r="M190" s="513" t="e">
        <f>LN('Growth Pattern'!F203/'Growth Pattern'!D203)/2</f>
        <v>#DIV/0!</v>
      </c>
      <c r="N190" s="523"/>
      <c r="O190" s="528"/>
    </row>
    <row r="191" spans="1:15" x14ac:dyDescent="0.25">
      <c r="A191" s="516">
        <v>2.2555246017267629</v>
      </c>
      <c r="B191" s="516">
        <v>0.54</v>
      </c>
      <c r="C191" s="516" t="s">
        <v>5316</v>
      </c>
      <c r="D191" s="507">
        <v>0.43224249854685121</v>
      </c>
      <c r="E191" s="508">
        <f t="shared" si="6"/>
        <v>8.560509737357605E-2</v>
      </c>
      <c r="F191" s="509">
        <f ca="1">LOOKUP(C191,'Growth Pattern'!B$15:B$376,'Growth Pattern'!D$15:D$368)-(LOOKUP(C191,'Growth Pattern'!B$15:B$376,'Growth Pattern'!H$15:H$368)*LOOKUP(C191,'Growth Pattern'!B$15:B$376,'Growth Pattern'!I$15:I$368)/100)</f>
        <v>18.64</v>
      </c>
      <c r="G191" s="509">
        <f ca="1">LOOKUP(C191,'Growth Pattern'!B$15:B$376,'Growth Pattern'!E$15:E$368)-(LOOKUP(C191,'Growth Pattern'!B$15:B$376,'Growth Pattern'!H$15:H$368)*LOOKUP(C191,'Growth Pattern'!B$15:B$376,'Growth Pattern'!I$15:I$368)/100)</f>
        <v>20.3</v>
      </c>
      <c r="H191" s="509">
        <f ca="1">LOOKUP(C191,'Growth Pattern'!B$15:B$376,'Growth Pattern'!F$15:F$368)-(LOOKUP(C191,'Growth Pattern'!B$15:B$376,'Growth Pattern'!I$15:I$368)*LOOKUP(C191,'Growth Pattern'!B$15:B$376,'Growth Pattern'!H$15:H$368)/100)</f>
        <v>24.04</v>
      </c>
      <c r="I191" s="509">
        <f ca="1">LOOKUP(C191,'Growth Pattern'!B$15:B$376,'Growth Pattern'!G$15:G$368)-(LOOKUP(C191,'Growth Pattern'!B$15:B$376,'Growth Pattern'!H$15:H$368)*LOOKUP(C191,'Growth Pattern'!B$15:B$376,'Growth Pattern'!I$15:I$368)/100)</f>
        <v>29.859999999999996</v>
      </c>
      <c r="J191" s="510">
        <f t="shared" ca="1" si="7"/>
        <v>4221.5485104992777</v>
      </c>
      <c r="K191" s="511">
        <f ca="1">LOOKUP(C191,'Growth Pattern'!B$15:B$376,'Growth Pattern'!H$15:H$368)</f>
        <v>416.95</v>
      </c>
      <c r="L191" s="512">
        <f t="shared" ca="1" si="8"/>
        <v>-0.90123292460976889</v>
      </c>
      <c r="M191" s="513">
        <f>LN('Growth Pattern'!F204/'Growth Pattern'!D204)/2</f>
        <v>0.12720465020478083</v>
      </c>
      <c r="N191" s="523"/>
      <c r="O191" s="528"/>
    </row>
    <row r="192" spans="1:15" x14ac:dyDescent="0.25">
      <c r="A192" s="516">
        <v>2.5724209231901018</v>
      </c>
      <c r="B192" s="516">
        <v>0.37</v>
      </c>
      <c r="C192" s="516" t="s">
        <v>1086</v>
      </c>
      <c r="D192" s="507">
        <v>0.37924615690820651</v>
      </c>
      <c r="E192" s="508">
        <f t="shared" si="6"/>
        <v>8.0994415651013979E-2</v>
      </c>
      <c r="F192" s="509">
        <f ca="1">LOOKUP(C192,'Growth Pattern'!B$15:B$376,'Growth Pattern'!D$15:D$368)-(LOOKUP(C192,'Growth Pattern'!B$15:B$376,'Growth Pattern'!H$15:H$368)*LOOKUP(C192,'Growth Pattern'!B$15:B$376,'Growth Pattern'!I$15:I$368)/100)</f>
        <v>10.8</v>
      </c>
      <c r="G192" s="509">
        <f ca="1">LOOKUP(C192,'Growth Pattern'!B$15:B$376,'Growth Pattern'!E$15:E$368)-(LOOKUP(C192,'Growth Pattern'!B$15:B$376,'Growth Pattern'!H$15:H$368)*LOOKUP(C192,'Growth Pattern'!B$15:B$376,'Growth Pattern'!I$15:I$368)/100)</f>
        <v>11.8</v>
      </c>
      <c r="H192" s="509">
        <f ca="1">LOOKUP(C192,'Growth Pattern'!B$15:B$376,'Growth Pattern'!F$15:F$368)-(LOOKUP(C192,'Growth Pattern'!B$15:B$376,'Growth Pattern'!I$15:I$368)*LOOKUP(C192,'Growth Pattern'!B$15:B$376,'Growth Pattern'!H$15:H$368)/100)</f>
        <v>14.7</v>
      </c>
      <c r="I192" s="509">
        <f ca="1">LOOKUP(C192,'Growth Pattern'!B$15:B$376,'Growth Pattern'!G$15:G$368)-(LOOKUP(C192,'Growth Pattern'!B$15:B$376,'Growth Pattern'!H$15:H$368)*LOOKUP(C192,'Growth Pattern'!B$15:B$376,'Growth Pattern'!I$15:I$368)/100)</f>
        <v>19.499999999999996</v>
      </c>
      <c r="J192" s="510">
        <f t="shared" ca="1" si="7"/>
        <v>15558.033747920757</v>
      </c>
      <c r="K192" s="511">
        <f ca="1">LOOKUP(C192,'Growth Pattern'!B$15:B$376,'Growth Pattern'!H$15:H$368)</f>
        <v>162.19999999999999</v>
      </c>
      <c r="L192" s="512">
        <f t="shared" ca="1" si="8"/>
        <v>-0.98957451805105656</v>
      </c>
      <c r="M192" s="513">
        <f>LN('Growth Pattern'!F205/'Growth Pattern'!D205)/2</f>
        <v>0.15415067982725825</v>
      </c>
      <c r="N192" s="523"/>
      <c r="O192" s="528"/>
    </row>
    <row r="193" spans="1:15" x14ac:dyDescent="0.25">
      <c r="A193" s="516">
        <v>2.4716037624414109</v>
      </c>
      <c r="B193" s="516">
        <v>0.54</v>
      </c>
      <c r="C193" s="516" t="s">
        <v>5317</v>
      </c>
      <c r="D193" s="507">
        <v>0.41775071164175531</v>
      </c>
      <c r="E193" s="508">
        <f t="shared" si="6"/>
        <v>8.4344311912832717E-2</v>
      </c>
      <c r="F193" s="509">
        <f ca="1">LOOKUP(C193,'Growth Pattern'!B$15:B$376,'Growth Pattern'!D$15:D$368)-(LOOKUP(C193,'Growth Pattern'!B$15:B$376,'Growth Pattern'!H$15:H$368)*LOOKUP(C193,'Growth Pattern'!B$15:B$376,'Growth Pattern'!I$15:I$368)/100)</f>
        <v>84.63</v>
      </c>
      <c r="G193" s="509">
        <f ca="1">LOOKUP(C193,'Growth Pattern'!B$15:B$376,'Growth Pattern'!E$15:E$368)-(LOOKUP(C193,'Growth Pattern'!B$15:B$376,'Growth Pattern'!H$15:H$368)*LOOKUP(C193,'Growth Pattern'!B$15:B$376,'Growth Pattern'!I$15:I$368)/100)</f>
        <v>132.75</v>
      </c>
      <c r="H193" s="509">
        <f ca="1">LOOKUP(C193,'Growth Pattern'!B$15:B$376,'Growth Pattern'!F$15:F$368)-(LOOKUP(C193,'Growth Pattern'!B$15:B$376,'Growth Pattern'!I$15:I$368)*LOOKUP(C193,'Growth Pattern'!B$15:B$376,'Growth Pattern'!H$15:H$368)/100)</f>
        <v>172.05</v>
      </c>
      <c r="I193" s="509">
        <f ca="1">LOOKUP(C193,'Growth Pattern'!B$15:B$376,'Growth Pattern'!G$15:G$368)-(LOOKUP(C193,'Growth Pattern'!B$15:B$376,'Growth Pattern'!H$15:H$368)*LOOKUP(C193,'Growth Pattern'!B$15:B$376,'Growth Pattern'!I$15:I$368)/100)</f>
        <v>202.52999999999997</v>
      </c>
      <c r="J193" s="510">
        <f t="shared" ca="1" si="7"/>
        <v>36918.478205601583</v>
      </c>
      <c r="K193" s="511">
        <f ca="1">LOOKUP(C193,'Growth Pattern'!B$15:B$376,'Growth Pattern'!H$15:H$368)</f>
        <v>2194.85</v>
      </c>
      <c r="L193" s="512">
        <f t="shared" ca="1" si="8"/>
        <v>-0.94054874126239096</v>
      </c>
      <c r="M193" s="513">
        <f>LN('Growth Pattern'!F206/'Growth Pattern'!D206)/2</f>
        <v>0.3547481592807375</v>
      </c>
      <c r="N193" s="523"/>
      <c r="O193" s="528"/>
    </row>
    <row r="194" spans="1:15" x14ac:dyDescent="0.25">
      <c r="A194" s="527">
        <v>1.9723395305215057</v>
      </c>
      <c r="B194" s="527">
        <v>0.36</v>
      </c>
      <c r="C194" s="527" t="s">
        <v>1381</v>
      </c>
      <c r="D194" s="507">
        <v>0.69104312478844299</v>
      </c>
      <c r="E194" s="508">
        <f t="shared" ref="E194:E257" si="9">$O$12+D194*($P$13-$O$12)</f>
        <v>0.10812075185659455</v>
      </c>
      <c r="F194" s="509">
        <f ca="1">LOOKUP(C194,'Growth Pattern'!B$15:B$376,'Growth Pattern'!D$15:D$368)-(LOOKUP(C194,'Growth Pattern'!B$15:B$376,'Growth Pattern'!H$15:H$368)*LOOKUP(C194,'Growth Pattern'!B$15:B$376,'Growth Pattern'!I$15:I$368)/100)</f>
        <v>70.150000000000006</v>
      </c>
      <c r="G194" s="509">
        <f ca="1">LOOKUP(C194,'Growth Pattern'!B$15:B$376,'Growth Pattern'!E$15:E$368)-(LOOKUP(C194,'Growth Pattern'!B$15:B$376,'Growth Pattern'!H$15:H$368)*LOOKUP(C194,'Growth Pattern'!B$15:B$376,'Growth Pattern'!I$15:I$368)/100)</f>
        <v>62.1</v>
      </c>
      <c r="H194" s="509">
        <f ca="1">LOOKUP(C194,'Growth Pattern'!B$15:B$376,'Growth Pattern'!F$15:F$368)-(LOOKUP(C194,'Growth Pattern'!B$15:B$376,'Growth Pattern'!I$15:I$368)*LOOKUP(C194,'Growth Pattern'!B$15:B$376,'Growth Pattern'!H$15:H$368)/100)</f>
        <v>73.3</v>
      </c>
      <c r="I194" s="509">
        <f ca="1">LOOKUP(C194,'Growth Pattern'!B$15:B$376,'Growth Pattern'!G$15:G$368)-(LOOKUP(C194,'Growth Pattern'!B$15:B$376,'Growth Pattern'!H$15:H$368)*LOOKUP(C194,'Growth Pattern'!B$15:B$376,'Growth Pattern'!I$15:I$368)/100)</f>
        <v>103.75</v>
      </c>
      <c r="J194" s="510">
        <f t="shared" ref="J194:J257" ca="1" si="10">F194+G194/((1+E194)*(1+$O$15))+H194/((1+E194)^2)*((1+$O$15)^2)+(I194/(E194-$P$16))/((1+E194)^3)*((1+$O$15)^3)</f>
        <v>2897.3241695660963</v>
      </c>
      <c r="K194" s="511">
        <f ca="1">LOOKUP(C194,'Growth Pattern'!B$15:B$376,'Growth Pattern'!H$15:H$368)</f>
        <v>1652.25</v>
      </c>
      <c r="L194" s="512">
        <f t="shared" ref="L194:L257" ca="1" si="11">(K194-J194)/J194</f>
        <v>-0.42973243472184847</v>
      </c>
      <c r="M194" s="513">
        <f>LN('Growth Pattern'!F207/'Growth Pattern'!D207)/2</f>
        <v>2.1962401172067821E-2</v>
      </c>
      <c r="N194" s="523"/>
      <c r="O194" s="528"/>
    </row>
    <row r="195" spans="1:15" x14ac:dyDescent="0.25">
      <c r="A195" s="527">
        <v>3.0884834815590394</v>
      </c>
      <c r="B195" s="527">
        <v>0.16</v>
      </c>
      <c r="C195" s="527" t="s">
        <v>2923</v>
      </c>
      <c r="D195" s="507">
        <v>0.92286822556088577</v>
      </c>
      <c r="E195" s="508">
        <f t="shared" si="9"/>
        <v>0.12828953562379708</v>
      </c>
      <c r="F195" s="509">
        <f ca="1">LOOKUP(C195,'Growth Pattern'!B$15:B$376,'Growth Pattern'!D$15:D$368)-(LOOKUP(C195,'Growth Pattern'!B$15:B$376,'Growth Pattern'!H$15:H$368)*LOOKUP(C195,'Growth Pattern'!B$15:B$376,'Growth Pattern'!I$15:I$368)/100)</f>
        <v>14.69</v>
      </c>
      <c r="G195" s="509">
        <f ca="1">LOOKUP(C195,'Growth Pattern'!B$15:B$376,'Growth Pattern'!E$15:E$368)-(LOOKUP(C195,'Growth Pattern'!B$15:B$376,'Growth Pattern'!H$15:H$368)*LOOKUP(C195,'Growth Pattern'!B$15:B$376,'Growth Pattern'!I$15:I$368)/100)</f>
        <v>19</v>
      </c>
      <c r="H195" s="509">
        <f ca="1">LOOKUP(C195,'Growth Pattern'!B$15:B$376,'Growth Pattern'!F$15:F$368)-(LOOKUP(C195,'Growth Pattern'!B$15:B$376,'Growth Pattern'!I$15:I$368)*LOOKUP(C195,'Growth Pattern'!B$15:B$376,'Growth Pattern'!H$15:H$368)/100)</f>
        <v>22.3</v>
      </c>
      <c r="I195" s="509">
        <f ca="1">LOOKUP(C195,'Growth Pattern'!B$15:B$376,'Growth Pattern'!G$15:G$368)-(LOOKUP(C195,'Growth Pattern'!B$15:B$376,'Growth Pattern'!H$15:H$368)*LOOKUP(C195,'Growth Pattern'!B$15:B$376,'Growth Pattern'!I$15:I$368)/100)</f>
        <v>24.590000000000003</v>
      </c>
      <c r="J195" s="510">
        <f t="shared" ca="1" si="10"/>
        <v>403.56932388886651</v>
      </c>
      <c r="K195" s="511">
        <f ca="1">LOOKUP(C195,'Growth Pattern'!B$15:B$376,'Growth Pattern'!H$15:H$368)</f>
        <v>214.05</v>
      </c>
      <c r="L195" s="512">
        <f t="shared" ca="1" si="11"/>
        <v>-0.46960785339833128</v>
      </c>
      <c r="M195" s="513">
        <f>LN('Growth Pattern'!F208/'Growth Pattern'!D208)/2</f>
        <v>0.2087098441401436</v>
      </c>
      <c r="N195" s="523"/>
      <c r="O195" s="528"/>
    </row>
    <row r="196" spans="1:15" x14ac:dyDescent="0.25">
      <c r="A196" s="516">
        <v>2.049109231214461</v>
      </c>
      <c r="B196" s="516">
        <v>0.18</v>
      </c>
      <c r="C196" s="516" t="s">
        <v>2924</v>
      </c>
      <c r="D196" s="507">
        <v>0.17283605988673334</v>
      </c>
      <c r="E196" s="508">
        <f t="shared" si="9"/>
        <v>6.3036737210145799E-2</v>
      </c>
      <c r="F196" s="509">
        <f ca="1">LOOKUP(C196,'Growth Pattern'!B$15:B$376,'Growth Pattern'!D$15:D$368)-(LOOKUP(C196,'Growth Pattern'!B$15:B$376,'Growth Pattern'!H$15:H$368)*LOOKUP(C196,'Growth Pattern'!B$15:B$376,'Growth Pattern'!I$15:I$368)/100)</f>
        <v>15.52</v>
      </c>
      <c r="G196" s="509">
        <f ca="1">LOOKUP(C196,'Growth Pattern'!B$15:B$376,'Growth Pattern'!E$15:E$368)-(LOOKUP(C196,'Growth Pattern'!B$15:B$376,'Growth Pattern'!H$15:H$368)*LOOKUP(C196,'Growth Pattern'!B$15:B$376,'Growth Pattern'!I$15:I$368)/100)</f>
        <v>19.04</v>
      </c>
      <c r="H196" s="509">
        <f ca="1">LOOKUP(C196,'Growth Pattern'!B$15:B$376,'Growth Pattern'!F$15:F$368)-(LOOKUP(C196,'Growth Pattern'!B$15:B$376,'Growth Pattern'!I$15:I$368)*LOOKUP(C196,'Growth Pattern'!B$15:B$376,'Growth Pattern'!H$15:H$368)/100)</f>
        <v>22.96</v>
      </c>
      <c r="I196" s="509">
        <f ca="1">LOOKUP(C196,'Growth Pattern'!B$15:B$376,'Growth Pattern'!G$15:G$368)-(LOOKUP(C196,'Growth Pattern'!B$15:B$376,'Growth Pattern'!H$15:H$368)*LOOKUP(C196,'Growth Pattern'!B$15:B$376,'Growth Pattern'!I$15:I$368)/100)</f>
        <v>27.280000000000008</v>
      </c>
      <c r="J196" s="510">
        <f t="shared" ca="1" si="10"/>
        <v>-1284.9725558460798</v>
      </c>
      <c r="K196" s="511">
        <f ca="1">LOOKUP(C196,'Growth Pattern'!B$15:B$376,'Growth Pattern'!H$15:H$368)</f>
        <v>438.75</v>
      </c>
      <c r="L196" s="512">
        <f t="shared" ca="1" si="11"/>
        <v>-1.341446981107786</v>
      </c>
      <c r="M196" s="513">
        <f>LN('Growth Pattern'!F209/'Growth Pattern'!D209)/2</f>
        <v>0.19581202834814651</v>
      </c>
      <c r="N196" s="523"/>
      <c r="O196" s="528"/>
    </row>
    <row r="197" spans="1:15" x14ac:dyDescent="0.25">
      <c r="A197" s="516">
        <v>2.4206270211522316</v>
      </c>
      <c r="B197" s="516">
        <v>0.17</v>
      </c>
      <c r="C197" s="516" t="s">
        <v>2258</v>
      </c>
      <c r="D197" s="507">
        <v>0.55499180319511887</v>
      </c>
      <c r="E197" s="508">
        <f t="shared" si="9"/>
        <v>9.6284286877975356E-2</v>
      </c>
      <c r="F197" s="509">
        <f ca="1">LOOKUP(C197,'Growth Pattern'!B$15:B$376,'Growth Pattern'!D$15:D$368)-(LOOKUP(C197,'Growth Pattern'!B$15:B$376,'Growth Pattern'!H$15:H$368)*LOOKUP(C197,'Growth Pattern'!B$15:B$376,'Growth Pattern'!I$15:I$368)/100)</f>
        <v>13.004685</v>
      </c>
      <c r="G197" s="509">
        <f ca="1">LOOKUP(C197,'Growth Pattern'!B$15:B$376,'Growth Pattern'!E$15:E$368)-(LOOKUP(C197,'Growth Pattern'!B$15:B$376,'Growth Pattern'!H$15:H$368)*LOOKUP(C197,'Growth Pattern'!B$15:B$376,'Growth Pattern'!I$15:I$368)/100)</f>
        <v>5.8546849999999999</v>
      </c>
      <c r="H197" s="509">
        <f ca="1">LOOKUP(C197,'Growth Pattern'!B$15:B$376,'Growth Pattern'!F$15:F$368)-(LOOKUP(C197,'Growth Pattern'!B$15:B$376,'Growth Pattern'!I$15:I$368)*LOOKUP(C197,'Growth Pattern'!B$15:B$376,'Growth Pattern'!H$15:H$368)/100)</f>
        <v>6.7046849999999996</v>
      </c>
      <c r="I197" s="509">
        <f ca="1">LOOKUP(C197,'Growth Pattern'!B$15:B$376,'Growth Pattern'!G$15:G$368)-(LOOKUP(C197,'Growth Pattern'!B$15:B$376,'Growth Pattern'!H$15:H$368)*LOOKUP(C197,'Growth Pattern'!B$15:B$376,'Growth Pattern'!I$15:I$368)/100)</f>
        <v>15.554685000000005</v>
      </c>
      <c r="J197" s="510">
        <f t="shared" ca="1" si="10"/>
        <v>748.89864756485451</v>
      </c>
      <c r="K197" s="511">
        <f ca="1">LOOKUP(C197,'Growth Pattern'!B$15:B$376,'Growth Pattern'!H$15:H$368)</f>
        <v>91.95</v>
      </c>
      <c r="L197" s="512">
        <f t="shared" ca="1" si="11"/>
        <v>-0.87721970082468714</v>
      </c>
      <c r="M197" s="513">
        <f>LN('Growth Pattern'!F210/'Growth Pattern'!D210)/2</f>
        <v>-0.27236358772083608</v>
      </c>
      <c r="N197" s="523"/>
      <c r="O197" s="528"/>
    </row>
    <row r="198" spans="1:15" x14ac:dyDescent="0.25">
      <c r="A198" s="516">
        <v>2.4925092755056304</v>
      </c>
      <c r="B198" s="516">
        <v>7.0000000000000007E-2</v>
      </c>
      <c r="C198" s="516" t="s">
        <v>4865</v>
      </c>
      <c r="D198" s="507">
        <v>0.76536733432908877</v>
      </c>
      <c r="E198" s="508">
        <f t="shared" si="9"/>
        <v>0.11458695808663073</v>
      </c>
      <c r="F198" s="509">
        <f ca="1">LOOKUP(C198,'Growth Pattern'!B$15:B$376,'Growth Pattern'!D$15:D$368)-(LOOKUP(C198,'Growth Pattern'!B$15:B$376,'Growth Pattern'!H$15:H$368)*LOOKUP(C198,'Growth Pattern'!B$15:B$376,'Growth Pattern'!I$15:I$368)/100)</f>
        <v>9.3000000000000007</v>
      </c>
      <c r="G198" s="509">
        <f ca="1">LOOKUP(C198,'Growth Pattern'!B$15:B$376,'Growth Pattern'!E$15:E$368)-(LOOKUP(C198,'Growth Pattern'!B$15:B$376,'Growth Pattern'!H$15:H$368)*LOOKUP(C198,'Growth Pattern'!B$15:B$376,'Growth Pattern'!I$15:I$368)/100)</f>
        <v>6.95</v>
      </c>
      <c r="H198" s="509">
        <f ca="1">LOOKUP(C198,'Growth Pattern'!B$15:B$376,'Growth Pattern'!F$15:F$368)-(LOOKUP(C198,'Growth Pattern'!B$15:B$376,'Growth Pattern'!I$15:I$368)*LOOKUP(C198,'Growth Pattern'!B$15:B$376,'Growth Pattern'!H$15:H$368)/100)</f>
        <v>8.1</v>
      </c>
      <c r="I198" s="509">
        <f ca="1">LOOKUP(C198,'Growth Pattern'!B$15:B$376,'Growth Pattern'!G$15:G$368)-(LOOKUP(C198,'Growth Pattern'!B$15:B$376,'Growth Pattern'!H$15:H$368)*LOOKUP(C198,'Growth Pattern'!B$15:B$376,'Growth Pattern'!I$15:I$368)/100)</f>
        <v>12.75</v>
      </c>
      <c r="J198" s="510">
        <f t="shared" ca="1" si="10"/>
        <v>288.284995246405</v>
      </c>
      <c r="K198" s="511">
        <f ca="1">LOOKUP(C198,'Growth Pattern'!B$15:B$376,'Growth Pattern'!H$15:H$368)</f>
        <v>107</v>
      </c>
      <c r="L198" s="512">
        <f t="shared" ca="1" si="11"/>
        <v>-0.62883951033058727</v>
      </c>
      <c r="M198" s="513">
        <f>LN('Growth Pattern'!F211/'Growth Pattern'!D211)/2</f>
        <v>-6.9075169240408643E-2</v>
      </c>
      <c r="N198" s="523"/>
      <c r="O198" s="528"/>
    </row>
    <row r="199" spans="1:15" x14ac:dyDescent="0.25">
      <c r="A199" s="527">
        <v>1.6881572402171221</v>
      </c>
      <c r="B199" s="527">
        <v>0.08</v>
      </c>
      <c r="C199" s="527" t="s">
        <v>2260</v>
      </c>
      <c r="D199" s="507">
        <v>0.63776073651988308</v>
      </c>
      <c r="E199" s="508">
        <f t="shared" si="9"/>
        <v>0.10348518407722984</v>
      </c>
      <c r="F199" s="509">
        <f ca="1">LOOKUP(C199,'Growth Pattern'!B$15:B$376,'Growth Pattern'!D$15:D$368)-(LOOKUP(C199,'Growth Pattern'!B$15:B$376,'Growth Pattern'!H$15:H$368)*LOOKUP(C199,'Growth Pattern'!B$15:B$376,'Growth Pattern'!I$15:I$368)/100)</f>
        <v>28.475454999999997</v>
      </c>
      <c r="G199" s="509">
        <f ca="1">LOOKUP(C199,'Growth Pattern'!B$15:B$376,'Growth Pattern'!E$15:E$368)-(LOOKUP(C199,'Growth Pattern'!B$15:B$376,'Growth Pattern'!H$15:H$368)*LOOKUP(C199,'Growth Pattern'!B$15:B$376,'Growth Pattern'!I$15:I$368)/100)</f>
        <v>11.265454999999999</v>
      </c>
      <c r="H199" s="509">
        <f ca="1">LOOKUP(C199,'Growth Pattern'!B$15:B$376,'Growth Pattern'!F$15:F$368)-(LOOKUP(C199,'Growth Pattern'!B$15:B$376,'Growth Pattern'!I$15:I$368)*LOOKUP(C199,'Growth Pattern'!B$15:B$376,'Growth Pattern'!H$15:H$368)/100)</f>
        <v>29.865454999999997</v>
      </c>
      <c r="I199" s="509">
        <f ca="1">LOOKUP(C199,'Growth Pattern'!B$15:B$376,'Growth Pattern'!G$15:G$368)-(LOOKUP(C199,'Growth Pattern'!B$15:B$376,'Growth Pattern'!H$15:H$368)*LOOKUP(C199,'Growth Pattern'!B$15:B$376,'Growth Pattern'!I$15:I$368)/100)</f>
        <v>84.275455000000079</v>
      </c>
      <c r="J199" s="510">
        <f t="shared" ca="1" si="10"/>
        <v>2733.8034193578446</v>
      </c>
      <c r="K199" s="511">
        <f ca="1">LOOKUP(C199,'Growth Pattern'!B$15:B$376,'Growth Pattern'!H$15:H$368)</f>
        <v>222.45</v>
      </c>
      <c r="L199" s="512">
        <f t="shared" ca="1" si="11"/>
        <v>-0.91862984791633184</v>
      </c>
      <c r="M199" s="513">
        <f>LN('Growth Pattern'!F212/'Growth Pattern'!D212)/2</f>
        <v>1.6868484856746413E-2</v>
      </c>
      <c r="N199" s="523"/>
      <c r="O199" s="528"/>
    </row>
    <row r="200" spans="1:15" x14ac:dyDescent="0.25">
      <c r="A200" s="516">
        <v>2.4400667231808981</v>
      </c>
      <c r="B200" s="516">
        <v>0.26</v>
      </c>
      <c r="C200" s="516" t="s">
        <v>1382</v>
      </c>
      <c r="D200" s="507">
        <v>0.65196654466315862</v>
      </c>
      <c r="E200" s="508">
        <f t="shared" si="9"/>
        <v>0.1047210893856948</v>
      </c>
      <c r="F200" s="509">
        <f ca="1">LOOKUP(C200,'Growth Pattern'!B$15:B$376,'Growth Pattern'!D$15:D$368)-(LOOKUP(C200,'Growth Pattern'!B$15:B$376,'Growth Pattern'!H$15:H$368)*LOOKUP(C200,'Growth Pattern'!B$15:B$376,'Growth Pattern'!I$15:I$368)/100)</f>
        <v>26.076270000000001</v>
      </c>
      <c r="G200" s="509">
        <f ca="1">LOOKUP(C200,'Growth Pattern'!B$15:B$376,'Growth Pattern'!E$15:E$368)-(LOOKUP(C200,'Growth Pattern'!B$15:B$376,'Growth Pattern'!H$15:H$368)*LOOKUP(C200,'Growth Pattern'!B$15:B$376,'Growth Pattern'!I$15:I$368)/100)</f>
        <v>33.266269999999999</v>
      </c>
      <c r="H200" s="509">
        <f ca="1">LOOKUP(C200,'Growth Pattern'!B$15:B$376,'Growth Pattern'!F$15:F$368)-(LOOKUP(C200,'Growth Pattern'!B$15:B$376,'Growth Pattern'!I$15:I$368)*LOOKUP(C200,'Growth Pattern'!B$15:B$376,'Growth Pattern'!H$15:H$368)/100)</f>
        <v>38.466270000000002</v>
      </c>
      <c r="I200" s="509">
        <f ca="1">LOOKUP(C200,'Growth Pattern'!B$15:B$376,'Growth Pattern'!G$15:G$368)-(LOOKUP(C200,'Growth Pattern'!B$15:B$376,'Growth Pattern'!H$15:H$368)*LOOKUP(C200,'Growth Pattern'!B$15:B$376,'Growth Pattern'!I$15:I$368)/100)</f>
        <v>38.466270000000002</v>
      </c>
      <c r="J200" s="510">
        <f t="shared" ca="1" si="10"/>
        <v>1241.8377480145609</v>
      </c>
      <c r="K200" s="511">
        <f ca="1">LOOKUP(C200,'Growth Pattern'!B$15:B$376,'Growth Pattern'!H$15:H$368)</f>
        <v>690.85</v>
      </c>
      <c r="L200" s="512">
        <f t="shared" ca="1" si="11"/>
        <v>-0.44368738902926341</v>
      </c>
      <c r="M200" s="513">
        <f>LN('Growth Pattern'!F213/'Growth Pattern'!D213)/2</f>
        <v>0.14928725680910229</v>
      </c>
      <c r="N200" s="523"/>
      <c r="O200" s="528"/>
    </row>
    <row r="201" spans="1:15" x14ac:dyDescent="0.25">
      <c r="A201" s="516">
        <v>2.0074210662755729</v>
      </c>
      <c r="B201" s="516">
        <v>0.06</v>
      </c>
      <c r="C201" s="516" t="s">
        <v>4200</v>
      </c>
      <c r="D201" s="507">
        <v>0.6612736872145667</v>
      </c>
      <c r="E201" s="508">
        <f t="shared" si="9"/>
        <v>0.10553081078766731</v>
      </c>
      <c r="F201" s="509">
        <f ca="1">LOOKUP(C201,'Growth Pattern'!B$15:B$376,'Growth Pattern'!D$15:D$368)-(LOOKUP(C201,'Growth Pattern'!B$15:B$376,'Growth Pattern'!H$15:H$368)*LOOKUP(C201,'Growth Pattern'!B$15:B$376,'Growth Pattern'!I$15:I$368)/100)</f>
        <v>40.21</v>
      </c>
      <c r="G201" s="509">
        <f ca="1">LOOKUP(C201,'Growth Pattern'!B$15:B$376,'Growth Pattern'!E$15:E$368)-(LOOKUP(C201,'Growth Pattern'!B$15:B$376,'Growth Pattern'!H$15:H$368)*LOOKUP(C201,'Growth Pattern'!B$15:B$376,'Growth Pattern'!I$15:I$368)/100)</f>
        <v>45.4</v>
      </c>
      <c r="H201" s="509">
        <f ca="1">LOOKUP(C201,'Growth Pattern'!B$15:B$376,'Growth Pattern'!F$15:F$368)-(LOOKUP(C201,'Growth Pattern'!B$15:B$376,'Growth Pattern'!I$15:I$368)*LOOKUP(C201,'Growth Pattern'!B$15:B$376,'Growth Pattern'!H$15:H$368)/100)</f>
        <v>49.7</v>
      </c>
      <c r="I201" s="509">
        <f ca="1">LOOKUP(C201,'Growth Pattern'!B$15:B$376,'Growth Pattern'!G$15:G$368)-(LOOKUP(C201,'Growth Pattern'!B$15:B$376,'Growth Pattern'!H$15:H$368)*LOOKUP(C201,'Growth Pattern'!B$15:B$376,'Growth Pattern'!I$15:I$368)/100)</f>
        <v>49.7</v>
      </c>
      <c r="J201" s="510">
        <f t="shared" ca="1" si="10"/>
        <v>1562.6594961651181</v>
      </c>
      <c r="K201" s="511">
        <f ca="1">LOOKUP(C201,'Growth Pattern'!B$15:B$376,'Growth Pattern'!H$15:H$368)</f>
        <v>360.05</v>
      </c>
      <c r="L201" s="512">
        <f t="shared" ca="1" si="11"/>
        <v>-0.76959151953218907</v>
      </c>
      <c r="M201" s="513">
        <f>LN('Growth Pattern'!F214/'Growth Pattern'!D214)/2</f>
        <v>0.10594460609670023</v>
      </c>
      <c r="N201" s="523"/>
      <c r="O201" s="528"/>
    </row>
    <row r="202" spans="1:15" x14ac:dyDescent="0.25">
      <c r="A202" s="516">
        <v>2.5214916782798804</v>
      </c>
      <c r="B202" s="516">
        <v>0.46</v>
      </c>
      <c r="C202" s="516" t="s">
        <v>1522</v>
      </c>
      <c r="D202" s="507">
        <v>0.48927531132912161</v>
      </c>
      <c r="E202" s="508">
        <f t="shared" si="9"/>
        <v>9.056695208563359E-2</v>
      </c>
      <c r="F202" s="509">
        <f ca="1">LOOKUP(C202,'Growth Pattern'!B$15:B$376,'Growth Pattern'!D$15:D$368)-(LOOKUP(C202,'Growth Pattern'!B$15:B$376,'Growth Pattern'!H$15:H$368)*LOOKUP(C202,'Growth Pattern'!B$15:B$376,'Growth Pattern'!I$15:I$368)/100)</f>
        <v>0</v>
      </c>
      <c r="G202" s="509">
        <f ca="1">LOOKUP(C202,'Growth Pattern'!B$15:B$376,'Growth Pattern'!E$15:E$368)-(LOOKUP(C202,'Growth Pattern'!B$15:B$376,'Growth Pattern'!H$15:H$368)*LOOKUP(C202,'Growth Pattern'!B$15:B$376,'Growth Pattern'!I$15:I$368)/100)</f>
        <v>51.25</v>
      </c>
      <c r="H202" s="509">
        <f ca="1">LOOKUP(C202,'Growth Pattern'!B$15:B$376,'Growth Pattern'!F$15:F$368)-(LOOKUP(C202,'Growth Pattern'!B$15:B$376,'Growth Pattern'!I$15:I$368)*LOOKUP(C202,'Growth Pattern'!B$15:B$376,'Growth Pattern'!H$15:H$368)/100)</f>
        <v>56.47</v>
      </c>
      <c r="I202" s="509">
        <f ca="1">LOOKUP(C202,'Growth Pattern'!B$15:B$376,'Growth Pattern'!G$15:G$368)-(LOOKUP(C202,'Growth Pattern'!B$15:B$376,'Growth Pattern'!H$15:H$368)*LOOKUP(C202,'Growth Pattern'!B$15:B$376,'Growth Pattern'!I$15:I$368)/100)</f>
        <v>56.47</v>
      </c>
      <c r="J202" s="510">
        <f t="shared" ca="1" si="10"/>
        <v>4214.6054159823971</v>
      </c>
      <c r="K202" s="511">
        <f ca="1">LOOKUP(C202,'Growth Pattern'!B$15:B$376,'Growth Pattern'!H$15:H$368)</f>
        <v>239.8</v>
      </c>
      <c r="L202" s="512">
        <f t="shared" ca="1" si="11"/>
        <v>-0.94310262140065504</v>
      </c>
      <c r="M202" s="513" t="e">
        <f>LN('Growth Pattern'!F215/'Growth Pattern'!D215)/2</f>
        <v>#DIV/0!</v>
      </c>
      <c r="N202" s="523"/>
      <c r="O202" s="528"/>
    </row>
    <row r="203" spans="1:15" x14ac:dyDescent="0.25">
      <c r="A203" s="516">
        <v>3.0053013585039658</v>
      </c>
      <c r="B203" s="516">
        <v>0.16</v>
      </c>
      <c r="C203" s="516" t="s">
        <v>3623</v>
      </c>
      <c r="D203" s="507">
        <v>0.521823669979538</v>
      </c>
      <c r="E203" s="508">
        <f t="shared" si="9"/>
        <v>9.3398659288219804E-2</v>
      </c>
      <c r="F203" s="509">
        <f ca="1">LOOKUP(C203,'Growth Pattern'!B$15:B$376,'Growth Pattern'!D$15:D$368)-(LOOKUP(C203,'Growth Pattern'!B$15:B$376,'Growth Pattern'!H$15:H$368)*LOOKUP(C203,'Growth Pattern'!B$15:B$376,'Growth Pattern'!I$15:I$368)/100)</f>
        <v>1.43</v>
      </c>
      <c r="G203" s="509">
        <f ca="1">LOOKUP(C203,'Growth Pattern'!B$15:B$376,'Growth Pattern'!E$15:E$368)-(LOOKUP(C203,'Growth Pattern'!B$15:B$376,'Growth Pattern'!H$15:H$368)*LOOKUP(C203,'Growth Pattern'!B$15:B$376,'Growth Pattern'!I$15:I$368)/100)</f>
        <v>6.18</v>
      </c>
      <c r="H203" s="509">
        <f ca="1">LOOKUP(C203,'Growth Pattern'!B$15:B$376,'Growth Pattern'!F$15:F$368)-(LOOKUP(C203,'Growth Pattern'!B$15:B$376,'Growth Pattern'!I$15:I$368)*LOOKUP(C203,'Growth Pattern'!B$15:B$376,'Growth Pattern'!H$15:H$368)/100)</f>
        <v>8.4499999999999993</v>
      </c>
      <c r="I203" s="509">
        <f ca="1">LOOKUP(C203,'Growth Pattern'!B$15:B$376,'Growth Pattern'!G$15:G$368)-(LOOKUP(C203,'Growth Pattern'!B$15:B$376,'Growth Pattern'!H$15:H$368)*LOOKUP(C203,'Growth Pattern'!B$15:B$376,'Growth Pattern'!I$15:I$368)/100)</f>
        <v>8.4499999999999993</v>
      </c>
      <c r="J203" s="510">
        <f t="shared" ca="1" si="10"/>
        <v>496.60842053603545</v>
      </c>
      <c r="K203" s="511">
        <f ca="1">LOOKUP(C203,'Growth Pattern'!B$15:B$376,'Growth Pattern'!H$15:H$368)</f>
        <v>50.5</v>
      </c>
      <c r="L203" s="512">
        <f t="shared" ca="1" si="11"/>
        <v>-0.89831022207498878</v>
      </c>
      <c r="M203" s="513">
        <f>LN('Growth Pattern'!F216/'Growth Pattern'!D216)/2</f>
        <v>0.88824599854863329</v>
      </c>
      <c r="N203" s="523"/>
      <c r="O203" s="528"/>
    </row>
    <row r="204" spans="1:15" x14ac:dyDescent="0.25">
      <c r="A204" s="516">
        <v>4.1221713765805044</v>
      </c>
      <c r="B204" s="516">
        <v>0.15</v>
      </c>
      <c r="C204" s="516" t="s">
        <v>3625</v>
      </c>
      <c r="D204" s="507">
        <v>0.54545598649073845</v>
      </c>
      <c r="E204" s="508">
        <f t="shared" si="9"/>
        <v>9.5454670824694249E-2</v>
      </c>
      <c r="F204" s="509">
        <f ca="1">LOOKUP(C204,'Growth Pattern'!B$15:B$376,'Growth Pattern'!D$15:D$368)-(LOOKUP(C204,'Growth Pattern'!B$15:B$376,'Growth Pattern'!H$15:H$368)*LOOKUP(C204,'Growth Pattern'!B$15:B$376,'Growth Pattern'!I$15:I$368)/100)</f>
        <v>0</v>
      </c>
      <c r="G204" s="509">
        <f ca="1">LOOKUP(C204,'Growth Pattern'!B$15:B$376,'Growth Pattern'!E$15:E$368)-(LOOKUP(C204,'Growth Pattern'!B$15:B$376,'Growth Pattern'!H$15:H$368)*LOOKUP(C204,'Growth Pattern'!B$15:B$376,'Growth Pattern'!I$15:I$368)/100)</f>
        <v>35.200000000000003</v>
      </c>
      <c r="H204" s="509">
        <f ca="1">LOOKUP(C204,'Growth Pattern'!B$15:B$376,'Growth Pattern'!F$15:F$368)-(LOOKUP(C204,'Growth Pattern'!B$15:B$376,'Growth Pattern'!I$15:I$368)*LOOKUP(C204,'Growth Pattern'!B$15:B$376,'Growth Pattern'!H$15:H$368)/100)</f>
        <v>28.3</v>
      </c>
      <c r="I204" s="509">
        <f ca="1">LOOKUP(C204,'Growth Pattern'!B$15:B$376,'Growth Pattern'!G$15:G$368)-(LOOKUP(C204,'Growth Pattern'!B$15:B$376,'Growth Pattern'!H$15:H$368)*LOOKUP(C204,'Growth Pattern'!B$15:B$376,'Growth Pattern'!I$15:I$368)/100)</f>
        <v>28.3</v>
      </c>
      <c r="J204" s="510">
        <f t="shared" ca="1" si="10"/>
        <v>1448.6910823873661</v>
      </c>
      <c r="K204" s="511">
        <f ca="1">LOOKUP(C204,'Growth Pattern'!B$15:B$376,'Growth Pattern'!H$15:H$368)</f>
        <v>118.8</v>
      </c>
      <c r="L204" s="512">
        <f t="shared" ca="1" si="11"/>
        <v>-0.91799493940128085</v>
      </c>
      <c r="M204" s="513" t="e">
        <f>LN('Growth Pattern'!F217/'Growth Pattern'!D217)/2</f>
        <v>#DIV/0!</v>
      </c>
      <c r="N204" s="523"/>
      <c r="O204" s="528"/>
    </row>
    <row r="205" spans="1:15" x14ac:dyDescent="0.25">
      <c r="A205" s="516">
        <v>3.3652894642860192</v>
      </c>
      <c r="B205" s="516">
        <v>0.16</v>
      </c>
      <c r="C205" s="516" t="s">
        <v>3627</v>
      </c>
      <c r="D205" s="507">
        <v>0.538484781566828</v>
      </c>
      <c r="E205" s="508">
        <f t="shared" si="9"/>
        <v>9.4848175996314038E-2</v>
      </c>
      <c r="F205" s="509">
        <f ca="1">LOOKUP(C205,'Growth Pattern'!B$15:B$376,'Growth Pattern'!D$15:D$368)-(LOOKUP(C205,'Growth Pattern'!B$15:B$376,'Growth Pattern'!H$15:H$368)*LOOKUP(C205,'Growth Pattern'!B$15:B$376,'Growth Pattern'!I$15:I$368)/100)</f>
        <v>10.663045</v>
      </c>
      <c r="G205" s="509">
        <f ca="1">LOOKUP(C205,'Growth Pattern'!B$15:B$376,'Growth Pattern'!E$15:E$368)-(LOOKUP(C205,'Growth Pattern'!B$15:B$376,'Growth Pattern'!H$15:H$368)*LOOKUP(C205,'Growth Pattern'!B$15:B$376,'Growth Pattern'!I$15:I$368)/100)</f>
        <v>18.453044999999999</v>
      </c>
      <c r="H205" s="509">
        <f ca="1">LOOKUP(C205,'Growth Pattern'!B$15:B$376,'Growth Pattern'!F$15:F$368)-(LOOKUP(C205,'Growth Pattern'!B$15:B$376,'Growth Pattern'!I$15:I$368)*LOOKUP(C205,'Growth Pattern'!B$15:B$376,'Growth Pattern'!H$15:H$368)/100)</f>
        <v>18.353045000000002</v>
      </c>
      <c r="I205" s="509">
        <f ca="1">LOOKUP(C205,'Growth Pattern'!B$15:B$376,'Growth Pattern'!G$15:G$368)-(LOOKUP(C205,'Growth Pattern'!B$15:B$376,'Growth Pattern'!H$15:H$368)*LOOKUP(C205,'Growth Pattern'!B$15:B$376,'Growth Pattern'!I$15:I$368)/100)</f>
        <v>18.353045000000002</v>
      </c>
      <c r="J205" s="510">
        <f t="shared" ca="1" si="10"/>
        <v>984.66011080762541</v>
      </c>
      <c r="K205" s="511">
        <f ca="1">LOOKUP(C205,'Growth Pattern'!B$15:B$376,'Growth Pattern'!H$15:H$368)</f>
        <v>131.35</v>
      </c>
      <c r="L205" s="512">
        <f t="shared" ca="1" si="11"/>
        <v>-0.86660371578141238</v>
      </c>
      <c r="M205" s="513">
        <f>LN('Growth Pattern'!F218/'Growth Pattern'!D218)/2</f>
        <v>0.24110860792425712</v>
      </c>
      <c r="N205" s="523"/>
      <c r="O205" s="528"/>
    </row>
    <row r="206" spans="1:15" x14ac:dyDescent="0.25">
      <c r="A206" s="516">
        <v>2.159005134180362</v>
      </c>
      <c r="B206" s="516">
        <v>0.39</v>
      </c>
      <c r="C206" s="516" t="s">
        <v>1383</v>
      </c>
      <c r="D206" s="507">
        <v>0.10594381988153398</v>
      </c>
      <c r="E206" s="508">
        <f t="shared" si="9"/>
        <v>5.7217112329693461E-2</v>
      </c>
      <c r="F206" s="509">
        <f ca="1">LOOKUP(C206,'Growth Pattern'!B$15:B$376,'Growth Pattern'!D$15:D$368)-(LOOKUP(C206,'Growth Pattern'!B$15:B$376,'Growth Pattern'!H$15:H$368)*LOOKUP(C206,'Growth Pattern'!B$15:B$376,'Growth Pattern'!I$15:I$368)/100)</f>
        <v>3.98</v>
      </c>
      <c r="G206" s="509">
        <f ca="1">LOOKUP(C206,'Growth Pattern'!B$15:B$376,'Growth Pattern'!E$15:E$368)-(LOOKUP(C206,'Growth Pattern'!B$15:B$376,'Growth Pattern'!H$15:H$368)*LOOKUP(C206,'Growth Pattern'!B$15:B$376,'Growth Pattern'!I$15:I$368)/100)</f>
        <v>4.7</v>
      </c>
      <c r="H206" s="509">
        <f ca="1">LOOKUP(C206,'Growth Pattern'!B$15:B$376,'Growth Pattern'!F$15:F$368)-(LOOKUP(C206,'Growth Pattern'!B$15:B$376,'Growth Pattern'!I$15:I$368)*LOOKUP(C206,'Growth Pattern'!B$15:B$376,'Growth Pattern'!H$15:H$368)/100)</f>
        <v>5.7</v>
      </c>
      <c r="I206" s="509">
        <f ca="1">LOOKUP(C206,'Growth Pattern'!B$15:B$376,'Growth Pattern'!G$15:G$368)-(LOOKUP(C206,'Growth Pattern'!B$15:B$376,'Growth Pattern'!H$15:H$368)*LOOKUP(C206,'Growth Pattern'!B$15:B$376,'Growth Pattern'!I$15:I$368)/100)</f>
        <v>6.98</v>
      </c>
      <c r="J206" s="510">
        <f t="shared" ca="1" si="10"/>
        <v>-245.74573923238265</v>
      </c>
      <c r="K206" s="511">
        <f ca="1">LOOKUP(C206,'Growth Pattern'!B$15:B$376,'Growth Pattern'!H$15:H$368)</f>
        <v>139.25</v>
      </c>
      <c r="L206" s="512">
        <f t="shared" ca="1" si="11"/>
        <v>-1.5666425812100129</v>
      </c>
      <c r="M206" s="513">
        <f>LN('Growth Pattern'!F219/'Growth Pattern'!D219)/2</f>
        <v>0.17959217777207909</v>
      </c>
      <c r="N206" s="523"/>
      <c r="O206" s="528"/>
    </row>
    <row r="207" spans="1:15" x14ac:dyDescent="0.25">
      <c r="A207" s="516">
        <v>1.5976824935188201</v>
      </c>
      <c r="B207" s="516">
        <v>0.25</v>
      </c>
      <c r="C207" s="516" t="s">
        <v>1384</v>
      </c>
      <c r="D207" s="507">
        <v>0.41361496021977506</v>
      </c>
      <c r="E207" s="508">
        <f t="shared" si="9"/>
        <v>8.3984501539120432E-2</v>
      </c>
      <c r="F207" s="509">
        <f ca="1">LOOKUP(C207,'Growth Pattern'!B$15:B$376,'Growth Pattern'!D$15:D$368)-(LOOKUP(C207,'Growth Pattern'!B$15:B$376,'Growth Pattern'!H$15:H$368)*LOOKUP(C207,'Growth Pattern'!B$15:B$376,'Growth Pattern'!I$15:I$368)/100)</f>
        <v>86.45</v>
      </c>
      <c r="G207" s="509">
        <f ca="1">LOOKUP(C207,'Growth Pattern'!B$15:B$376,'Growth Pattern'!E$15:E$368)-(LOOKUP(C207,'Growth Pattern'!B$15:B$376,'Growth Pattern'!H$15:H$368)*LOOKUP(C207,'Growth Pattern'!B$15:B$376,'Growth Pattern'!I$15:I$368)/100)</f>
        <v>80</v>
      </c>
      <c r="H207" s="509">
        <f ca="1">LOOKUP(C207,'Growth Pattern'!B$15:B$376,'Growth Pattern'!F$15:F$368)-(LOOKUP(C207,'Growth Pattern'!B$15:B$376,'Growth Pattern'!I$15:I$368)*LOOKUP(C207,'Growth Pattern'!B$15:B$376,'Growth Pattern'!H$15:H$368)/100)</f>
        <v>95.21</v>
      </c>
      <c r="I207" s="509">
        <f ca="1">LOOKUP(C207,'Growth Pattern'!B$15:B$376,'Growth Pattern'!G$15:G$368)-(LOOKUP(C207,'Growth Pattern'!B$15:B$376,'Growth Pattern'!H$15:H$368)*LOOKUP(C207,'Growth Pattern'!B$15:B$376,'Growth Pattern'!I$15:I$368)/100)</f>
        <v>132.07999999999998</v>
      </c>
      <c r="J207" s="510">
        <f t="shared" ca="1" si="10"/>
        <v>26266.466080074206</v>
      </c>
      <c r="K207" s="511">
        <f ca="1">LOOKUP(C207,'Growth Pattern'!B$15:B$376,'Growth Pattern'!H$15:H$368)</f>
        <v>1223.2</v>
      </c>
      <c r="L207" s="512">
        <f t="shared" ca="1" si="11"/>
        <v>-0.9534311164558249</v>
      </c>
      <c r="M207" s="513">
        <f>LN('Growth Pattern'!F220/'Growth Pattern'!D220)/2</f>
        <v>4.8259383084150176E-2</v>
      </c>
      <c r="N207" s="523"/>
      <c r="O207" s="528"/>
    </row>
    <row r="208" spans="1:15" x14ac:dyDescent="0.25">
      <c r="A208" s="516">
        <v>1.2571346026403405</v>
      </c>
      <c r="B208" s="516">
        <v>0.06</v>
      </c>
      <c r="C208" s="516" t="s">
        <v>1385</v>
      </c>
      <c r="D208" s="507">
        <v>0.72471059296314744</v>
      </c>
      <c r="E208" s="508">
        <f t="shared" si="9"/>
        <v>0.11104982158779383</v>
      </c>
      <c r="F208" s="509">
        <f ca="1">LOOKUP(C208,'Growth Pattern'!B$15:B$376,'Growth Pattern'!D$15:D$368)-(LOOKUP(C208,'Growth Pattern'!B$15:B$376,'Growth Pattern'!H$15:H$368)*LOOKUP(C208,'Growth Pattern'!B$15:B$376,'Growth Pattern'!I$15:I$368)/100)</f>
        <v>0</v>
      </c>
      <c r="G208" s="509">
        <f ca="1">LOOKUP(C208,'Growth Pattern'!B$15:B$376,'Growth Pattern'!E$15:E$368)-(LOOKUP(C208,'Growth Pattern'!B$15:B$376,'Growth Pattern'!H$15:H$368)*LOOKUP(C208,'Growth Pattern'!B$15:B$376,'Growth Pattern'!I$15:I$368)/100)</f>
        <v>0</v>
      </c>
      <c r="H208" s="509">
        <f ca="1">LOOKUP(C208,'Growth Pattern'!B$15:B$376,'Growth Pattern'!F$15:F$368)-(LOOKUP(C208,'Growth Pattern'!B$15:B$376,'Growth Pattern'!I$15:I$368)*LOOKUP(C208,'Growth Pattern'!B$15:B$376,'Growth Pattern'!H$15:H$368)/100)</f>
        <v>0</v>
      </c>
      <c r="I208" s="509">
        <f ca="1">LOOKUP(C208,'Growth Pattern'!B$15:B$376,'Growth Pattern'!G$15:G$368)-(LOOKUP(C208,'Growth Pattern'!B$15:B$376,'Growth Pattern'!H$15:H$368)*LOOKUP(C208,'Growth Pattern'!B$15:B$376,'Growth Pattern'!I$15:I$368)/100)</f>
        <v>0</v>
      </c>
      <c r="J208" s="510">
        <f t="shared" ca="1" si="10"/>
        <v>0</v>
      </c>
      <c r="K208" s="511">
        <f ca="1">LOOKUP(C208,'Growth Pattern'!B$15:B$376,'Growth Pattern'!H$15:H$368)</f>
        <v>404.05</v>
      </c>
      <c r="L208" s="512" t="e">
        <f t="shared" ca="1" si="11"/>
        <v>#DIV/0!</v>
      </c>
      <c r="M208" s="513" t="e">
        <f>LN('Growth Pattern'!F221/'Growth Pattern'!D221)/2</f>
        <v>#DIV/0!</v>
      </c>
      <c r="N208" s="523"/>
      <c r="O208" s="528"/>
    </row>
    <row r="209" spans="1:16" x14ac:dyDescent="0.25">
      <c r="A209" s="516">
        <v>2.7068746060482196</v>
      </c>
      <c r="B209" s="516">
        <v>0.11</v>
      </c>
      <c r="C209" s="516" t="s">
        <v>1386</v>
      </c>
      <c r="D209" s="507">
        <v>0.36021095697833222</v>
      </c>
      <c r="E209" s="508">
        <f t="shared" si="9"/>
        <v>7.9338353257114913E-2</v>
      </c>
      <c r="F209" s="509">
        <f ca="1">LOOKUP(C209,'Growth Pattern'!B$15:B$376,'Growth Pattern'!D$15:D$368)-(LOOKUP(C209,'Growth Pattern'!B$15:B$376,'Growth Pattern'!H$15:H$368)*LOOKUP(C209,'Growth Pattern'!B$15:B$376,'Growth Pattern'!I$15:I$368)/100)</f>
        <v>21.748379999999997</v>
      </c>
      <c r="G209" s="509">
        <f ca="1">LOOKUP(C209,'Growth Pattern'!B$15:B$376,'Growth Pattern'!E$15:E$368)-(LOOKUP(C209,'Growth Pattern'!B$15:B$376,'Growth Pattern'!H$15:H$368)*LOOKUP(C209,'Growth Pattern'!B$15:B$376,'Growth Pattern'!I$15:I$368)/100)</f>
        <v>-11.13162</v>
      </c>
      <c r="H209" s="509">
        <f ca="1">LOOKUP(C209,'Growth Pattern'!B$15:B$376,'Growth Pattern'!F$15:F$368)-(LOOKUP(C209,'Growth Pattern'!B$15:B$376,'Growth Pattern'!I$15:I$368)*LOOKUP(C209,'Growth Pattern'!B$15:B$376,'Growth Pattern'!H$15:H$368)/100)</f>
        <v>6.7583799999999998</v>
      </c>
      <c r="I209" s="509">
        <f ca="1">LOOKUP(C209,'Growth Pattern'!B$15:B$376,'Growth Pattern'!G$15:G$368)-(LOOKUP(C209,'Growth Pattern'!B$15:B$376,'Growth Pattern'!H$15:H$368)*LOOKUP(C209,'Growth Pattern'!B$15:B$376,'Growth Pattern'!I$15:I$368)/100)</f>
        <v>75.41838000000007</v>
      </c>
      <c r="J209" s="510">
        <f t="shared" ca="1" si="10"/>
        <v>-90634.931006917672</v>
      </c>
      <c r="K209" s="511">
        <f ca="1">LOOKUP(C209,'Growth Pattern'!B$15:B$376,'Growth Pattern'!H$15:H$368)</f>
        <v>100.05</v>
      </c>
      <c r="L209" s="512">
        <f t="shared" ca="1" si="11"/>
        <v>-1.0011038790330449</v>
      </c>
      <c r="M209" s="513">
        <f>LN('Growth Pattern'!F222/'Growth Pattern'!D222)/2</f>
        <v>-0.45794532592640763</v>
      </c>
      <c r="N209" s="523"/>
      <c r="O209" s="528"/>
    </row>
    <row r="210" spans="1:16" x14ac:dyDescent="0.25">
      <c r="A210" s="516">
        <v>0.83160089295991579</v>
      </c>
      <c r="B210" s="516"/>
      <c r="C210" s="516" t="s">
        <v>4866</v>
      </c>
      <c r="D210" s="507">
        <v>0.60584906391267623</v>
      </c>
      <c r="E210" s="508">
        <f t="shared" si="9"/>
        <v>0.10070886856040284</v>
      </c>
      <c r="F210" s="509">
        <f ca="1">LOOKUP(C210,'Growth Pattern'!B$15:B$376,'Growth Pattern'!D$15:D$368)-(LOOKUP(C210,'Growth Pattern'!B$15:B$376,'Growth Pattern'!H$15:H$368)*LOOKUP(C210,'Growth Pattern'!B$15:B$376,'Growth Pattern'!I$15:I$368)/100)</f>
        <v>0</v>
      </c>
      <c r="G210" s="509">
        <f ca="1">LOOKUP(C210,'Growth Pattern'!B$15:B$376,'Growth Pattern'!E$15:E$368)-(LOOKUP(C210,'Growth Pattern'!B$15:B$376,'Growth Pattern'!H$15:H$368)*LOOKUP(C210,'Growth Pattern'!B$15:B$376,'Growth Pattern'!I$15:I$368)/100)</f>
        <v>0</v>
      </c>
      <c r="H210" s="509">
        <f ca="1">LOOKUP(C210,'Growth Pattern'!B$15:B$376,'Growth Pattern'!F$15:F$368)-(LOOKUP(C210,'Growth Pattern'!B$15:B$376,'Growth Pattern'!I$15:I$368)*LOOKUP(C210,'Growth Pattern'!B$15:B$376,'Growth Pattern'!H$15:H$368)/100)</f>
        <v>0</v>
      </c>
      <c r="I210" s="509">
        <f ca="1">LOOKUP(C210,'Growth Pattern'!B$15:B$376,'Growth Pattern'!G$15:G$368)-(LOOKUP(C210,'Growth Pattern'!B$15:B$376,'Growth Pattern'!H$15:H$368)*LOOKUP(C210,'Growth Pattern'!B$15:B$376,'Growth Pattern'!I$15:I$368)/100)</f>
        <v>0</v>
      </c>
      <c r="J210" s="510">
        <f t="shared" ca="1" si="10"/>
        <v>0</v>
      </c>
      <c r="K210" s="511">
        <f ca="1">LOOKUP(C210,'Growth Pattern'!B$15:B$376,'Growth Pattern'!H$15:H$368)</f>
        <v>6</v>
      </c>
      <c r="L210" s="512" t="e">
        <f t="shared" ca="1" si="11"/>
        <v>#DIV/0!</v>
      </c>
      <c r="M210" s="513" t="e">
        <f>LN('Growth Pattern'!F223/'Growth Pattern'!D223)/2</f>
        <v>#DIV/0!</v>
      </c>
      <c r="N210" s="523"/>
      <c r="O210" s="528"/>
    </row>
    <row r="211" spans="1:16" x14ac:dyDescent="0.25">
      <c r="A211" s="516">
        <v>2.2719648148640852</v>
      </c>
      <c r="B211" s="516"/>
      <c r="C211" s="516" t="s">
        <v>4867</v>
      </c>
      <c r="D211" s="507">
        <v>0.30759805042640015</v>
      </c>
      <c r="E211" s="508">
        <f t="shared" si="9"/>
        <v>7.4761030387096819E-2</v>
      </c>
      <c r="F211" s="509">
        <f ca="1">LOOKUP(C211,'Growth Pattern'!B$15:B$376,'Growth Pattern'!D$15:D$368)-(LOOKUP(C211,'Growth Pattern'!B$15:B$376,'Growth Pattern'!H$15:H$368)*LOOKUP(C211,'Growth Pattern'!B$15:B$376,'Growth Pattern'!I$15:I$368)/100)</f>
        <v>-0.03</v>
      </c>
      <c r="G211" s="509">
        <f ca="1">LOOKUP(C211,'Growth Pattern'!B$15:B$376,'Growth Pattern'!E$15:E$368)-(LOOKUP(C211,'Growth Pattern'!B$15:B$376,'Growth Pattern'!H$15:H$368)*LOOKUP(C211,'Growth Pattern'!B$15:B$376,'Growth Pattern'!I$15:I$368)/100)</f>
        <v>-1.7</v>
      </c>
      <c r="H211" s="509">
        <f ca="1">LOOKUP(C211,'Growth Pattern'!B$15:B$376,'Growth Pattern'!F$15:F$368)-(LOOKUP(C211,'Growth Pattern'!B$15:B$376,'Growth Pattern'!I$15:I$368)*LOOKUP(C211,'Growth Pattern'!B$15:B$376,'Growth Pattern'!H$15:H$368)/100)</f>
        <v>0.78</v>
      </c>
      <c r="I211" s="509">
        <f ca="1">LOOKUP(C211,'Growth Pattern'!B$15:B$376,'Growth Pattern'!G$15:G$368)-(LOOKUP(C211,'Growth Pattern'!B$15:B$376,'Growth Pattern'!H$15:H$368)*LOOKUP(C211,'Growth Pattern'!B$15:B$376,'Growth Pattern'!I$15:I$368)/100)</f>
        <v>7.4100000000000072</v>
      </c>
      <c r="J211" s="510">
        <f t="shared" ca="1" si="10"/>
        <v>-1140.2325472970379</v>
      </c>
      <c r="K211" s="511">
        <f ca="1">LOOKUP(C211,'Growth Pattern'!B$15:B$376,'Growth Pattern'!H$15:H$368)</f>
        <v>165.15</v>
      </c>
      <c r="L211" s="512">
        <f t="shared" ca="1" si="11"/>
        <v>-1.1448388755359546</v>
      </c>
      <c r="M211" s="513" t="e">
        <f>LN('Growth Pattern'!F224/'Growth Pattern'!D224)/2</f>
        <v>#NUM!</v>
      </c>
      <c r="N211" s="523"/>
      <c r="O211" s="528"/>
    </row>
    <row r="212" spans="1:16" x14ac:dyDescent="0.25">
      <c r="A212" s="516">
        <v>2.6667337836974614</v>
      </c>
      <c r="B212" s="516">
        <v>0.27884677314905848</v>
      </c>
      <c r="C212" s="516" t="s">
        <v>4868</v>
      </c>
      <c r="D212" s="507">
        <v>0.35374381671666583</v>
      </c>
      <c r="E212" s="508">
        <f t="shared" si="9"/>
        <v>7.8775712054349939E-2</v>
      </c>
      <c r="F212" s="509">
        <f ca="1">LOOKUP(C212,'Growth Pattern'!B$15:B$376,'Growth Pattern'!D$15:D$368)-(LOOKUP(C212,'Growth Pattern'!B$15:B$376,'Growth Pattern'!H$15:H$368)*LOOKUP(C212,'Growth Pattern'!B$15:B$376,'Growth Pattern'!I$15:I$368)/100)</f>
        <v>0</v>
      </c>
      <c r="G212" s="509">
        <f ca="1">LOOKUP(C212,'Growth Pattern'!B$15:B$376,'Growth Pattern'!E$15:E$368)-(LOOKUP(C212,'Growth Pattern'!B$15:B$376,'Growth Pattern'!H$15:H$368)*LOOKUP(C212,'Growth Pattern'!B$15:B$376,'Growth Pattern'!I$15:I$368)/100)</f>
        <v>34.03</v>
      </c>
      <c r="H212" s="509">
        <f ca="1">LOOKUP(C212,'Growth Pattern'!B$15:B$376,'Growth Pattern'!F$15:F$368)-(LOOKUP(C212,'Growth Pattern'!B$15:B$376,'Growth Pattern'!I$15:I$368)*LOOKUP(C212,'Growth Pattern'!B$15:B$376,'Growth Pattern'!H$15:H$368)/100)</f>
        <v>46.9</v>
      </c>
      <c r="I212" s="509">
        <f ca="1">LOOKUP(C212,'Growth Pattern'!B$15:B$376,'Growth Pattern'!G$15:G$368)-(LOOKUP(C212,'Growth Pattern'!B$15:B$376,'Growth Pattern'!H$15:H$368)*LOOKUP(C212,'Growth Pattern'!B$15:B$376,'Growth Pattern'!I$15:I$368)/100)</f>
        <v>46.9</v>
      </c>
      <c r="J212" s="510">
        <f t="shared" ca="1" si="10"/>
        <v>-30441.918908867763</v>
      </c>
      <c r="K212" s="511">
        <f ca="1">LOOKUP(C212,'Growth Pattern'!B$15:B$376,'Growth Pattern'!H$15:H$368)</f>
        <v>1046.55</v>
      </c>
      <c r="L212" s="512">
        <f t="shared" ca="1" si="11"/>
        <v>-1.0343785818211064</v>
      </c>
      <c r="M212" s="513" t="e">
        <f>LN('Growth Pattern'!F225/'Growth Pattern'!D225)/2</f>
        <v>#DIV/0!</v>
      </c>
      <c r="N212" s="523"/>
      <c r="O212" s="528"/>
    </row>
    <row r="213" spans="1:16" x14ac:dyDescent="0.25">
      <c r="A213" s="516">
        <v>2.4424861189700748</v>
      </c>
      <c r="B213" s="516">
        <v>0.01</v>
      </c>
      <c r="C213" s="543" t="s">
        <v>4869</v>
      </c>
      <c r="D213" s="507">
        <v>1.5116308370877449</v>
      </c>
      <c r="E213" s="508">
        <f t="shared" si="9"/>
        <v>0.17951188282663383</v>
      </c>
      <c r="F213" s="509">
        <f ca="1">LOOKUP(C213,'Growth Pattern'!B$15:B$376,'Growth Pattern'!D$15:D$368)-(LOOKUP(C213,'Growth Pattern'!B$15:B$376,'Growth Pattern'!H$15:H$368)*LOOKUP(C213,'Growth Pattern'!B$15:B$376,'Growth Pattern'!I$15:I$368)/100)</f>
        <v>17.106700000000004</v>
      </c>
      <c r="G213" s="509">
        <f ca="1">LOOKUP(C213,'Growth Pattern'!B$15:B$376,'Growth Pattern'!E$15:E$368)-(LOOKUP(C213,'Growth Pattern'!B$15:B$376,'Growth Pattern'!H$15:H$368)*LOOKUP(C213,'Growth Pattern'!B$15:B$376,'Growth Pattern'!I$15:I$368)/100)</f>
        <v>21.606700000000004</v>
      </c>
      <c r="H213" s="509">
        <f ca="1">LOOKUP(C213,'Growth Pattern'!B$15:B$376,'Growth Pattern'!F$15:F$368)-(LOOKUP(C213,'Growth Pattern'!B$15:B$376,'Growth Pattern'!I$15:I$368)*LOOKUP(C213,'Growth Pattern'!B$15:B$376,'Growth Pattern'!H$15:H$368)/100)</f>
        <v>24.906700000000001</v>
      </c>
      <c r="I213" s="509">
        <f ca="1">LOOKUP(C213,'Growth Pattern'!B$15:B$376,'Growth Pattern'!G$15:G$368)-(LOOKUP(C213,'Growth Pattern'!B$15:B$376,'Growth Pattern'!H$15:H$368)*LOOKUP(C213,'Growth Pattern'!B$15:B$376,'Growth Pattern'!I$15:I$368)/100)</f>
        <v>24.906700000000001</v>
      </c>
      <c r="J213" s="510">
        <f t="shared" ca="1" si="10"/>
        <v>205.85008212008591</v>
      </c>
      <c r="K213" s="511">
        <f ca="1">LOOKUP(C213,'Growth Pattern'!B$15:B$376,'Growth Pattern'!H$15:H$368)</f>
        <v>261</v>
      </c>
      <c r="L213" s="512">
        <f t="shared" ca="1" si="11"/>
        <v>0.2679130234582151</v>
      </c>
      <c r="M213" s="513">
        <f>LN('Growth Pattern'!F226/'Growth Pattern'!D226)/2</f>
        <v>0.15728427731818276</v>
      </c>
      <c r="N213" s="523"/>
      <c r="O213" s="528"/>
    </row>
    <row r="214" spans="1:16" x14ac:dyDescent="0.25">
      <c r="A214" s="516">
        <v>1.3674796671057072</v>
      </c>
      <c r="B214" s="516">
        <v>0.02</v>
      </c>
      <c r="C214" s="516" t="s">
        <v>3061</v>
      </c>
      <c r="D214" s="507">
        <v>1.2442935610023795</v>
      </c>
      <c r="E214" s="508">
        <f t="shared" si="9"/>
        <v>0.15625353980720702</v>
      </c>
      <c r="F214" s="509">
        <f ca="1">LOOKUP(C214,'Growth Pattern'!B$15:B$376,'Growth Pattern'!D$15:D$368)-(LOOKUP(C214,'Growth Pattern'!B$15:B$376,'Growth Pattern'!H$15:H$368)*LOOKUP(C214,'Growth Pattern'!B$15:B$376,'Growth Pattern'!I$15:I$368)/100)</f>
        <v>147.11514</v>
      </c>
      <c r="G214" s="509">
        <f ca="1">LOOKUP(C214,'Growth Pattern'!B$15:B$376,'Growth Pattern'!E$15:E$368)-(LOOKUP(C214,'Growth Pattern'!B$15:B$376,'Growth Pattern'!H$15:H$368)*LOOKUP(C214,'Growth Pattern'!B$15:B$376,'Growth Pattern'!I$15:I$368)/100)</f>
        <v>230.76513999999997</v>
      </c>
      <c r="H214" s="509">
        <f ca="1">LOOKUP(C214,'Growth Pattern'!B$15:B$376,'Growth Pattern'!F$15:F$368)-(LOOKUP(C214,'Growth Pattern'!B$15:B$376,'Growth Pattern'!I$15:I$368)*LOOKUP(C214,'Growth Pattern'!B$15:B$376,'Growth Pattern'!H$15:H$368)/100)</f>
        <v>274.01513999999997</v>
      </c>
      <c r="I214" s="509">
        <f ca="1">LOOKUP(C214,'Growth Pattern'!B$15:B$376,'Growth Pattern'!G$15:G$368)-(LOOKUP(C214,'Growth Pattern'!B$15:B$376,'Growth Pattern'!H$15:H$368)*LOOKUP(C214,'Growth Pattern'!B$15:B$376,'Growth Pattern'!I$15:I$368)/100)</f>
        <v>274.01513999999997</v>
      </c>
      <c r="J214" s="510">
        <f t="shared" ca="1" si="10"/>
        <v>2876.2928128166532</v>
      </c>
      <c r="K214" s="511">
        <f ca="1">LOOKUP(C214,'Growth Pattern'!B$15:B$376,'Growth Pattern'!H$15:H$368)</f>
        <v>6876.7</v>
      </c>
      <c r="L214" s="512">
        <f t="shared" ca="1" si="11"/>
        <v>1.3908205622729652</v>
      </c>
      <c r="M214" s="513">
        <f>LN('Growth Pattern'!F227/'Growth Pattern'!D227)/2</f>
        <v>0.25898292349666058</v>
      </c>
      <c r="N214" s="523"/>
      <c r="O214" s="528"/>
    </row>
    <row r="215" spans="1:16" x14ac:dyDescent="0.25">
      <c r="A215" s="516">
        <v>4.4556806034748702</v>
      </c>
      <c r="B215" s="516"/>
      <c r="C215" s="516" t="s">
        <v>1794</v>
      </c>
      <c r="D215" s="507">
        <v>0.15473635471335331</v>
      </c>
      <c r="E215" s="508">
        <f t="shared" si="9"/>
        <v>6.1462062860061742E-2</v>
      </c>
      <c r="F215" s="509">
        <f ca="1">LOOKUP(C215,'Growth Pattern'!B$15:B$376,'Growth Pattern'!D$15:D$368)-(LOOKUP(C215,'Growth Pattern'!B$15:B$376,'Growth Pattern'!H$15:H$368)*LOOKUP(C215,'Growth Pattern'!B$15:B$376,'Growth Pattern'!I$15:I$368)/100)</f>
        <v>1.56</v>
      </c>
      <c r="G215" s="509">
        <f ca="1">LOOKUP(C215,'Growth Pattern'!B$15:B$376,'Growth Pattern'!E$15:E$368)-(LOOKUP(C215,'Growth Pattern'!B$15:B$376,'Growth Pattern'!H$15:H$368)*LOOKUP(C215,'Growth Pattern'!B$15:B$376,'Growth Pattern'!I$15:I$368)/100)</f>
        <v>5.25</v>
      </c>
      <c r="H215" s="509">
        <f ca="1">LOOKUP(C215,'Growth Pattern'!B$15:B$376,'Growth Pattern'!F$15:F$368)-(LOOKUP(C215,'Growth Pattern'!B$15:B$376,'Growth Pattern'!I$15:I$368)*LOOKUP(C215,'Growth Pattern'!B$15:B$376,'Growth Pattern'!H$15:H$368)/100)</f>
        <v>7.2</v>
      </c>
      <c r="I215" s="509">
        <f ca="1">LOOKUP(C215,'Growth Pattern'!B$15:B$376,'Growth Pattern'!G$15:G$368)-(LOOKUP(C215,'Growth Pattern'!B$15:B$376,'Growth Pattern'!H$15:H$368)*LOOKUP(C215,'Growth Pattern'!B$15:B$376,'Growth Pattern'!I$15:I$368)/100)</f>
        <v>7.2</v>
      </c>
      <c r="J215" s="510">
        <f t="shared" ca="1" si="10"/>
        <v>-311.86001475744592</v>
      </c>
      <c r="K215" s="511">
        <f ca="1">LOOKUP(C215,'Growth Pattern'!B$15:B$376,'Growth Pattern'!H$15:H$368)</f>
        <v>41</v>
      </c>
      <c r="L215" s="512">
        <f t="shared" ca="1" si="11"/>
        <v>-1.1314692428007753</v>
      </c>
      <c r="M215" s="513">
        <f>LN('Growth Pattern'!F228/'Growth Pattern'!D228)/2</f>
        <v>0.76469760238028195</v>
      </c>
      <c r="N215" s="523"/>
      <c r="O215" s="528"/>
      <c r="P215" s="535"/>
    </row>
    <row r="216" spans="1:16" x14ac:dyDescent="0.25">
      <c r="A216" s="516">
        <v>2.0001756542233005</v>
      </c>
      <c r="B216" s="516">
        <v>0.17438665059747308</v>
      </c>
      <c r="C216" s="516" t="s">
        <v>111</v>
      </c>
      <c r="D216" s="507">
        <v>0.69197445684318404</v>
      </c>
      <c r="E216" s="508">
        <f t="shared" si="9"/>
        <v>0.10820177774535703</v>
      </c>
      <c r="F216" s="509">
        <f ca="1">LOOKUP(C216,'Growth Pattern'!B$15:B$376,'Growth Pattern'!D$15:D$368)-(LOOKUP(C216,'Growth Pattern'!B$15:B$376,'Growth Pattern'!H$15:H$368)*LOOKUP(C216,'Growth Pattern'!B$15:B$376,'Growth Pattern'!I$15:I$368)/100)</f>
        <v>54.21</v>
      </c>
      <c r="G216" s="509">
        <f ca="1">LOOKUP(C216,'Growth Pattern'!B$15:B$376,'Growth Pattern'!E$15:E$368)-(LOOKUP(C216,'Growth Pattern'!B$15:B$376,'Growth Pattern'!H$15:H$368)*LOOKUP(C216,'Growth Pattern'!B$15:B$376,'Growth Pattern'!I$15:I$368)/100)</f>
        <v>46.7</v>
      </c>
      <c r="H216" s="509">
        <f ca="1">LOOKUP(C216,'Growth Pattern'!B$15:B$376,'Growth Pattern'!F$15:F$368)-(LOOKUP(C216,'Growth Pattern'!B$15:B$376,'Growth Pattern'!I$15:I$368)*LOOKUP(C216,'Growth Pattern'!B$15:B$376,'Growth Pattern'!H$15:H$368)/100)</f>
        <v>57.1</v>
      </c>
      <c r="I216" s="509">
        <f ca="1">LOOKUP(C216,'Growth Pattern'!B$15:B$376,'Growth Pattern'!G$15:G$368)-(LOOKUP(C216,'Growth Pattern'!B$15:B$376,'Growth Pattern'!H$15:H$368)*LOOKUP(C216,'Growth Pattern'!B$15:B$376,'Growth Pattern'!I$15:I$368)/100)</f>
        <v>85.410000000000011</v>
      </c>
      <c r="J216" s="510">
        <f t="shared" ca="1" si="10"/>
        <v>2368.0786131431942</v>
      </c>
      <c r="K216" s="511">
        <f ca="1">LOOKUP(C216,'Growth Pattern'!B$15:B$376,'Growth Pattern'!H$15:H$368)</f>
        <v>495.35</v>
      </c>
      <c r="L216" s="512">
        <f t="shared" ca="1" si="11"/>
        <v>-0.79082197810041754</v>
      </c>
      <c r="M216" s="513">
        <f>LN('Growth Pattern'!F229/'Growth Pattern'!D229)/2</f>
        <v>2.5969361694858886E-2</v>
      </c>
      <c r="N216" s="523"/>
      <c r="O216" s="528"/>
    </row>
    <row r="217" spans="1:16" x14ac:dyDescent="0.25">
      <c r="A217" s="516">
        <v>2.5340516431423499</v>
      </c>
      <c r="B217" s="516">
        <v>0.11</v>
      </c>
      <c r="C217" s="516" t="s">
        <v>1795</v>
      </c>
      <c r="D217" s="507">
        <v>0.54613509856387998</v>
      </c>
      <c r="E217" s="508">
        <f t="shared" si="9"/>
        <v>9.5513753575057564E-2</v>
      </c>
      <c r="F217" s="509">
        <f ca="1">LOOKUP(C217,'Growth Pattern'!B$15:B$376,'Growth Pattern'!D$15:D$368)-(LOOKUP(C217,'Growth Pattern'!B$15:B$376,'Growth Pattern'!H$15:H$368)*LOOKUP(C217,'Growth Pattern'!B$15:B$376,'Growth Pattern'!I$15:I$368)/100)</f>
        <v>0</v>
      </c>
      <c r="G217" s="509">
        <f ca="1">LOOKUP(C217,'Growth Pattern'!B$15:B$376,'Growth Pattern'!E$15:E$368)-(LOOKUP(C217,'Growth Pattern'!B$15:B$376,'Growth Pattern'!H$15:H$368)*LOOKUP(C217,'Growth Pattern'!B$15:B$376,'Growth Pattern'!I$15:I$368)/100)</f>
        <v>-15.52</v>
      </c>
      <c r="H217" s="509">
        <f ca="1">LOOKUP(C217,'Growth Pattern'!B$15:B$376,'Growth Pattern'!F$15:F$368)-(LOOKUP(C217,'Growth Pattern'!B$15:B$376,'Growth Pattern'!I$15:I$368)*LOOKUP(C217,'Growth Pattern'!B$15:B$376,'Growth Pattern'!H$15:H$368)/100)</f>
        <v>-1.43</v>
      </c>
      <c r="I217" s="509">
        <f ca="1">LOOKUP(C217,'Growth Pattern'!B$15:B$376,'Growth Pattern'!G$15:G$368)-(LOOKUP(C217,'Growth Pattern'!B$15:B$376,'Growth Pattern'!H$15:H$368)*LOOKUP(C217,'Growth Pattern'!B$15:B$376,'Growth Pattern'!I$15:I$368)/100)</f>
        <v>42.270000000000039</v>
      </c>
      <c r="J217" s="510">
        <f t="shared" ca="1" si="10"/>
        <v>2056.9856531611053</v>
      </c>
      <c r="K217" s="511">
        <f ca="1">LOOKUP(C217,'Growth Pattern'!B$15:B$376,'Growth Pattern'!H$15:H$368)</f>
        <v>40.700000000000003</v>
      </c>
      <c r="L217" s="512">
        <f t="shared" ca="1" si="11"/>
        <v>-0.98021376574141206</v>
      </c>
      <c r="M217" s="513" t="e">
        <f>LN('Growth Pattern'!F230/'Growth Pattern'!D230)/2</f>
        <v>#DIV/0!</v>
      </c>
      <c r="N217" s="523"/>
      <c r="O217" s="528"/>
    </row>
    <row r="218" spans="1:16" x14ac:dyDescent="0.25">
      <c r="A218" s="516">
        <v>2.1607449081985739</v>
      </c>
      <c r="B218" s="516">
        <v>0.05</v>
      </c>
      <c r="C218" s="516" t="s">
        <v>3771</v>
      </c>
      <c r="D218" s="507">
        <v>1.3058056855318898</v>
      </c>
      <c r="E218" s="508">
        <f t="shared" si="9"/>
        <v>0.16160509464127443</v>
      </c>
      <c r="F218" s="509">
        <f ca="1">LOOKUP(C218,'Growth Pattern'!B$15:B$376,'Growth Pattern'!D$15:D$368)-(LOOKUP(C218,'Growth Pattern'!B$15:B$376,'Growth Pattern'!H$15:H$368)*LOOKUP(C218,'Growth Pattern'!B$15:B$376,'Growth Pattern'!I$15:I$368)/100)</f>
        <v>-1.7443350000000002</v>
      </c>
      <c r="G218" s="509">
        <f ca="1">LOOKUP(C218,'Growth Pattern'!B$15:B$376,'Growth Pattern'!E$15:E$368)-(LOOKUP(C218,'Growth Pattern'!B$15:B$376,'Growth Pattern'!H$15:H$368)*LOOKUP(C218,'Growth Pattern'!B$15:B$376,'Growth Pattern'!I$15:I$368)/100)</f>
        <v>-1.7443350000000002</v>
      </c>
      <c r="H218" s="509">
        <f ca="1">LOOKUP(C218,'Growth Pattern'!B$15:B$376,'Growth Pattern'!F$15:F$368)-(LOOKUP(C218,'Growth Pattern'!B$15:B$376,'Growth Pattern'!I$15:I$368)*LOOKUP(C218,'Growth Pattern'!B$15:B$376,'Growth Pattern'!H$15:H$368)/100)</f>
        <v>-1.7443350000000002</v>
      </c>
      <c r="I218" s="509">
        <f ca="1">LOOKUP(C218,'Growth Pattern'!B$15:B$376,'Growth Pattern'!G$15:G$368)-(LOOKUP(C218,'Growth Pattern'!B$15:B$376,'Growth Pattern'!H$15:H$368)*LOOKUP(C218,'Growth Pattern'!B$15:B$376,'Growth Pattern'!I$15:I$368)/100)</f>
        <v>-1.7443350000000002</v>
      </c>
      <c r="J218" s="510">
        <f t="shared" ca="1" si="10"/>
        <v>-18.176312554328973</v>
      </c>
      <c r="K218" s="511">
        <f ca="1">LOOKUP(C218,'Growth Pattern'!B$15:B$376,'Growth Pattern'!H$15:H$368)</f>
        <v>215.35</v>
      </c>
      <c r="L218" s="512">
        <f t="shared" ca="1" si="11"/>
        <v>-12.847837637932289</v>
      </c>
      <c r="M218" s="513" t="e">
        <f>LN('Growth Pattern'!F231/'Growth Pattern'!D231)/2</f>
        <v>#DIV/0!</v>
      </c>
      <c r="N218" s="523"/>
      <c r="O218" s="528"/>
    </row>
    <row r="219" spans="1:16" x14ac:dyDescent="0.25">
      <c r="A219" s="507">
        <v>3.6277775287176071</v>
      </c>
      <c r="B219" s="507"/>
      <c r="C219" s="507" t="s">
        <v>1796</v>
      </c>
      <c r="D219" s="507">
        <v>0.30770582528359885</v>
      </c>
      <c r="E219" s="508">
        <f t="shared" si="9"/>
        <v>7.4770406799673103E-2</v>
      </c>
      <c r="F219" s="509">
        <f ca="1">LOOKUP(C219,'Growth Pattern'!B$15:B$376,'Growth Pattern'!D$15:D$368)-(LOOKUP(C219,'Growth Pattern'!B$15:B$376,'Growth Pattern'!H$15:H$368)*LOOKUP(C219,'Growth Pattern'!B$15:B$376,'Growth Pattern'!I$15:I$368)/100)</f>
        <v>0</v>
      </c>
      <c r="G219" s="509">
        <f ca="1">LOOKUP(C219,'Growth Pattern'!B$15:B$376,'Growth Pattern'!E$15:E$368)-(LOOKUP(C219,'Growth Pattern'!B$15:B$376,'Growth Pattern'!H$15:H$368)*LOOKUP(C219,'Growth Pattern'!B$15:B$376,'Growth Pattern'!I$15:I$368)/100)</f>
        <v>0</v>
      </c>
      <c r="H219" s="509">
        <f ca="1">LOOKUP(C219,'Growth Pattern'!B$15:B$376,'Growth Pattern'!F$15:F$368)-(LOOKUP(C219,'Growth Pattern'!B$15:B$376,'Growth Pattern'!I$15:I$368)*LOOKUP(C219,'Growth Pattern'!B$15:B$376,'Growth Pattern'!H$15:H$368)/100)</f>
        <v>0</v>
      </c>
      <c r="I219" s="509">
        <f ca="1">LOOKUP(C219,'Growth Pattern'!B$15:B$376,'Growth Pattern'!G$15:G$368)-(LOOKUP(C219,'Growth Pattern'!B$15:B$376,'Growth Pattern'!H$15:H$368)*LOOKUP(C219,'Growth Pattern'!B$15:B$376,'Growth Pattern'!I$15:I$368)/100)</f>
        <v>0</v>
      </c>
      <c r="J219" s="510">
        <f t="shared" ca="1" si="10"/>
        <v>0</v>
      </c>
      <c r="K219" s="511">
        <f ca="1">LOOKUP(C219,'Growth Pattern'!B$15:B$376,'Growth Pattern'!H$15:H$368)</f>
        <v>17.149999999999999</v>
      </c>
      <c r="L219" s="512" t="e">
        <f t="shared" ca="1" si="11"/>
        <v>#DIV/0!</v>
      </c>
      <c r="M219" s="513" t="e">
        <f>LN('Growth Pattern'!F232/'Growth Pattern'!D232)/2</f>
        <v>#DIV/0!</v>
      </c>
      <c r="N219" s="523"/>
      <c r="O219" s="528"/>
    </row>
    <row r="220" spans="1:16" x14ac:dyDescent="0.25">
      <c r="A220" s="516">
        <v>2.4215729938664814</v>
      </c>
      <c r="B220" s="516">
        <v>0.43</v>
      </c>
      <c r="C220" s="516" t="s">
        <v>3773</v>
      </c>
      <c r="D220" s="507">
        <v>0.67279814156723994</v>
      </c>
      <c r="E220" s="508">
        <f t="shared" si="9"/>
        <v>0.10653343831634987</v>
      </c>
      <c r="F220" s="509">
        <f ca="1">LOOKUP(C220,'Growth Pattern'!B$15:B$376,'Growth Pattern'!D$15:D$368)-(LOOKUP(C220,'Growth Pattern'!B$15:B$376,'Growth Pattern'!H$15:H$368)*LOOKUP(C220,'Growth Pattern'!B$15:B$376,'Growth Pattern'!I$15:I$368)/100)</f>
        <v>0</v>
      </c>
      <c r="G220" s="509">
        <f ca="1">LOOKUP(C220,'Growth Pattern'!B$15:B$376,'Growth Pattern'!E$15:E$368)-(LOOKUP(C220,'Growth Pattern'!B$15:B$376,'Growth Pattern'!H$15:H$368)*LOOKUP(C220,'Growth Pattern'!B$15:B$376,'Growth Pattern'!I$15:I$368)/100)</f>
        <v>5.38</v>
      </c>
      <c r="H220" s="509">
        <f ca="1">LOOKUP(C220,'Growth Pattern'!B$15:B$376,'Growth Pattern'!F$15:F$368)-(LOOKUP(C220,'Growth Pattern'!B$15:B$376,'Growth Pattern'!I$15:I$368)*LOOKUP(C220,'Growth Pattern'!B$15:B$376,'Growth Pattern'!H$15:H$368)/100)</f>
        <v>6.2</v>
      </c>
      <c r="I220" s="509">
        <f ca="1">LOOKUP(C220,'Growth Pattern'!B$15:B$376,'Growth Pattern'!G$15:G$368)-(LOOKUP(C220,'Growth Pattern'!B$15:B$376,'Growth Pattern'!H$15:H$368)*LOOKUP(C220,'Growth Pattern'!B$15:B$376,'Growth Pattern'!I$15:I$368)/100)</f>
        <v>6.2</v>
      </c>
      <c r="J220" s="510">
        <f t="shared" ca="1" si="10"/>
        <v>182.39208159299727</v>
      </c>
      <c r="K220" s="511">
        <f ca="1">LOOKUP(C220,'Growth Pattern'!B$15:B$376,'Growth Pattern'!H$15:H$368)</f>
        <v>73.95</v>
      </c>
      <c r="L220" s="512">
        <f t="shared" ca="1" si="11"/>
        <v>-0.59455476710322697</v>
      </c>
      <c r="M220" s="513" t="e">
        <f>LN('Growth Pattern'!F233/'Growth Pattern'!D233)/2</f>
        <v>#DIV/0!</v>
      </c>
      <c r="N220" s="523"/>
      <c r="O220" s="528"/>
    </row>
    <row r="221" spans="1:16" x14ac:dyDescent="0.25">
      <c r="A221" s="516">
        <v>2.5313325203953445</v>
      </c>
      <c r="B221" s="516">
        <v>0.26</v>
      </c>
      <c r="C221" s="516" t="s">
        <v>3775</v>
      </c>
      <c r="D221" s="507">
        <v>0.43305337592934495</v>
      </c>
      <c r="E221" s="508">
        <f t="shared" si="9"/>
        <v>8.5675643705853011E-2</v>
      </c>
      <c r="F221" s="509">
        <f ca="1">LOOKUP(C221,'Growth Pattern'!B$15:B$376,'Growth Pattern'!D$15:D$368)-(LOOKUP(C221,'Growth Pattern'!B$15:B$376,'Growth Pattern'!H$15:H$368)*LOOKUP(C221,'Growth Pattern'!B$15:B$376,'Growth Pattern'!I$15:I$368)/100)</f>
        <v>3.86</v>
      </c>
      <c r="G221" s="509">
        <f ca="1">LOOKUP(C221,'Growth Pattern'!B$15:B$376,'Growth Pattern'!E$15:E$368)-(LOOKUP(C221,'Growth Pattern'!B$15:B$376,'Growth Pattern'!H$15:H$368)*LOOKUP(C221,'Growth Pattern'!B$15:B$376,'Growth Pattern'!I$15:I$368)/100)</f>
        <v>-21.01</v>
      </c>
      <c r="H221" s="509">
        <f ca="1">LOOKUP(C221,'Growth Pattern'!B$15:B$376,'Growth Pattern'!F$15:F$368)-(LOOKUP(C221,'Growth Pattern'!B$15:B$376,'Growth Pattern'!I$15:I$368)*LOOKUP(C221,'Growth Pattern'!B$15:B$376,'Growth Pattern'!H$15:H$368)/100)</f>
        <v>-25.63</v>
      </c>
      <c r="I221" s="509">
        <f ca="1">LOOKUP(C221,'Growth Pattern'!B$15:B$376,'Growth Pattern'!G$15:G$368)-(LOOKUP(C221,'Growth Pattern'!B$15:B$376,'Growth Pattern'!H$15:H$368)*LOOKUP(C221,'Growth Pattern'!B$15:B$376,'Growth Pattern'!I$15:I$368)/100)</f>
        <v>-9.9999999999999432</v>
      </c>
      <c r="J221" s="510">
        <f t="shared" ca="1" si="10"/>
        <v>-1414.0799931941799</v>
      </c>
      <c r="K221" s="511">
        <f ca="1">LOOKUP(C221,'Growth Pattern'!B$15:B$376,'Growth Pattern'!H$15:H$368)</f>
        <v>45.25</v>
      </c>
      <c r="L221" s="512">
        <f t="shared" ca="1" si="11"/>
        <v>-1.0319996041368122</v>
      </c>
      <c r="M221" s="513" t="e">
        <f>LN('Growth Pattern'!F234/'Growth Pattern'!D234)/2</f>
        <v>#NUM!</v>
      </c>
      <c r="N221" s="523"/>
      <c r="O221" s="528"/>
    </row>
    <row r="222" spans="1:16" x14ac:dyDescent="0.25">
      <c r="A222" s="516">
        <v>2.4139314068236408</v>
      </c>
      <c r="B222" s="516">
        <v>0.6</v>
      </c>
      <c r="C222" s="516" t="s">
        <v>3777</v>
      </c>
      <c r="D222" s="507">
        <v>0.48377178888318817</v>
      </c>
      <c r="E222" s="508">
        <f t="shared" si="9"/>
        <v>9.0088145632837374E-2</v>
      </c>
      <c r="F222" s="509">
        <f ca="1">LOOKUP(C222,'Growth Pattern'!B$15:B$376,'Growth Pattern'!D$15:D$368)-(LOOKUP(C222,'Growth Pattern'!B$15:B$376,'Growth Pattern'!H$15:H$368)*LOOKUP(C222,'Growth Pattern'!B$15:B$376,'Growth Pattern'!I$15:I$368)/100)</f>
        <v>-0.99635999999999991</v>
      </c>
      <c r="G222" s="509">
        <f ca="1">LOOKUP(C222,'Growth Pattern'!B$15:B$376,'Growth Pattern'!E$15:E$368)-(LOOKUP(C222,'Growth Pattern'!B$15:B$376,'Growth Pattern'!H$15:H$368)*LOOKUP(C222,'Growth Pattern'!B$15:B$376,'Growth Pattern'!I$15:I$368)/100)</f>
        <v>-0.99635999999999991</v>
      </c>
      <c r="H222" s="509">
        <f ca="1">LOOKUP(C222,'Growth Pattern'!B$15:B$376,'Growth Pattern'!F$15:F$368)-(LOOKUP(C222,'Growth Pattern'!B$15:B$376,'Growth Pattern'!I$15:I$368)*LOOKUP(C222,'Growth Pattern'!B$15:B$376,'Growth Pattern'!H$15:H$368)/100)</f>
        <v>-0.99635999999999991</v>
      </c>
      <c r="I222" s="509">
        <f ca="1">LOOKUP(C222,'Growth Pattern'!B$15:B$376,'Growth Pattern'!G$15:G$368)-(LOOKUP(C222,'Growth Pattern'!B$15:B$376,'Growth Pattern'!H$15:H$368)*LOOKUP(C222,'Growth Pattern'!B$15:B$376,'Growth Pattern'!I$15:I$368)/100)</f>
        <v>-0.99635999999999991</v>
      </c>
      <c r="J222" s="510">
        <f t="shared" ca="1" si="10"/>
        <v>-78.995389666062493</v>
      </c>
      <c r="K222" s="511">
        <f ca="1">LOOKUP(C222,'Growth Pattern'!B$15:B$376,'Growth Pattern'!H$15:H$368)</f>
        <v>43.7</v>
      </c>
      <c r="L222" s="512">
        <f t="shared" ca="1" si="11"/>
        <v>-1.5531968407869519</v>
      </c>
      <c r="M222" s="513" t="e">
        <f>LN('Growth Pattern'!F235/'Growth Pattern'!D235)/2</f>
        <v>#DIV/0!</v>
      </c>
      <c r="N222" s="523"/>
      <c r="O222" s="528"/>
    </row>
    <row r="223" spans="1:16" x14ac:dyDescent="0.25">
      <c r="A223" s="516">
        <v>2.8426896242877224</v>
      </c>
      <c r="B223" s="516">
        <v>0.33</v>
      </c>
      <c r="C223" s="516" t="s">
        <v>1797</v>
      </c>
      <c r="D223" s="507">
        <v>0.33355837116814302</v>
      </c>
      <c r="E223" s="508">
        <f t="shared" si="9"/>
        <v>7.7019578291628449E-2</v>
      </c>
      <c r="F223" s="509">
        <f ca="1">LOOKUP(C223,'Growth Pattern'!B$15:B$376,'Growth Pattern'!D$15:D$368)-(LOOKUP(C223,'Growth Pattern'!B$15:B$376,'Growth Pattern'!H$15:H$368)*LOOKUP(C223,'Growth Pattern'!B$15:B$376,'Growth Pattern'!I$15:I$368)/100)</f>
        <v>6.19611</v>
      </c>
      <c r="G223" s="509">
        <f ca="1">LOOKUP(C223,'Growth Pattern'!B$15:B$376,'Growth Pattern'!E$15:E$368)-(LOOKUP(C223,'Growth Pattern'!B$15:B$376,'Growth Pattern'!H$15:H$368)*LOOKUP(C223,'Growth Pattern'!B$15:B$376,'Growth Pattern'!I$15:I$368)/100)</f>
        <v>6.4961099999999998</v>
      </c>
      <c r="H223" s="509">
        <f ca="1">LOOKUP(C223,'Growth Pattern'!B$15:B$376,'Growth Pattern'!F$15:F$368)-(LOOKUP(C223,'Growth Pattern'!B$15:B$376,'Growth Pattern'!I$15:I$368)*LOOKUP(C223,'Growth Pattern'!B$15:B$376,'Growth Pattern'!H$15:H$368)/100)</f>
        <v>7.7561100000000005</v>
      </c>
      <c r="I223" s="509">
        <f ca="1">LOOKUP(C223,'Growth Pattern'!B$15:B$376,'Growth Pattern'!G$15:G$368)-(LOOKUP(C223,'Growth Pattern'!B$15:B$376,'Growth Pattern'!H$15:H$368)*LOOKUP(C223,'Growth Pattern'!B$15:B$376,'Growth Pattern'!I$15:I$368)/100)</f>
        <v>9.976110000000002</v>
      </c>
      <c r="J223" s="510">
        <f t="shared" ca="1" si="10"/>
        <v>-2660.3326376526234</v>
      </c>
      <c r="K223" s="511">
        <f ca="1">LOOKUP(C223,'Growth Pattern'!B$15:B$376,'Growth Pattern'!H$15:H$368)</f>
        <v>88.7</v>
      </c>
      <c r="L223" s="512">
        <f t="shared" ca="1" si="11"/>
        <v>-1.0333416952243482</v>
      </c>
      <c r="M223" s="513">
        <f>LN('Growth Pattern'!F236/'Growth Pattern'!D236)/2</f>
        <v>9.4483049756311582E-2</v>
      </c>
      <c r="N223" s="523"/>
      <c r="O223" s="528"/>
    </row>
    <row r="224" spans="1:16" x14ac:dyDescent="0.25">
      <c r="A224" s="527">
        <v>2.9242981880127696</v>
      </c>
      <c r="B224" s="527"/>
      <c r="C224" s="527" t="s">
        <v>1798</v>
      </c>
      <c r="D224" s="507">
        <v>0.3780832725932381</v>
      </c>
      <c r="E224" s="508">
        <f t="shared" si="9"/>
        <v>8.0893244715611712E-2</v>
      </c>
      <c r="F224" s="509">
        <f ca="1">LOOKUP(C224,'Growth Pattern'!B$15:B$376,'Growth Pattern'!D$15:D$368)-(LOOKUP(C224,'Growth Pattern'!B$15:B$376,'Growth Pattern'!H$15:H$368)*LOOKUP(C224,'Growth Pattern'!B$15:B$376,'Growth Pattern'!I$15:I$368)/100)</f>
        <v>-0.97415999999999991</v>
      </c>
      <c r="G224" s="509">
        <f ca="1">LOOKUP(C224,'Growth Pattern'!B$15:B$376,'Growth Pattern'!E$15:E$368)-(LOOKUP(C224,'Growth Pattern'!B$15:B$376,'Growth Pattern'!H$15:H$368)*LOOKUP(C224,'Growth Pattern'!B$15:B$376,'Growth Pattern'!I$15:I$368)/100)</f>
        <v>6.6458399999999997</v>
      </c>
      <c r="H224" s="509">
        <f ca="1">LOOKUP(C224,'Growth Pattern'!B$15:B$376,'Growth Pattern'!F$15:F$368)-(LOOKUP(C224,'Growth Pattern'!B$15:B$376,'Growth Pattern'!I$15:I$368)*LOOKUP(C224,'Growth Pattern'!B$15:B$376,'Growth Pattern'!H$15:H$368)/100)</f>
        <v>9.6758400000000009</v>
      </c>
      <c r="I224" s="509">
        <f ca="1">LOOKUP(C224,'Growth Pattern'!B$15:B$376,'Growth Pattern'!G$15:G$368)-(LOOKUP(C224,'Growth Pattern'!B$15:B$376,'Growth Pattern'!H$15:H$368)*LOOKUP(C224,'Growth Pattern'!B$15:B$376,'Growth Pattern'!I$15:I$368)/100)</f>
        <v>9.6758400000000009</v>
      </c>
      <c r="J224" s="510">
        <f t="shared" ca="1" si="10"/>
        <v>8591.1355723428733</v>
      </c>
      <c r="K224" s="511">
        <f ca="1">LOOKUP(C224,'Growth Pattern'!B$15:B$376,'Growth Pattern'!H$15:H$368)</f>
        <v>55.35</v>
      </c>
      <c r="L224" s="512">
        <f t="shared" ca="1" si="11"/>
        <v>-0.99355731270518111</v>
      </c>
      <c r="M224" s="513" t="e">
        <f>LN('Growth Pattern'!F237/'Growth Pattern'!D237)/2</f>
        <v>#DIV/0!</v>
      </c>
      <c r="N224" s="523"/>
      <c r="O224" s="528"/>
    </row>
    <row r="225" spans="1:15" x14ac:dyDescent="0.25">
      <c r="A225" s="527">
        <v>1.461236728111041</v>
      </c>
      <c r="B225" s="527">
        <v>0.23</v>
      </c>
      <c r="C225" s="527" t="s">
        <v>3779</v>
      </c>
      <c r="D225" s="507">
        <v>0.44876836726210007</v>
      </c>
      <c r="E225" s="508">
        <f t="shared" si="9"/>
        <v>8.7042847951802713E-2</v>
      </c>
      <c r="F225" s="509">
        <f ca="1">LOOKUP(C225,'Growth Pattern'!B$15:B$376,'Growth Pattern'!D$15:D$368)-(LOOKUP(C225,'Growth Pattern'!B$15:B$376,'Growth Pattern'!H$15:H$368)*LOOKUP(C225,'Growth Pattern'!B$15:B$376,'Growth Pattern'!I$15:I$368)/100)</f>
        <v>11.670400000000001</v>
      </c>
      <c r="G225" s="509">
        <f ca="1">LOOKUP(C225,'Growth Pattern'!B$15:B$376,'Growth Pattern'!E$15:E$368)-(LOOKUP(C225,'Growth Pattern'!B$15:B$376,'Growth Pattern'!H$15:H$368)*LOOKUP(C225,'Growth Pattern'!B$15:B$376,'Growth Pattern'!I$15:I$368)/100)</f>
        <v>16.560399999999998</v>
      </c>
      <c r="H225" s="509">
        <f ca="1">LOOKUP(C225,'Growth Pattern'!B$15:B$376,'Growth Pattern'!F$15:F$368)-(LOOKUP(C225,'Growth Pattern'!B$15:B$376,'Growth Pattern'!I$15:I$368)*LOOKUP(C225,'Growth Pattern'!B$15:B$376,'Growth Pattern'!H$15:H$368)/100)</f>
        <v>21.950399999999998</v>
      </c>
      <c r="I225" s="509">
        <f ca="1">LOOKUP(C225,'Growth Pattern'!B$15:B$376,'Growth Pattern'!G$15:G$368)-(LOOKUP(C225,'Growth Pattern'!B$15:B$376,'Growth Pattern'!H$15:H$368)*LOOKUP(C225,'Growth Pattern'!B$15:B$376,'Growth Pattern'!I$15:I$368)/100)</f>
        <v>27.840399999999995</v>
      </c>
      <c r="J225" s="510">
        <f t="shared" ca="1" si="10"/>
        <v>3122.9034414306907</v>
      </c>
      <c r="K225" s="511">
        <f ca="1">LOOKUP(C225,'Growth Pattern'!B$15:B$376,'Growth Pattern'!H$15:H$368)</f>
        <v>88</v>
      </c>
      <c r="L225" s="512">
        <f t="shared" ca="1" si="11"/>
        <v>-0.97182109480795065</v>
      </c>
      <c r="M225" s="513">
        <f>LN('Growth Pattern'!F238/'Growth Pattern'!D238)/2</f>
        <v>0.29268789015890423</v>
      </c>
      <c r="N225" s="523"/>
      <c r="O225" s="528"/>
    </row>
    <row r="226" spans="1:15" x14ac:dyDescent="0.25">
      <c r="A226" s="516">
        <v>2.7980125330253474</v>
      </c>
      <c r="B226" s="516">
        <v>0.19</v>
      </c>
      <c r="C226" s="516" t="s">
        <v>1799</v>
      </c>
      <c r="D226" s="507">
        <v>0.64201673046158358</v>
      </c>
      <c r="E226" s="508">
        <f t="shared" si="9"/>
        <v>0.10385545555015778</v>
      </c>
      <c r="F226" s="509">
        <f ca="1">LOOKUP(C226,'Growth Pattern'!B$15:B$376,'Growth Pattern'!D$15:D$368)-(LOOKUP(C226,'Growth Pattern'!B$15:B$376,'Growth Pattern'!H$15:H$368)*LOOKUP(C226,'Growth Pattern'!B$15:B$376,'Growth Pattern'!I$15:I$368)/100)</f>
        <v>0</v>
      </c>
      <c r="G226" s="509">
        <f ca="1">LOOKUP(C226,'Growth Pattern'!B$15:B$376,'Growth Pattern'!E$15:E$368)-(LOOKUP(C226,'Growth Pattern'!B$15:B$376,'Growth Pattern'!H$15:H$368)*LOOKUP(C226,'Growth Pattern'!B$15:B$376,'Growth Pattern'!I$15:I$368)/100)</f>
        <v>3</v>
      </c>
      <c r="H226" s="509">
        <f ca="1">LOOKUP(C226,'Growth Pattern'!B$15:B$376,'Growth Pattern'!F$15:F$368)-(LOOKUP(C226,'Growth Pattern'!B$15:B$376,'Growth Pattern'!I$15:I$368)*LOOKUP(C226,'Growth Pattern'!B$15:B$376,'Growth Pattern'!H$15:H$368)/100)</f>
        <v>4</v>
      </c>
      <c r="I226" s="509">
        <f ca="1">LOOKUP(C226,'Growth Pattern'!B$15:B$376,'Growth Pattern'!G$15:G$368)-(LOOKUP(C226,'Growth Pattern'!B$15:B$376,'Growth Pattern'!H$15:H$368)*LOOKUP(C226,'Growth Pattern'!B$15:B$376,'Growth Pattern'!I$15:I$368)/100)</f>
        <v>4</v>
      </c>
      <c r="J226" s="510">
        <f t="shared" ca="1" si="10"/>
        <v>130.66292849343623</v>
      </c>
      <c r="K226" s="511">
        <f ca="1">LOOKUP(C226,'Growth Pattern'!B$15:B$376,'Growth Pattern'!H$15:H$368)</f>
        <v>61.65</v>
      </c>
      <c r="L226" s="512">
        <f t="shared" ca="1" si="11"/>
        <v>-0.52817527732744063</v>
      </c>
      <c r="M226" s="513" t="e">
        <f>LN('Growth Pattern'!F239/'Growth Pattern'!D239)/2</f>
        <v>#DIV/0!</v>
      </c>
      <c r="N226" s="523"/>
      <c r="O226" s="528"/>
    </row>
    <row r="227" spans="1:15" x14ac:dyDescent="0.25">
      <c r="A227" s="516">
        <v>3.2849525925332221</v>
      </c>
      <c r="B227" s="516">
        <v>0.19</v>
      </c>
      <c r="C227" s="516" t="s">
        <v>3782</v>
      </c>
      <c r="D227" s="507">
        <v>0.41495692516226479</v>
      </c>
      <c r="E227" s="508">
        <f t="shared" si="9"/>
        <v>8.410125248911704E-2</v>
      </c>
      <c r="F227" s="509">
        <f ca="1">LOOKUP(C227,'Growth Pattern'!B$15:B$376,'Growth Pattern'!D$15:D$368)-(LOOKUP(C227,'Growth Pattern'!B$15:B$376,'Growth Pattern'!H$15:H$368)*LOOKUP(C227,'Growth Pattern'!B$15:B$376,'Growth Pattern'!I$15:I$368)/100)</f>
        <v>-3.26</v>
      </c>
      <c r="G227" s="509">
        <f ca="1">LOOKUP(C227,'Growth Pattern'!B$15:B$376,'Growth Pattern'!E$15:E$368)-(LOOKUP(C227,'Growth Pattern'!B$15:B$376,'Growth Pattern'!H$15:H$368)*LOOKUP(C227,'Growth Pattern'!B$15:B$376,'Growth Pattern'!I$15:I$368)/100)</f>
        <v>-14.42</v>
      </c>
      <c r="H227" s="509">
        <f ca="1">LOOKUP(C227,'Growth Pattern'!B$15:B$376,'Growth Pattern'!F$15:F$368)-(LOOKUP(C227,'Growth Pattern'!B$15:B$376,'Growth Pattern'!I$15:I$368)*LOOKUP(C227,'Growth Pattern'!B$15:B$376,'Growth Pattern'!H$15:H$368)/100)</f>
        <v>-10.7</v>
      </c>
      <c r="I227" s="509">
        <f ca="1">LOOKUP(C227,'Growth Pattern'!B$15:B$376,'Growth Pattern'!G$15:G$368)-(LOOKUP(C227,'Growth Pattern'!B$15:B$376,'Growth Pattern'!H$15:H$368)*LOOKUP(C227,'Growth Pattern'!B$15:B$376,'Growth Pattern'!I$15:I$368)/100)</f>
        <v>7.900000000000027</v>
      </c>
      <c r="J227" s="510">
        <f t="shared" ca="1" si="10"/>
        <v>1486.15775116554</v>
      </c>
      <c r="K227" s="511">
        <f ca="1">LOOKUP(C227,'Growth Pattern'!B$15:B$376,'Growth Pattern'!H$15:H$368)</f>
        <v>60.5</v>
      </c>
      <c r="L227" s="512">
        <f t="shared" ca="1" si="11"/>
        <v>-0.95929099723595823</v>
      </c>
      <c r="M227" s="513">
        <f>LN('Growth Pattern'!F240/'Growth Pattern'!D240)/2</f>
        <v>0.59425827304462209</v>
      </c>
      <c r="N227" s="523"/>
      <c r="O227" s="528"/>
    </row>
    <row r="228" spans="1:15" x14ac:dyDescent="0.25">
      <c r="A228" s="516">
        <v>2.1780168236618258</v>
      </c>
      <c r="B228" s="516">
        <v>7.0000000000000007E-2</v>
      </c>
      <c r="C228" s="516" t="s">
        <v>3784</v>
      </c>
      <c r="D228" s="507">
        <v>0.45464642352247581</v>
      </c>
      <c r="E228" s="508">
        <f t="shared" si="9"/>
        <v>8.7554238846455398E-2</v>
      </c>
      <c r="F228" s="509">
        <f ca="1">LOOKUP(C228,'Growth Pattern'!B$15:B$376,'Growth Pattern'!D$15:D$368)-(LOOKUP(C228,'Growth Pattern'!B$15:B$376,'Growth Pattern'!H$15:H$368)*LOOKUP(C228,'Growth Pattern'!B$15:B$376,'Growth Pattern'!I$15:I$368)/100)</f>
        <v>19.665865000000004</v>
      </c>
      <c r="G228" s="509">
        <f ca="1">LOOKUP(C228,'Growth Pattern'!B$15:B$376,'Growth Pattern'!E$15:E$368)-(LOOKUP(C228,'Growth Pattern'!B$15:B$376,'Growth Pattern'!H$15:H$368)*LOOKUP(C228,'Growth Pattern'!B$15:B$376,'Growth Pattern'!I$15:I$368)/100)</f>
        <v>35.395865000000008</v>
      </c>
      <c r="H228" s="509">
        <f ca="1">LOOKUP(C228,'Growth Pattern'!B$15:B$376,'Growth Pattern'!F$15:F$368)-(LOOKUP(C228,'Growth Pattern'!B$15:B$376,'Growth Pattern'!I$15:I$368)*LOOKUP(C228,'Growth Pattern'!B$15:B$376,'Growth Pattern'!H$15:H$368)/100)</f>
        <v>53.065865000000009</v>
      </c>
      <c r="I228" s="509">
        <f ca="1">LOOKUP(C228,'Growth Pattern'!B$15:B$376,'Growth Pattern'!G$15:G$368)-(LOOKUP(C228,'Growth Pattern'!B$15:B$376,'Growth Pattern'!H$15:H$368)*LOOKUP(C228,'Growth Pattern'!B$15:B$376,'Growth Pattern'!I$15:I$368)/100)</f>
        <v>72.675864999999988</v>
      </c>
      <c r="J228" s="510">
        <f t="shared" ca="1" si="10"/>
        <v>7576.1326549899186</v>
      </c>
      <c r="K228" s="511">
        <f ca="1">LOOKUP(C228,'Growth Pattern'!B$15:B$376,'Growth Pattern'!H$15:H$368)</f>
        <v>4056.65</v>
      </c>
      <c r="L228" s="512">
        <f t="shared" ca="1" si="11"/>
        <v>-0.46454871043894119</v>
      </c>
      <c r="M228" s="513">
        <f>LN('Growth Pattern'!F241/'Growth Pattern'!D241)/2</f>
        <v>0.19992811865766297</v>
      </c>
      <c r="N228" s="523"/>
      <c r="O228" s="528"/>
    </row>
    <row r="229" spans="1:15" x14ac:dyDescent="0.25">
      <c r="A229" s="527">
        <v>2.307047186671598</v>
      </c>
      <c r="B229" s="527">
        <v>0.53509438759865879</v>
      </c>
      <c r="C229" s="527" t="s">
        <v>2830</v>
      </c>
      <c r="D229" s="507">
        <v>0.50258115511390145</v>
      </c>
      <c r="E229" s="508">
        <f t="shared" si="9"/>
        <v>9.172456049490943E-2</v>
      </c>
      <c r="F229" s="509">
        <f ca="1">LOOKUP(C229,'Growth Pattern'!B$15:B$376,'Growth Pattern'!D$15:D$368)-(LOOKUP(C229,'Growth Pattern'!B$15:B$376,'Growth Pattern'!H$15:H$368)*LOOKUP(C229,'Growth Pattern'!B$15:B$376,'Growth Pattern'!I$15:I$368)/100)</f>
        <v>5.4321000000000002</v>
      </c>
      <c r="G229" s="509">
        <f ca="1">LOOKUP(C229,'Growth Pattern'!B$15:B$376,'Growth Pattern'!E$15:E$368)-(LOOKUP(C229,'Growth Pattern'!B$15:B$376,'Growth Pattern'!H$15:H$368)*LOOKUP(C229,'Growth Pattern'!B$15:B$376,'Growth Pattern'!I$15:I$368)/100)</f>
        <v>5.7920999999999996</v>
      </c>
      <c r="H229" s="509">
        <f ca="1">LOOKUP(C229,'Growth Pattern'!B$15:B$376,'Growth Pattern'!F$15:F$368)-(LOOKUP(C229,'Growth Pattern'!B$15:B$376,'Growth Pattern'!I$15:I$368)*LOOKUP(C229,'Growth Pattern'!B$15:B$376,'Growth Pattern'!H$15:H$368)/100)</f>
        <v>6.6920999999999999</v>
      </c>
      <c r="I229" s="509">
        <f ca="1">LOOKUP(C229,'Growth Pattern'!B$15:B$376,'Growth Pattern'!G$15:G$368)-(LOOKUP(C229,'Growth Pattern'!B$15:B$376,'Growth Pattern'!H$15:H$368)*LOOKUP(C229,'Growth Pattern'!B$15:B$376,'Growth Pattern'!I$15:I$368)/100)</f>
        <v>8.1321000000000012</v>
      </c>
      <c r="J229" s="510">
        <f t="shared" ca="1" si="10"/>
        <v>549.40109436646833</v>
      </c>
      <c r="K229" s="511">
        <f ca="1">LOOKUP(C229,'Growth Pattern'!B$15:B$376,'Growth Pattern'!H$15:H$368)</f>
        <v>103.5</v>
      </c>
      <c r="L229" s="512">
        <f t="shared" ca="1" si="11"/>
        <v>-0.81161304361916298</v>
      </c>
      <c r="M229" s="513">
        <f>LN('Growth Pattern'!F242/'Growth Pattern'!D242)/2</f>
        <v>7.8226088407768707E-2</v>
      </c>
      <c r="N229" s="523"/>
      <c r="O229" s="528"/>
    </row>
    <row r="230" spans="1:15" x14ac:dyDescent="0.25">
      <c r="A230" s="516">
        <v>2.5282100621703707</v>
      </c>
      <c r="B230" s="516">
        <v>2.3E-2</v>
      </c>
      <c r="C230" s="516" t="s">
        <v>2077</v>
      </c>
      <c r="D230" s="507">
        <v>0.85811576103617826</v>
      </c>
      <c r="E230" s="508">
        <f t="shared" si="9"/>
        <v>0.12265607121014752</v>
      </c>
      <c r="F230" s="509">
        <f ca="1">LOOKUP(C230,'Growth Pattern'!B$15:B$376,'Growth Pattern'!D$15:D$368)-(LOOKUP(C230,'Growth Pattern'!B$15:B$376,'Growth Pattern'!H$15:H$368)*LOOKUP(C230,'Growth Pattern'!B$15:B$376,'Growth Pattern'!I$15:I$368)/100)</f>
        <v>23.43</v>
      </c>
      <c r="G230" s="509">
        <f ca="1">LOOKUP(C230,'Growth Pattern'!B$15:B$376,'Growth Pattern'!E$15:E$368)-(LOOKUP(C230,'Growth Pattern'!B$15:B$376,'Growth Pattern'!H$15:H$368)*LOOKUP(C230,'Growth Pattern'!B$15:B$376,'Growth Pattern'!I$15:I$368)/100)</f>
        <v>25.24</v>
      </c>
      <c r="H230" s="509">
        <f ca="1">LOOKUP(C230,'Growth Pattern'!B$15:B$376,'Growth Pattern'!F$15:F$368)-(LOOKUP(C230,'Growth Pattern'!B$15:B$376,'Growth Pattern'!I$15:I$368)*LOOKUP(C230,'Growth Pattern'!B$15:B$376,'Growth Pattern'!H$15:H$368)/100)</f>
        <v>25.7</v>
      </c>
      <c r="I230" s="509">
        <f ca="1">LOOKUP(C230,'Growth Pattern'!B$15:B$376,'Growth Pattern'!G$15:G$368)-(LOOKUP(C230,'Growth Pattern'!B$15:B$376,'Growth Pattern'!H$15:H$368)*LOOKUP(C230,'Growth Pattern'!B$15:B$376,'Growth Pattern'!I$15:I$368)/100)</f>
        <v>25.7</v>
      </c>
      <c r="J230" s="510">
        <f t="shared" ca="1" si="10"/>
        <v>492.10975086773345</v>
      </c>
      <c r="K230" s="511">
        <f ca="1">LOOKUP(C230,'Growth Pattern'!B$15:B$376,'Growth Pattern'!H$15:H$368)</f>
        <v>387.4</v>
      </c>
      <c r="L230" s="512">
        <f t="shared" ca="1" si="11"/>
        <v>-0.21277723248340347</v>
      </c>
      <c r="M230" s="513">
        <f>LN('Growth Pattern'!F243/'Growth Pattern'!D243)/2</f>
        <v>4.6236869690734872E-2</v>
      </c>
      <c r="N230" s="523"/>
      <c r="O230" s="528"/>
    </row>
    <row r="231" spans="1:15" x14ac:dyDescent="0.25">
      <c r="A231" s="516">
        <v>2.5681722584152888</v>
      </c>
      <c r="B231" s="516">
        <v>0.33</v>
      </c>
      <c r="C231" s="516" t="s">
        <v>2079</v>
      </c>
      <c r="D231" s="507">
        <v>0.28198742135416316</v>
      </c>
      <c r="E231" s="508">
        <f t="shared" si="9"/>
        <v>7.2532905657812202E-2</v>
      </c>
      <c r="F231" s="509">
        <f ca="1">LOOKUP(C231,'Growth Pattern'!B$15:B$376,'Growth Pattern'!D$15:D$368)-(LOOKUP(C231,'Growth Pattern'!B$15:B$376,'Growth Pattern'!H$15:H$368)*LOOKUP(C231,'Growth Pattern'!B$15:B$376,'Growth Pattern'!I$15:I$368)/100)</f>
        <v>4.25</v>
      </c>
      <c r="G231" s="509">
        <f ca="1">LOOKUP(C231,'Growth Pattern'!B$15:B$376,'Growth Pattern'!E$15:E$368)-(LOOKUP(C231,'Growth Pattern'!B$15:B$376,'Growth Pattern'!H$15:H$368)*LOOKUP(C231,'Growth Pattern'!B$15:B$376,'Growth Pattern'!I$15:I$368)/100)</f>
        <v>5</v>
      </c>
      <c r="H231" s="509">
        <f ca="1">LOOKUP(C231,'Growth Pattern'!B$15:B$376,'Growth Pattern'!F$15:F$368)-(LOOKUP(C231,'Growth Pattern'!B$15:B$376,'Growth Pattern'!I$15:I$368)*LOOKUP(C231,'Growth Pattern'!B$15:B$376,'Growth Pattern'!H$15:H$368)/100)</f>
        <v>6.4</v>
      </c>
      <c r="I231" s="509">
        <f ca="1">LOOKUP(C231,'Growth Pattern'!B$15:B$376,'Growth Pattern'!G$15:G$368)-(LOOKUP(C231,'Growth Pattern'!B$15:B$376,'Growth Pattern'!H$15:H$368)*LOOKUP(C231,'Growth Pattern'!B$15:B$376,'Growth Pattern'!I$15:I$368)/100)</f>
        <v>8.4500000000000028</v>
      </c>
      <c r="J231" s="510">
        <f t="shared" ca="1" si="10"/>
        <v>-902.7438232007662</v>
      </c>
      <c r="K231" s="511">
        <f ca="1">LOOKUP(C231,'Growth Pattern'!B$15:B$376,'Growth Pattern'!H$15:H$368)</f>
        <v>55.9</v>
      </c>
      <c r="L231" s="512">
        <f t="shared" ca="1" si="11"/>
        <v>-1.0619223289745712</v>
      </c>
      <c r="M231" s="513">
        <f>LN('Growth Pattern'!F244/'Growth Pattern'!D244)/2</f>
        <v>0.20468950371465036</v>
      </c>
      <c r="N231" s="523"/>
      <c r="O231" s="528"/>
    </row>
    <row r="232" spans="1:15" x14ac:dyDescent="0.25">
      <c r="A232" s="516">
        <v>2.450766444176522</v>
      </c>
      <c r="B232" s="516"/>
      <c r="C232" s="516" t="s">
        <v>1800</v>
      </c>
      <c r="D232" s="507">
        <v>0.43011958503591857</v>
      </c>
      <c r="E232" s="508">
        <f t="shared" si="9"/>
        <v>8.5420403898124914E-2</v>
      </c>
      <c r="F232" s="509">
        <f ca="1">LOOKUP(C232,'Growth Pattern'!B$15:B$376,'Growth Pattern'!D$15:D$368)-(LOOKUP(C232,'Growth Pattern'!B$15:B$376,'Growth Pattern'!H$15:H$368)*LOOKUP(C232,'Growth Pattern'!B$15:B$376,'Growth Pattern'!I$15:I$368)/100)</f>
        <v>-2.71</v>
      </c>
      <c r="G232" s="509">
        <f ca="1">LOOKUP(C232,'Growth Pattern'!B$15:B$376,'Growth Pattern'!E$15:E$368)-(LOOKUP(C232,'Growth Pattern'!B$15:B$376,'Growth Pattern'!H$15:H$368)*LOOKUP(C232,'Growth Pattern'!B$15:B$376,'Growth Pattern'!I$15:I$368)/100)</f>
        <v>5.9</v>
      </c>
      <c r="H232" s="509">
        <f ca="1">LOOKUP(C232,'Growth Pattern'!B$15:B$376,'Growth Pattern'!F$15:F$368)-(LOOKUP(C232,'Growth Pattern'!B$15:B$376,'Growth Pattern'!I$15:I$368)*LOOKUP(C232,'Growth Pattern'!B$15:B$376,'Growth Pattern'!H$15:H$368)/100)</f>
        <v>9.4</v>
      </c>
      <c r="I232" s="509">
        <f ca="1">LOOKUP(C232,'Growth Pattern'!B$15:B$376,'Growth Pattern'!G$15:G$368)-(LOOKUP(C232,'Growth Pattern'!B$15:B$376,'Growth Pattern'!H$15:H$368)*LOOKUP(C232,'Growth Pattern'!B$15:B$376,'Growth Pattern'!I$15:I$368)/100)</f>
        <v>9.4</v>
      </c>
      <c r="J232" s="510">
        <f t="shared" ca="1" si="10"/>
        <v>1366.8373046999</v>
      </c>
      <c r="K232" s="511">
        <f ca="1">LOOKUP(C232,'Growth Pattern'!B$15:B$376,'Growth Pattern'!H$15:H$368)</f>
        <v>59.05</v>
      </c>
      <c r="L232" s="512">
        <f t="shared" ca="1" si="11"/>
        <v>-0.9567980769935418</v>
      </c>
      <c r="M232" s="513" t="e">
        <f>LN('Growth Pattern'!F245/'Growth Pattern'!D245)/2</f>
        <v>#NUM!</v>
      </c>
      <c r="N232" s="523"/>
      <c r="O232" s="528"/>
    </row>
    <row r="233" spans="1:15" x14ac:dyDescent="0.25">
      <c r="A233" s="507">
        <v>1.9915958059089371</v>
      </c>
      <c r="B233" s="507">
        <v>0.46</v>
      </c>
      <c r="C233" s="507" t="s">
        <v>1801</v>
      </c>
      <c r="D233" s="507">
        <v>0.37891011614220593</v>
      </c>
      <c r="E233" s="508">
        <f t="shared" si="9"/>
        <v>8.0965180104371925E-2</v>
      </c>
      <c r="F233" s="509">
        <f ca="1">LOOKUP(C233,'Growth Pattern'!B$15:B$376,'Growth Pattern'!D$15:D$368)-(LOOKUP(C233,'Growth Pattern'!B$15:B$376,'Growth Pattern'!H$15:H$368)*LOOKUP(C233,'Growth Pattern'!B$15:B$376,'Growth Pattern'!I$15:I$368)/100)</f>
        <v>0</v>
      </c>
      <c r="G233" s="509">
        <f ca="1">LOOKUP(C233,'Growth Pattern'!B$15:B$376,'Growth Pattern'!E$15:E$368)-(LOOKUP(C233,'Growth Pattern'!B$15:B$376,'Growth Pattern'!H$15:H$368)*LOOKUP(C233,'Growth Pattern'!B$15:B$376,'Growth Pattern'!I$15:I$368)/100)</f>
        <v>1.9</v>
      </c>
      <c r="H233" s="509">
        <f ca="1">LOOKUP(C233,'Growth Pattern'!B$15:B$376,'Growth Pattern'!F$15:F$368)-(LOOKUP(C233,'Growth Pattern'!B$15:B$376,'Growth Pattern'!I$15:I$368)*LOOKUP(C233,'Growth Pattern'!B$15:B$376,'Growth Pattern'!H$15:H$368)/100)</f>
        <v>2.5</v>
      </c>
      <c r="I233" s="509">
        <f ca="1">LOOKUP(C233,'Growth Pattern'!B$15:B$376,'Growth Pattern'!G$15:G$368)-(LOOKUP(C233,'Growth Pattern'!B$15:B$376,'Growth Pattern'!H$15:H$368)*LOOKUP(C233,'Growth Pattern'!B$15:B$376,'Growth Pattern'!I$15:I$368)/100)</f>
        <v>2.5</v>
      </c>
      <c r="J233" s="510">
        <f t="shared" ca="1" si="10"/>
        <v>2054.5707763936075</v>
      </c>
      <c r="K233" s="511">
        <f ca="1">LOOKUP(C233,'Growth Pattern'!B$15:B$376,'Growth Pattern'!H$15:H$368)</f>
        <v>25.65</v>
      </c>
      <c r="L233" s="512">
        <f t="shared" ca="1" si="11"/>
        <v>-0.98751564059281349</v>
      </c>
      <c r="M233" s="513" t="e">
        <f>LN('Growth Pattern'!F246/'Growth Pattern'!D246)/2</f>
        <v>#DIV/0!</v>
      </c>
      <c r="N233" s="523"/>
      <c r="O233" s="528"/>
    </row>
    <row r="234" spans="1:15" x14ac:dyDescent="0.25">
      <c r="A234" s="516">
        <v>1.2153652767296488</v>
      </c>
      <c r="B234" s="516">
        <v>0.42</v>
      </c>
      <c r="C234" s="516" t="s">
        <v>4346</v>
      </c>
      <c r="D234" s="507">
        <v>0.1996718518415303</v>
      </c>
      <c r="E234" s="508">
        <f t="shared" si="9"/>
        <v>6.5371451110213141E-2</v>
      </c>
      <c r="F234" s="509">
        <f ca="1">LOOKUP(C234,'Growth Pattern'!B$15:B$376,'Growth Pattern'!D$15:D$368)-(LOOKUP(C234,'Growth Pattern'!B$15:B$376,'Growth Pattern'!H$15:H$368)*LOOKUP(C234,'Growth Pattern'!B$15:B$376,'Growth Pattern'!I$15:I$368)/100)</f>
        <v>33.228184999999996</v>
      </c>
      <c r="G234" s="509">
        <f ca="1">LOOKUP(C234,'Growth Pattern'!B$15:B$376,'Growth Pattern'!E$15:E$368)-(LOOKUP(C234,'Growth Pattern'!B$15:B$376,'Growth Pattern'!H$15:H$368)*LOOKUP(C234,'Growth Pattern'!B$15:B$376,'Growth Pattern'!I$15:I$368)/100)</f>
        <v>39.528185000000001</v>
      </c>
      <c r="H234" s="509">
        <f ca="1">LOOKUP(C234,'Growth Pattern'!B$15:B$376,'Growth Pattern'!F$15:F$368)-(LOOKUP(C234,'Growth Pattern'!B$15:B$376,'Growth Pattern'!I$15:I$368)*LOOKUP(C234,'Growth Pattern'!B$15:B$376,'Growth Pattern'!H$15:H$368)/100)</f>
        <v>43.988184999999994</v>
      </c>
      <c r="I234" s="509">
        <f ca="1">LOOKUP(C234,'Growth Pattern'!B$15:B$376,'Growth Pattern'!G$15:G$368)-(LOOKUP(C234,'Growth Pattern'!B$15:B$376,'Growth Pattern'!H$15:H$368)*LOOKUP(C234,'Growth Pattern'!B$15:B$376,'Growth Pattern'!I$15:I$368)/100)</f>
        <v>43.988184999999994</v>
      </c>
      <c r="J234" s="510">
        <f t="shared" ca="1" si="10"/>
        <v>-2377.6606992350376</v>
      </c>
      <c r="K234" s="511">
        <f ca="1">LOOKUP(C234,'Growth Pattern'!B$15:B$376,'Growth Pattern'!H$15:H$368)</f>
        <v>217.15</v>
      </c>
      <c r="L234" s="512">
        <f t="shared" ca="1" si="11"/>
        <v>-1.0913292632838081</v>
      </c>
      <c r="M234" s="513">
        <f>LN('Growth Pattern'!F247/'Growth Pattern'!D247)/2</f>
        <v>0.12983432240320486</v>
      </c>
      <c r="N234" s="523"/>
      <c r="O234" s="528"/>
    </row>
    <row r="235" spans="1:15" x14ac:dyDescent="0.25">
      <c r="A235" s="527">
        <v>1.4850537375837216</v>
      </c>
      <c r="B235" s="527">
        <v>0.39</v>
      </c>
      <c r="C235" s="527" t="s">
        <v>4348</v>
      </c>
      <c r="D235" s="507">
        <v>0.23160539167626221</v>
      </c>
      <c r="E235" s="508">
        <f t="shared" si="9"/>
        <v>6.8149669075834807E-2</v>
      </c>
      <c r="F235" s="509">
        <f ca="1">LOOKUP(C235,'Growth Pattern'!B$15:B$376,'Growth Pattern'!D$15:D$368)-(LOOKUP(C235,'Growth Pattern'!B$15:B$376,'Growth Pattern'!H$15:H$368)*LOOKUP(C235,'Growth Pattern'!B$15:B$376,'Growth Pattern'!I$15:I$368)/100)</f>
        <v>10.59</v>
      </c>
      <c r="G235" s="509">
        <f ca="1">LOOKUP(C235,'Growth Pattern'!B$15:B$376,'Growth Pattern'!E$15:E$368)-(LOOKUP(C235,'Growth Pattern'!B$15:B$376,'Growth Pattern'!H$15:H$368)*LOOKUP(C235,'Growth Pattern'!B$15:B$376,'Growth Pattern'!I$15:I$368)/100)</f>
        <v>10.6</v>
      </c>
      <c r="H235" s="509">
        <f ca="1">LOOKUP(C235,'Growth Pattern'!B$15:B$376,'Growth Pattern'!F$15:F$368)-(LOOKUP(C235,'Growth Pattern'!B$15:B$376,'Growth Pattern'!I$15:I$368)*LOOKUP(C235,'Growth Pattern'!B$15:B$376,'Growth Pattern'!H$15:H$368)/100)</f>
        <v>12</v>
      </c>
      <c r="I235" s="509">
        <f ca="1">LOOKUP(C235,'Growth Pattern'!B$15:B$376,'Growth Pattern'!G$15:G$368)-(LOOKUP(C235,'Growth Pattern'!B$15:B$376,'Growth Pattern'!H$15:H$368)*LOOKUP(C235,'Growth Pattern'!B$15:B$376,'Growth Pattern'!I$15:I$368)/100)</f>
        <v>14.790000000000001</v>
      </c>
      <c r="J235" s="510">
        <f t="shared" ca="1" si="10"/>
        <v>-993.06632684564909</v>
      </c>
      <c r="K235" s="511">
        <f ca="1">LOOKUP(C235,'Growth Pattern'!B$15:B$376,'Growth Pattern'!H$15:H$368)</f>
        <v>172.8</v>
      </c>
      <c r="L235" s="512">
        <f t="shared" ca="1" si="11"/>
        <v>-1.1740065042270416</v>
      </c>
      <c r="M235" s="513">
        <f>LN('Growth Pattern'!F248/'Growth Pattern'!D248)/2</f>
        <v>6.249824508734262E-2</v>
      </c>
      <c r="N235" s="523"/>
      <c r="O235" s="528"/>
    </row>
    <row r="236" spans="1:15" x14ac:dyDescent="0.25">
      <c r="A236" s="507">
        <v>3.0392722850618603</v>
      </c>
      <c r="B236" s="507"/>
      <c r="C236" s="507" t="s">
        <v>4350</v>
      </c>
      <c r="D236" s="507">
        <v>0.15832115179285708</v>
      </c>
      <c r="E236" s="508">
        <f t="shared" si="9"/>
        <v>6.1773940205978567E-2</v>
      </c>
      <c r="F236" s="509">
        <f ca="1">LOOKUP(C236,'Growth Pattern'!B$15:B$376,'Growth Pattern'!D$15:D$368)-(LOOKUP(C236,'Growth Pattern'!B$15:B$376,'Growth Pattern'!H$15:H$368)*LOOKUP(C236,'Growth Pattern'!B$15:B$376,'Growth Pattern'!I$15:I$368)/100)</f>
        <v>0</v>
      </c>
      <c r="G236" s="509">
        <f ca="1">LOOKUP(C236,'Growth Pattern'!B$15:B$376,'Growth Pattern'!E$15:E$368)-(LOOKUP(C236,'Growth Pattern'!B$15:B$376,'Growth Pattern'!H$15:H$368)*LOOKUP(C236,'Growth Pattern'!B$15:B$376,'Growth Pattern'!I$15:I$368)/100)</f>
        <v>0</v>
      </c>
      <c r="H236" s="509">
        <f ca="1">LOOKUP(C236,'Growth Pattern'!B$15:B$376,'Growth Pattern'!F$15:F$368)-(LOOKUP(C236,'Growth Pattern'!B$15:B$376,'Growth Pattern'!I$15:I$368)*LOOKUP(C236,'Growth Pattern'!B$15:B$376,'Growth Pattern'!H$15:H$368)/100)</f>
        <v>0</v>
      </c>
      <c r="I236" s="509">
        <f ca="1">LOOKUP(C236,'Growth Pattern'!B$15:B$376,'Growth Pattern'!G$15:G$368)-(LOOKUP(C236,'Growth Pattern'!B$15:B$376,'Growth Pattern'!H$15:H$368)*LOOKUP(C236,'Growth Pattern'!B$15:B$376,'Growth Pattern'!I$15:I$368)/100)</f>
        <v>0</v>
      </c>
      <c r="J236" s="510">
        <f t="shared" ca="1" si="10"/>
        <v>0</v>
      </c>
      <c r="K236" s="511">
        <f ca="1">LOOKUP(C236,'Growth Pattern'!B$15:B$376,'Growth Pattern'!H$15:H$368)</f>
        <v>100.8</v>
      </c>
      <c r="L236" s="512" t="e">
        <f t="shared" ca="1" si="11"/>
        <v>#DIV/0!</v>
      </c>
      <c r="M236" s="513" t="e">
        <f>LN('Growth Pattern'!F249/'Growth Pattern'!D249)/2</f>
        <v>#DIV/0!</v>
      </c>
      <c r="N236" s="523"/>
      <c r="O236" s="528"/>
    </row>
    <row r="237" spans="1:15" x14ac:dyDescent="0.25">
      <c r="A237" s="527">
        <v>2.7522144553872199</v>
      </c>
      <c r="B237" s="527">
        <v>0.45</v>
      </c>
      <c r="C237" s="527" t="s">
        <v>2801</v>
      </c>
      <c r="D237" s="507">
        <v>0.20248134938736245</v>
      </c>
      <c r="E237" s="508">
        <f t="shared" si="9"/>
        <v>6.5615877396700537E-2</v>
      </c>
      <c r="F237" s="509">
        <f ca="1">LOOKUP(C237,'Growth Pattern'!B$15:B$376,'Growth Pattern'!D$15:D$368)-(LOOKUP(C237,'Growth Pattern'!B$15:B$376,'Growth Pattern'!H$15:H$368)*LOOKUP(C237,'Growth Pattern'!B$15:B$376,'Growth Pattern'!I$15:I$368)/100)</f>
        <v>-1.4760200000000001</v>
      </c>
      <c r="G237" s="509">
        <f ca="1">LOOKUP(C237,'Growth Pattern'!B$15:B$376,'Growth Pattern'!E$15:E$368)-(LOOKUP(C237,'Growth Pattern'!B$15:B$376,'Growth Pattern'!H$15:H$368)*LOOKUP(C237,'Growth Pattern'!B$15:B$376,'Growth Pattern'!I$15:I$368)/100)</f>
        <v>-1.4760200000000001</v>
      </c>
      <c r="H237" s="509">
        <f ca="1">LOOKUP(C237,'Growth Pattern'!B$15:B$376,'Growth Pattern'!F$15:F$368)-(LOOKUP(C237,'Growth Pattern'!B$15:B$376,'Growth Pattern'!I$15:I$368)*LOOKUP(C237,'Growth Pattern'!B$15:B$376,'Growth Pattern'!H$15:H$368)/100)</f>
        <v>-1.4760200000000001</v>
      </c>
      <c r="I237" s="509">
        <f ca="1">LOOKUP(C237,'Growth Pattern'!B$15:B$376,'Growth Pattern'!G$15:G$368)-(LOOKUP(C237,'Growth Pattern'!B$15:B$376,'Growth Pattern'!H$15:H$368)*LOOKUP(C237,'Growth Pattern'!B$15:B$376,'Growth Pattern'!I$15:I$368)/100)</f>
        <v>-1.4760200000000001</v>
      </c>
      <c r="J237" s="510">
        <f t="shared" ca="1" si="10"/>
        <v>80.641144959894547</v>
      </c>
      <c r="K237" s="511">
        <f ca="1">LOOKUP(C237,'Growth Pattern'!B$15:B$376,'Growth Pattern'!H$15:H$368)</f>
        <v>40.549999999999997</v>
      </c>
      <c r="L237" s="512">
        <f t="shared" ca="1" si="11"/>
        <v>-0.49715495706110291</v>
      </c>
      <c r="M237" s="513" t="e">
        <f>LN('Growth Pattern'!F250/'Growth Pattern'!D250)/2</f>
        <v>#DIV/0!</v>
      </c>
      <c r="N237" s="523"/>
      <c r="O237" s="528"/>
    </row>
    <row r="238" spans="1:15" x14ac:dyDescent="0.25">
      <c r="A238" s="516">
        <v>1.496061595489186</v>
      </c>
      <c r="B238" s="516">
        <v>0.4</v>
      </c>
      <c r="C238" s="516" t="s">
        <v>3412</v>
      </c>
      <c r="D238" s="507">
        <v>0.26127430701161042</v>
      </c>
      <c r="E238" s="508">
        <f t="shared" si="9"/>
        <v>7.0730864710010111E-2</v>
      </c>
      <c r="F238" s="509">
        <f ca="1">LOOKUP(C238,'Growth Pattern'!B$15:B$376,'Growth Pattern'!D$15:D$368)-(LOOKUP(C238,'Growth Pattern'!B$15:B$376,'Growth Pattern'!H$15:H$368)*LOOKUP(C238,'Growth Pattern'!B$15:B$376,'Growth Pattern'!I$15:I$368)/100)</f>
        <v>6.1882100000000015</v>
      </c>
      <c r="G238" s="509">
        <f ca="1">LOOKUP(C238,'Growth Pattern'!B$15:B$376,'Growth Pattern'!E$15:E$368)-(LOOKUP(C238,'Growth Pattern'!B$15:B$376,'Growth Pattern'!H$15:H$368)*LOOKUP(C238,'Growth Pattern'!B$15:B$376,'Growth Pattern'!I$15:I$368)/100)</f>
        <v>12.40821</v>
      </c>
      <c r="H238" s="509">
        <f ca="1">LOOKUP(C238,'Growth Pattern'!B$15:B$376,'Growth Pattern'!F$15:F$368)-(LOOKUP(C238,'Growth Pattern'!B$15:B$376,'Growth Pattern'!I$15:I$368)*LOOKUP(C238,'Growth Pattern'!B$15:B$376,'Growth Pattern'!H$15:H$368)/100)</f>
        <v>14.988210000000002</v>
      </c>
      <c r="I238" s="509">
        <f ca="1">LOOKUP(C238,'Growth Pattern'!B$15:B$376,'Growth Pattern'!G$15:G$368)-(LOOKUP(C238,'Growth Pattern'!B$15:B$376,'Growth Pattern'!H$15:H$368)*LOOKUP(C238,'Growth Pattern'!B$15:B$376,'Growth Pattern'!I$15:I$368)/100)</f>
        <v>14.988210000000002</v>
      </c>
      <c r="J238" s="510">
        <f t="shared" ca="1" si="10"/>
        <v>-1286.4040031753068</v>
      </c>
      <c r="K238" s="511">
        <f ca="1">LOOKUP(C238,'Growth Pattern'!B$15:B$376,'Growth Pattern'!H$15:H$368)</f>
        <v>273.95</v>
      </c>
      <c r="L238" s="512">
        <f t="shared" ca="1" si="11"/>
        <v>-1.2129579815701701</v>
      </c>
      <c r="M238" s="513">
        <f>LN('Growth Pattern'!F251/'Growth Pattern'!D251)/2</f>
        <v>0.16393447234482558</v>
      </c>
      <c r="N238" s="523"/>
      <c r="O238" s="528"/>
    </row>
    <row r="239" spans="1:15" x14ac:dyDescent="0.25">
      <c r="A239" s="516">
        <v>3.7086339558704391</v>
      </c>
      <c r="B239" s="516">
        <v>0.32</v>
      </c>
      <c r="C239" s="516" t="s">
        <v>2804</v>
      </c>
      <c r="D239" s="507">
        <v>0.24414325656077479</v>
      </c>
      <c r="E239" s="508">
        <f t="shared" si="9"/>
        <v>6.9240463320787413E-2</v>
      </c>
      <c r="F239" s="509">
        <f ca="1">LOOKUP(C239,'Growth Pattern'!B$15:B$376,'Growth Pattern'!D$15:D$368)-(LOOKUP(C239,'Growth Pattern'!B$15:B$376,'Growth Pattern'!H$15:H$368)*LOOKUP(C239,'Growth Pattern'!B$15:B$376,'Growth Pattern'!I$15:I$368)/100)</f>
        <v>-78.599999999999994</v>
      </c>
      <c r="G239" s="509">
        <f ca="1">LOOKUP(C239,'Growth Pattern'!B$15:B$376,'Growth Pattern'!E$15:E$368)-(LOOKUP(C239,'Growth Pattern'!B$15:B$376,'Growth Pattern'!H$15:H$368)*LOOKUP(C239,'Growth Pattern'!B$15:B$376,'Growth Pattern'!I$15:I$368)/100)</f>
        <v>16.14</v>
      </c>
      <c r="H239" s="509">
        <f ca="1">LOOKUP(C239,'Growth Pattern'!B$15:B$376,'Growth Pattern'!F$15:F$368)-(LOOKUP(C239,'Growth Pattern'!B$15:B$376,'Growth Pattern'!I$15:I$368)*LOOKUP(C239,'Growth Pattern'!B$15:B$376,'Growth Pattern'!H$15:H$368)/100)</f>
        <v>19.87</v>
      </c>
      <c r="I239" s="509">
        <f ca="1">LOOKUP(C239,'Growth Pattern'!B$15:B$376,'Growth Pattern'!G$15:G$368)-(LOOKUP(C239,'Growth Pattern'!B$15:B$376,'Growth Pattern'!H$15:H$368)*LOOKUP(C239,'Growth Pattern'!B$15:B$376,'Growth Pattern'!I$15:I$368)/100)</f>
        <v>19.87</v>
      </c>
      <c r="J239" s="510">
        <f t="shared" ca="1" si="10"/>
        <v>-1556.8249711168476</v>
      </c>
      <c r="K239" s="511">
        <f ca="1">LOOKUP(C239,'Growth Pattern'!B$15:B$376,'Growth Pattern'!H$15:H$368)</f>
        <v>283.89999999999998</v>
      </c>
      <c r="L239" s="512">
        <f t="shared" ca="1" si="11"/>
        <v>-1.1823583288212118</v>
      </c>
      <c r="M239" s="513" t="e">
        <f>LN('Growth Pattern'!F252/'Growth Pattern'!D252)/2</f>
        <v>#NUM!</v>
      </c>
      <c r="N239" s="523"/>
      <c r="O239" s="528"/>
    </row>
    <row r="240" spans="1:15" x14ac:dyDescent="0.25">
      <c r="A240" s="507">
        <v>2.8903754430888342</v>
      </c>
      <c r="B240" s="507">
        <v>7.0000000000000007E-2</v>
      </c>
      <c r="C240" s="541" t="s">
        <v>1802</v>
      </c>
      <c r="D240" s="507">
        <v>0.81914801499535006</v>
      </c>
      <c r="E240" s="508">
        <f t="shared" si="9"/>
        <v>0.11926587730459547</v>
      </c>
      <c r="F240" s="509">
        <f ca="1">LOOKUP(C240,'Growth Pattern'!B$15:B$376,'Growth Pattern'!D$15:D$368)-(LOOKUP(C240,'Growth Pattern'!B$15:B$376,'Growth Pattern'!H$15:H$368)*LOOKUP(C240,'Growth Pattern'!B$15:B$376,'Growth Pattern'!I$15:I$368)/100)</f>
        <v>45.29</v>
      </c>
      <c r="G240" s="509">
        <f ca="1">LOOKUP(C240,'Growth Pattern'!B$15:B$376,'Growth Pattern'!E$15:E$368)-(LOOKUP(C240,'Growth Pattern'!B$15:B$376,'Growth Pattern'!H$15:H$368)*LOOKUP(C240,'Growth Pattern'!B$15:B$376,'Growth Pattern'!I$15:I$368)/100)</f>
        <v>61.22</v>
      </c>
      <c r="H240" s="509">
        <f ca="1">LOOKUP(C240,'Growth Pattern'!B$15:B$376,'Growth Pattern'!F$15:F$368)-(LOOKUP(C240,'Growth Pattern'!B$15:B$376,'Growth Pattern'!I$15:I$368)*LOOKUP(C240,'Growth Pattern'!B$15:B$376,'Growth Pattern'!H$15:H$368)/100)</f>
        <v>70.7</v>
      </c>
      <c r="I240" s="509">
        <f ca="1">LOOKUP(C240,'Growth Pattern'!B$15:B$376,'Growth Pattern'!G$15:G$368)-(LOOKUP(C240,'Growth Pattern'!B$15:B$376,'Growth Pattern'!H$15:H$368)*LOOKUP(C240,'Growth Pattern'!B$15:B$376,'Growth Pattern'!I$15:I$368)/100)</f>
        <v>70.7</v>
      </c>
      <c r="J240" s="510">
        <f t="shared" ca="1" si="10"/>
        <v>1440.538309667236</v>
      </c>
      <c r="K240" s="511">
        <f ca="1">LOOKUP(C240,'Growth Pattern'!B$15:B$376,'Growth Pattern'!H$15:H$368)</f>
        <v>338.7</v>
      </c>
      <c r="L240" s="512">
        <f t="shared" ca="1" si="11"/>
        <v>-0.76487956083705988</v>
      </c>
      <c r="M240" s="513">
        <f>LN('Growth Pattern'!F253/'Growth Pattern'!D253)/2</f>
        <v>0.22267965766720227</v>
      </c>
      <c r="N240" s="523"/>
      <c r="O240" s="528"/>
    </row>
    <row r="241" spans="1:15" x14ac:dyDescent="0.25">
      <c r="A241" s="527">
        <v>2.3322084560827787</v>
      </c>
      <c r="B241" s="527"/>
      <c r="C241" s="537" t="s">
        <v>1803</v>
      </c>
      <c r="D241" s="507">
        <v>0.65653271150319747</v>
      </c>
      <c r="E241" s="508">
        <f t="shared" si="9"/>
        <v>0.10511834590077818</v>
      </c>
      <c r="F241" s="509">
        <f ca="1">LOOKUP(C241,'Growth Pattern'!B$15:B$376,'Growth Pattern'!D$15:D$368)-(LOOKUP(C241,'Growth Pattern'!B$15:B$376,'Growth Pattern'!H$15:H$368)*LOOKUP(C241,'Growth Pattern'!B$15:B$376,'Growth Pattern'!I$15:I$368)/100)</f>
        <v>8.26</v>
      </c>
      <c r="G241" s="509">
        <f ca="1">LOOKUP(C241,'Growth Pattern'!B$15:B$376,'Growth Pattern'!E$15:E$368)-(LOOKUP(C241,'Growth Pattern'!B$15:B$376,'Growth Pattern'!H$15:H$368)*LOOKUP(C241,'Growth Pattern'!B$15:B$376,'Growth Pattern'!I$15:I$368)/100)</f>
        <v>6.6</v>
      </c>
      <c r="H241" s="509">
        <f ca="1">LOOKUP(C241,'Growth Pattern'!B$15:B$376,'Growth Pattern'!F$15:F$368)-(LOOKUP(C241,'Growth Pattern'!B$15:B$376,'Growth Pattern'!I$15:I$368)*LOOKUP(C241,'Growth Pattern'!B$15:B$376,'Growth Pattern'!H$15:H$368)/100)</f>
        <v>9</v>
      </c>
      <c r="I241" s="509">
        <f ca="1">LOOKUP(C241,'Growth Pattern'!B$15:B$376,'Growth Pattern'!G$15:G$368)-(LOOKUP(C241,'Growth Pattern'!B$15:B$376,'Growth Pattern'!H$15:H$368)*LOOKUP(C241,'Growth Pattern'!B$15:B$376,'Growth Pattern'!I$15:I$368)/100)</f>
        <v>15.460000000000008</v>
      </c>
      <c r="J241" s="510">
        <f t="shared" ca="1" si="10"/>
        <v>477.6300957428212</v>
      </c>
      <c r="K241" s="511">
        <f ca="1">LOOKUP(C241,'Growth Pattern'!B$15:B$376,'Growth Pattern'!H$15:H$368)</f>
        <v>58</v>
      </c>
      <c r="L241" s="512">
        <f t="shared" ca="1" si="11"/>
        <v>-0.87856711602354731</v>
      </c>
      <c r="M241" s="513">
        <f>LN('Growth Pattern'!F254/'Growth Pattern'!D254)/2</f>
        <v>4.2899994901666363E-2</v>
      </c>
      <c r="N241" s="523"/>
      <c r="O241" s="528"/>
    </row>
    <row r="242" spans="1:15" x14ac:dyDescent="0.25">
      <c r="A242" s="516">
        <v>2.5679238662289703</v>
      </c>
      <c r="B242" s="516">
        <v>0.1</v>
      </c>
      <c r="C242" s="516" t="s">
        <v>4210</v>
      </c>
      <c r="D242" s="507">
        <v>0.26069062968476747</v>
      </c>
      <c r="E242" s="508">
        <f t="shared" si="9"/>
        <v>7.0680084782574773E-2</v>
      </c>
      <c r="F242" s="509">
        <f ca="1">LOOKUP(C242,'Growth Pattern'!B$15:B$376,'Growth Pattern'!D$15:D$368)-(LOOKUP(C242,'Growth Pattern'!B$15:B$376,'Growth Pattern'!H$15:H$368)*LOOKUP(C242,'Growth Pattern'!B$15:B$376,'Growth Pattern'!I$15:I$368)/100)</f>
        <v>10.15</v>
      </c>
      <c r="G242" s="509">
        <f ca="1">LOOKUP(C242,'Growth Pattern'!B$15:B$376,'Growth Pattern'!E$15:E$368)-(LOOKUP(C242,'Growth Pattern'!B$15:B$376,'Growth Pattern'!H$15:H$368)*LOOKUP(C242,'Growth Pattern'!B$15:B$376,'Growth Pattern'!I$15:I$368)/100)</f>
        <v>16.100000000000001</v>
      </c>
      <c r="H242" s="509">
        <f ca="1">LOOKUP(C242,'Growth Pattern'!B$15:B$376,'Growth Pattern'!F$15:F$368)-(LOOKUP(C242,'Growth Pattern'!B$15:B$376,'Growth Pattern'!I$15:I$368)*LOOKUP(C242,'Growth Pattern'!B$15:B$376,'Growth Pattern'!H$15:H$368)/100)</f>
        <v>18.3</v>
      </c>
      <c r="I242" s="509">
        <f ca="1">LOOKUP(C242,'Growth Pattern'!B$15:B$376,'Growth Pattern'!G$15:G$368)-(LOOKUP(C242,'Growth Pattern'!B$15:B$376,'Growth Pattern'!H$15:H$368)*LOOKUP(C242,'Growth Pattern'!B$15:B$376,'Growth Pattern'!I$15:I$368)/100)</f>
        <v>18.3</v>
      </c>
      <c r="J242" s="510">
        <f t="shared" ca="1" si="10"/>
        <v>-1558.628061210771</v>
      </c>
      <c r="K242" s="511">
        <f ca="1">LOOKUP(C242,'Growth Pattern'!B$15:B$376,'Growth Pattern'!H$15:H$368)</f>
        <v>181.8</v>
      </c>
      <c r="L242" s="512">
        <f t="shared" ca="1" si="11"/>
        <v>-1.1166410412621304</v>
      </c>
      <c r="M242" s="513">
        <f>LN('Growth Pattern'!F255/'Growth Pattern'!D255)/2</f>
        <v>0.29471367717978947</v>
      </c>
      <c r="N242" s="523"/>
      <c r="O242" s="528"/>
    </row>
    <row r="243" spans="1:15" x14ac:dyDescent="0.25">
      <c r="A243" s="516">
        <v>3.9016609524878985</v>
      </c>
      <c r="B243" s="516">
        <v>0.13</v>
      </c>
      <c r="C243" s="516" t="s">
        <v>1804</v>
      </c>
      <c r="D243" s="507">
        <v>0.3756438819542649</v>
      </c>
      <c r="E243" s="508">
        <f t="shared" si="9"/>
        <v>8.0681017730021051E-2</v>
      </c>
      <c r="F243" s="509">
        <f ca="1">LOOKUP(C243,'Growth Pattern'!B$15:B$376,'Growth Pattern'!D$15:D$368)-(LOOKUP(C243,'Growth Pattern'!B$15:B$376,'Growth Pattern'!H$15:H$368)*LOOKUP(C243,'Growth Pattern'!B$15:B$376,'Growth Pattern'!I$15:I$368)/100)</f>
        <v>0</v>
      </c>
      <c r="G243" s="509">
        <f ca="1">LOOKUP(C243,'Growth Pattern'!B$15:B$376,'Growth Pattern'!E$15:E$368)-(LOOKUP(C243,'Growth Pattern'!B$15:B$376,'Growth Pattern'!H$15:H$368)*LOOKUP(C243,'Growth Pattern'!B$15:B$376,'Growth Pattern'!I$15:I$368)/100)</f>
        <v>0</v>
      </c>
      <c r="H243" s="509">
        <f ca="1">LOOKUP(C243,'Growth Pattern'!B$15:B$376,'Growth Pattern'!F$15:F$368)-(LOOKUP(C243,'Growth Pattern'!B$15:B$376,'Growth Pattern'!I$15:I$368)*LOOKUP(C243,'Growth Pattern'!B$15:B$376,'Growth Pattern'!H$15:H$368)/100)</f>
        <v>0</v>
      </c>
      <c r="I243" s="509">
        <f ca="1">LOOKUP(C243,'Growth Pattern'!B$15:B$376,'Growth Pattern'!G$15:G$368)-(LOOKUP(C243,'Growth Pattern'!B$15:B$376,'Growth Pattern'!H$15:H$368)*LOOKUP(C243,'Growth Pattern'!B$15:B$376,'Growth Pattern'!I$15:I$368)/100)</f>
        <v>0</v>
      </c>
      <c r="J243" s="510">
        <f t="shared" ca="1" si="10"/>
        <v>0</v>
      </c>
      <c r="K243" s="511">
        <f ca="1">LOOKUP(C243,'Growth Pattern'!B$15:B$376,'Growth Pattern'!H$15:H$368)</f>
        <v>3.95</v>
      </c>
      <c r="L243" s="512" t="e">
        <f t="shared" ca="1" si="11"/>
        <v>#DIV/0!</v>
      </c>
      <c r="M243" s="513" t="e">
        <f>LN('Growth Pattern'!F256/'Growth Pattern'!D256)/2</f>
        <v>#DIV/0!</v>
      </c>
      <c r="N243" s="523"/>
      <c r="O243" s="528"/>
    </row>
    <row r="244" spans="1:15" x14ac:dyDescent="0.25">
      <c r="A244" s="516">
        <v>1.4991119622859821</v>
      </c>
      <c r="B244" s="516">
        <v>0.15</v>
      </c>
      <c r="C244" s="516" t="s">
        <v>5353</v>
      </c>
      <c r="D244" s="507">
        <v>0.49096668987061776</v>
      </c>
      <c r="E244" s="508">
        <f t="shared" si="9"/>
        <v>9.0714102018743747E-2</v>
      </c>
      <c r="F244" s="509">
        <f ca="1">LOOKUP(C244,'Growth Pattern'!B$15:B$376,'Growth Pattern'!D$15:D$368)-(LOOKUP(C244,'Growth Pattern'!B$15:B$376,'Growth Pattern'!H$15:H$368)*LOOKUP(C244,'Growth Pattern'!B$15:B$376,'Growth Pattern'!I$15:I$368)/100)</f>
        <v>46.44</v>
      </c>
      <c r="G244" s="509">
        <f ca="1">LOOKUP(C244,'Growth Pattern'!B$15:B$376,'Growth Pattern'!E$15:E$368)-(LOOKUP(C244,'Growth Pattern'!B$15:B$376,'Growth Pattern'!H$15:H$368)*LOOKUP(C244,'Growth Pattern'!B$15:B$376,'Growth Pattern'!I$15:I$368)/100)</f>
        <v>38.950000000000003</v>
      </c>
      <c r="H244" s="509">
        <f ca="1">LOOKUP(C244,'Growth Pattern'!B$15:B$376,'Growth Pattern'!F$15:F$368)-(LOOKUP(C244,'Growth Pattern'!B$15:B$376,'Growth Pattern'!I$15:I$368)*LOOKUP(C244,'Growth Pattern'!B$15:B$376,'Growth Pattern'!H$15:H$368)/100)</f>
        <v>42.25</v>
      </c>
      <c r="I244" s="509">
        <f ca="1">LOOKUP(C244,'Growth Pattern'!B$15:B$376,'Growth Pattern'!G$15:G$368)-(LOOKUP(C244,'Growth Pattern'!B$15:B$376,'Growth Pattern'!H$15:H$368)*LOOKUP(C244,'Growth Pattern'!B$15:B$376,'Growth Pattern'!I$15:I$368)/100)</f>
        <v>56.34</v>
      </c>
      <c r="J244" s="510">
        <f t="shared" ca="1" si="10"/>
        <v>4170.2140352689994</v>
      </c>
      <c r="K244" s="511">
        <f ca="1">LOOKUP(C244,'Growth Pattern'!B$15:B$376,'Growth Pattern'!H$15:H$368)</f>
        <v>323.39999999999998</v>
      </c>
      <c r="L244" s="512">
        <f t="shared" ca="1" si="11"/>
        <v>-0.92245002360433059</v>
      </c>
      <c r="M244" s="513">
        <f>LN('Growth Pattern'!F257/'Growth Pattern'!D257)/2</f>
        <v>-4.7278401513253944E-2</v>
      </c>
      <c r="N244" s="523"/>
      <c r="O244" s="528"/>
    </row>
    <row r="245" spans="1:15" x14ac:dyDescent="0.25">
      <c r="A245" s="507">
        <v>2.6848050023319177</v>
      </c>
      <c r="B245" s="507">
        <v>0.43</v>
      </c>
      <c r="C245" s="507" t="s">
        <v>5354</v>
      </c>
      <c r="D245" s="507">
        <v>0.21750959866107303</v>
      </c>
      <c r="E245" s="508">
        <f t="shared" si="9"/>
        <v>6.6923335083513363E-2</v>
      </c>
      <c r="F245" s="509">
        <f ca="1">LOOKUP(C245,'Growth Pattern'!B$15:B$376,'Growth Pattern'!D$15:D$368)-(LOOKUP(C245,'Growth Pattern'!B$15:B$376,'Growth Pattern'!H$15:H$368)*LOOKUP(C245,'Growth Pattern'!B$15:B$376,'Growth Pattern'!I$15:I$368)/100)</f>
        <v>30.21</v>
      </c>
      <c r="G245" s="509">
        <f ca="1">LOOKUP(C245,'Growth Pattern'!B$15:B$376,'Growth Pattern'!E$15:E$368)-(LOOKUP(C245,'Growth Pattern'!B$15:B$376,'Growth Pattern'!H$15:H$368)*LOOKUP(C245,'Growth Pattern'!B$15:B$376,'Growth Pattern'!I$15:I$368)/100)</f>
        <v>20.350000000000001</v>
      </c>
      <c r="H245" s="509">
        <f ca="1">LOOKUP(C245,'Growth Pattern'!B$15:B$376,'Growth Pattern'!F$15:F$368)-(LOOKUP(C245,'Growth Pattern'!B$15:B$376,'Growth Pattern'!I$15:I$368)*LOOKUP(C245,'Growth Pattern'!B$15:B$376,'Growth Pattern'!H$15:H$368)/100)</f>
        <v>26.7</v>
      </c>
      <c r="I245" s="509">
        <f ca="1">LOOKUP(C245,'Growth Pattern'!B$15:B$376,'Growth Pattern'!G$15:G$368)-(LOOKUP(C245,'Growth Pattern'!B$15:B$376,'Growth Pattern'!H$15:H$368)*LOOKUP(C245,'Growth Pattern'!B$15:B$376,'Growth Pattern'!I$15:I$368)/100)</f>
        <v>49.260000000000019</v>
      </c>
      <c r="J245" s="510">
        <f t="shared" ca="1" si="10"/>
        <v>-3028.9465348822687</v>
      </c>
      <c r="K245" s="511">
        <f ca="1">LOOKUP(C245,'Growth Pattern'!B$15:B$376,'Growth Pattern'!H$15:H$368)</f>
        <v>136.69999999999999</v>
      </c>
      <c r="L245" s="512">
        <f t="shared" ca="1" si="11"/>
        <v>-1.0451312026890278</v>
      </c>
      <c r="M245" s="513">
        <f>LN('Growth Pattern'!F258/'Growth Pattern'!D258)/2</f>
        <v>-6.1754714996188391E-2</v>
      </c>
      <c r="N245" s="523"/>
      <c r="O245" s="528"/>
    </row>
    <row r="246" spans="1:15" x14ac:dyDescent="0.25">
      <c r="A246" s="506">
        <v>2.7951911189061351</v>
      </c>
      <c r="B246" s="506">
        <v>0.17</v>
      </c>
      <c r="C246" s="546" t="s">
        <v>4005</v>
      </c>
      <c r="D246" s="507">
        <v>0.58746794966448501</v>
      </c>
      <c r="E246" s="508">
        <f t="shared" si="9"/>
        <v>9.9109711620810198E-2</v>
      </c>
      <c r="F246" s="509">
        <f ca="1">LOOKUP(C246,'Growth Pattern'!B$15:B$376,'Growth Pattern'!D$15:D$368)-(LOOKUP(C246,'Growth Pattern'!B$15:B$376,'Growth Pattern'!H$15:H$368)*LOOKUP(C246,'Growth Pattern'!B$15:B$376,'Growth Pattern'!I$15:I$368)/100)</f>
        <v>0</v>
      </c>
      <c r="G246" s="509">
        <f ca="1">LOOKUP(C246,'Growth Pattern'!B$15:B$376,'Growth Pattern'!E$15:E$368)-(LOOKUP(C246,'Growth Pattern'!B$15:B$376,'Growth Pattern'!H$15:H$368)*LOOKUP(C246,'Growth Pattern'!B$15:B$376,'Growth Pattern'!I$15:I$368)/100)</f>
        <v>52.65</v>
      </c>
      <c r="H246" s="509">
        <f ca="1">LOOKUP(C246,'Growth Pattern'!B$15:B$376,'Growth Pattern'!F$15:F$368)-(LOOKUP(C246,'Growth Pattern'!B$15:B$376,'Growth Pattern'!I$15:I$368)*LOOKUP(C246,'Growth Pattern'!B$15:B$376,'Growth Pattern'!H$15:H$368)/100)</f>
        <v>25.1</v>
      </c>
      <c r="I246" s="509">
        <f ca="1">LOOKUP(C246,'Growth Pattern'!B$15:B$376,'Growth Pattern'!G$15:G$368)-(LOOKUP(C246,'Growth Pattern'!B$15:B$376,'Growth Pattern'!H$15:H$368)*LOOKUP(C246,'Growth Pattern'!B$15:B$376,'Growth Pattern'!I$15:I$368)/100)</f>
        <v>25.1</v>
      </c>
      <c r="J246" s="510">
        <f t="shared" ca="1" si="10"/>
        <v>1057.9079450493052</v>
      </c>
      <c r="K246" s="511">
        <f ca="1">LOOKUP(C246,'Growth Pattern'!B$15:B$376,'Growth Pattern'!H$15:H$368)</f>
        <v>96.5</v>
      </c>
      <c r="L246" s="512">
        <f t="shared" ca="1" si="11"/>
        <v>-0.9087822334149287</v>
      </c>
      <c r="M246" s="513" t="e">
        <f>LN('Growth Pattern'!F259/'Growth Pattern'!D259)/2</f>
        <v>#DIV/0!</v>
      </c>
      <c r="N246" s="523"/>
      <c r="O246" s="528"/>
    </row>
    <row r="247" spans="1:15" x14ac:dyDescent="0.25">
      <c r="A247" s="516">
        <v>2.6180642479505618</v>
      </c>
      <c r="B247" s="516">
        <v>0.18</v>
      </c>
      <c r="C247" s="516" t="s">
        <v>4007</v>
      </c>
      <c r="D247" s="507">
        <v>0.283749672274208</v>
      </c>
      <c r="E247" s="508">
        <f t="shared" si="9"/>
        <v>7.2686221487856098E-2</v>
      </c>
      <c r="F247" s="509">
        <f ca="1">LOOKUP(C247,'Growth Pattern'!B$15:B$376,'Growth Pattern'!D$15:D$368)-(LOOKUP(C247,'Growth Pattern'!B$15:B$376,'Growth Pattern'!H$15:H$368)*LOOKUP(C247,'Growth Pattern'!B$15:B$376,'Growth Pattern'!I$15:I$368)/100)</f>
        <v>5.39</v>
      </c>
      <c r="G247" s="509">
        <f ca="1">LOOKUP(C247,'Growth Pattern'!B$15:B$376,'Growth Pattern'!E$15:E$368)-(LOOKUP(C247,'Growth Pattern'!B$15:B$376,'Growth Pattern'!H$15:H$368)*LOOKUP(C247,'Growth Pattern'!B$15:B$376,'Growth Pattern'!I$15:I$368)/100)</f>
        <v>7.2</v>
      </c>
      <c r="H247" s="509">
        <f ca="1">LOOKUP(C247,'Growth Pattern'!B$15:B$376,'Growth Pattern'!F$15:F$368)-(LOOKUP(C247,'Growth Pattern'!B$15:B$376,'Growth Pattern'!I$15:I$368)*LOOKUP(C247,'Growth Pattern'!B$15:B$376,'Growth Pattern'!H$15:H$368)/100)</f>
        <v>8.6999999999999993</v>
      </c>
      <c r="I247" s="509">
        <f ca="1">LOOKUP(C247,'Growth Pattern'!B$15:B$376,'Growth Pattern'!G$15:G$368)-(LOOKUP(C247,'Growth Pattern'!B$15:B$376,'Growth Pattern'!H$15:H$368)*LOOKUP(C247,'Growth Pattern'!B$15:B$376,'Growth Pattern'!I$15:I$368)/100)</f>
        <v>9.889999999999997</v>
      </c>
      <c r="J247" s="510">
        <f t="shared" ca="1" si="10"/>
        <v>-1075.8975110555282</v>
      </c>
      <c r="K247" s="511">
        <f ca="1">LOOKUP(C247,'Growth Pattern'!B$15:B$376,'Growth Pattern'!H$15:H$368)</f>
        <v>134.15</v>
      </c>
      <c r="L247" s="512">
        <f t="shared" ca="1" si="11"/>
        <v>-1.1246865975815763</v>
      </c>
      <c r="M247" s="513">
        <f>LN('Growth Pattern'!F260/'Growth Pattern'!D260)/2</f>
        <v>0.2393888203698161</v>
      </c>
      <c r="N247" s="523"/>
      <c r="O247" s="528"/>
    </row>
    <row r="248" spans="1:15" x14ac:dyDescent="0.25">
      <c r="A248" s="506">
        <v>1.6609220221725185</v>
      </c>
      <c r="B248" s="506">
        <v>0.22440745565023532</v>
      </c>
      <c r="C248" s="506" t="s">
        <v>1387</v>
      </c>
      <c r="D248" s="507">
        <v>0.12032093700123445</v>
      </c>
      <c r="E248" s="508">
        <f t="shared" si="9"/>
        <v>5.8467921519107402E-2</v>
      </c>
      <c r="F248" s="509">
        <f ca="1">LOOKUP(C248,'Growth Pattern'!B$15:B$376,'Growth Pattern'!D$15:D$368)-(LOOKUP(C248,'Growth Pattern'!B$15:B$376,'Growth Pattern'!H$15:H$368)*LOOKUP(C248,'Growth Pattern'!B$15:B$376,'Growth Pattern'!I$15:I$368)/100)</f>
        <v>54.69</v>
      </c>
      <c r="G248" s="509">
        <f ca="1">LOOKUP(C248,'Growth Pattern'!B$15:B$376,'Growth Pattern'!E$15:E$368)-(LOOKUP(C248,'Growth Pattern'!B$15:B$376,'Growth Pattern'!H$15:H$368)*LOOKUP(C248,'Growth Pattern'!B$15:B$376,'Growth Pattern'!I$15:I$368)/100)</f>
        <v>62.75</v>
      </c>
      <c r="H248" s="509">
        <f ca="1">LOOKUP(C248,'Growth Pattern'!B$15:B$376,'Growth Pattern'!F$15:F$368)-(LOOKUP(C248,'Growth Pattern'!B$15:B$376,'Growth Pattern'!I$15:I$368)*LOOKUP(C248,'Growth Pattern'!B$15:B$376,'Growth Pattern'!H$15:H$368)/100)</f>
        <v>73.599999999999994</v>
      </c>
      <c r="I248" s="509">
        <f ca="1">LOOKUP(C248,'Growth Pattern'!B$15:B$376,'Growth Pattern'!G$15:G$368)-(LOOKUP(C248,'Growth Pattern'!B$15:B$376,'Growth Pattern'!H$15:H$368)*LOOKUP(C248,'Growth Pattern'!B$15:B$376,'Growth Pattern'!I$15:I$368)/100)</f>
        <v>87.239999999999981</v>
      </c>
      <c r="J248" s="510">
        <f t="shared" ca="1" si="10"/>
        <v>-3236.9520867863575</v>
      </c>
      <c r="K248" s="511">
        <f ca="1">LOOKUP(C248,'Growth Pattern'!B$15:B$376,'Growth Pattern'!H$15:H$368)</f>
        <v>1295.2</v>
      </c>
      <c r="L248" s="512">
        <f t="shared" ca="1" si="11"/>
        <v>-1.4001294938183262</v>
      </c>
      <c r="M248" s="513">
        <f>LN('Growth Pattern'!F261/'Growth Pattern'!D261)/2</f>
        <v>0.14848207418807455</v>
      </c>
      <c r="N248" s="523"/>
      <c r="O248" s="528"/>
    </row>
    <row r="249" spans="1:15" x14ac:dyDescent="0.25">
      <c r="A249" s="516">
        <v>3.6472822007622594</v>
      </c>
      <c r="B249" s="516">
        <v>0.09</v>
      </c>
      <c r="C249" s="516" t="s">
        <v>1805</v>
      </c>
      <c r="D249" s="507">
        <v>0.4273465402829677</v>
      </c>
      <c r="E249" s="508">
        <f t="shared" si="9"/>
        <v>8.5179149004618204E-2</v>
      </c>
      <c r="F249" s="509">
        <f ca="1">LOOKUP(C249,'Growth Pattern'!B$15:B$376,'Growth Pattern'!D$15:D$368)-(LOOKUP(C249,'Growth Pattern'!B$15:B$376,'Growth Pattern'!H$15:H$368)*LOOKUP(C249,'Growth Pattern'!B$15:B$376,'Growth Pattern'!I$15:I$368)/100)</f>
        <v>-7.9947600000000003</v>
      </c>
      <c r="G249" s="509">
        <f ca="1">LOOKUP(C249,'Growth Pattern'!B$15:B$376,'Growth Pattern'!E$15:E$368)-(LOOKUP(C249,'Growth Pattern'!B$15:B$376,'Growth Pattern'!H$15:H$368)*LOOKUP(C249,'Growth Pattern'!B$15:B$376,'Growth Pattern'!I$15:I$368)/100)</f>
        <v>142.20523999999997</v>
      </c>
      <c r="H249" s="509">
        <f ca="1">LOOKUP(C249,'Growth Pattern'!B$15:B$376,'Growth Pattern'!F$15:F$368)-(LOOKUP(C249,'Growth Pattern'!B$15:B$376,'Growth Pattern'!I$15:I$368)*LOOKUP(C249,'Growth Pattern'!B$15:B$376,'Growth Pattern'!H$15:H$368)/100)</f>
        <v>129.70523999999997</v>
      </c>
      <c r="I249" s="509">
        <f ca="1">LOOKUP(C249,'Growth Pattern'!B$15:B$376,'Growth Pattern'!G$15:G$368)-(LOOKUP(C249,'Growth Pattern'!B$15:B$376,'Growth Pattern'!H$15:H$368)*LOOKUP(C249,'Growth Pattern'!B$15:B$376,'Growth Pattern'!I$15:I$368)/100)</f>
        <v>129.70523999999997</v>
      </c>
      <c r="J249" s="510">
        <f t="shared" ca="1" si="10"/>
        <v>19830.425485978016</v>
      </c>
      <c r="K249" s="511">
        <f ca="1">LOOKUP(C249,'Growth Pattern'!B$15:B$376,'Growth Pattern'!H$15:H$368)</f>
        <v>195.95</v>
      </c>
      <c r="L249" s="512">
        <f t="shared" ca="1" si="11"/>
        <v>-0.99011871933163731</v>
      </c>
      <c r="M249" s="513" t="e">
        <f>LN('Growth Pattern'!F262/'Growth Pattern'!D262)/2</f>
        <v>#DIV/0!</v>
      </c>
      <c r="N249" s="523"/>
      <c r="O249" s="528"/>
    </row>
    <row r="250" spans="1:15" x14ac:dyDescent="0.25">
      <c r="A250" s="516">
        <v>4.2318499050235792</v>
      </c>
      <c r="B250" s="516">
        <v>0.15</v>
      </c>
      <c r="C250" s="516" t="s">
        <v>4725</v>
      </c>
      <c r="D250" s="507">
        <v>0.51437259437045313</v>
      </c>
      <c r="E250" s="508">
        <f t="shared" si="9"/>
        <v>9.2750415710229434E-2</v>
      </c>
      <c r="F250" s="509">
        <f ca="1">LOOKUP(C250,'Growth Pattern'!B$15:B$376,'Growth Pattern'!D$15:D$368)-(LOOKUP(C250,'Growth Pattern'!B$15:B$376,'Growth Pattern'!H$15:H$368)*LOOKUP(C250,'Growth Pattern'!B$15:B$376,'Growth Pattern'!I$15:I$368)/100)</f>
        <v>15.34</v>
      </c>
      <c r="G250" s="509">
        <f ca="1">LOOKUP(C250,'Growth Pattern'!B$15:B$376,'Growth Pattern'!E$15:E$368)-(LOOKUP(C250,'Growth Pattern'!B$15:B$376,'Growth Pattern'!H$15:H$368)*LOOKUP(C250,'Growth Pattern'!B$15:B$376,'Growth Pattern'!I$15:I$368)/100)</f>
        <v>20.059999999999999</v>
      </c>
      <c r="H250" s="509">
        <f ca="1">LOOKUP(C250,'Growth Pattern'!B$15:B$376,'Growth Pattern'!F$15:F$368)-(LOOKUP(C250,'Growth Pattern'!B$15:B$376,'Growth Pattern'!I$15:I$368)*LOOKUP(C250,'Growth Pattern'!B$15:B$376,'Growth Pattern'!H$15:H$368)/100)</f>
        <v>22.2</v>
      </c>
      <c r="I250" s="509">
        <f ca="1">LOOKUP(C250,'Growth Pattern'!B$15:B$376,'Growth Pattern'!G$15:G$368)-(LOOKUP(C250,'Growth Pattern'!B$15:B$376,'Growth Pattern'!H$15:H$368)*LOOKUP(C250,'Growth Pattern'!B$15:B$376,'Growth Pattern'!I$15:I$368)/100)</f>
        <v>22.2</v>
      </c>
      <c r="J250" s="510">
        <f t="shared" ca="1" si="10"/>
        <v>1386.6261933860421</v>
      </c>
      <c r="K250" s="511">
        <f ca="1">LOOKUP(C250,'Growth Pattern'!B$15:B$376,'Growth Pattern'!H$15:H$368)</f>
        <v>191.7</v>
      </c>
      <c r="L250" s="512">
        <f t="shared" ca="1" si="11"/>
        <v>-0.8617507725482364</v>
      </c>
      <c r="M250" s="513">
        <f>LN('Growth Pattern'!F263/'Growth Pattern'!D263)/2</f>
        <v>0.18481424646956179</v>
      </c>
      <c r="N250" s="523"/>
      <c r="O250" s="528"/>
    </row>
    <row r="251" spans="1:15" x14ac:dyDescent="0.25">
      <c r="A251" s="516">
        <v>2.8807425546813779</v>
      </c>
      <c r="B251" s="516"/>
      <c r="C251" s="516" t="s">
        <v>4011</v>
      </c>
      <c r="D251" s="507">
        <v>-1.5448958762023504E-2</v>
      </c>
      <c r="E251" s="508">
        <f t="shared" si="9"/>
        <v>4.6655940587703955E-2</v>
      </c>
      <c r="F251" s="509">
        <f ca="1">LOOKUP(C251,'Growth Pattern'!B$15:B$376,'Growth Pattern'!D$15:D$368)-(LOOKUP(C251,'Growth Pattern'!B$15:B$376,'Growth Pattern'!H$15:H$368)*LOOKUP(C251,'Growth Pattern'!B$15:B$376,'Growth Pattern'!I$15:I$368)/100)</f>
        <v>3.27</v>
      </c>
      <c r="G251" s="509">
        <f ca="1">LOOKUP(C251,'Growth Pattern'!B$15:B$376,'Growth Pattern'!E$15:E$368)-(LOOKUP(C251,'Growth Pattern'!B$15:B$376,'Growth Pattern'!H$15:H$368)*LOOKUP(C251,'Growth Pattern'!B$15:B$376,'Growth Pattern'!I$15:I$368)/100)</f>
        <v>4.2</v>
      </c>
      <c r="H251" s="509">
        <f ca="1">LOOKUP(C251,'Growth Pattern'!B$15:B$376,'Growth Pattern'!F$15:F$368)-(LOOKUP(C251,'Growth Pattern'!B$15:B$376,'Growth Pattern'!I$15:I$368)*LOOKUP(C251,'Growth Pattern'!B$15:B$376,'Growth Pattern'!H$15:H$368)/100)</f>
        <v>5.0999999999999996</v>
      </c>
      <c r="I251" s="509">
        <f ca="1">LOOKUP(C251,'Growth Pattern'!B$15:B$376,'Growth Pattern'!G$15:G$368)-(LOOKUP(C251,'Growth Pattern'!B$15:B$376,'Growth Pattern'!H$15:H$368)*LOOKUP(C251,'Growth Pattern'!B$15:B$376,'Growth Pattern'!I$15:I$368)/100)</f>
        <v>5.9699999999999989</v>
      </c>
      <c r="J251" s="510">
        <f t="shared" ca="1" si="10"/>
        <v>-144.21249797140908</v>
      </c>
      <c r="K251" s="511">
        <f ca="1">LOOKUP(C251,'Growth Pattern'!B$15:B$376,'Growth Pattern'!H$15:H$368)</f>
        <v>85.05</v>
      </c>
      <c r="L251" s="512">
        <f t="shared" ca="1" si="11"/>
        <v>-1.5897547105581766</v>
      </c>
      <c r="M251" s="513">
        <f>LN('Growth Pattern'!F264/'Growth Pattern'!D264)/2</f>
        <v>0.22222527741055903</v>
      </c>
      <c r="N251" s="523"/>
      <c r="O251" s="528"/>
    </row>
    <row r="252" spans="1:15" x14ac:dyDescent="0.25">
      <c r="A252" s="537">
        <v>3.591947909715361</v>
      </c>
      <c r="B252" s="537">
        <v>0.04</v>
      </c>
      <c r="C252" s="537" t="s">
        <v>1806</v>
      </c>
      <c r="D252" s="507">
        <v>0.93732335919715282</v>
      </c>
      <c r="E252" s="508">
        <f t="shared" si="9"/>
        <v>0.1295471322501523</v>
      </c>
      <c r="F252" s="509">
        <f ca="1">LOOKUP(C252,'Growth Pattern'!B$15:B$376,'Growth Pattern'!D$15:D$368)-(LOOKUP(C252,'Growth Pattern'!B$15:B$376,'Growth Pattern'!H$15:H$368)*LOOKUP(C252,'Growth Pattern'!B$15:B$376,'Growth Pattern'!I$15:I$368)/100)</f>
        <v>0</v>
      </c>
      <c r="G252" s="509">
        <f ca="1">LOOKUP(C252,'Growth Pattern'!B$15:B$376,'Growth Pattern'!E$15:E$368)-(LOOKUP(C252,'Growth Pattern'!B$15:B$376,'Growth Pattern'!H$15:H$368)*LOOKUP(C252,'Growth Pattern'!B$15:B$376,'Growth Pattern'!I$15:I$368)/100)</f>
        <v>0</v>
      </c>
      <c r="H252" s="509">
        <f ca="1">LOOKUP(C252,'Growth Pattern'!B$15:B$376,'Growth Pattern'!F$15:F$368)-(LOOKUP(C252,'Growth Pattern'!B$15:B$376,'Growth Pattern'!I$15:I$368)*LOOKUP(C252,'Growth Pattern'!B$15:B$376,'Growth Pattern'!H$15:H$368)/100)</f>
        <v>0</v>
      </c>
      <c r="I252" s="509">
        <f ca="1">LOOKUP(C252,'Growth Pattern'!B$15:B$376,'Growth Pattern'!G$15:G$368)-(LOOKUP(C252,'Growth Pattern'!B$15:B$376,'Growth Pattern'!H$15:H$368)*LOOKUP(C252,'Growth Pattern'!B$15:B$376,'Growth Pattern'!I$15:I$368)/100)</f>
        <v>0</v>
      </c>
      <c r="J252" s="510">
        <f t="shared" ca="1" si="10"/>
        <v>0</v>
      </c>
      <c r="K252" s="511">
        <f ca="1">LOOKUP(C252,'Growth Pattern'!B$15:B$376,'Growth Pattern'!H$15:H$368)</f>
        <v>11.6</v>
      </c>
      <c r="L252" s="512" t="e">
        <f t="shared" ca="1" si="11"/>
        <v>#DIV/0!</v>
      </c>
      <c r="M252" s="513" t="e">
        <f>LN('Growth Pattern'!F265/'Growth Pattern'!D265)/2</f>
        <v>#DIV/0!</v>
      </c>
      <c r="N252" s="523"/>
      <c r="O252" s="528"/>
    </row>
    <row r="253" spans="1:15" x14ac:dyDescent="0.25">
      <c r="A253" s="516">
        <v>2.7418003911502016</v>
      </c>
      <c r="B253" s="516"/>
      <c r="C253" s="516" t="s">
        <v>236</v>
      </c>
      <c r="D253" s="507">
        <v>0.23977280085630581</v>
      </c>
      <c r="E253" s="508">
        <f t="shared" si="9"/>
        <v>6.8860233674498617E-2</v>
      </c>
      <c r="F253" s="509">
        <f ca="1">LOOKUP(C253,'Growth Pattern'!B$15:B$376,'Growth Pattern'!D$15:D$368)-(LOOKUP(C253,'Growth Pattern'!B$15:B$376,'Growth Pattern'!H$15:H$368)*LOOKUP(C253,'Growth Pattern'!B$15:B$376,'Growth Pattern'!I$15:I$368)/100)</f>
        <v>-0.40364999999999995</v>
      </c>
      <c r="G253" s="509">
        <f ca="1">LOOKUP(C253,'Growth Pattern'!B$15:B$376,'Growth Pattern'!E$15:E$368)-(LOOKUP(C253,'Growth Pattern'!B$15:B$376,'Growth Pattern'!H$15:H$368)*LOOKUP(C253,'Growth Pattern'!B$15:B$376,'Growth Pattern'!I$15:I$368)/100)</f>
        <v>-0.40364999999999995</v>
      </c>
      <c r="H253" s="509">
        <f ca="1">LOOKUP(C253,'Growth Pattern'!B$15:B$376,'Growth Pattern'!F$15:F$368)-(LOOKUP(C253,'Growth Pattern'!B$15:B$376,'Growth Pattern'!I$15:I$368)*LOOKUP(C253,'Growth Pattern'!B$15:B$376,'Growth Pattern'!H$15:H$368)/100)</f>
        <v>-0.40364999999999995</v>
      </c>
      <c r="I253" s="509">
        <f ca="1">LOOKUP(C253,'Growth Pattern'!B$15:B$376,'Growth Pattern'!G$15:G$368)-(LOOKUP(C253,'Growth Pattern'!B$15:B$376,'Growth Pattern'!H$15:H$368)*LOOKUP(C253,'Growth Pattern'!B$15:B$376,'Growth Pattern'!I$15:I$368)/100)</f>
        <v>-0.40364999999999995</v>
      </c>
      <c r="J253" s="510">
        <f t="shared" ca="1" si="10"/>
        <v>28.538707304046525</v>
      </c>
      <c r="K253" s="511">
        <f ca="1">LOOKUP(C253,'Growth Pattern'!B$15:B$376,'Growth Pattern'!H$15:H$368)</f>
        <v>19.5</v>
      </c>
      <c r="L253" s="512">
        <f t="shared" ca="1" si="11"/>
        <v>-0.31671747454254595</v>
      </c>
      <c r="M253" s="513" t="e">
        <f>LN('Growth Pattern'!F266/'Growth Pattern'!D266)/2</f>
        <v>#DIV/0!</v>
      </c>
      <c r="N253" s="523"/>
      <c r="O253" s="528"/>
    </row>
    <row r="254" spans="1:15" x14ac:dyDescent="0.25">
      <c r="A254" s="516">
        <v>3.4408917486931347</v>
      </c>
      <c r="B254" s="516"/>
      <c r="C254" s="543" t="s">
        <v>1810</v>
      </c>
      <c r="D254" s="507">
        <v>0.29463166871230795</v>
      </c>
      <c r="E254" s="508">
        <f t="shared" si="9"/>
        <v>7.3632955177970791E-2</v>
      </c>
      <c r="F254" s="509">
        <f ca="1">LOOKUP(C254,'Growth Pattern'!B$15:B$376,'Growth Pattern'!D$15:D$368)-(LOOKUP(C254,'Growth Pattern'!B$15:B$376,'Growth Pattern'!H$15:H$368)*LOOKUP(C254,'Growth Pattern'!B$15:B$376,'Growth Pattern'!I$15:I$368)/100)</f>
        <v>0</v>
      </c>
      <c r="G254" s="509">
        <f ca="1">LOOKUP(C254,'Growth Pattern'!B$15:B$376,'Growth Pattern'!E$15:E$368)-(LOOKUP(C254,'Growth Pattern'!B$15:B$376,'Growth Pattern'!H$15:H$368)*LOOKUP(C254,'Growth Pattern'!B$15:B$376,'Growth Pattern'!I$15:I$368)/100)</f>
        <v>22.91</v>
      </c>
      <c r="H254" s="509">
        <f ca="1">LOOKUP(C254,'Growth Pattern'!B$15:B$376,'Growth Pattern'!F$15:F$368)-(LOOKUP(C254,'Growth Pattern'!B$15:B$376,'Growth Pattern'!I$15:I$368)*LOOKUP(C254,'Growth Pattern'!B$15:B$376,'Growth Pattern'!H$15:H$368)/100)</f>
        <v>24.5</v>
      </c>
      <c r="I254" s="509">
        <f ca="1">LOOKUP(C254,'Growth Pattern'!B$15:B$376,'Growth Pattern'!G$15:G$368)-(LOOKUP(C254,'Growth Pattern'!B$15:B$376,'Growth Pattern'!H$15:H$368)*LOOKUP(C254,'Growth Pattern'!B$15:B$376,'Growth Pattern'!I$15:I$368)/100)</f>
        <v>24.5</v>
      </c>
      <c r="J254" s="510">
        <f t="shared" ca="1" si="10"/>
        <v>-3066.6925973493335</v>
      </c>
      <c r="K254" s="511">
        <f ca="1">LOOKUP(C254,'Growth Pattern'!B$15:B$376,'Growth Pattern'!H$15:H$368)</f>
        <v>129.35</v>
      </c>
      <c r="L254" s="512">
        <f t="shared" ca="1" si="11"/>
        <v>-1.0421789911749884</v>
      </c>
      <c r="M254" s="513" t="e">
        <f>LN('Growth Pattern'!F267/'Growth Pattern'!D267)/2</f>
        <v>#DIV/0!</v>
      </c>
      <c r="N254" s="523"/>
      <c r="O254" s="528"/>
    </row>
    <row r="255" spans="1:15" x14ac:dyDescent="0.25">
      <c r="A255" s="516">
        <v>4.9026159388031418</v>
      </c>
      <c r="B255" s="516"/>
      <c r="C255" s="516" t="s">
        <v>1811</v>
      </c>
      <c r="D255" s="507">
        <v>0.3476083361596724</v>
      </c>
      <c r="E255" s="508">
        <f t="shared" si="9"/>
        <v>7.8241925245891505E-2</v>
      </c>
      <c r="F255" s="509">
        <f ca="1">LOOKUP(C255,'Growth Pattern'!B$15:B$376,'Growth Pattern'!D$15:D$368)-(LOOKUP(C255,'Growth Pattern'!B$15:B$376,'Growth Pattern'!H$15:H$368)*LOOKUP(C255,'Growth Pattern'!B$15:B$376,'Growth Pattern'!I$15:I$368)/100)</f>
        <v>0</v>
      </c>
      <c r="G255" s="509">
        <f ca="1">LOOKUP(C255,'Growth Pattern'!B$15:B$376,'Growth Pattern'!E$15:E$368)-(LOOKUP(C255,'Growth Pattern'!B$15:B$376,'Growth Pattern'!H$15:H$368)*LOOKUP(C255,'Growth Pattern'!B$15:B$376,'Growth Pattern'!I$15:I$368)/100)</f>
        <v>0</v>
      </c>
      <c r="H255" s="509">
        <f ca="1">LOOKUP(C255,'Growth Pattern'!B$15:B$376,'Growth Pattern'!F$15:F$368)-(LOOKUP(C255,'Growth Pattern'!B$15:B$376,'Growth Pattern'!I$15:I$368)*LOOKUP(C255,'Growth Pattern'!B$15:B$376,'Growth Pattern'!H$15:H$368)/100)</f>
        <v>0</v>
      </c>
      <c r="I255" s="509">
        <f ca="1">LOOKUP(C255,'Growth Pattern'!B$15:B$376,'Growth Pattern'!G$15:G$368)-(LOOKUP(C255,'Growth Pattern'!B$15:B$376,'Growth Pattern'!H$15:H$368)*LOOKUP(C255,'Growth Pattern'!B$15:B$376,'Growth Pattern'!I$15:I$368)/100)</f>
        <v>0</v>
      </c>
      <c r="J255" s="510">
        <f t="shared" ca="1" si="10"/>
        <v>0</v>
      </c>
      <c r="K255" s="511">
        <f ca="1">LOOKUP(C255,'Growth Pattern'!B$15:B$376,'Growth Pattern'!H$15:H$368)</f>
        <v>36.049999999999997</v>
      </c>
      <c r="L255" s="512" t="e">
        <f t="shared" ca="1" si="11"/>
        <v>#DIV/0!</v>
      </c>
      <c r="M255" s="513" t="e">
        <f>LN('Growth Pattern'!F268/'Growth Pattern'!D268)/2</f>
        <v>#DIV/0!</v>
      </c>
      <c r="N255" s="523"/>
      <c r="O255" s="528"/>
    </row>
    <row r="256" spans="1:15" x14ac:dyDescent="0.25">
      <c r="A256" s="507">
        <v>2.2932451986874569</v>
      </c>
      <c r="B256" s="507"/>
      <c r="C256" s="507" t="s">
        <v>238</v>
      </c>
      <c r="D256" s="507">
        <v>0.57237371855029784</v>
      </c>
      <c r="E256" s="508">
        <f t="shared" si="9"/>
        <v>9.7796513513875916E-2</v>
      </c>
      <c r="F256" s="509">
        <f ca="1">LOOKUP(C256,'Growth Pattern'!B$15:B$376,'Growth Pattern'!D$15:D$368)-(LOOKUP(C256,'Growth Pattern'!B$15:B$376,'Growth Pattern'!H$15:H$368)*LOOKUP(C256,'Growth Pattern'!B$15:B$376,'Growth Pattern'!I$15:I$368)/100)</f>
        <v>32.921430000000001</v>
      </c>
      <c r="G256" s="509">
        <f ca="1">LOOKUP(C256,'Growth Pattern'!B$15:B$376,'Growth Pattern'!E$15:E$368)-(LOOKUP(C256,'Growth Pattern'!B$15:B$376,'Growth Pattern'!H$15:H$368)*LOOKUP(C256,'Growth Pattern'!B$15:B$376,'Growth Pattern'!I$15:I$368)/100)</f>
        <v>54.791430000000005</v>
      </c>
      <c r="H256" s="509">
        <f ca="1">LOOKUP(C256,'Growth Pattern'!B$15:B$376,'Growth Pattern'!F$15:F$368)-(LOOKUP(C256,'Growth Pattern'!B$15:B$376,'Growth Pattern'!I$15:I$368)*LOOKUP(C256,'Growth Pattern'!B$15:B$376,'Growth Pattern'!H$15:H$368)/100)</f>
        <v>63.14143</v>
      </c>
      <c r="I256" s="509">
        <f ca="1">LOOKUP(C256,'Growth Pattern'!B$15:B$376,'Growth Pattern'!G$15:G$368)-(LOOKUP(C256,'Growth Pattern'!B$15:B$376,'Growth Pattern'!H$15:H$368)*LOOKUP(C256,'Growth Pattern'!B$15:B$376,'Growth Pattern'!I$15:I$368)/100)</f>
        <v>63.14143</v>
      </c>
      <c r="J256" s="510">
        <f t="shared" ca="1" si="10"/>
        <v>2816.9476553496847</v>
      </c>
      <c r="K256" s="511">
        <f ca="1">LOOKUP(C256,'Growth Pattern'!B$15:B$376,'Growth Pattern'!H$15:H$368)</f>
        <v>1970.05</v>
      </c>
      <c r="L256" s="512">
        <f t="shared" ca="1" si="11"/>
        <v>-0.30064373178583409</v>
      </c>
      <c r="M256" s="513">
        <f>LN('Growth Pattern'!F269/'Growth Pattern'!D269)/2</f>
        <v>0.21773338270244025</v>
      </c>
      <c r="N256" s="523"/>
      <c r="O256" s="528"/>
    </row>
    <row r="257" spans="1:15" x14ac:dyDescent="0.25">
      <c r="A257" s="507">
        <v>2.231480684859219</v>
      </c>
      <c r="B257" s="507">
        <v>0.48</v>
      </c>
      <c r="C257" s="507" t="s">
        <v>1812</v>
      </c>
      <c r="D257" s="507">
        <v>0.22133669092146821</v>
      </c>
      <c r="E257" s="508">
        <f t="shared" si="9"/>
        <v>6.7256292110167731E-2</v>
      </c>
      <c r="F257" s="509">
        <f ca="1">LOOKUP(C257,'Growth Pattern'!B$15:B$376,'Growth Pattern'!D$15:D$368)-(LOOKUP(C257,'Growth Pattern'!B$15:B$376,'Growth Pattern'!H$15:H$368)*LOOKUP(C257,'Growth Pattern'!B$15:B$376,'Growth Pattern'!I$15:I$368)/100)</f>
        <v>24.75</v>
      </c>
      <c r="G257" s="509">
        <f ca="1">LOOKUP(C257,'Growth Pattern'!B$15:B$376,'Growth Pattern'!E$15:E$368)-(LOOKUP(C257,'Growth Pattern'!B$15:B$376,'Growth Pattern'!H$15:H$368)*LOOKUP(C257,'Growth Pattern'!B$15:B$376,'Growth Pattern'!I$15:I$368)/100)</f>
        <v>18.2</v>
      </c>
      <c r="H257" s="509">
        <f ca="1">LOOKUP(C257,'Growth Pattern'!B$15:B$376,'Growth Pattern'!F$15:F$368)-(LOOKUP(C257,'Growth Pattern'!B$15:B$376,'Growth Pattern'!I$15:I$368)*LOOKUP(C257,'Growth Pattern'!B$15:B$376,'Growth Pattern'!H$15:H$368)/100)</f>
        <v>20.04</v>
      </c>
      <c r="I257" s="509">
        <f ca="1">LOOKUP(C257,'Growth Pattern'!B$15:B$376,'Growth Pattern'!G$15:G$368)-(LOOKUP(C257,'Growth Pattern'!B$15:B$376,'Growth Pattern'!H$15:H$368)*LOOKUP(C257,'Growth Pattern'!B$15:B$376,'Growth Pattern'!I$15:I$368)/100)</f>
        <v>30.270000000000017</v>
      </c>
      <c r="J257" s="510">
        <f t="shared" ca="1" si="10"/>
        <v>-1894.5395811543265</v>
      </c>
      <c r="K257" s="511">
        <f ca="1">LOOKUP(C257,'Growth Pattern'!B$15:B$376,'Growth Pattern'!H$15:H$368)</f>
        <v>72.150000000000006</v>
      </c>
      <c r="L257" s="512">
        <f t="shared" ca="1" si="11"/>
        <v>-1.0380831314994432</v>
      </c>
      <c r="M257" s="513">
        <f>LN('Growth Pattern'!F270/'Growth Pattern'!D270)/2</f>
        <v>-0.10554760639901763</v>
      </c>
      <c r="N257" s="523"/>
      <c r="O257" s="528"/>
    </row>
    <row r="258" spans="1:15" x14ac:dyDescent="0.25">
      <c r="A258" s="516">
        <v>1.7920279356560334</v>
      </c>
      <c r="B258" s="516">
        <v>0.32</v>
      </c>
      <c r="C258" s="516" t="s">
        <v>2280</v>
      </c>
      <c r="D258" s="507">
        <v>0.3997516930071785</v>
      </c>
      <c r="E258" s="508">
        <f t="shared" ref="E258:E321" si="12">$O$12+D258*($P$13-$O$12)</f>
        <v>8.2778397291624534E-2</v>
      </c>
      <c r="F258" s="509">
        <f ca="1">LOOKUP(C258,'Growth Pattern'!B$15:B$376,'Growth Pattern'!D$15:D$368)-(LOOKUP(C258,'Growth Pattern'!B$15:B$376,'Growth Pattern'!H$15:H$368)*LOOKUP(C258,'Growth Pattern'!B$15:B$376,'Growth Pattern'!I$15:I$368)/100)</f>
        <v>119.01</v>
      </c>
      <c r="G258" s="509">
        <f ca="1">LOOKUP(C258,'Growth Pattern'!B$15:B$376,'Growth Pattern'!E$15:E$368)-(LOOKUP(C258,'Growth Pattern'!B$15:B$376,'Growth Pattern'!H$15:H$368)*LOOKUP(C258,'Growth Pattern'!B$15:B$376,'Growth Pattern'!I$15:I$368)/100)</f>
        <v>139.85</v>
      </c>
      <c r="H258" s="509">
        <f ca="1">LOOKUP(C258,'Growth Pattern'!B$15:B$376,'Growth Pattern'!F$15:F$368)-(LOOKUP(C258,'Growth Pattern'!B$15:B$376,'Growth Pattern'!I$15:I$368)*LOOKUP(C258,'Growth Pattern'!B$15:B$376,'Growth Pattern'!H$15:H$368)/100)</f>
        <v>171.1</v>
      </c>
      <c r="I258" s="509">
        <f ca="1">LOOKUP(C258,'Growth Pattern'!B$15:B$376,'Growth Pattern'!G$15:G$368)-(LOOKUP(C258,'Growth Pattern'!B$15:B$376,'Growth Pattern'!H$15:H$368)*LOOKUP(C258,'Growth Pattern'!B$15:B$376,'Growth Pattern'!I$15:I$368)/100)</f>
        <v>212.76000000000005</v>
      </c>
      <c r="J258" s="510">
        <f t="shared" ref="J258:J321" ca="1" si="13">F258+G258/((1+E258)*(1+$O$15))+H258/((1+E258)^2)*((1+$O$15)^2)+(I258/(E258-$P$16))/((1+E258)^3)*((1+$O$15)^3)</f>
        <v>60716.267705097111</v>
      </c>
      <c r="K258" s="511">
        <f ca="1">LOOKUP(C258,'Growth Pattern'!B$15:B$376,'Growth Pattern'!H$15:H$368)</f>
        <v>1033.55</v>
      </c>
      <c r="L258" s="512">
        <f t="shared" ref="L258:L321" ca="1" si="14">(K258-J258)/J258</f>
        <v>-0.98297737922528405</v>
      </c>
      <c r="M258" s="513">
        <f>LN('Growth Pattern'!F271/'Growth Pattern'!D271)/2</f>
        <v>0.18152032885189961</v>
      </c>
      <c r="N258" s="523"/>
      <c r="O258" s="528"/>
    </row>
    <row r="259" spans="1:15" x14ac:dyDescent="0.25">
      <c r="A259" s="516">
        <v>2.8367233904740896</v>
      </c>
      <c r="B259" s="516"/>
      <c r="C259" s="516" t="s">
        <v>471</v>
      </c>
      <c r="D259" s="507">
        <v>0.48867953881139758</v>
      </c>
      <c r="E259" s="508">
        <f t="shared" si="12"/>
        <v>9.0515119876591596E-2</v>
      </c>
      <c r="F259" s="509">
        <f ca="1">LOOKUP(C259,'Growth Pattern'!B$15:B$376,'Growth Pattern'!D$15:D$368)-(LOOKUP(C259,'Growth Pattern'!B$15:B$376,'Growth Pattern'!H$15:H$368)*LOOKUP(C259,'Growth Pattern'!B$15:B$376,'Growth Pattern'!I$15:I$368)/100)</f>
        <v>6.4921899999999999</v>
      </c>
      <c r="G259" s="509">
        <f ca="1">LOOKUP(C259,'Growth Pattern'!B$15:B$376,'Growth Pattern'!E$15:E$368)-(LOOKUP(C259,'Growth Pattern'!B$15:B$376,'Growth Pattern'!H$15:H$368)*LOOKUP(C259,'Growth Pattern'!B$15:B$376,'Growth Pattern'!I$15:I$368)/100)</f>
        <v>2.4521899999999999</v>
      </c>
      <c r="H259" s="509">
        <f ca="1">LOOKUP(C259,'Growth Pattern'!B$15:B$376,'Growth Pattern'!F$15:F$368)-(LOOKUP(C259,'Growth Pattern'!B$15:B$376,'Growth Pattern'!I$15:I$368)*LOOKUP(C259,'Growth Pattern'!B$15:B$376,'Growth Pattern'!H$15:H$368)/100)</f>
        <v>5.5021900000000006</v>
      </c>
      <c r="I259" s="509">
        <f ca="1">LOOKUP(C259,'Growth Pattern'!B$15:B$376,'Growth Pattern'!G$15:G$368)-(LOOKUP(C259,'Growth Pattern'!B$15:B$376,'Growth Pattern'!H$15:H$368)*LOOKUP(C259,'Growth Pattern'!B$15:B$376,'Growth Pattern'!I$15:I$368)/100)</f>
        <v>15.64219000000001</v>
      </c>
      <c r="J259" s="510">
        <f t="shared" ca="1" si="13"/>
        <v>1160.4331487844229</v>
      </c>
      <c r="K259" s="511">
        <f ca="1">LOOKUP(C259,'Growth Pattern'!B$15:B$376,'Growth Pattern'!H$15:H$368)</f>
        <v>56.85</v>
      </c>
      <c r="L259" s="512">
        <f t="shared" ca="1" si="14"/>
        <v>-0.9510096725006939</v>
      </c>
      <c r="M259" s="513">
        <f>LN('Growth Pattern'!F272/'Growth Pattern'!D272)/2</f>
        <v>-8.0728209164996373E-2</v>
      </c>
      <c r="N259" s="523"/>
      <c r="O259" s="528"/>
    </row>
    <row r="260" spans="1:15" x14ac:dyDescent="0.25">
      <c r="A260" s="516">
        <v>6.6984009175759516</v>
      </c>
      <c r="B260" s="516"/>
      <c r="C260" s="516" t="s">
        <v>240</v>
      </c>
      <c r="D260" s="507">
        <v>0.31492065369100969</v>
      </c>
      <c r="E260" s="508">
        <f t="shared" si="12"/>
        <v>7.5398096871117842E-2</v>
      </c>
      <c r="F260" s="509">
        <f ca="1">LOOKUP(C260,'Growth Pattern'!B$15:B$376,'Growth Pattern'!D$15:D$368)-(LOOKUP(C260,'Growth Pattern'!B$15:B$376,'Growth Pattern'!H$15:H$368)*LOOKUP(C260,'Growth Pattern'!B$15:B$376,'Growth Pattern'!I$15:I$368)/100)</f>
        <v>0</v>
      </c>
      <c r="G260" s="509">
        <f ca="1">LOOKUP(C260,'Growth Pattern'!B$15:B$376,'Growth Pattern'!E$15:E$368)-(LOOKUP(C260,'Growth Pattern'!B$15:B$376,'Growth Pattern'!H$15:H$368)*LOOKUP(C260,'Growth Pattern'!B$15:B$376,'Growth Pattern'!I$15:I$368)/100)</f>
        <v>0</v>
      </c>
      <c r="H260" s="509">
        <f ca="1">LOOKUP(C260,'Growth Pattern'!B$15:B$376,'Growth Pattern'!F$15:F$368)-(LOOKUP(C260,'Growth Pattern'!B$15:B$376,'Growth Pattern'!I$15:I$368)*LOOKUP(C260,'Growth Pattern'!B$15:B$376,'Growth Pattern'!H$15:H$368)/100)</f>
        <v>0</v>
      </c>
      <c r="I260" s="509">
        <f ca="1">LOOKUP(C260,'Growth Pattern'!B$15:B$376,'Growth Pattern'!G$15:G$368)-(LOOKUP(C260,'Growth Pattern'!B$15:B$376,'Growth Pattern'!H$15:H$368)*LOOKUP(C260,'Growth Pattern'!B$15:B$376,'Growth Pattern'!I$15:I$368)/100)</f>
        <v>0</v>
      </c>
      <c r="J260" s="510">
        <f t="shared" ca="1" si="13"/>
        <v>0</v>
      </c>
      <c r="K260" s="511">
        <f ca="1">LOOKUP(C260,'Growth Pattern'!B$15:B$376,'Growth Pattern'!H$15:H$368)</f>
        <v>95.5</v>
      </c>
      <c r="L260" s="512" t="e">
        <f t="shared" ca="1" si="14"/>
        <v>#DIV/0!</v>
      </c>
      <c r="M260" s="513" t="e">
        <f>LN('Growth Pattern'!F273/'Growth Pattern'!D273)/2</f>
        <v>#DIV/0!</v>
      </c>
      <c r="N260" s="523"/>
      <c r="O260" s="528"/>
    </row>
    <row r="261" spans="1:15" x14ac:dyDescent="0.25">
      <c r="A261" s="516">
        <v>2.8007670305897912</v>
      </c>
      <c r="B261" s="516">
        <v>0.25</v>
      </c>
      <c r="C261" s="516" t="s">
        <v>242</v>
      </c>
      <c r="D261" s="507">
        <v>0.25437203082537674</v>
      </c>
      <c r="E261" s="508">
        <f t="shared" si="12"/>
        <v>7.0130366681807776E-2</v>
      </c>
      <c r="F261" s="509">
        <f ca="1">LOOKUP(C261,'Growth Pattern'!B$15:B$376,'Growth Pattern'!D$15:D$368)-(LOOKUP(C261,'Growth Pattern'!B$15:B$376,'Growth Pattern'!H$15:H$368)*LOOKUP(C261,'Growth Pattern'!B$15:B$376,'Growth Pattern'!I$15:I$368)/100)</f>
        <v>-0.42686999999999997</v>
      </c>
      <c r="G261" s="509">
        <f ca="1">LOOKUP(C261,'Growth Pattern'!B$15:B$376,'Growth Pattern'!E$15:E$368)-(LOOKUP(C261,'Growth Pattern'!B$15:B$376,'Growth Pattern'!H$15:H$368)*LOOKUP(C261,'Growth Pattern'!B$15:B$376,'Growth Pattern'!I$15:I$368)/100)</f>
        <v>4.2531300000000005</v>
      </c>
      <c r="H261" s="509">
        <f ca="1">LOOKUP(C261,'Growth Pattern'!B$15:B$376,'Growth Pattern'!F$15:F$368)-(LOOKUP(C261,'Growth Pattern'!B$15:B$376,'Growth Pattern'!I$15:I$368)*LOOKUP(C261,'Growth Pattern'!B$15:B$376,'Growth Pattern'!H$15:H$368)/100)</f>
        <v>8.7531300000000005</v>
      </c>
      <c r="I261" s="509">
        <f ca="1">LOOKUP(C261,'Growth Pattern'!B$15:B$376,'Growth Pattern'!G$15:G$368)-(LOOKUP(C261,'Growth Pattern'!B$15:B$376,'Growth Pattern'!H$15:H$368)*LOOKUP(C261,'Growth Pattern'!B$15:B$376,'Growth Pattern'!I$15:I$368)/100)</f>
        <v>13.073130000000003</v>
      </c>
      <c r="J261" s="510">
        <f t="shared" ca="1" si="13"/>
        <v>-1069.666649266627</v>
      </c>
      <c r="K261" s="511">
        <f ca="1">LOOKUP(C261,'Growth Pattern'!B$15:B$376,'Growth Pattern'!H$15:H$368)</f>
        <v>98.7</v>
      </c>
      <c r="L261" s="512">
        <f t="shared" ca="1" si="14"/>
        <v>-1.0922717372441868</v>
      </c>
      <c r="M261" s="513">
        <f>LN('Growth Pattern'!F274/'Growth Pattern'!D274)/2</f>
        <v>1.4196931015816485</v>
      </c>
      <c r="N261" s="523"/>
      <c r="O261" s="528"/>
    </row>
    <row r="262" spans="1:15" x14ac:dyDescent="0.25">
      <c r="A262" s="527">
        <v>1.8960980427007776</v>
      </c>
      <c r="B262" s="527">
        <v>0.28999999999999998</v>
      </c>
      <c r="C262" s="527" t="s">
        <v>1388</v>
      </c>
      <c r="D262" s="507">
        <v>-0.13854340574781546</v>
      </c>
      <c r="E262" s="508">
        <f t="shared" si="12"/>
        <v>3.5946723699940057E-2</v>
      </c>
      <c r="F262" s="509">
        <f ca="1">LOOKUP(C262,'Growth Pattern'!B$15:B$376,'Growth Pattern'!D$15:D$368)-(LOOKUP(C262,'Growth Pattern'!B$15:B$376,'Growth Pattern'!H$15:H$368)*LOOKUP(C262,'Growth Pattern'!B$15:B$376,'Growth Pattern'!I$15:I$368)/100)</f>
        <v>19.057000000000002</v>
      </c>
      <c r="G262" s="509">
        <f ca="1">LOOKUP(C262,'Growth Pattern'!B$15:B$376,'Growth Pattern'!E$15:E$368)-(LOOKUP(C262,'Growth Pattern'!B$15:B$376,'Growth Pattern'!H$15:H$368)*LOOKUP(C262,'Growth Pattern'!B$15:B$376,'Growth Pattern'!I$15:I$368)/100)</f>
        <v>25.707000000000001</v>
      </c>
      <c r="H262" s="509">
        <f ca="1">LOOKUP(C262,'Growth Pattern'!B$15:B$376,'Growth Pattern'!F$15:F$368)-(LOOKUP(C262,'Growth Pattern'!B$15:B$376,'Growth Pattern'!I$15:I$368)*LOOKUP(C262,'Growth Pattern'!B$15:B$376,'Growth Pattern'!H$15:H$368)/100)</f>
        <v>25.117000000000001</v>
      </c>
      <c r="I262" s="509">
        <f ca="1">LOOKUP(C262,'Growth Pattern'!B$15:B$376,'Growth Pattern'!G$15:G$368)-(LOOKUP(C262,'Growth Pattern'!B$15:B$376,'Growth Pattern'!H$15:H$368)*LOOKUP(C262,'Growth Pattern'!B$15:B$376,'Growth Pattern'!I$15:I$368)/100)</f>
        <v>25.117000000000001</v>
      </c>
      <c r="J262" s="510">
        <f t="shared" ca="1" si="13"/>
        <v>-445.55842957393793</v>
      </c>
      <c r="K262" s="511">
        <f ca="1">LOOKUP(C262,'Growth Pattern'!B$15:B$376,'Growth Pattern'!H$15:H$368)</f>
        <v>498.25</v>
      </c>
      <c r="L262" s="512">
        <f t="shared" ca="1" si="14"/>
        <v>-2.1182596196787209</v>
      </c>
      <c r="M262" s="513">
        <f>LN('Growth Pattern'!F275/'Growth Pattern'!D275)/2</f>
        <v>0.12650105169109188</v>
      </c>
      <c r="N262" s="523"/>
      <c r="O262" s="528"/>
    </row>
    <row r="263" spans="1:15" x14ac:dyDescent="0.25">
      <c r="A263" s="527">
        <v>2.4513944967892924</v>
      </c>
      <c r="B263" s="527">
        <v>0.05</v>
      </c>
      <c r="C263" s="527" t="s">
        <v>113</v>
      </c>
      <c r="D263" s="507">
        <v>0.95214289964041499</v>
      </c>
      <c r="E263" s="508">
        <f t="shared" si="12"/>
        <v>0.13083643226871611</v>
      </c>
      <c r="F263" s="509">
        <f ca="1">LOOKUP(C263,'Growth Pattern'!B$15:B$376,'Growth Pattern'!D$15:D$368)-(LOOKUP(C263,'Growth Pattern'!B$15:B$376,'Growth Pattern'!H$15:H$368)*LOOKUP(C263,'Growth Pattern'!B$15:B$376,'Growth Pattern'!I$15:I$368)/100)</f>
        <v>15.754</v>
      </c>
      <c r="G263" s="509">
        <f ca="1">LOOKUP(C263,'Growth Pattern'!B$15:B$376,'Growth Pattern'!E$15:E$368)-(LOOKUP(C263,'Growth Pattern'!B$15:B$376,'Growth Pattern'!H$15:H$368)*LOOKUP(C263,'Growth Pattern'!B$15:B$376,'Growth Pattern'!I$15:I$368)/100)</f>
        <v>15.953999999999999</v>
      </c>
      <c r="H263" s="509">
        <f ca="1">LOOKUP(C263,'Growth Pattern'!B$15:B$376,'Growth Pattern'!F$15:F$368)-(LOOKUP(C263,'Growth Pattern'!B$15:B$376,'Growth Pattern'!I$15:I$368)*LOOKUP(C263,'Growth Pattern'!B$15:B$376,'Growth Pattern'!H$15:H$368)/100)</f>
        <v>19.404</v>
      </c>
      <c r="I263" s="509">
        <f ca="1">LOOKUP(C263,'Growth Pattern'!B$15:B$376,'Growth Pattern'!G$15:G$368)-(LOOKUP(C263,'Growth Pattern'!B$15:B$376,'Growth Pattern'!H$15:H$368)*LOOKUP(C263,'Growth Pattern'!B$15:B$376,'Growth Pattern'!I$15:I$368)/100)</f>
        <v>26.10400000000001</v>
      </c>
      <c r="J263" s="510">
        <f t="shared" ca="1" si="13"/>
        <v>400.12108895891811</v>
      </c>
      <c r="K263" s="511">
        <f ca="1">LOOKUP(C263,'Growth Pattern'!B$15:B$376,'Growth Pattern'!H$15:H$368)</f>
        <v>120</v>
      </c>
      <c r="L263" s="512">
        <f t="shared" ca="1" si="14"/>
        <v>-0.70009078923525359</v>
      </c>
      <c r="M263" s="513">
        <f>LN('Growth Pattern'!F276/'Growth Pattern'!D276)/2</f>
        <v>9.2551599877915738E-2</v>
      </c>
      <c r="N263" s="523"/>
      <c r="O263" s="528"/>
    </row>
    <row r="264" spans="1:15" x14ac:dyDescent="0.25">
      <c r="A264" s="507">
        <v>3.5639836217575782</v>
      </c>
      <c r="B264" s="507">
        <v>0.06</v>
      </c>
      <c r="C264" s="507" t="s">
        <v>1389</v>
      </c>
      <c r="D264" s="507">
        <v>0.70560901470200643</v>
      </c>
      <c r="E264" s="508">
        <f t="shared" si="12"/>
        <v>0.10938798427907456</v>
      </c>
      <c r="F264" s="509">
        <f ca="1">LOOKUP(C264,'Growth Pattern'!B$15:B$376,'Growth Pattern'!D$15:D$368)-(LOOKUP(C264,'Growth Pattern'!B$15:B$376,'Growth Pattern'!H$15:H$368)*LOOKUP(C264,'Growth Pattern'!B$15:B$376,'Growth Pattern'!I$15:I$368)/100)</f>
        <v>3.4118200000000005</v>
      </c>
      <c r="G264" s="509">
        <f ca="1">LOOKUP(C264,'Growth Pattern'!B$15:B$376,'Growth Pattern'!E$15:E$368)-(LOOKUP(C264,'Growth Pattern'!B$15:B$376,'Growth Pattern'!H$15:H$368)*LOOKUP(C264,'Growth Pattern'!B$15:B$376,'Growth Pattern'!I$15:I$368)/100)</f>
        <v>21.301819999999999</v>
      </c>
      <c r="H264" s="509">
        <f ca="1">LOOKUP(C264,'Growth Pattern'!B$15:B$376,'Growth Pattern'!F$15:F$368)-(LOOKUP(C264,'Growth Pattern'!B$15:B$376,'Growth Pattern'!I$15:I$368)*LOOKUP(C264,'Growth Pattern'!B$15:B$376,'Growth Pattern'!H$15:H$368)/100)</f>
        <v>21.501819999999999</v>
      </c>
      <c r="I264" s="509">
        <f ca="1">LOOKUP(C264,'Growth Pattern'!B$15:B$376,'Growth Pattern'!G$15:G$368)-(LOOKUP(C264,'Growth Pattern'!B$15:B$376,'Growth Pattern'!H$15:H$368)*LOOKUP(C264,'Growth Pattern'!B$15:B$376,'Growth Pattern'!I$15:I$368)/100)</f>
        <v>21.501819999999999</v>
      </c>
      <c r="J264" s="510">
        <f t="shared" ca="1" si="13"/>
        <v>575.9484330897335</v>
      </c>
      <c r="K264" s="511">
        <f ca="1">LOOKUP(C264,'Growth Pattern'!B$15:B$376,'Growth Pattern'!H$15:H$368)</f>
        <v>344.2</v>
      </c>
      <c r="L264" s="512">
        <f t="shared" ca="1" si="14"/>
        <v>-0.40237705283178854</v>
      </c>
      <c r="M264" s="513">
        <f>LN('Growth Pattern'!F277/'Growth Pattern'!D277)/2</f>
        <v>0.81482030987580989</v>
      </c>
      <c r="N264" s="523"/>
      <c r="O264" s="528"/>
    </row>
    <row r="265" spans="1:15" x14ac:dyDescent="0.25">
      <c r="A265" s="527">
        <v>1.9872361276150148</v>
      </c>
      <c r="B265" s="527">
        <v>0.13</v>
      </c>
      <c r="C265" s="527" t="s">
        <v>474</v>
      </c>
      <c r="D265" s="507">
        <v>0.4840100159862063</v>
      </c>
      <c r="E265" s="508">
        <f t="shared" si="12"/>
        <v>9.0108871390799955E-2</v>
      </c>
      <c r="F265" s="509">
        <f ca="1">LOOKUP(C265,'Growth Pattern'!B$15:B$376,'Growth Pattern'!D$15:D$368)-(LOOKUP(C265,'Growth Pattern'!B$15:B$376,'Growth Pattern'!H$15:H$368)*LOOKUP(C265,'Growth Pattern'!B$15:B$376,'Growth Pattern'!I$15:I$368)/100)</f>
        <v>-0.30072000000000004</v>
      </c>
      <c r="G265" s="509">
        <f ca="1">LOOKUP(C265,'Growth Pattern'!B$15:B$376,'Growth Pattern'!E$15:E$368)-(LOOKUP(C265,'Growth Pattern'!B$15:B$376,'Growth Pattern'!H$15:H$368)*LOOKUP(C265,'Growth Pattern'!B$15:B$376,'Growth Pattern'!I$15:I$368)/100)</f>
        <v>2.4992799999999997</v>
      </c>
      <c r="H265" s="509">
        <f ca="1">LOOKUP(C265,'Growth Pattern'!B$15:B$376,'Growth Pattern'!F$15:F$368)-(LOOKUP(C265,'Growth Pattern'!B$15:B$376,'Growth Pattern'!I$15:I$368)*LOOKUP(C265,'Growth Pattern'!B$15:B$376,'Growth Pattern'!H$15:H$368)/100)</f>
        <v>3.4092799999999999</v>
      </c>
      <c r="I265" s="509">
        <f ca="1">LOOKUP(C265,'Growth Pattern'!B$15:B$376,'Growth Pattern'!G$15:G$368)-(LOOKUP(C265,'Growth Pattern'!B$15:B$376,'Growth Pattern'!H$15:H$368)*LOOKUP(C265,'Growth Pattern'!B$15:B$376,'Growth Pattern'!I$15:I$368)/100)</f>
        <v>3.4092799999999999</v>
      </c>
      <c r="J265" s="510">
        <f t="shared" ca="1" si="13"/>
        <v>265.20659916066774</v>
      </c>
      <c r="K265" s="511">
        <f ca="1">LOOKUP(C265,'Growth Pattern'!B$15:B$376,'Growth Pattern'!H$15:H$368)</f>
        <v>26.85</v>
      </c>
      <c r="L265" s="512">
        <f t="shared" ca="1" si="14"/>
        <v>-0.89875817538109715</v>
      </c>
      <c r="M265" s="513" t="e">
        <f>LN('Growth Pattern'!F278/'Growth Pattern'!D278)/2</f>
        <v>#DIV/0!</v>
      </c>
      <c r="N265" s="523"/>
      <c r="O265" s="528"/>
    </row>
    <row r="266" spans="1:15" x14ac:dyDescent="0.25">
      <c r="A266" s="527">
        <v>2.8938767231401008</v>
      </c>
      <c r="B266" s="527">
        <v>0.39</v>
      </c>
      <c r="C266" s="527" t="s">
        <v>1390</v>
      </c>
      <c r="D266" s="507">
        <v>0.2320168157244854</v>
      </c>
      <c r="E266" s="508">
        <f t="shared" si="12"/>
        <v>6.8185462968030242E-2</v>
      </c>
      <c r="F266" s="509">
        <f ca="1">LOOKUP(C266,'Growth Pattern'!B$15:B$376,'Growth Pattern'!D$15:D$368)-(LOOKUP(C266,'Growth Pattern'!B$15:B$376,'Growth Pattern'!H$15:H$368)*LOOKUP(C266,'Growth Pattern'!B$15:B$376,'Growth Pattern'!I$15:I$368)/100)</f>
        <v>20.942609999999998</v>
      </c>
      <c r="G266" s="509">
        <f ca="1">LOOKUP(C266,'Growth Pattern'!B$15:B$376,'Growth Pattern'!E$15:E$368)-(LOOKUP(C266,'Growth Pattern'!B$15:B$376,'Growth Pattern'!H$15:H$368)*LOOKUP(C266,'Growth Pattern'!B$15:B$376,'Growth Pattern'!I$15:I$368)/100)</f>
        <v>6.3526100000000003</v>
      </c>
      <c r="H266" s="509">
        <f ca="1">LOOKUP(C266,'Growth Pattern'!B$15:B$376,'Growth Pattern'!F$15:F$368)-(LOOKUP(C266,'Growth Pattern'!B$15:B$376,'Growth Pattern'!I$15:I$368)*LOOKUP(C266,'Growth Pattern'!B$15:B$376,'Growth Pattern'!H$15:H$368)/100)</f>
        <v>7.0526100000000005</v>
      </c>
      <c r="I266" s="509">
        <f ca="1">LOOKUP(C266,'Growth Pattern'!B$15:B$376,'Growth Pattern'!G$15:G$368)-(LOOKUP(C266,'Growth Pattern'!B$15:B$376,'Growth Pattern'!H$15:H$368)*LOOKUP(C266,'Growth Pattern'!B$15:B$376,'Growth Pattern'!I$15:I$368)/100)</f>
        <v>23.042610000000035</v>
      </c>
      <c r="J266" s="510">
        <f t="shared" ca="1" si="13"/>
        <v>-1567.131916651414</v>
      </c>
      <c r="K266" s="511">
        <f ca="1">LOOKUP(C266,'Growth Pattern'!B$15:B$376,'Growth Pattern'!H$15:H$368)</f>
        <v>83.9</v>
      </c>
      <c r="L266" s="512">
        <f t="shared" ca="1" si="14"/>
        <v>-1.053537292622611</v>
      </c>
      <c r="M266" s="513">
        <f>LN('Growth Pattern'!F279/'Growth Pattern'!D279)/2</f>
        <v>-0.50729419474177639</v>
      </c>
      <c r="N266" s="523"/>
      <c r="O266" s="528"/>
    </row>
    <row r="267" spans="1:15" x14ac:dyDescent="0.25">
      <c r="A267" s="527">
        <v>1.6159881834082661</v>
      </c>
      <c r="B267" s="527">
        <v>0.78</v>
      </c>
      <c r="C267" s="527" t="s">
        <v>1391</v>
      </c>
      <c r="D267" s="507">
        <v>0.31665852284847251</v>
      </c>
      <c r="E267" s="508">
        <f t="shared" si="12"/>
        <v>7.5549291487817111E-2</v>
      </c>
      <c r="F267" s="509">
        <f ca="1">LOOKUP(C267,'Growth Pattern'!B$15:B$376,'Growth Pattern'!D$15:D$368)-(LOOKUP(C267,'Growth Pattern'!B$15:B$376,'Growth Pattern'!H$15:H$368)*LOOKUP(C267,'Growth Pattern'!B$15:B$376,'Growth Pattern'!I$15:I$368)/100)</f>
        <v>45.368159999999996</v>
      </c>
      <c r="G267" s="509">
        <f ca="1">LOOKUP(C267,'Growth Pattern'!B$15:B$376,'Growth Pattern'!E$15:E$368)-(LOOKUP(C267,'Growth Pattern'!B$15:B$376,'Growth Pattern'!H$15:H$368)*LOOKUP(C267,'Growth Pattern'!B$15:B$376,'Growth Pattern'!I$15:I$368)/100)</f>
        <v>55.568159999999999</v>
      </c>
      <c r="H267" s="509">
        <f ca="1">LOOKUP(C267,'Growth Pattern'!B$15:B$376,'Growth Pattern'!F$15:F$368)-(LOOKUP(C267,'Growth Pattern'!B$15:B$376,'Growth Pattern'!I$15:I$368)*LOOKUP(C267,'Growth Pattern'!B$15:B$376,'Growth Pattern'!H$15:H$368)/100)</f>
        <v>66.188159999999996</v>
      </c>
      <c r="I267" s="509">
        <f ca="1">LOOKUP(C267,'Growth Pattern'!B$15:B$376,'Growth Pattern'!G$15:G$368)-(LOOKUP(C267,'Growth Pattern'!B$15:B$376,'Growth Pattern'!H$15:H$368)*LOOKUP(C267,'Growth Pattern'!B$15:B$376,'Growth Pattern'!I$15:I$368)/100)</f>
        <v>77.228159999999988</v>
      </c>
      <c r="J267" s="510">
        <f t="shared" ca="1" si="13"/>
        <v>-13791.940713537992</v>
      </c>
      <c r="K267" s="511">
        <f ca="1">LOOKUP(C267,'Growth Pattern'!B$15:B$376,'Growth Pattern'!H$15:H$368)</f>
        <v>923.2</v>
      </c>
      <c r="L267" s="512">
        <f t="shared" ca="1" si="14"/>
        <v>-1.0669376427273791</v>
      </c>
      <c r="M267" s="513">
        <f>LN('Growth Pattern'!F280/'Growth Pattern'!D280)/2</f>
        <v>0.16461145483315121</v>
      </c>
      <c r="N267" s="523"/>
      <c r="O267" s="528"/>
    </row>
    <row r="268" spans="1:15" x14ac:dyDescent="0.25">
      <c r="A268" s="516">
        <v>0.84240957587206033</v>
      </c>
      <c r="B268" s="516">
        <v>0.68</v>
      </c>
      <c r="C268" s="516" t="s">
        <v>4364</v>
      </c>
      <c r="D268" s="507">
        <v>0.1903406875662926</v>
      </c>
      <c r="E268" s="508">
        <f t="shared" si="12"/>
        <v>6.4559639818267456E-2</v>
      </c>
      <c r="F268" s="509">
        <f ca="1">LOOKUP(C268,'Growth Pattern'!B$15:B$376,'Growth Pattern'!D$15:D$368)-(LOOKUP(C268,'Growth Pattern'!B$15:B$376,'Growth Pattern'!H$15:H$368)*LOOKUP(C268,'Growth Pattern'!B$15:B$376,'Growth Pattern'!I$15:I$368)/100)</f>
        <v>0</v>
      </c>
      <c r="G268" s="509">
        <f ca="1">LOOKUP(C268,'Growth Pattern'!B$15:B$376,'Growth Pattern'!E$15:E$368)-(LOOKUP(C268,'Growth Pattern'!B$15:B$376,'Growth Pattern'!H$15:H$368)*LOOKUP(C268,'Growth Pattern'!B$15:B$376,'Growth Pattern'!I$15:I$368)/100)</f>
        <v>0</v>
      </c>
      <c r="H268" s="509">
        <f ca="1">LOOKUP(C268,'Growth Pattern'!B$15:B$376,'Growth Pattern'!F$15:F$368)-(LOOKUP(C268,'Growth Pattern'!B$15:B$376,'Growth Pattern'!I$15:I$368)*LOOKUP(C268,'Growth Pattern'!B$15:B$376,'Growth Pattern'!H$15:H$368)/100)</f>
        <v>0</v>
      </c>
      <c r="I268" s="509">
        <f ca="1">LOOKUP(C268,'Growth Pattern'!B$15:B$376,'Growth Pattern'!G$15:G$368)-(LOOKUP(C268,'Growth Pattern'!B$15:B$376,'Growth Pattern'!H$15:H$368)*LOOKUP(C268,'Growth Pattern'!B$15:B$376,'Growth Pattern'!I$15:I$368)/100)</f>
        <v>0</v>
      </c>
      <c r="J268" s="510">
        <f t="shared" ca="1" si="13"/>
        <v>0</v>
      </c>
      <c r="K268" s="511">
        <f ca="1">LOOKUP(C268,'Growth Pattern'!B$15:B$376,'Growth Pattern'!H$15:H$368)</f>
        <v>130.94999999999999</v>
      </c>
      <c r="L268" s="512" t="e">
        <f t="shared" ca="1" si="14"/>
        <v>#DIV/0!</v>
      </c>
      <c r="M268" s="513" t="e">
        <f>LN('Growth Pattern'!F281/'Growth Pattern'!D281)/2</f>
        <v>#DIV/0!</v>
      </c>
      <c r="N268" s="523"/>
      <c r="O268" s="528"/>
    </row>
    <row r="269" spans="1:15" x14ac:dyDescent="0.25">
      <c r="A269" s="506">
        <v>3.7988318380642614</v>
      </c>
      <c r="B269" s="506">
        <v>0.44981159916613134</v>
      </c>
      <c r="C269" s="506" t="s">
        <v>4262</v>
      </c>
      <c r="D269" s="507">
        <v>0.34665783899573049</v>
      </c>
      <c r="E269" s="508">
        <f t="shared" si="12"/>
        <v>7.8159231992628558E-2</v>
      </c>
      <c r="F269" s="509">
        <f ca="1">LOOKUP(C269,'Growth Pattern'!B$15:B$376,'Growth Pattern'!D$15:D$368)-(LOOKUP(C269,'Growth Pattern'!B$15:B$376,'Growth Pattern'!H$15:H$368)*LOOKUP(C269,'Growth Pattern'!B$15:B$376,'Growth Pattern'!I$15:I$368)/100)</f>
        <v>9.2895599999999998</v>
      </c>
      <c r="G269" s="509">
        <f ca="1">LOOKUP(C269,'Growth Pattern'!B$15:B$376,'Growth Pattern'!E$15:E$368)-(LOOKUP(C269,'Growth Pattern'!B$15:B$376,'Growth Pattern'!H$15:H$368)*LOOKUP(C269,'Growth Pattern'!B$15:B$376,'Growth Pattern'!I$15:I$368)/100)</f>
        <v>7.3995600000000001</v>
      </c>
      <c r="H269" s="509">
        <f ca="1">LOOKUP(C269,'Growth Pattern'!B$15:B$376,'Growth Pattern'!F$15:F$368)-(LOOKUP(C269,'Growth Pattern'!B$15:B$376,'Growth Pattern'!I$15:I$368)*LOOKUP(C269,'Growth Pattern'!B$15:B$376,'Growth Pattern'!H$15:H$368)/100)</f>
        <v>9.4895600000000009</v>
      </c>
      <c r="I269" s="509">
        <f ca="1">LOOKUP(C269,'Growth Pattern'!B$15:B$376,'Growth Pattern'!G$15:G$368)-(LOOKUP(C269,'Growth Pattern'!B$15:B$376,'Growth Pattern'!H$15:H$368)*LOOKUP(C269,'Growth Pattern'!B$15:B$376,'Growth Pattern'!I$15:I$368)/100)</f>
        <v>15.559559999999999</v>
      </c>
      <c r="J269" s="510">
        <f t="shared" ca="1" si="13"/>
        <v>-6720.1802619304008</v>
      </c>
      <c r="K269" s="511">
        <f ca="1">LOOKUP(C269,'Growth Pattern'!B$15:B$376,'Growth Pattern'!H$15:H$368)</f>
        <v>59.55</v>
      </c>
      <c r="L269" s="512">
        <f t="shared" ca="1" si="14"/>
        <v>-1.0088613694393511</v>
      </c>
      <c r="M269" s="513">
        <f>LN('Growth Pattern'!F282/'Growth Pattern'!D282)/2</f>
        <v>9.6249362811238887E-3</v>
      </c>
      <c r="N269" s="523"/>
      <c r="O269" s="528"/>
    </row>
    <row r="270" spans="1:15" x14ac:dyDescent="0.25">
      <c r="A270" s="537">
        <v>3.0488709968674916</v>
      </c>
      <c r="B270" s="537">
        <v>0.55000000000000004</v>
      </c>
      <c r="C270" s="537" t="s">
        <v>2954</v>
      </c>
      <c r="D270" s="507">
        <v>0.87063979372449563</v>
      </c>
      <c r="E270" s="508">
        <f t="shared" si="12"/>
        <v>0.12374566205403113</v>
      </c>
      <c r="F270" s="509">
        <f ca="1">LOOKUP(C270,'Growth Pattern'!B$15:B$376,'Growth Pattern'!D$15:D$368)-(LOOKUP(C270,'Growth Pattern'!B$15:B$376,'Growth Pattern'!H$15:H$368)*LOOKUP(C270,'Growth Pattern'!B$15:B$376,'Growth Pattern'!I$15:I$368)/100)</f>
        <v>-0.14920499999999998</v>
      </c>
      <c r="G270" s="509">
        <f ca="1">LOOKUP(C270,'Growth Pattern'!B$15:B$376,'Growth Pattern'!E$15:E$368)-(LOOKUP(C270,'Growth Pattern'!B$15:B$376,'Growth Pattern'!H$15:H$368)*LOOKUP(C270,'Growth Pattern'!B$15:B$376,'Growth Pattern'!I$15:I$368)/100)</f>
        <v>1.0507949999999999</v>
      </c>
      <c r="H270" s="509">
        <f ca="1">LOOKUP(C270,'Growth Pattern'!B$15:B$376,'Growth Pattern'!F$15:F$368)-(LOOKUP(C270,'Growth Pattern'!B$15:B$376,'Growth Pattern'!I$15:I$368)*LOOKUP(C270,'Growth Pattern'!B$15:B$376,'Growth Pattern'!H$15:H$368)/100)</f>
        <v>1.650795</v>
      </c>
      <c r="I270" s="509">
        <f ca="1">LOOKUP(C270,'Growth Pattern'!B$15:B$376,'Growth Pattern'!G$15:G$368)-(LOOKUP(C270,'Growth Pattern'!B$15:B$376,'Growth Pattern'!H$15:H$368)*LOOKUP(C270,'Growth Pattern'!B$15:B$376,'Growth Pattern'!I$15:I$368)/100)</f>
        <v>1.650795</v>
      </c>
      <c r="J270" s="510">
        <f t="shared" ca="1" si="13"/>
        <v>28.685310514131814</v>
      </c>
      <c r="K270" s="511">
        <f ca="1">LOOKUP(C270,'Growth Pattern'!B$15:B$376,'Growth Pattern'!H$15:H$368)</f>
        <v>17.149999999999999</v>
      </c>
      <c r="L270" s="512">
        <f t="shared" ca="1" si="14"/>
        <v>-0.40213301886514169</v>
      </c>
      <c r="M270" s="513" t="e">
        <f>LN('Growth Pattern'!F283/'Growth Pattern'!D283)/2</f>
        <v>#DIV/0!</v>
      </c>
      <c r="N270" s="523"/>
      <c r="O270" s="528"/>
    </row>
    <row r="271" spans="1:15" x14ac:dyDescent="0.25">
      <c r="A271" s="506">
        <v>1.1748185608982324</v>
      </c>
      <c r="B271" s="506"/>
      <c r="C271" s="506" t="s">
        <v>475</v>
      </c>
      <c r="D271" s="507">
        <v>0.98040754565610577</v>
      </c>
      <c r="E271" s="508">
        <f t="shared" si="12"/>
        <v>0.13329545647208121</v>
      </c>
      <c r="F271" s="509">
        <f ca="1">LOOKUP(C271,'Growth Pattern'!B$15:B$376,'Growth Pattern'!D$15:D$368)-(LOOKUP(C271,'Growth Pattern'!B$15:B$376,'Growth Pattern'!H$15:H$368)*LOOKUP(C271,'Growth Pattern'!B$15:B$376,'Growth Pattern'!I$15:I$368)/100)</f>
        <v>34.78</v>
      </c>
      <c r="G271" s="509">
        <f ca="1">LOOKUP(C271,'Growth Pattern'!B$15:B$376,'Growth Pattern'!E$15:E$368)-(LOOKUP(C271,'Growth Pattern'!B$15:B$376,'Growth Pattern'!H$15:H$368)*LOOKUP(C271,'Growth Pattern'!B$15:B$376,'Growth Pattern'!I$15:I$368)/100)</f>
        <v>59.75</v>
      </c>
      <c r="H271" s="509">
        <f ca="1">LOOKUP(C271,'Growth Pattern'!B$15:B$376,'Growth Pattern'!F$15:F$368)-(LOOKUP(C271,'Growth Pattern'!B$15:B$376,'Growth Pattern'!I$15:I$368)*LOOKUP(C271,'Growth Pattern'!B$15:B$376,'Growth Pattern'!H$15:H$368)/100)</f>
        <v>80.150000000000006</v>
      </c>
      <c r="I271" s="509">
        <f ca="1">LOOKUP(C271,'Growth Pattern'!B$15:B$376,'Growth Pattern'!G$15:G$368)-(LOOKUP(C271,'Growth Pattern'!B$15:B$376,'Growth Pattern'!H$15:H$368)*LOOKUP(C271,'Growth Pattern'!B$15:B$376,'Growth Pattern'!I$15:I$368)/100)</f>
        <v>95.980000000000018</v>
      </c>
      <c r="J271" s="510">
        <f t="shared" ca="1" si="13"/>
        <v>1387.1674501647451</v>
      </c>
      <c r="K271" s="511">
        <f ca="1">LOOKUP(C271,'Growth Pattern'!B$15:B$376,'Growth Pattern'!H$15:H$368)</f>
        <v>331.15</v>
      </c>
      <c r="L271" s="512">
        <f t="shared" ca="1" si="14"/>
        <v>-0.76127611705373333</v>
      </c>
      <c r="M271" s="513">
        <f>LN('Growth Pattern'!F284/'Growth Pattern'!D284)/2</f>
        <v>0.41742868506471248</v>
      </c>
      <c r="N271" s="523"/>
      <c r="O271" s="528"/>
    </row>
    <row r="272" spans="1:15" x14ac:dyDescent="0.25">
      <c r="A272" s="506">
        <v>3.8819314454333318</v>
      </c>
      <c r="B272" s="506"/>
      <c r="C272" s="506" t="s">
        <v>3649</v>
      </c>
      <c r="D272" s="507">
        <v>0.48220980809125791</v>
      </c>
      <c r="E272" s="508">
        <f t="shared" si="12"/>
        <v>8.9952253303939439E-2</v>
      </c>
      <c r="F272" s="509">
        <f ca="1">LOOKUP(C272,'Growth Pattern'!B$15:B$376,'Growth Pattern'!D$15:D$368)-(LOOKUP(C272,'Growth Pattern'!B$15:B$376,'Growth Pattern'!H$15:H$368)*LOOKUP(C272,'Growth Pattern'!B$15:B$376,'Growth Pattern'!I$15:I$368)/100)</f>
        <v>12.444089999999999</v>
      </c>
      <c r="G272" s="509">
        <f ca="1">LOOKUP(C272,'Growth Pattern'!B$15:B$376,'Growth Pattern'!E$15:E$368)-(LOOKUP(C272,'Growth Pattern'!B$15:B$376,'Growth Pattern'!H$15:H$368)*LOOKUP(C272,'Growth Pattern'!B$15:B$376,'Growth Pattern'!I$15:I$368)/100)</f>
        <v>15.344090000000001</v>
      </c>
      <c r="H272" s="509">
        <f ca="1">LOOKUP(C272,'Growth Pattern'!B$15:B$376,'Growth Pattern'!F$15:F$368)-(LOOKUP(C272,'Growth Pattern'!B$15:B$376,'Growth Pattern'!I$15:I$368)*LOOKUP(C272,'Growth Pattern'!B$15:B$376,'Growth Pattern'!H$15:H$368)/100)</f>
        <v>17.324089999999998</v>
      </c>
      <c r="I272" s="509">
        <f ca="1">LOOKUP(C272,'Growth Pattern'!B$15:B$376,'Growth Pattern'!G$15:G$368)-(LOOKUP(C272,'Growth Pattern'!B$15:B$376,'Growth Pattern'!H$15:H$368)*LOOKUP(C272,'Growth Pattern'!B$15:B$376,'Growth Pattern'!I$15:I$368)/100)</f>
        <v>17.324089999999998</v>
      </c>
      <c r="J272" s="510">
        <f t="shared" ca="1" si="13"/>
        <v>1385.4366347920318</v>
      </c>
      <c r="K272" s="511">
        <f ca="1">LOOKUP(C272,'Growth Pattern'!B$15:B$376,'Growth Pattern'!H$15:H$368)</f>
        <v>135.1</v>
      </c>
      <c r="L272" s="512">
        <f t="shared" ca="1" si="14"/>
        <v>-0.90248561600922317</v>
      </c>
      <c r="M272" s="513">
        <f>LN('Growth Pattern'!F285/'Growth Pattern'!D285)/2</f>
        <v>0.13532950902582055</v>
      </c>
      <c r="N272" s="523"/>
      <c r="O272" s="528"/>
    </row>
    <row r="273" spans="1:16" x14ac:dyDescent="0.25">
      <c r="A273" s="516">
        <v>1.6188760410647784</v>
      </c>
      <c r="B273" s="516">
        <v>0.56000000000000005</v>
      </c>
      <c r="C273" s="516" t="s">
        <v>476</v>
      </c>
      <c r="D273" s="507">
        <v>0.98110543706293718</v>
      </c>
      <c r="E273" s="508">
        <f t="shared" si="12"/>
        <v>0.13335617302447555</v>
      </c>
      <c r="F273" s="509">
        <f ca="1">LOOKUP(C273,'Growth Pattern'!B$15:B$376,'Growth Pattern'!D$15:D$368)-(LOOKUP(C273,'Growth Pattern'!B$15:B$376,'Growth Pattern'!H$15:H$368)*LOOKUP(C273,'Growth Pattern'!B$15:B$376,'Growth Pattern'!I$15:I$368)/100)</f>
        <v>0</v>
      </c>
      <c r="G273" s="509">
        <f ca="1">LOOKUP(C273,'Growth Pattern'!B$15:B$376,'Growth Pattern'!E$15:E$368)-(LOOKUP(C273,'Growth Pattern'!B$15:B$376,'Growth Pattern'!H$15:H$368)*LOOKUP(C273,'Growth Pattern'!B$15:B$376,'Growth Pattern'!I$15:I$368)/100)</f>
        <v>0</v>
      </c>
      <c r="H273" s="509">
        <f ca="1">LOOKUP(C273,'Growth Pattern'!B$15:B$376,'Growth Pattern'!F$15:F$368)-(LOOKUP(C273,'Growth Pattern'!B$15:B$376,'Growth Pattern'!I$15:I$368)*LOOKUP(C273,'Growth Pattern'!B$15:B$376,'Growth Pattern'!H$15:H$368)/100)</f>
        <v>0</v>
      </c>
      <c r="I273" s="509">
        <f ca="1">LOOKUP(C273,'Growth Pattern'!B$15:B$376,'Growth Pattern'!G$15:G$368)-(LOOKUP(C273,'Growth Pattern'!B$15:B$376,'Growth Pattern'!H$15:H$368)*LOOKUP(C273,'Growth Pattern'!B$15:B$376,'Growth Pattern'!I$15:I$368)/100)</f>
        <v>0</v>
      </c>
      <c r="J273" s="510">
        <f t="shared" ca="1" si="13"/>
        <v>0</v>
      </c>
      <c r="K273" s="511">
        <f ca="1">LOOKUP(C273,'Growth Pattern'!B$15:B$376,'Growth Pattern'!H$15:H$368)</f>
        <v>271.55</v>
      </c>
      <c r="L273" s="512" t="e">
        <f t="shared" ca="1" si="14"/>
        <v>#DIV/0!</v>
      </c>
      <c r="M273" s="513" t="e">
        <f>LN('Growth Pattern'!F286/'Growth Pattern'!D286)/2</f>
        <v>#DIV/0!</v>
      </c>
      <c r="N273" s="523"/>
      <c r="O273" s="528"/>
    </row>
    <row r="274" spans="1:16" x14ac:dyDescent="0.25">
      <c r="A274" s="516">
        <v>1.95106713316557</v>
      </c>
      <c r="B274" s="516">
        <v>0.39844000423163339</v>
      </c>
      <c r="C274" s="516" t="s">
        <v>1416</v>
      </c>
      <c r="D274" s="507">
        <v>0.35414669503380658</v>
      </c>
      <c r="E274" s="508">
        <f t="shared" si="12"/>
        <v>7.8810762467941178E-2</v>
      </c>
      <c r="F274" s="509">
        <f ca="1">LOOKUP(C274,'Growth Pattern'!B$15:B$376,'Growth Pattern'!D$15:D$368)-(LOOKUP(C274,'Growth Pattern'!B$15:B$376,'Growth Pattern'!H$15:H$368)*LOOKUP(C274,'Growth Pattern'!B$15:B$376,'Growth Pattern'!I$15:I$368)/100)</f>
        <v>16.350000000000001</v>
      </c>
      <c r="G274" s="509">
        <f ca="1">LOOKUP(C274,'Growth Pattern'!B$15:B$376,'Growth Pattern'!E$15:E$368)-(LOOKUP(C274,'Growth Pattern'!B$15:B$376,'Growth Pattern'!H$15:H$368)*LOOKUP(C274,'Growth Pattern'!B$15:B$376,'Growth Pattern'!I$15:I$368)/100)</f>
        <v>14.5</v>
      </c>
      <c r="H274" s="509">
        <f ca="1">LOOKUP(C274,'Growth Pattern'!B$15:B$376,'Growth Pattern'!F$15:F$368)-(LOOKUP(C274,'Growth Pattern'!B$15:B$376,'Growth Pattern'!I$15:I$368)*LOOKUP(C274,'Growth Pattern'!B$15:B$376,'Growth Pattern'!H$15:H$368)/100)</f>
        <v>17.149999999999999</v>
      </c>
      <c r="I274" s="509">
        <f ca="1">LOOKUP(C274,'Growth Pattern'!B$15:B$376,'Growth Pattern'!G$15:G$368)-(LOOKUP(C274,'Growth Pattern'!B$15:B$376,'Growth Pattern'!H$15:H$368)*LOOKUP(C274,'Growth Pattern'!B$15:B$376,'Growth Pattern'!I$15:I$368)/100)</f>
        <v>24.300000000000004</v>
      </c>
      <c r="J274" s="510">
        <f t="shared" ca="1" si="13"/>
        <v>-16229.756159734268</v>
      </c>
      <c r="K274" s="511">
        <f ca="1">LOOKUP(C274,'Growth Pattern'!B$15:B$376,'Growth Pattern'!H$15:H$368)</f>
        <v>142.6</v>
      </c>
      <c r="L274" s="512">
        <f t="shared" ca="1" si="14"/>
        <v>-1.0087863304042601</v>
      </c>
      <c r="M274" s="513">
        <f>LN('Growth Pattern'!F287/'Growth Pattern'!D287)/2</f>
        <v>2.3885138134343193E-2</v>
      </c>
      <c r="N274" s="523"/>
      <c r="O274" s="528"/>
    </row>
    <row r="275" spans="1:16" x14ac:dyDescent="0.25">
      <c r="A275" s="506">
        <v>2.992562322538169</v>
      </c>
      <c r="B275" s="506"/>
      <c r="C275" s="506" t="s">
        <v>478</v>
      </c>
      <c r="D275" s="507">
        <v>0.40975569030636494</v>
      </c>
      <c r="E275" s="508">
        <f t="shared" si="12"/>
        <v>8.3648745056653762E-2</v>
      </c>
      <c r="F275" s="509">
        <f ca="1">LOOKUP(C275,'Growth Pattern'!B$15:B$376,'Growth Pattern'!D$15:D$368)-(LOOKUP(C275,'Growth Pattern'!B$15:B$376,'Growth Pattern'!H$15:H$368)*LOOKUP(C275,'Growth Pattern'!B$15:B$376,'Growth Pattern'!I$15:I$368)/100)</f>
        <v>17.897880000000001</v>
      </c>
      <c r="G275" s="509">
        <f ca="1">LOOKUP(C275,'Growth Pattern'!B$15:B$376,'Growth Pattern'!E$15:E$368)-(LOOKUP(C275,'Growth Pattern'!B$15:B$376,'Growth Pattern'!H$15:H$368)*LOOKUP(C275,'Growth Pattern'!B$15:B$376,'Growth Pattern'!I$15:I$368)/100)</f>
        <v>17.00788</v>
      </c>
      <c r="H275" s="509">
        <f ca="1">LOOKUP(C275,'Growth Pattern'!B$15:B$376,'Growth Pattern'!F$15:F$368)-(LOOKUP(C275,'Growth Pattern'!B$15:B$376,'Growth Pattern'!I$15:I$368)*LOOKUP(C275,'Growth Pattern'!B$15:B$376,'Growth Pattern'!H$15:H$368)/100)</f>
        <v>19.307880000000001</v>
      </c>
      <c r="I275" s="509">
        <f ca="1">LOOKUP(C275,'Growth Pattern'!B$15:B$376,'Growth Pattern'!G$15:G$368)-(LOOKUP(C275,'Growth Pattern'!B$15:B$376,'Growth Pattern'!H$15:H$368)*LOOKUP(C275,'Growth Pattern'!B$15:B$376,'Growth Pattern'!I$15:I$368)/100)</f>
        <v>24.797880000000006</v>
      </c>
      <c r="J275" s="510">
        <f t="shared" ca="1" si="13"/>
        <v>5390.8242075282642</v>
      </c>
      <c r="K275" s="511">
        <f ca="1">LOOKUP(C275,'Growth Pattern'!B$15:B$376,'Growth Pattern'!H$15:H$368)</f>
        <v>117.8</v>
      </c>
      <c r="L275" s="512">
        <f t="shared" ca="1" si="14"/>
        <v>-0.978148053903243</v>
      </c>
      <c r="M275" s="513">
        <f>LN('Growth Pattern'!F288/'Growth Pattern'!D288)/2</f>
        <v>3.2658051448799338E-2</v>
      </c>
      <c r="N275" s="523"/>
      <c r="O275" s="528"/>
    </row>
    <row r="276" spans="1:16" x14ac:dyDescent="0.25">
      <c r="A276" s="506">
        <v>2.9890523109418754</v>
      </c>
      <c r="B276" s="506">
        <v>0.59</v>
      </c>
      <c r="C276" s="506" t="s">
        <v>480</v>
      </c>
      <c r="D276" s="507">
        <v>0.38869594363290338</v>
      </c>
      <c r="E276" s="508">
        <f t="shared" si="12"/>
        <v>8.1816547096062592E-2</v>
      </c>
      <c r="F276" s="509">
        <f ca="1">LOOKUP(C276,'Growth Pattern'!B$15:B$376,'Growth Pattern'!D$15:D$368)-(LOOKUP(C276,'Growth Pattern'!B$15:B$376,'Growth Pattern'!H$15:H$368)*LOOKUP(C276,'Growth Pattern'!B$15:B$376,'Growth Pattern'!I$15:I$368)/100)</f>
        <v>26.62</v>
      </c>
      <c r="G276" s="509">
        <f ca="1">LOOKUP(C276,'Growth Pattern'!B$15:B$376,'Growth Pattern'!E$15:E$368)-(LOOKUP(C276,'Growth Pattern'!B$15:B$376,'Growth Pattern'!H$15:H$368)*LOOKUP(C276,'Growth Pattern'!B$15:B$376,'Growth Pattern'!I$15:I$368)/100)</f>
        <v>27.5</v>
      </c>
      <c r="H276" s="509">
        <f ca="1">LOOKUP(C276,'Growth Pattern'!B$15:B$376,'Growth Pattern'!F$15:F$368)-(LOOKUP(C276,'Growth Pattern'!B$15:B$376,'Growth Pattern'!I$15:I$368)*LOOKUP(C276,'Growth Pattern'!B$15:B$376,'Growth Pattern'!H$15:H$368)/100)</f>
        <v>32.5</v>
      </c>
      <c r="I276" s="509">
        <f ca="1">LOOKUP(C276,'Growth Pattern'!B$15:B$376,'Growth Pattern'!G$15:G$368)-(LOOKUP(C276,'Growth Pattern'!B$15:B$376,'Growth Pattern'!H$15:H$368)*LOOKUP(C276,'Growth Pattern'!B$15:B$376,'Growth Pattern'!I$15:I$368)/100)</f>
        <v>41.620000000000005</v>
      </c>
      <c r="J276" s="510">
        <f t="shared" ca="1" si="13"/>
        <v>18176.308841275044</v>
      </c>
      <c r="K276" s="511">
        <f ca="1">LOOKUP(C276,'Growth Pattern'!B$15:B$376,'Growth Pattern'!H$15:H$368)</f>
        <v>155.44999999999999</v>
      </c>
      <c r="L276" s="512">
        <f t="shared" ca="1" si="14"/>
        <v>-0.9914476585231099</v>
      </c>
      <c r="M276" s="513">
        <f>LN('Growth Pattern'!F289/'Growth Pattern'!D289)/2</f>
        <v>9.9788638184363065E-2</v>
      </c>
      <c r="N276" s="523"/>
      <c r="O276" s="528"/>
    </row>
    <row r="277" spans="1:16" x14ac:dyDescent="0.25">
      <c r="A277" s="516">
        <v>2.4458162836048878</v>
      </c>
      <c r="B277" s="516">
        <v>0.01</v>
      </c>
      <c r="C277" s="543" t="s">
        <v>1392</v>
      </c>
      <c r="D277" s="507">
        <v>1.4615930479449628</v>
      </c>
      <c r="E277" s="508">
        <f t="shared" si="12"/>
        <v>0.1751585951712118</v>
      </c>
      <c r="F277" s="509">
        <f ca="1">LOOKUP(C277,'Growth Pattern'!B$15:B$376,'Growth Pattern'!D$15:D$368)-(LOOKUP(C277,'Growth Pattern'!B$15:B$376,'Growth Pattern'!H$15:H$368)*LOOKUP(C277,'Growth Pattern'!B$15:B$376,'Growth Pattern'!I$15:I$368)/100)</f>
        <v>-1.1399999999999999</v>
      </c>
      <c r="G277" s="509">
        <f ca="1">LOOKUP(C277,'Growth Pattern'!B$15:B$376,'Growth Pattern'!E$15:E$368)-(LOOKUP(C277,'Growth Pattern'!B$15:B$376,'Growth Pattern'!H$15:H$368)*LOOKUP(C277,'Growth Pattern'!B$15:B$376,'Growth Pattern'!I$15:I$368)/100)</f>
        <v>2.87</v>
      </c>
      <c r="H277" s="509">
        <f ca="1">LOOKUP(C277,'Growth Pattern'!B$15:B$376,'Growth Pattern'!F$15:F$368)-(LOOKUP(C277,'Growth Pattern'!B$15:B$376,'Growth Pattern'!I$15:I$368)*LOOKUP(C277,'Growth Pattern'!B$15:B$376,'Growth Pattern'!H$15:H$368)/100)</f>
        <v>4.6399999999999997</v>
      </c>
      <c r="I277" s="509">
        <f ca="1">LOOKUP(C277,'Growth Pattern'!B$15:B$376,'Growth Pattern'!G$15:G$368)-(LOOKUP(C277,'Growth Pattern'!B$15:B$376,'Growth Pattern'!H$15:H$368)*LOOKUP(C277,'Growth Pattern'!B$15:B$376,'Growth Pattern'!I$15:I$368)/100)</f>
        <v>4.6399999999999997</v>
      </c>
      <c r="J277" s="510">
        <f t="shared" ca="1" si="13"/>
        <v>34.707687867569987</v>
      </c>
      <c r="K277" s="511">
        <f ca="1">LOOKUP(C277,'Growth Pattern'!B$15:B$376,'Growth Pattern'!H$15:H$368)</f>
        <v>76.900000000000006</v>
      </c>
      <c r="L277" s="512">
        <f t="shared" ca="1" si="14"/>
        <v>1.2156474465662543</v>
      </c>
      <c r="M277" s="513" t="e">
        <f>LN('Growth Pattern'!F290/'Growth Pattern'!D290)/2</f>
        <v>#NUM!</v>
      </c>
      <c r="N277" s="523"/>
      <c r="O277" s="528"/>
    </row>
    <row r="278" spans="1:16" x14ac:dyDescent="0.25">
      <c r="A278" s="516">
        <v>2.2435177545275562</v>
      </c>
      <c r="B278" s="516">
        <v>0.03</v>
      </c>
      <c r="C278" s="516" t="s">
        <v>481</v>
      </c>
      <c r="D278" s="507">
        <v>1.0299273096352854</v>
      </c>
      <c r="E278" s="508">
        <f t="shared" si="12"/>
        <v>0.13760367593826983</v>
      </c>
      <c r="F278" s="509">
        <f ca="1">LOOKUP(C278,'Growth Pattern'!B$15:B$376,'Growth Pattern'!D$15:D$368)-(LOOKUP(C278,'Growth Pattern'!B$15:B$376,'Growth Pattern'!H$15:H$368)*LOOKUP(C278,'Growth Pattern'!B$15:B$376,'Growth Pattern'!I$15:I$368)/100)</f>
        <v>0</v>
      </c>
      <c r="G278" s="509">
        <f ca="1">LOOKUP(C278,'Growth Pattern'!B$15:B$376,'Growth Pattern'!E$15:E$368)-(LOOKUP(C278,'Growth Pattern'!B$15:B$376,'Growth Pattern'!H$15:H$368)*LOOKUP(C278,'Growth Pattern'!B$15:B$376,'Growth Pattern'!I$15:I$368)/100)</f>
        <v>65.94</v>
      </c>
      <c r="H278" s="509">
        <f ca="1">LOOKUP(C278,'Growth Pattern'!B$15:B$376,'Growth Pattern'!F$15:F$368)-(LOOKUP(C278,'Growth Pattern'!B$15:B$376,'Growth Pattern'!I$15:I$368)*LOOKUP(C278,'Growth Pattern'!B$15:B$376,'Growth Pattern'!H$15:H$368)/100)</f>
        <v>73.72</v>
      </c>
      <c r="I278" s="509">
        <f ca="1">LOOKUP(C278,'Growth Pattern'!B$15:B$376,'Growth Pattern'!G$15:G$368)-(LOOKUP(C278,'Growth Pattern'!B$15:B$376,'Growth Pattern'!H$15:H$368)*LOOKUP(C278,'Growth Pattern'!B$15:B$376,'Growth Pattern'!I$15:I$368)/100)</f>
        <v>73.72</v>
      </c>
      <c r="J278" s="510">
        <f t="shared" ca="1" si="13"/>
        <v>984.21328918667814</v>
      </c>
      <c r="K278" s="511">
        <f ca="1">LOOKUP(C278,'Growth Pattern'!B$15:B$376,'Growth Pattern'!H$15:H$368)</f>
        <v>549.79999999999995</v>
      </c>
      <c r="L278" s="512">
        <f t="shared" ca="1" si="14"/>
        <v>-0.44138124729616607</v>
      </c>
      <c r="M278" s="513" t="e">
        <f>LN('Growth Pattern'!F291/'Growth Pattern'!D291)/2</f>
        <v>#DIV/0!</v>
      </c>
      <c r="N278" s="523"/>
      <c r="O278" s="528"/>
    </row>
    <row r="279" spans="1:16" x14ac:dyDescent="0.25">
      <c r="A279" s="516">
        <v>2.7404296195209379</v>
      </c>
      <c r="B279" s="516">
        <v>0.23</v>
      </c>
      <c r="C279" s="516" t="s">
        <v>4524</v>
      </c>
      <c r="D279" s="507">
        <v>0.15773737809816984</v>
      </c>
      <c r="E279" s="508">
        <f t="shared" si="12"/>
        <v>6.1723151894540779E-2</v>
      </c>
      <c r="F279" s="509">
        <f ca="1">LOOKUP(C279,'Growth Pattern'!B$15:B$376,'Growth Pattern'!D$15:D$368)-(LOOKUP(C279,'Growth Pattern'!B$15:B$376,'Growth Pattern'!H$15:H$368)*LOOKUP(C279,'Growth Pattern'!B$15:B$376,'Growth Pattern'!I$15:I$368)/100)</f>
        <v>26.65</v>
      </c>
      <c r="G279" s="509">
        <f ca="1">LOOKUP(C279,'Growth Pattern'!B$15:B$376,'Growth Pattern'!E$15:E$368)-(LOOKUP(C279,'Growth Pattern'!B$15:B$376,'Growth Pattern'!H$15:H$368)*LOOKUP(C279,'Growth Pattern'!B$15:B$376,'Growth Pattern'!I$15:I$368)/100)</f>
        <v>18.7</v>
      </c>
      <c r="H279" s="509">
        <f ca="1">LOOKUP(C279,'Growth Pattern'!B$15:B$376,'Growth Pattern'!F$15:F$368)-(LOOKUP(C279,'Growth Pattern'!B$15:B$376,'Growth Pattern'!I$15:I$368)*LOOKUP(C279,'Growth Pattern'!B$15:B$376,'Growth Pattern'!H$15:H$368)/100)</f>
        <v>23.2</v>
      </c>
      <c r="I279" s="509">
        <f ca="1">LOOKUP(C279,'Growth Pattern'!B$15:B$376,'Growth Pattern'!G$15:G$368)-(LOOKUP(C279,'Growth Pattern'!B$15:B$376,'Growth Pattern'!H$15:H$368)*LOOKUP(C279,'Growth Pattern'!B$15:B$376,'Growth Pattern'!I$15:I$368)/100)</f>
        <v>40.150000000000013</v>
      </c>
      <c r="J279" s="510">
        <f t="shared" ca="1" si="13"/>
        <v>-1770.6392470539422</v>
      </c>
      <c r="K279" s="511">
        <f ca="1">LOOKUP(C279,'Growth Pattern'!B$15:B$376,'Growth Pattern'!H$15:H$368)</f>
        <v>160.80000000000001</v>
      </c>
      <c r="L279" s="512">
        <f t="shared" ca="1" si="14"/>
        <v>-1.0908146593200987</v>
      </c>
      <c r="M279" s="513">
        <f>LN('Growth Pattern'!F292/'Growth Pattern'!D292)/2</f>
        <v>-6.9318435969794631E-2</v>
      </c>
      <c r="N279" s="523"/>
      <c r="O279" s="528"/>
    </row>
    <row r="280" spans="1:16" x14ac:dyDescent="0.25">
      <c r="A280" s="527">
        <v>1.994108711567564</v>
      </c>
      <c r="B280" s="527">
        <v>0.19</v>
      </c>
      <c r="C280" s="527" t="s">
        <v>4526</v>
      </c>
      <c r="D280" s="507">
        <v>0.56616916190653799</v>
      </c>
      <c r="E280" s="508">
        <f t="shared" si="12"/>
        <v>9.7256717085868805E-2</v>
      </c>
      <c r="F280" s="509">
        <f ca="1">LOOKUP(C280,'Growth Pattern'!B$15:B$376,'Growth Pattern'!D$15:D$368)-(LOOKUP(C280,'Growth Pattern'!B$15:B$376,'Growth Pattern'!H$15:H$368)*LOOKUP(C280,'Growth Pattern'!B$15:B$376,'Growth Pattern'!I$15:I$368)/100)</f>
        <v>3.8888000000000007</v>
      </c>
      <c r="G280" s="509">
        <f ca="1">LOOKUP(C280,'Growth Pattern'!B$15:B$376,'Growth Pattern'!E$15:E$368)-(LOOKUP(C280,'Growth Pattern'!B$15:B$376,'Growth Pattern'!H$15:H$368)*LOOKUP(C280,'Growth Pattern'!B$15:B$376,'Growth Pattern'!I$15:I$368)/100)</f>
        <v>10.038800000000002</v>
      </c>
      <c r="H280" s="509">
        <f ca="1">LOOKUP(C280,'Growth Pattern'!B$15:B$376,'Growth Pattern'!F$15:F$368)-(LOOKUP(C280,'Growth Pattern'!B$15:B$376,'Growth Pattern'!I$15:I$368)*LOOKUP(C280,'Growth Pattern'!B$15:B$376,'Growth Pattern'!H$15:H$368)/100)</f>
        <v>6.1388000000000007</v>
      </c>
      <c r="I280" s="509">
        <f ca="1">LOOKUP(C280,'Growth Pattern'!B$15:B$376,'Growth Pattern'!G$15:G$368)-(LOOKUP(C280,'Growth Pattern'!B$15:B$376,'Growth Pattern'!H$15:H$368)*LOOKUP(C280,'Growth Pattern'!B$15:B$376,'Growth Pattern'!I$15:I$368)/100)</f>
        <v>6.1388000000000007</v>
      </c>
      <c r="J280" s="510">
        <f t="shared" ca="1" si="13"/>
        <v>287.41439327679541</v>
      </c>
      <c r="K280" s="511">
        <f ca="1">LOOKUP(C280,'Growth Pattern'!B$15:B$376,'Growth Pattern'!H$15:H$368)</f>
        <v>104.4</v>
      </c>
      <c r="L280" s="512">
        <f t="shared" ca="1" si="14"/>
        <v>-0.63676140638003043</v>
      </c>
      <c r="M280" s="513">
        <f>LN('Growth Pattern'!F293/'Growth Pattern'!D293)/2</f>
        <v>0.11269411058401684</v>
      </c>
      <c r="N280" s="523"/>
      <c r="O280" s="528"/>
    </row>
    <row r="281" spans="1:16" x14ac:dyDescent="0.25">
      <c r="A281" s="516">
        <v>2.5118720875967511</v>
      </c>
      <c r="B281" s="516">
        <v>0.44</v>
      </c>
      <c r="C281" s="516" t="s">
        <v>482</v>
      </c>
      <c r="D281" s="507">
        <v>0.18852985444018799</v>
      </c>
      <c r="E281" s="508">
        <f t="shared" si="12"/>
        <v>6.4402097336296357E-2</v>
      </c>
      <c r="F281" s="509">
        <f ca="1">LOOKUP(C281,'Growth Pattern'!B$15:B$376,'Growth Pattern'!D$15:D$368)-(LOOKUP(C281,'Growth Pattern'!B$15:B$376,'Growth Pattern'!H$15:H$368)*LOOKUP(C281,'Growth Pattern'!B$15:B$376,'Growth Pattern'!I$15:I$368)/100)</f>
        <v>18</v>
      </c>
      <c r="G281" s="509">
        <f ca="1">LOOKUP(C281,'Growth Pattern'!B$15:B$376,'Growth Pattern'!E$15:E$368)-(LOOKUP(C281,'Growth Pattern'!B$15:B$376,'Growth Pattern'!H$15:H$368)*LOOKUP(C281,'Growth Pattern'!B$15:B$376,'Growth Pattern'!I$15:I$368)/100)</f>
        <v>19</v>
      </c>
      <c r="H281" s="509">
        <f ca="1">LOOKUP(C281,'Growth Pattern'!B$15:B$376,'Growth Pattern'!F$15:F$368)-(LOOKUP(C281,'Growth Pattern'!B$15:B$376,'Growth Pattern'!I$15:I$368)*LOOKUP(C281,'Growth Pattern'!B$15:B$376,'Growth Pattern'!H$15:H$368)/100)</f>
        <v>29.18</v>
      </c>
      <c r="I281" s="509">
        <f ca="1">LOOKUP(C281,'Growth Pattern'!B$15:B$376,'Growth Pattern'!G$15:G$368)-(LOOKUP(C281,'Growth Pattern'!B$15:B$376,'Growth Pattern'!H$15:H$368)*LOOKUP(C281,'Growth Pattern'!B$15:B$376,'Growth Pattern'!I$15:I$368)/100)</f>
        <v>48.540000000000013</v>
      </c>
      <c r="J281" s="510">
        <f t="shared" ca="1" si="13"/>
        <v>-2518.9683727966863</v>
      </c>
      <c r="K281" s="511">
        <f ca="1">LOOKUP(C281,'Growth Pattern'!B$15:B$376,'Growth Pattern'!H$15:H$368)</f>
        <v>337.2</v>
      </c>
      <c r="L281" s="512">
        <f t="shared" ca="1" si="14"/>
        <v>-1.1338643246344626</v>
      </c>
      <c r="M281" s="513">
        <f>LN('Growth Pattern'!F294/'Growth Pattern'!D294)/2</f>
        <v>0.24155589259923746</v>
      </c>
      <c r="N281" s="523"/>
      <c r="O281" s="528"/>
    </row>
    <row r="282" spans="1:16" x14ac:dyDescent="0.25">
      <c r="A282" s="527">
        <v>2.226679205339217</v>
      </c>
      <c r="B282" s="527">
        <v>0.05</v>
      </c>
      <c r="C282" s="545" t="s">
        <v>5326</v>
      </c>
      <c r="D282" s="507">
        <v>0.90671307485039843</v>
      </c>
      <c r="E282" s="508">
        <f t="shared" si="12"/>
        <v>0.12688403751198468</v>
      </c>
      <c r="F282" s="509">
        <f ca="1">LOOKUP(C282,'Growth Pattern'!B$15:B$376,'Growth Pattern'!D$15:D$368)-(LOOKUP(C282,'Growth Pattern'!B$15:B$376,'Growth Pattern'!H$15:H$368)*LOOKUP(C282,'Growth Pattern'!B$15:B$376,'Growth Pattern'!I$15:I$368)/100)</f>
        <v>31.62</v>
      </c>
      <c r="G282" s="509">
        <f ca="1">LOOKUP(C282,'Growth Pattern'!B$15:B$376,'Growth Pattern'!E$15:E$368)-(LOOKUP(C282,'Growth Pattern'!B$15:B$376,'Growth Pattern'!H$15:H$368)*LOOKUP(C282,'Growth Pattern'!B$15:B$376,'Growth Pattern'!I$15:I$368)/100)</f>
        <v>48.5</v>
      </c>
      <c r="H282" s="509">
        <f ca="1">LOOKUP(C282,'Growth Pattern'!B$15:B$376,'Growth Pattern'!F$15:F$368)-(LOOKUP(C282,'Growth Pattern'!B$15:B$376,'Growth Pattern'!I$15:I$368)*LOOKUP(C282,'Growth Pattern'!B$15:B$376,'Growth Pattern'!H$15:H$368)/100)</f>
        <v>53.4</v>
      </c>
      <c r="I282" s="509">
        <f ca="1">LOOKUP(C282,'Growth Pattern'!B$15:B$376,'Growth Pattern'!G$15:G$368)-(LOOKUP(C282,'Growth Pattern'!B$15:B$376,'Growth Pattern'!H$15:H$368)*LOOKUP(C282,'Growth Pattern'!B$15:B$376,'Growth Pattern'!I$15:I$368)/100)</f>
        <v>53.4</v>
      </c>
      <c r="J282" s="510">
        <f t="shared" ca="1" si="13"/>
        <v>912.64743551561776</v>
      </c>
      <c r="K282" s="511">
        <f ca="1">LOOKUP(C282,'Growth Pattern'!B$15:B$376,'Growth Pattern'!H$15:H$368)</f>
        <v>293.14999999999998</v>
      </c>
      <c r="L282" s="512">
        <f t="shared" ca="1" si="14"/>
        <v>-0.6787916246821214</v>
      </c>
      <c r="M282" s="513">
        <f>LN('Growth Pattern'!F295/'Growth Pattern'!D295)/2</f>
        <v>0.26201045709241155</v>
      </c>
      <c r="N282" s="523"/>
      <c r="O282" s="528"/>
    </row>
    <row r="283" spans="1:16" x14ac:dyDescent="0.25">
      <c r="A283" s="507">
        <v>2.3159943920926507</v>
      </c>
      <c r="B283" s="507">
        <v>0.05</v>
      </c>
      <c r="C283" s="542" t="s">
        <v>4528</v>
      </c>
      <c r="D283" s="507">
        <v>0.82578205920638137</v>
      </c>
      <c r="E283" s="508">
        <f t="shared" si="12"/>
        <v>0.11984303915095519</v>
      </c>
      <c r="F283" s="509">
        <f ca="1">LOOKUP(C283,'Growth Pattern'!B$15:B$376,'Growth Pattern'!D$15:D$368)-(LOOKUP(C283,'Growth Pattern'!B$15:B$376,'Growth Pattern'!H$15:H$368)*LOOKUP(C283,'Growth Pattern'!B$15:B$376,'Growth Pattern'!I$15:I$368)/100)</f>
        <v>1.98</v>
      </c>
      <c r="G283" s="509">
        <f ca="1">LOOKUP(C283,'Growth Pattern'!B$15:B$376,'Growth Pattern'!E$15:E$368)-(LOOKUP(C283,'Growth Pattern'!B$15:B$376,'Growth Pattern'!H$15:H$368)*LOOKUP(C283,'Growth Pattern'!B$15:B$376,'Growth Pattern'!I$15:I$368)/100)</f>
        <v>3.15</v>
      </c>
      <c r="H283" s="509">
        <f ca="1">LOOKUP(C283,'Growth Pattern'!B$15:B$376,'Growth Pattern'!F$15:F$368)-(LOOKUP(C283,'Growth Pattern'!B$15:B$376,'Growth Pattern'!I$15:I$368)*LOOKUP(C283,'Growth Pattern'!B$15:B$376,'Growth Pattern'!H$15:H$368)/100)</f>
        <v>4.4000000000000004</v>
      </c>
      <c r="I283" s="509">
        <f ca="1">LOOKUP(C283,'Growth Pattern'!B$15:B$376,'Growth Pattern'!G$15:G$368)-(LOOKUP(C283,'Growth Pattern'!B$15:B$376,'Growth Pattern'!H$15:H$368)*LOOKUP(C283,'Growth Pattern'!B$15:B$376,'Growth Pattern'!I$15:I$368)/100)</f>
        <v>5.7300000000000022</v>
      </c>
      <c r="J283" s="510">
        <f t="shared" ca="1" si="13"/>
        <v>110.70877955215393</v>
      </c>
      <c r="K283" s="511">
        <f ca="1">LOOKUP(C283,'Growth Pattern'!B$15:B$376,'Growth Pattern'!H$15:H$368)</f>
        <v>38.049999999999997</v>
      </c>
      <c r="L283" s="512">
        <f t="shared" ca="1" si="14"/>
        <v>-0.65630548765940488</v>
      </c>
      <c r="M283" s="513">
        <f>LN('Growth Pattern'!F296/'Growth Pattern'!D296)/2</f>
        <v>0.39925384810888581</v>
      </c>
      <c r="N283" s="523"/>
      <c r="O283" s="528"/>
      <c r="P283" s="535"/>
    </row>
    <row r="284" spans="1:16" x14ac:dyDescent="0.25">
      <c r="A284" s="516">
        <v>2.5579943963717793</v>
      </c>
      <c r="B284" s="516">
        <v>0.09</v>
      </c>
      <c r="C284" s="543" t="s">
        <v>483</v>
      </c>
      <c r="D284" s="507">
        <v>0.44730647934670664</v>
      </c>
      <c r="E284" s="508">
        <f t="shared" si="12"/>
        <v>8.6915663703163476E-2</v>
      </c>
      <c r="F284" s="509">
        <f ca="1">LOOKUP(C284,'Growth Pattern'!B$15:B$376,'Growth Pattern'!D$15:D$368)-(LOOKUP(C284,'Growth Pattern'!B$15:B$376,'Growth Pattern'!H$15:H$368)*LOOKUP(C284,'Growth Pattern'!B$15:B$376,'Growth Pattern'!I$15:I$368)/100)</f>
        <v>45.71</v>
      </c>
      <c r="G284" s="509">
        <f ca="1">LOOKUP(C284,'Growth Pattern'!B$15:B$376,'Growth Pattern'!E$15:E$368)-(LOOKUP(C284,'Growth Pattern'!B$15:B$376,'Growth Pattern'!H$15:H$368)*LOOKUP(C284,'Growth Pattern'!B$15:B$376,'Growth Pattern'!I$15:I$368)/100)</f>
        <v>49.3</v>
      </c>
      <c r="H284" s="509">
        <f ca="1">LOOKUP(C284,'Growth Pattern'!B$15:B$376,'Growth Pattern'!F$15:F$368)-(LOOKUP(C284,'Growth Pattern'!B$15:B$376,'Growth Pattern'!I$15:I$368)*LOOKUP(C284,'Growth Pattern'!B$15:B$376,'Growth Pattern'!H$15:H$368)/100)</f>
        <v>58.77</v>
      </c>
      <c r="I284" s="509">
        <f ca="1">LOOKUP(C284,'Growth Pattern'!B$15:B$376,'Growth Pattern'!G$15:G$368)-(LOOKUP(C284,'Growth Pattern'!B$15:B$376,'Growth Pattern'!H$15:H$368)*LOOKUP(C284,'Growth Pattern'!B$15:B$376,'Growth Pattern'!I$15:I$368)/100)</f>
        <v>74.120000000000019</v>
      </c>
      <c r="J284" s="510">
        <f t="shared" ca="1" si="13"/>
        <v>8487.4989565367305</v>
      </c>
      <c r="K284" s="511">
        <f ca="1">LOOKUP(C284,'Growth Pattern'!B$15:B$376,'Growth Pattern'!H$15:H$368)</f>
        <v>269.05</v>
      </c>
      <c r="L284" s="512">
        <f t="shared" ca="1" si="14"/>
        <v>-0.96830043792903353</v>
      </c>
      <c r="M284" s="513">
        <f>LN('Growth Pattern'!F297/'Growth Pattern'!D297)/2</f>
        <v>0.12565721414045308</v>
      </c>
      <c r="N284" s="523"/>
      <c r="O284" s="528"/>
    </row>
    <row r="285" spans="1:16" x14ac:dyDescent="0.25">
      <c r="A285" s="516">
        <v>3.5391502471286209</v>
      </c>
      <c r="B285" s="516">
        <v>9.7224293016812458E-2</v>
      </c>
      <c r="C285" s="516" t="s">
        <v>484</v>
      </c>
      <c r="D285" s="507">
        <v>0.59353470002798647</v>
      </c>
      <c r="E285" s="508">
        <f t="shared" si="12"/>
        <v>9.963751890243483E-2</v>
      </c>
      <c r="F285" s="509">
        <f ca="1">LOOKUP(C285,'Growth Pattern'!B$15:B$376,'Growth Pattern'!D$15:D$368)-(LOOKUP(C285,'Growth Pattern'!B$15:B$376,'Growth Pattern'!H$15:H$368)*LOOKUP(C285,'Growth Pattern'!B$15:B$376,'Growth Pattern'!I$15:I$368)/100)</f>
        <v>5.12</v>
      </c>
      <c r="G285" s="509">
        <f ca="1">LOOKUP(C285,'Growth Pattern'!B$15:B$376,'Growth Pattern'!E$15:E$368)-(LOOKUP(C285,'Growth Pattern'!B$15:B$376,'Growth Pattern'!H$15:H$368)*LOOKUP(C285,'Growth Pattern'!B$15:B$376,'Growth Pattern'!I$15:I$368)/100)</f>
        <v>8</v>
      </c>
      <c r="H285" s="509">
        <f ca="1">LOOKUP(C285,'Growth Pattern'!B$15:B$376,'Growth Pattern'!F$15:F$368)-(LOOKUP(C285,'Growth Pattern'!B$15:B$376,'Growth Pattern'!I$15:I$368)*LOOKUP(C285,'Growth Pattern'!B$15:B$376,'Growth Pattern'!H$15:H$368)/100)</f>
        <v>11</v>
      </c>
      <c r="I285" s="509">
        <f ca="1">LOOKUP(C285,'Growth Pattern'!B$15:B$376,'Growth Pattern'!G$15:G$368)-(LOOKUP(C285,'Growth Pattern'!B$15:B$376,'Growth Pattern'!H$15:H$368)*LOOKUP(C285,'Growth Pattern'!B$15:B$376,'Growth Pattern'!I$15:I$368)/100)</f>
        <v>14.120000000000001</v>
      </c>
      <c r="J285" s="510">
        <f t="shared" ca="1" si="13"/>
        <v>562.24564486354859</v>
      </c>
      <c r="K285" s="511">
        <f ca="1">LOOKUP(C285,'Growth Pattern'!B$15:B$376,'Growth Pattern'!H$15:H$368)</f>
        <v>381.15</v>
      </c>
      <c r="L285" s="512">
        <f t="shared" ca="1" si="14"/>
        <v>-0.32209345953670965</v>
      </c>
      <c r="M285" s="513">
        <f>LN('Growth Pattern'!F298/'Growth Pattern'!D298)/2</f>
        <v>0.38237041687347706</v>
      </c>
      <c r="N285" s="523"/>
      <c r="O285" s="528"/>
    </row>
    <row r="286" spans="1:16" x14ac:dyDescent="0.25">
      <c r="A286" s="507">
        <v>2.1338750269388993</v>
      </c>
      <c r="B286" s="507">
        <v>0.10724502653122205</v>
      </c>
      <c r="C286" s="507" t="s">
        <v>1393</v>
      </c>
      <c r="D286" s="507">
        <v>0.47740854026569113</v>
      </c>
      <c r="E286" s="508">
        <f t="shared" si="12"/>
        <v>8.9534543003115141E-2</v>
      </c>
      <c r="F286" s="509">
        <f ca="1">LOOKUP(C286,'Growth Pattern'!B$15:B$376,'Growth Pattern'!D$15:D$368)-(LOOKUP(C286,'Growth Pattern'!B$15:B$376,'Growth Pattern'!H$15:H$368)*LOOKUP(C286,'Growth Pattern'!B$15:B$376,'Growth Pattern'!I$15:I$368)/100)</f>
        <v>212.31</v>
      </c>
      <c r="G286" s="509">
        <f ca="1">LOOKUP(C286,'Growth Pattern'!B$15:B$376,'Growth Pattern'!E$15:E$368)-(LOOKUP(C286,'Growth Pattern'!B$15:B$376,'Growth Pattern'!H$15:H$368)*LOOKUP(C286,'Growth Pattern'!B$15:B$376,'Growth Pattern'!I$15:I$368)/100)</f>
        <v>123.5</v>
      </c>
      <c r="H286" s="509">
        <f ca="1">LOOKUP(C286,'Growth Pattern'!B$15:B$376,'Growth Pattern'!F$15:F$368)-(LOOKUP(C286,'Growth Pattern'!B$15:B$376,'Growth Pattern'!I$15:I$368)*LOOKUP(C286,'Growth Pattern'!B$15:B$376,'Growth Pattern'!H$15:H$368)/100)</f>
        <v>166.4</v>
      </c>
      <c r="I286" s="509">
        <f ca="1">LOOKUP(C286,'Growth Pattern'!B$15:B$376,'Growth Pattern'!G$15:G$368)-(LOOKUP(C286,'Growth Pattern'!B$15:B$376,'Growth Pattern'!H$15:H$368)*LOOKUP(C286,'Growth Pattern'!B$15:B$376,'Growth Pattern'!I$15:I$368)/100)</f>
        <v>341.01000000000016</v>
      </c>
      <c r="J286" s="510">
        <f t="shared" ca="1" si="13"/>
        <v>28118.961689144751</v>
      </c>
      <c r="K286" s="511">
        <f ca="1">LOOKUP(C286,'Growth Pattern'!B$15:B$376,'Growth Pattern'!H$15:H$368)</f>
        <v>1846</v>
      </c>
      <c r="L286" s="512">
        <f t="shared" ca="1" si="14"/>
        <v>-0.93435034976015341</v>
      </c>
      <c r="M286" s="513">
        <f>LN('Growth Pattern'!F299/'Growth Pattern'!D299)/2</f>
        <v>-0.12182647118434742</v>
      </c>
      <c r="N286" s="523"/>
      <c r="O286" s="528"/>
    </row>
    <row r="287" spans="1:16" x14ac:dyDescent="0.25">
      <c r="A287" s="506">
        <v>4.2212337586053099</v>
      </c>
      <c r="B287" s="506">
        <v>0.05</v>
      </c>
      <c r="C287" s="506" t="s">
        <v>485</v>
      </c>
      <c r="D287" s="507">
        <v>0.76561144840695039</v>
      </c>
      <c r="E287" s="508">
        <f t="shared" si="12"/>
        <v>0.11460819601140469</v>
      </c>
      <c r="F287" s="509">
        <f ca="1">LOOKUP(C287,'Growth Pattern'!B$15:B$376,'Growth Pattern'!D$15:D$368)-(LOOKUP(C287,'Growth Pattern'!B$15:B$376,'Growth Pattern'!H$15:H$368)*LOOKUP(C287,'Growth Pattern'!B$15:B$376,'Growth Pattern'!I$15:I$368)/100)</f>
        <v>0</v>
      </c>
      <c r="G287" s="509">
        <f ca="1">LOOKUP(C287,'Growth Pattern'!B$15:B$376,'Growth Pattern'!E$15:E$368)-(LOOKUP(C287,'Growth Pattern'!B$15:B$376,'Growth Pattern'!H$15:H$368)*LOOKUP(C287,'Growth Pattern'!B$15:B$376,'Growth Pattern'!I$15:I$368)/100)</f>
        <v>-1</v>
      </c>
      <c r="H287" s="509">
        <f ca="1">LOOKUP(C287,'Growth Pattern'!B$15:B$376,'Growth Pattern'!F$15:F$368)-(LOOKUP(C287,'Growth Pattern'!B$15:B$376,'Growth Pattern'!I$15:I$368)*LOOKUP(C287,'Growth Pattern'!B$15:B$376,'Growth Pattern'!H$15:H$368)/100)</f>
        <v>-0.4</v>
      </c>
      <c r="I287" s="509">
        <f ca="1">LOOKUP(C287,'Growth Pattern'!B$15:B$376,'Growth Pattern'!G$15:G$368)-(LOOKUP(C287,'Growth Pattern'!B$15:B$376,'Growth Pattern'!H$15:H$368)*LOOKUP(C287,'Growth Pattern'!B$15:B$376,'Growth Pattern'!I$15:I$368)/100)</f>
        <v>1.8000000000000025</v>
      </c>
      <c r="J287" s="510">
        <f t="shared" ca="1" si="13"/>
        <v>36.340962896875794</v>
      </c>
      <c r="K287" s="511">
        <f ca="1">LOOKUP(C287,'Growth Pattern'!B$15:B$376,'Growth Pattern'!H$15:H$368)</f>
        <v>46.3</v>
      </c>
      <c r="L287" s="512">
        <f t="shared" ca="1" si="14"/>
        <v>0.27404439258763763</v>
      </c>
      <c r="M287" s="513" t="e">
        <f>LN('Growth Pattern'!F300/'Growth Pattern'!D300)/2</f>
        <v>#DIV/0!</v>
      </c>
      <c r="N287" s="523"/>
      <c r="O287" s="528"/>
    </row>
    <row r="288" spans="1:16" x14ac:dyDescent="0.25">
      <c r="A288" s="506">
        <v>2.6682623418362774</v>
      </c>
      <c r="B288" s="506">
        <v>0.28000000000000003</v>
      </c>
      <c r="C288" s="506" t="s">
        <v>486</v>
      </c>
      <c r="D288" s="507">
        <v>0.33039437241433983</v>
      </c>
      <c r="E288" s="508">
        <f t="shared" si="12"/>
        <v>7.6744310400047561E-2</v>
      </c>
      <c r="F288" s="509">
        <f ca="1">LOOKUP(C288,'Growth Pattern'!B$15:B$376,'Growth Pattern'!D$15:D$368)-(LOOKUP(C288,'Growth Pattern'!B$15:B$376,'Growth Pattern'!H$15:H$368)*LOOKUP(C288,'Growth Pattern'!B$15:B$376,'Growth Pattern'!I$15:I$368)/100)</f>
        <v>40.909999999999997</v>
      </c>
      <c r="G288" s="509">
        <f ca="1">LOOKUP(C288,'Growth Pattern'!B$15:B$376,'Growth Pattern'!E$15:E$368)-(LOOKUP(C288,'Growth Pattern'!B$15:B$376,'Growth Pattern'!H$15:H$368)*LOOKUP(C288,'Growth Pattern'!B$15:B$376,'Growth Pattern'!I$15:I$368)/100)</f>
        <v>54.4</v>
      </c>
      <c r="H288" s="509">
        <f ca="1">LOOKUP(C288,'Growth Pattern'!B$15:B$376,'Growth Pattern'!F$15:F$368)-(LOOKUP(C288,'Growth Pattern'!B$15:B$376,'Growth Pattern'!I$15:I$368)*LOOKUP(C288,'Growth Pattern'!B$15:B$376,'Growth Pattern'!H$15:H$368)/100)</f>
        <v>67.34</v>
      </c>
      <c r="I288" s="509">
        <f ca="1">LOOKUP(C288,'Growth Pattern'!B$15:B$376,'Growth Pattern'!G$15:G$368)-(LOOKUP(C288,'Growth Pattern'!B$15:B$376,'Growth Pattern'!H$15:H$368)*LOOKUP(C288,'Growth Pattern'!B$15:B$376,'Growth Pattern'!I$15:I$368)/100)</f>
        <v>79.72999999999999</v>
      </c>
      <c r="J288" s="510">
        <f t="shared" ca="1" si="13"/>
        <v>-19467.86494440633</v>
      </c>
      <c r="K288" s="511">
        <f ca="1">LOOKUP(C288,'Growth Pattern'!B$15:B$376,'Growth Pattern'!H$15:H$368)</f>
        <v>686.4</v>
      </c>
      <c r="L288" s="512">
        <f t="shared" ca="1" si="14"/>
        <v>-1.0352581036472221</v>
      </c>
      <c r="M288" s="513">
        <f>LN('Growth Pattern'!F301/'Growth Pattern'!D301)/2</f>
        <v>0.2491899408958107</v>
      </c>
      <c r="N288" s="523"/>
      <c r="O288" s="528"/>
    </row>
    <row r="289" spans="1:15" x14ac:dyDescent="0.25">
      <c r="A289" s="506">
        <v>1.4310094220882654</v>
      </c>
      <c r="B289" s="506">
        <v>0.03</v>
      </c>
      <c r="C289" s="506" t="s">
        <v>5327</v>
      </c>
      <c r="D289" s="507">
        <v>0.65640811210258099</v>
      </c>
      <c r="E289" s="508">
        <f t="shared" si="12"/>
        <v>0.10510750575292455</v>
      </c>
      <c r="F289" s="509">
        <f ca="1">LOOKUP(C289,'Growth Pattern'!B$15:B$376,'Growth Pattern'!D$15:D$368)-(LOOKUP(C289,'Growth Pattern'!B$15:B$376,'Growth Pattern'!H$15:H$368)*LOOKUP(C289,'Growth Pattern'!B$15:B$376,'Growth Pattern'!I$15:I$368)/100)</f>
        <v>17.47634</v>
      </c>
      <c r="G289" s="509">
        <f ca="1">LOOKUP(C289,'Growth Pattern'!B$15:B$376,'Growth Pattern'!E$15:E$368)-(LOOKUP(C289,'Growth Pattern'!B$15:B$376,'Growth Pattern'!H$15:H$368)*LOOKUP(C289,'Growth Pattern'!B$15:B$376,'Growth Pattern'!I$15:I$368)/100)</f>
        <v>23.74634</v>
      </c>
      <c r="H289" s="509">
        <f ca="1">LOOKUP(C289,'Growth Pattern'!B$15:B$376,'Growth Pattern'!F$15:F$368)-(LOOKUP(C289,'Growth Pattern'!B$15:B$376,'Growth Pattern'!I$15:I$368)*LOOKUP(C289,'Growth Pattern'!B$15:B$376,'Growth Pattern'!H$15:H$368)/100)</f>
        <v>28.99634</v>
      </c>
      <c r="I289" s="509">
        <f ca="1">LOOKUP(C289,'Growth Pattern'!B$15:B$376,'Growth Pattern'!G$15:G$368)-(LOOKUP(C289,'Growth Pattern'!B$15:B$376,'Growth Pattern'!H$15:H$368)*LOOKUP(C289,'Growth Pattern'!B$15:B$376,'Growth Pattern'!I$15:I$368)/100)</f>
        <v>33.226340000000008</v>
      </c>
      <c r="J289" s="510">
        <f t="shared" ca="1" si="13"/>
        <v>1043.2471448249187</v>
      </c>
      <c r="K289" s="511">
        <f ca="1">LOOKUP(C289,'Growth Pattern'!B$15:B$376,'Growth Pattern'!H$15:H$368)</f>
        <v>862.7</v>
      </c>
      <c r="L289" s="512">
        <f t="shared" ca="1" si="14"/>
        <v>-0.17306267812045503</v>
      </c>
      <c r="M289" s="513">
        <f>LN('Growth Pattern'!F302/'Growth Pattern'!D302)/2</f>
        <v>0.20686724979533549</v>
      </c>
      <c r="N289" s="523"/>
      <c r="O289" s="528"/>
    </row>
    <row r="290" spans="1:15" x14ac:dyDescent="0.25">
      <c r="A290" s="507">
        <v>2.8646303314804613</v>
      </c>
      <c r="B290" s="507"/>
      <c r="C290" s="507" t="s">
        <v>3830</v>
      </c>
      <c r="D290" s="507">
        <v>0.42318190681773815</v>
      </c>
      <c r="E290" s="508">
        <f t="shared" si="12"/>
        <v>8.4816825893143225E-2</v>
      </c>
      <c r="F290" s="509">
        <f ca="1">LOOKUP(C290,'Growth Pattern'!B$15:B$376,'Growth Pattern'!D$15:D$368)-(LOOKUP(C290,'Growth Pattern'!B$15:B$376,'Growth Pattern'!H$15:H$368)*LOOKUP(C290,'Growth Pattern'!B$15:B$376,'Growth Pattern'!I$15:I$368)/100)</f>
        <v>12.14</v>
      </c>
      <c r="G290" s="509">
        <f ca="1">LOOKUP(C290,'Growth Pattern'!B$15:B$376,'Growth Pattern'!E$15:E$368)-(LOOKUP(C290,'Growth Pattern'!B$15:B$376,'Growth Pattern'!H$15:H$368)*LOOKUP(C290,'Growth Pattern'!B$15:B$376,'Growth Pattern'!I$15:I$368)/100)</f>
        <v>15.15</v>
      </c>
      <c r="H290" s="509">
        <f ca="1">LOOKUP(C290,'Growth Pattern'!B$15:B$376,'Growth Pattern'!F$15:F$368)-(LOOKUP(C290,'Growth Pattern'!B$15:B$376,'Growth Pattern'!I$15:I$368)*LOOKUP(C290,'Growth Pattern'!B$15:B$376,'Growth Pattern'!H$15:H$368)/100)</f>
        <v>19.09</v>
      </c>
      <c r="I290" s="509">
        <f ca="1">LOOKUP(C290,'Growth Pattern'!B$15:B$376,'Growth Pattern'!G$15:G$368)-(LOOKUP(C290,'Growth Pattern'!B$15:B$376,'Growth Pattern'!H$15:H$368)*LOOKUP(C290,'Growth Pattern'!B$15:B$376,'Growth Pattern'!I$15:I$368)/100)</f>
        <v>23.96</v>
      </c>
      <c r="J290" s="510">
        <f t="shared" ca="1" si="13"/>
        <v>3938.6650960103198</v>
      </c>
      <c r="K290" s="511">
        <f ca="1">LOOKUP(C290,'Growth Pattern'!B$15:B$376,'Growth Pattern'!H$15:H$368)</f>
        <v>174.05</v>
      </c>
      <c r="L290" s="512">
        <f t="shared" ca="1" si="14"/>
        <v>-0.95580990113216158</v>
      </c>
      <c r="M290" s="513">
        <f>LN('Growth Pattern'!F303/'Growth Pattern'!D303)/2</f>
        <v>0.22632942605315198</v>
      </c>
      <c r="N290" s="523"/>
      <c r="O290" s="528"/>
    </row>
    <row r="291" spans="1:15" x14ac:dyDescent="0.25">
      <c r="A291" s="506">
        <v>2.1913852038249155</v>
      </c>
      <c r="B291" s="506">
        <v>0.39</v>
      </c>
      <c r="C291" s="506" t="s">
        <v>4531</v>
      </c>
      <c r="D291" s="507">
        <v>0.24769768198145667</v>
      </c>
      <c r="E291" s="508">
        <f t="shared" si="12"/>
        <v>6.9549698332386736E-2</v>
      </c>
      <c r="F291" s="509">
        <f ca="1">LOOKUP(C291,'Growth Pattern'!B$15:B$376,'Growth Pattern'!D$15:D$368)-(LOOKUP(C291,'Growth Pattern'!B$15:B$376,'Growth Pattern'!H$15:H$368)*LOOKUP(C291,'Growth Pattern'!B$15:B$376,'Growth Pattern'!I$15:I$368)/100)</f>
        <v>26.570879999999999</v>
      </c>
      <c r="G291" s="509">
        <f ca="1">LOOKUP(C291,'Growth Pattern'!B$15:B$376,'Growth Pattern'!E$15:E$368)-(LOOKUP(C291,'Growth Pattern'!B$15:B$376,'Growth Pattern'!H$15:H$368)*LOOKUP(C291,'Growth Pattern'!B$15:B$376,'Growth Pattern'!I$15:I$368)/100)</f>
        <v>34.87088</v>
      </c>
      <c r="H291" s="509">
        <f ca="1">LOOKUP(C291,'Growth Pattern'!B$15:B$376,'Growth Pattern'!F$15:F$368)-(LOOKUP(C291,'Growth Pattern'!B$15:B$376,'Growth Pattern'!I$15:I$368)*LOOKUP(C291,'Growth Pattern'!B$15:B$376,'Growth Pattern'!H$15:H$368)/100)</f>
        <v>42.670880000000004</v>
      </c>
      <c r="I291" s="509">
        <f ca="1">LOOKUP(C291,'Growth Pattern'!B$15:B$376,'Growth Pattern'!G$15:G$368)-(LOOKUP(C291,'Growth Pattern'!B$15:B$376,'Growth Pattern'!H$15:H$368)*LOOKUP(C291,'Growth Pattern'!B$15:B$376,'Growth Pattern'!I$15:I$368)/100)</f>
        <v>49.970880000000029</v>
      </c>
      <c r="J291" s="510">
        <f t="shared" ca="1" si="13"/>
        <v>-3811.8003246435001</v>
      </c>
      <c r="K291" s="511">
        <f ca="1">LOOKUP(C291,'Growth Pattern'!B$15:B$376,'Growth Pattern'!H$15:H$368)</f>
        <v>627.6</v>
      </c>
      <c r="L291" s="512">
        <f t="shared" ca="1" si="14"/>
        <v>-1.1646466096197463</v>
      </c>
      <c r="M291" s="513">
        <f>LN('Growth Pattern'!F304/'Growth Pattern'!D304)/2</f>
        <v>0.19573943306671227</v>
      </c>
      <c r="N291" s="523"/>
      <c r="O291" s="528"/>
    </row>
    <row r="292" spans="1:15" x14ac:dyDescent="0.25">
      <c r="A292" s="516">
        <v>4.3190057502458687</v>
      </c>
      <c r="B292" s="516">
        <v>0.49</v>
      </c>
      <c r="C292" s="516" t="s">
        <v>4533</v>
      </c>
      <c r="D292" s="507">
        <v>0.53584916121510551</v>
      </c>
      <c r="E292" s="508">
        <f t="shared" si="12"/>
        <v>9.4618877025714185E-2</v>
      </c>
      <c r="F292" s="509">
        <f ca="1">LOOKUP(C292,'Growth Pattern'!B$15:B$376,'Growth Pattern'!D$15:D$368)-(LOOKUP(C292,'Growth Pattern'!B$15:B$376,'Growth Pattern'!H$15:H$368)*LOOKUP(C292,'Growth Pattern'!B$15:B$376,'Growth Pattern'!I$15:I$368)/100)</f>
        <v>9.33</v>
      </c>
      <c r="G292" s="509">
        <f ca="1">LOOKUP(C292,'Growth Pattern'!B$15:B$376,'Growth Pattern'!E$15:E$368)-(LOOKUP(C292,'Growth Pattern'!B$15:B$376,'Growth Pattern'!H$15:H$368)*LOOKUP(C292,'Growth Pattern'!B$15:B$376,'Growth Pattern'!I$15:I$368)/100)</f>
        <v>11.07</v>
      </c>
      <c r="H292" s="509">
        <f ca="1">LOOKUP(C292,'Growth Pattern'!B$15:B$376,'Growth Pattern'!F$15:F$368)-(LOOKUP(C292,'Growth Pattern'!B$15:B$376,'Growth Pattern'!I$15:I$368)*LOOKUP(C292,'Growth Pattern'!B$15:B$376,'Growth Pattern'!H$15:H$368)/100)</f>
        <v>14</v>
      </c>
      <c r="I292" s="509">
        <f ca="1">LOOKUP(C292,'Growth Pattern'!B$15:B$376,'Growth Pattern'!G$15:G$368)-(LOOKUP(C292,'Growth Pattern'!B$15:B$376,'Growth Pattern'!H$15:H$368)*LOOKUP(C292,'Growth Pattern'!B$15:B$376,'Growth Pattern'!I$15:I$368)/100)</f>
        <v>18.119999999999997</v>
      </c>
      <c r="J292" s="510">
        <f t="shared" ca="1" si="13"/>
        <v>976.17868697043423</v>
      </c>
      <c r="K292" s="511">
        <f ca="1">LOOKUP(C292,'Growth Pattern'!B$15:B$376,'Growth Pattern'!H$15:H$368)</f>
        <v>58.4</v>
      </c>
      <c r="L292" s="512">
        <f t="shared" ca="1" si="14"/>
        <v>-0.9401748872624498</v>
      </c>
      <c r="M292" s="513">
        <f>LN('Growth Pattern'!F305/'Growth Pattern'!D305)/2</f>
        <v>0.20291115737800308</v>
      </c>
      <c r="N292" s="523"/>
      <c r="O292" s="528"/>
    </row>
    <row r="293" spans="1:15" x14ac:dyDescent="0.25">
      <c r="A293" s="516">
        <v>2.3225462388170643</v>
      </c>
      <c r="B293" s="516">
        <v>0.53</v>
      </c>
      <c r="C293" s="516" t="s">
        <v>4535</v>
      </c>
      <c r="D293" s="507">
        <v>0.49716828294627669</v>
      </c>
      <c r="E293" s="508">
        <f t="shared" si="12"/>
        <v>9.125364061632607E-2</v>
      </c>
      <c r="F293" s="509">
        <f ca="1">LOOKUP(C293,'Growth Pattern'!B$15:B$376,'Growth Pattern'!D$15:D$368)-(LOOKUP(C293,'Growth Pattern'!B$15:B$376,'Growth Pattern'!H$15:H$368)*LOOKUP(C293,'Growth Pattern'!B$15:B$376,'Growth Pattern'!I$15:I$368)/100)</f>
        <v>21.446260000000002</v>
      </c>
      <c r="G293" s="509">
        <f ca="1">LOOKUP(C293,'Growth Pattern'!B$15:B$376,'Growth Pattern'!E$15:E$368)-(LOOKUP(C293,'Growth Pattern'!B$15:B$376,'Growth Pattern'!H$15:H$368)*LOOKUP(C293,'Growth Pattern'!B$15:B$376,'Growth Pattern'!I$15:I$368)/100)</f>
        <v>35.446260000000002</v>
      </c>
      <c r="H293" s="509">
        <f ca="1">LOOKUP(C293,'Growth Pattern'!B$15:B$376,'Growth Pattern'!F$15:F$368)-(LOOKUP(C293,'Growth Pattern'!B$15:B$376,'Growth Pattern'!I$15:I$368)*LOOKUP(C293,'Growth Pattern'!B$15:B$376,'Growth Pattern'!H$15:H$368)/100)</f>
        <v>52.346260000000008</v>
      </c>
      <c r="I293" s="509">
        <f ca="1">LOOKUP(C293,'Growth Pattern'!B$15:B$376,'Growth Pattern'!G$15:G$368)-(LOOKUP(C293,'Growth Pattern'!B$15:B$376,'Growth Pattern'!H$15:H$368)*LOOKUP(C293,'Growth Pattern'!B$15:B$376,'Growth Pattern'!I$15:I$368)/100)</f>
        <v>72.146260000000012</v>
      </c>
      <c r="J293" s="510">
        <f t="shared" ca="1" si="13"/>
        <v>5031.2557535055748</v>
      </c>
      <c r="K293" s="511">
        <f ca="1">LOOKUP(C293,'Growth Pattern'!B$15:B$376,'Growth Pattern'!H$15:H$368)</f>
        <v>2196.1999999999998</v>
      </c>
      <c r="L293" s="512">
        <f t="shared" ca="1" si="14"/>
        <v>-0.56348869793196721</v>
      </c>
      <c r="M293" s="513">
        <f>LN('Growth Pattern'!F306/'Growth Pattern'!D306)/2</f>
        <v>0.18001767517467696</v>
      </c>
      <c r="N293" s="523"/>
      <c r="O293" s="528"/>
    </row>
    <row r="294" spans="1:15" x14ac:dyDescent="0.25">
      <c r="A294" s="516">
        <v>3.4942065179912483</v>
      </c>
      <c r="B294" s="516">
        <v>0.53</v>
      </c>
      <c r="C294" s="516" t="s">
        <v>4812</v>
      </c>
      <c r="D294" s="507">
        <v>0.18316390289809467</v>
      </c>
      <c r="E294" s="508">
        <f t="shared" si="12"/>
        <v>6.3935259552134235E-2</v>
      </c>
      <c r="F294" s="509">
        <f ca="1">LOOKUP(C294,'Growth Pattern'!B$15:B$376,'Growth Pattern'!D$15:D$368)-(LOOKUP(C294,'Growth Pattern'!B$15:B$376,'Growth Pattern'!H$15:H$368)*LOOKUP(C294,'Growth Pattern'!B$15:B$376,'Growth Pattern'!I$15:I$368)/100)</f>
        <v>0</v>
      </c>
      <c r="G294" s="509">
        <f ca="1">LOOKUP(C294,'Growth Pattern'!B$15:B$376,'Growth Pattern'!E$15:E$368)-(LOOKUP(C294,'Growth Pattern'!B$15:B$376,'Growth Pattern'!H$15:H$368)*LOOKUP(C294,'Growth Pattern'!B$15:B$376,'Growth Pattern'!I$15:I$368)/100)</f>
        <v>0</v>
      </c>
      <c r="H294" s="509">
        <f ca="1">LOOKUP(C294,'Growth Pattern'!B$15:B$376,'Growth Pattern'!F$15:F$368)-(LOOKUP(C294,'Growth Pattern'!B$15:B$376,'Growth Pattern'!I$15:I$368)*LOOKUP(C294,'Growth Pattern'!B$15:B$376,'Growth Pattern'!H$15:H$368)/100)</f>
        <v>0</v>
      </c>
      <c r="I294" s="509">
        <f ca="1">LOOKUP(C294,'Growth Pattern'!B$15:B$376,'Growth Pattern'!G$15:G$368)-(LOOKUP(C294,'Growth Pattern'!B$15:B$376,'Growth Pattern'!H$15:H$368)*LOOKUP(C294,'Growth Pattern'!B$15:B$376,'Growth Pattern'!I$15:I$368)/100)</f>
        <v>0</v>
      </c>
      <c r="J294" s="510">
        <f t="shared" ca="1" si="13"/>
        <v>0</v>
      </c>
      <c r="K294" s="511">
        <f ca="1">LOOKUP(C294,'Growth Pattern'!B$15:B$376,'Growth Pattern'!H$15:H$368)</f>
        <v>37.35</v>
      </c>
      <c r="L294" s="512" t="e">
        <f t="shared" ca="1" si="14"/>
        <v>#DIV/0!</v>
      </c>
      <c r="M294" s="513" t="e">
        <f>LN('Growth Pattern'!F307/'Growth Pattern'!D307)/2</f>
        <v>#DIV/0!</v>
      </c>
      <c r="N294" s="523"/>
      <c r="O294" s="528"/>
    </row>
    <row r="295" spans="1:15" x14ac:dyDescent="0.25">
      <c r="A295" s="516">
        <v>3.4506050769468102</v>
      </c>
      <c r="B295" s="516">
        <v>0.17</v>
      </c>
      <c r="C295" s="516" t="s">
        <v>3050</v>
      </c>
      <c r="D295" s="507">
        <v>0.29573597991205663</v>
      </c>
      <c r="E295" s="508">
        <f t="shared" si="12"/>
        <v>7.3729030252348934E-2</v>
      </c>
      <c r="F295" s="509">
        <f ca="1">LOOKUP(C295,'Growth Pattern'!B$15:B$376,'Growth Pattern'!D$15:D$368)-(LOOKUP(C295,'Growth Pattern'!B$15:B$376,'Growth Pattern'!H$15:H$368)*LOOKUP(C295,'Growth Pattern'!B$15:B$376,'Growth Pattern'!I$15:I$368)/100)</f>
        <v>0.85</v>
      </c>
      <c r="G295" s="509">
        <f ca="1">LOOKUP(C295,'Growth Pattern'!B$15:B$376,'Growth Pattern'!E$15:E$368)-(LOOKUP(C295,'Growth Pattern'!B$15:B$376,'Growth Pattern'!H$15:H$368)*LOOKUP(C295,'Growth Pattern'!B$15:B$376,'Growth Pattern'!I$15:I$368)/100)</f>
        <v>1.2</v>
      </c>
      <c r="H295" s="509">
        <f ca="1">LOOKUP(C295,'Growth Pattern'!B$15:B$376,'Growth Pattern'!F$15:F$368)-(LOOKUP(C295,'Growth Pattern'!B$15:B$376,'Growth Pattern'!I$15:I$368)*LOOKUP(C295,'Growth Pattern'!B$15:B$376,'Growth Pattern'!H$15:H$368)/100)</f>
        <v>1.7</v>
      </c>
      <c r="I295" s="509">
        <f ca="1">LOOKUP(C295,'Growth Pattern'!B$15:B$376,'Growth Pattern'!G$15:G$368)-(LOOKUP(C295,'Growth Pattern'!B$15:B$376,'Growth Pattern'!H$15:H$368)*LOOKUP(C295,'Growth Pattern'!B$15:B$376,'Growth Pattern'!I$15:I$368)/100)</f>
        <v>2.3500000000000005</v>
      </c>
      <c r="J295" s="510">
        <f t="shared" ca="1" si="13"/>
        <v>-299.28339534191679</v>
      </c>
      <c r="K295" s="511">
        <f ca="1">LOOKUP(C295,'Growth Pattern'!B$15:B$376,'Growth Pattern'!H$15:H$368)</f>
        <v>16.899999999999999</v>
      </c>
      <c r="L295" s="512">
        <f t="shared" ca="1" si="14"/>
        <v>-1.0564682179600795</v>
      </c>
      <c r="M295" s="513">
        <f>LN('Growth Pattern'!F308/'Growth Pattern'!D308)/2</f>
        <v>0.34657359027997264</v>
      </c>
      <c r="N295" s="523"/>
      <c r="O295" s="528"/>
    </row>
    <row r="296" spans="1:15" x14ac:dyDescent="0.25">
      <c r="A296" s="516">
        <v>3.6571816566455086</v>
      </c>
      <c r="B296" s="516">
        <v>0.15</v>
      </c>
      <c r="C296" s="516" t="s">
        <v>3831</v>
      </c>
      <c r="D296" s="507">
        <v>0.26963507238659468</v>
      </c>
      <c r="E296" s="508">
        <f t="shared" si="12"/>
        <v>7.1458251297633738E-2</v>
      </c>
      <c r="F296" s="509">
        <f ca="1">LOOKUP(C296,'Growth Pattern'!B$15:B$376,'Growth Pattern'!D$15:D$368)-(LOOKUP(C296,'Growth Pattern'!B$15:B$376,'Growth Pattern'!H$15:H$368)*LOOKUP(C296,'Growth Pattern'!B$15:B$376,'Growth Pattern'!I$15:I$368)/100)</f>
        <v>7.46</v>
      </c>
      <c r="G296" s="509">
        <f ca="1">LOOKUP(C296,'Growth Pattern'!B$15:B$376,'Growth Pattern'!E$15:E$368)-(LOOKUP(C296,'Growth Pattern'!B$15:B$376,'Growth Pattern'!H$15:H$368)*LOOKUP(C296,'Growth Pattern'!B$15:B$376,'Growth Pattern'!I$15:I$368)/100)</f>
        <v>8.39</v>
      </c>
      <c r="H296" s="509">
        <f ca="1">LOOKUP(C296,'Growth Pattern'!B$15:B$376,'Growth Pattern'!F$15:F$368)-(LOOKUP(C296,'Growth Pattern'!B$15:B$376,'Growth Pattern'!I$15:I$368)*LOOKUP(C296,'Growth Pattern'!B$15:B$376,'Growth Pattern'!H$15:H$368)/100)</f>
        <v>11.13</v>
      </c>
      <c r="I296" s="509">
        <f ca="1">LOOKUP(C296,'Growth Pattern'!B$15:B$376,'Growth Pattern'!G$15:G$368)-(LOOKUP(C296,'Growth Pattern'!B$15:B$376,'Growth Pattern'!H$15:H$368)*LOOKUP(C296,'Growth Pattern'!B$15:B$376,'Growth Pattern'!I$15:I$368)/100)</f>
        <v>15.680000000000003</v>
      </c>
      <c r="J296" s="510">
        <f t="shared" ca="1" si="13"/>
        <v>-1467.3743006214145</v>
      </c>
      <c r="K296" s="511">
        <f ca="1">LOOKUP(C296,'Growth Pattern'!B$15:B$376,'Growth Pattern'!H$15:H$368)</f>
        <v>39.75</v>
      </c>
      <c r="L296" s="512">
        <f t="shared" ca="1" si="14"/>
        <v>-1.0270892027911123</v>
      </c>
      <c r="M296" s="513">
        <f>LN('Growth Pattern'!F309/'Growth Pattern'!D309)/2</f>
        <v>0.20004437553589205</v>
      </c>
      <c r="N296" s="523"/>
      <c r="O296" s="528"/>
    </row>
    <row r="297" spans="1:15" x14ac:dyDescent="0.25">
      <c r="A297" s="516">
        <v>2.0795579100601564</v>
      </c>
      <c r="B297" s="516">
        <v>0.63481371594047931</v>
      </c>
      <c r="C297" s="516" t="s">
        <v>5328</v>
      </c>
      <c r="D297" s="507">
        <v>0.29337405153742785</v>
      </c>
      <c r="E297" s="508">
        <f t="shared" si="12"/>
        <v>7.3523542483756227E-2</v>
      </c>
      <c r="F297" s="509">
        <f ca="1">LOOKUP(C297,'Growth Pattern'!B$15:B$376,'Growth Pattern'!D$15:D$368)-(LOOKUP(C297,'Growth Pattern'!B$15:B$376,'Growth Pattern'!H$15:H$368)*LOOKUP(C297,'Growth Pattern'!B$15:B$376,'Growth Pattern'!I$15:I$368)/100)</f>
        <v>144.37</v>
      </c>
      <c r="G297" s="509">
        <f ca="1">LOOKUP(C297,'Growth Pattern'!B$15:B$376,'Growth Pattern'!E$15:E$368)-(LOOKUP(C297,'Growth Pattern'!B$15:B$376,'Growth Pattern'!H$15:H$368)*LOOKUP(C297,'Growth Pattern'!B$15:B$376,'Growth Pattern'!I$15:I$368)/100)</f>
        <v>181</v>
      </c>
      <c r="H297" s="509">
        <f ca="1">LOOKUP(C297,'Growth Pattern'!B$15:B$376,'Growth Pattern'!F$15:F$368)-(LOOKUP(C297,'Growth Pattern'!B$15:B$376,'Growth Pattern'!I$15:I$368)*LOOKUP(C297,'Growth Pattern'!B$15:B$376,'Growth Pattern'!H$15:H$368)/100)</f>
        <v>229.3</v>
      </c>
      <c r="I297" s="509">
        <f ca="1">LOOKUP(C297,'Growth Pattern'!B$15:B$376,'Growth Pattern'!G$15:G$368)-(LOOKUP(C297,'Growth Pattern'!B$15:B$376,'Growth Pattern'!H$15:H$368)*LOOKUP(C297,'Growth Pattern'!B$15:B$376,'Growth Pattern'!I$15:I$368)/100)</f>
        <v>289.27</v>
      </c>
      <c r="J297" s="510">
        <f t="shared" ca="1" si="13"/>
        <v>-35590.050567013706</v>
      </c>
      <c r="K297" s="511">
        <f ca="1">LOOKUP(C297,'Growth Pattern'!B$15:B$376,'Growth Pattern'!H$15:H$368)</f>
        <v>2320.4499999999998</v>
      </c>
      <c r="L297" s="512">
        <f t="shared" ca="1" si="14"/>
        <v>-1.0651994016032864</v>
      </c>
      <c r="M297" s="513">
        <f>LN('Growth Pattern'!F310/'Growth Pattern'!D310)/2</f>
        <v>0.2313258706110678</v>
      </c>
      <c r="N297" s="523"/>
      <c r="O297" s="528"/>
    </row>
    <row r="298" spans="1:15" x14ac:dyDescent="0.25">
      <c r="A298" s="516">
        <v>2.2439824720840238</v>
      </c>
      <c r="B298" s="516">
        <v>0.41</v>
      </c>
      <c r="C298" s="516" t="s">
        <v>3832</v>
      </c>
      <c r="D298" s="507">
        <v>0.44735440028035839</v>
      </c>
      <c r="E298" s="508">
        <f t="shared" si="12"/>
        <v>8.6919832824391183E-2</v>
      </c>
      <c r="F298" s="509">
        <f ca="1">LOOKUP(C298,'Growth Pattern'!B$15:B$376,'Growth Pattern'!D$15:D$368)-(LOOKUP(C298,'Growth Pattern'!B$15:B$376,'Growth Pattern'!H$15:H$368)*LOOKUP(C298,'Growth Pattern'!B$15:B$376,'Growth Pattern'!I$15:I$368)/100)</f>
        <v>0</v>
      </c>
      <c r="G298" s="509">
        <f ca="1">LOOKUP(C298,'Growth Pattern'!B$15:B$376,'Growth Pattern'!E$15:E$368)-(LOOKUP(C298,'Growth Pattern'!B$15:B$376,'Growth Pattern'!H$15:H$368)*LOOKUP(C298,'Growth Pattern'!B$15:B$376,'Growth Pattern'!I$15:I$368)/100)</f>
        <v>0</v>
      </c>
      <c r="H298" s="509">
        <f ca="1">LOOKUP(C298,'Growth Pattern'!B$15:B$376,'Growth Pattern'!F$15:F$368)-(LOOKUP(C298,'Growth Pattern'!B$15:B$376,'Growth Pattern'!I$15:I$368)*LOOKUP(C298,'Growth Pattern'!B$15:B$376,'Growth Pattern'!H$15:H$368)/100)</f>
        <v>0</v>
      </c>
      <c r="I298" s="509">
        <f ca="1">LOOKUP(C298,'Growth Pattern'!B$15:B$376,'Growth Pattern'!G$15:G$368)-(LOOKUP(C298,'Growth Pattern'!B$15:B$376,'Growth Pattern'!H$15:H$368)*LOOKUP(C298,'Growth Pattern'!B$15:B$376,'Growth Pattern'!I$15:I$368)/100)</f>
        <v>0</v>
      </c>
      <c r="J298" s="510">
        <f t="shared" ca="1" si="13"/>
        <v>0</v>
      </c>
      <c r="K298" s="511">
        <f ca="1">LOOKUP(C298,'Growth Pattern'!B$15:B$376,'Growth Pattern'!H$15:H$368)</f>
        <v>168.25</v>
      </c>
      <c r="L298" s="512" t="e">
        <f t="shared" ca="1" si="14"/>
        <v>#DIV/0!</v>
      </c>
      <c r="M298" s="513" t="e">
        <f>LN('Growth Pattern'!F311/'Growth Pattern'!D311)/2</f>
        <v>#DIV/0!</v>
      </c>
      <c r="N298" s="523"/>
      <c r="O298" s="528"/>
    </row>
    <row r="299" spans="1:15" x14ac:dyDescent="0.25">
      <c r="A299" s="507">
        <v>3.7303519588497611</v>
      </c>
      <c r="B299" s="507">
        <v>0.37</v>
      </c>
      <c r="C299" s="507" t="s">
        <v>3833</v>
      </c>
      <c r="D299" s="507">
        <v>0.75050631281136149</v>
      </c>
      <c r="E299" s="508">
        <f t="shared" si="12"/>
        <v>0.11329404921458845</v>
      </c>
      <c r="F299" s="509">
        <f ca="1">LOOKUP(C299,'Growth Pattern'!B$15:B$376,'Growth Pattern'!D$15:D$368)-(LOOKUP(C299,'Growth Pattern'!B$15:B$376,'Growth Pattern'!H$15:H$368)*LOOKUP(C299,'Growth Pattern'!B$15:B$376,'Growth Pattern'!I$15:I$368)/100)</f>
        <v>0</v>
      </c>
      <c r="G299" s="509">
        <f ca="1">LOOKUP(C299,'Growth Pattern'!B$15:B$376,'Growth Pattern'!E$15:E$368)-(LOOKUP(C299,'Growth Pattern'!B$15:B$376,'Growth Pattern'!H$15:H$368)*LOOKUP(C299,'Growth Pattern'!B$15:B$376,'Growth Pattern'!I$15:I$368)/100)</f>
        <v>0</v>
      </c>
      <c r="H299" s="509">
        <f ca="1">LOOKUP(C299,'Growth Pattern'!B$15:B$376,'Growth Pattern'!F$15:F$368)-(LOOKUP(C299,'Growth Pattern'!B$15:B$376,'Growth Pattern'!I$15:I$368)*LOOKUP(C299,'Growth Pattern'!B$15:B$376,'Growth Pattern'!H$15:H$368)/100)</f>
        <v>0</v>
      </c>
      <c r="I299" s="509">
        <f ca="1">LOOKUP(C299,'Growth Pattern'!B$15:B$376,'Growth Pattern'!G$15:G$368)-(LOOKUP(C299,'Growth Pattern'!B$15:B$376,'Growth Pattern'!H$15:H$368)*LOOKUP(C299,'Growth Pattern'!B$15:B$376,'Growth Pattern'!I$15:I$368)/100)</f>
        <v>0</v>
      </c>
      <c r="J299" s="510">
        <f t="shared" ca="1" si="13"/>
        <v>0</v>
      </c>
      <c r="K299" s="511">
        <f ca="1">LOOKUP(C299,'Growth Pattern'!B$15:B$376,'Growth Pattern'!H$15:H$368)</f>
        <v>58.2</v>
      </c>
      <c r="L299" s="512" t="e">
        <f t="shared" ca="1" si="14"/>
        <v>#DIV/0!</v>
      </c>
      <c r="M299" s="513" t="e">
        <f>LN('Growth Pattern'!F312/'Growth Pattern'!D312)/2</f>
        <v>#DIV/0!</v>
      </c>
      <c r="N299" s="523"/>
      <c r="O299" s="528"/>
    </row>
    <row r="300" spans="1:15" x14ac:dyDescent="0.25">
      <c r="A300" s="527">
        <v>3.8317924943170039</v>
      </c>
      <c r="B300" s="527">
        <v>0.3</v>
      </c>
      <c r="C300" s="527" t="s">
        <v>3529</v>
      </c>
      <c r="D300" s="507">
        <v>4.9087883804508688E-2</v>
      </c>
      <c r="E300" s="508">
        <f t="shared" si="12"/>
        <v>5.2270645890992257E-2</v>
      </c>
      <c r="F300" s="509">
        <f ca="1">LOOKUP(C300,'Growth Pattern'!B$15:B$376,'Growth Pattern'!D$15:D$368)-(LOOKUP(C300,'Growth Pattern'!B$15:B$376,'Growth Pattern'!H$15:H$368)*LOOKUP(C300,'Growth Pattern'!B$15:B$376,'Growth Pattern'!I$15:I$368)/100)</f>
        <v>-0.80220000000000002</v>
      </c>
      <c r="G300" s="509">
        <f ca="1">LOOKUP(C300,'Growth Pattern'!B$15:B$376,'Growth Pattern'!E$15:E$368)-(LOOKUP(C300,'Growth Pattern'!B$15:B$376,'Growth Pattern'!H$15:H$368)*LOOKUP(C300,'Growth Pattern'!B$15:B$376,'Growth Pattern'!I$15:I$368)/100)</f>
        <v>14.297799999999999</v>
      </c>
      <c r="H300" s="509">
        <f ca="1">LOOKUP(C300,'Growth Pattern'!B$15:B$376,'Growth Pattern'!F$15:F$368)-(LOOKUP(C300,'Growth Pattern'!B$15:B$376,'Growth Pattern'!I$15:I$368)*LOOKUP(C300,'Growth Pattern'!B$15:B$376,'Growth Pattern'!H$15:H$368)/100)</f>
        <v>18.097799999999999</v>
      </c>
      <c r="I300" s="509">
        <f ca="1">LOOKUP(C300,'Growth Pattern'!B$15:B$376,'Growth Pattern'!G$15:G$368)-(LOOKUP(C300,'Growth Pattern'!B$15:B$376,'Growth Pattern'!H$15:H$368)*LOOKUP(C300,'Growth Pattern'!B$15:B$376,'Growth Pattern'!I$15:I$368)/100)</f>
        <v>18.097799999999999</v>
      </c>
      <c r="J300" s="510">
        <f t="shared" ca="1" si="13"/>
        <v>-531.01928775346414</v>
      </c>
      <c r="K300" s="511">
        <f ca="1">LOOKUP(C300,'Growth Pattern'!B$15:B$376,'Growth Pattern'!H$15:H$368)</f>
        <v>191</v>
      </c>
      <c r="L300" s="512">
        <f t="shared" ca="1" si="14"/>
        <v>-1.3596856167090401</v>
      </c>
      <c r="M300" s="513" t="e">
        <f>LN('Growth Pattern'!F313/'Growth Pattern'!D313)/2</f>
        <v>#DIV/0!</v>
      </c>
      <c r="N300" s="523"/>
      <c r="O300" s="528"/>
    </row>
    <row r="301" spans="1:15" x14ac:dyDescent="0.25">
      <c r="A301" s="507">
        <v>3.6685509993486409</v>
      </c>
      <c r="B301" s="507">
        <v>0.18</v>
      </c>
      <c r="C301" s="507" t="s">
        <v>5355</v>
      </c>
      <c r="D301" s="507">
        <v>0.49102641919739304</v>
      </c>
      <c r="E301" s="508">
        <f t="shared" si="12"/>
        <v>9.0719298470173196E-2</v>
      </c>
      <c r="F301" s="509">
        <f ca="1">LOOKUP(C301,'Growth Pattern'!B$15:B$376,'Growth Pattern'!D$15:D$368)-(LOOKUP(C301,'Growth Pattern'!B$15:B$376,'Growth Pattern'!H$15:H$368)*LOOKUP(C301,'Growth Pattern'!B$15:B$376,'Growth Pattern'!I$15:I$368)/100)</f>
        <v>0</v>
      </c>
      <c r="G301" s="509">
        <f ca="1">LOOKUP(C301,'Growth Pattern'!B$15:B$376,'Growth Pattern'!E$15:E$368)-(LOOKUP(C301,'Growth Pattern'!B$15:B$376,'Growth Pattern'!H$15:H$368)*LOOKUP(C301,'Growth Pattern'!B$15:B$376,'Growth Pattern'!I$15:I$368)/100)</f>
        <v>0</v>
      </c>
      <c r="H301" s="509">
        <f ca="1">LOOKUP(C301,'Growth Pattern'!B$15:B$376,'Growth Pattern'!F$15:F$368)-(LOOKUP(C301,'Growth Pattern'!B$15:B$376,'Growth Pattern'!I$15:I$368)*LOOKUP(C301,'Growth Pattern'!B$15:B$376,'Growth Pattern'!H$15:H$368)/100)</f>
        <v>0</v>
      </c>
      <c r="I301" s="509">
        <f ca="1">LOOKUP(C301,'Growth Pattern'!B$15:B$376,'Growth Pattern'!G$15:G$368)-(LOOKUP(C301,'Growth Pattern'!B$15:B$376,'Growth Pattern'!H$15:H$368)*LOOKUP(C301,'Growth Pattern'!B$15:B$376,'Growth Pattern'!I$15:I$368)/100)</f>
        <v>0</v>
      </c>
      <c r="J301" s="510">
        <f t="shared" ca="1" si="13"/>
        <v>0</v>
      </c>
      <c r="K301" s="511">
        <f ca="1">LOOKUP(C301,'Growth Pattern'!B$15:B$376,'Growth Pattern'!H$15:H$368)</f>
        <v>59.35</v>
      </c>
      <c r="L301" s="512" t="e">
        <f t="shared" ca="1" si="14"/>
        <v>#DIV/0!</v>
      </c>
      <c r="M301" s="513" t="e">
        <f>LN('Growth Pattern'!F314/'Growth Pattern'!D314)/2</f>
        <v>#DIV/0!</v>
      </c>
      <c r="N301" s="523"/>
      <c r="O301" s="528"/>
    </row>
    <row r="302" spans="1:15" x14ac:dyDescent="0.25">
      <c r="A302" s="507">
        <v>4.1310007557578112</v>
      </c>
      <c r="B302" s="507">
        <v>0.28999999999999998</v>
      </c>
      <c r="C302" s="507" t="s">
        <v>3053</v>
      </c>
      <c r="D302" s="507">
        <v>0.49997023832203935</v>
      </c>
      <c r="E302" s="508">
        <f t="shared" si="12"/>
        <v>9.1497410734017431E-2</v>
      </c>
      <c r="F302" s="509">
        <f ca="1">LOOKUP(C302,'Growth Pattern'!B$15:B$376,'Growth Pattern'!D$15:D$368)-(LOOKUP(C302,'Growth Pattern'!B$15:B$376,'Growth Pattern'!H$15:H$368)*LOOKUP(C302,'Growth Pattern'!B$15:B$376,'Growth Pattern'!I$15:I$368)/100)</f>
        <v>0</v>
      </c>
      <c r="G302" s="509">
        <f ca="1">LOOKUP(C302,'Growth Pattern'!B$15:B$376,'Growth Pattern'!E$15:E$368)-(LOOKUP(C302,'Growth Pattern'!B$15:B$376,'Growth Pattern'!H$15:H$368)*LOOKUP(C302,'Growth Pattern'!B$15:B$376,'Growth Pattern'!I$15:I$368)/100)</f>
        <v>8.6</v>
      </c>
      <c r="H302" s="509">
        <f ca="1">LOOKUP(C302,'Growth Pattern'!B$15:B$376,'Growth Pattern'!F$15:F$368)-(LOOKUP(C302,'Growth Pattern'!B$15:B$376,'Growth Pattern'!I$15:I$368)*LOOKUP(C302,'Growth Pattern'!B$15:B$376,'Growth Pattern'!H$15:H$368)/100)</f>
        <v>10.4</v>
      </c>
      <c r="I302" s="509">
        <f ca="1">LOOKUP(C302,'Growth Pattern'!B$15:B$376,'Growth Pattern'!G$15:G$368)-(LOOKUP(C302,'Growth Pattern'!B$15:B$376,'Growth Pattern'!H$15:H$368)*LOOKUP(C302,'Growth Pattern'!B$15:B$376,'Growth Pattern'!I$15:I$368)/100)</f>
        <v>10.4</v>
      </c>
      <c r="J302" s="510">
        <f t="shared" ca="1" si="13"/>
        <v>712.2175087449732</v>
      </c>
      <c r="K302" s="511">
        <f ca="1">LOOKUP(C302,'Growth Pattern'!B$15:B$376,'Growth Pattern'!H$15:H$368)</f>
        <v>150.55000000000001</v>
      </c>
      <c r="L302" s="512">
        <f t="shared" ca="1" si="14"/>
        <v>-0.78861794585015177</v>
      </c>
      <c r="M302" s="513" t="e">
        <f>LN('Growth Pattern'!F315/'Growth Pattern'!D315)/2</f>
        <v>#DIV/0!</v>
      </c>
      <c r="N302" s="523"/>
      <c r="O302" s="528"/>
    </row>
    <row r="303" spans="1:15" x14ac:dyDescent="0.25">
      <c r="A303" s="507">
        <v>2.5725459962297879</v>
      </c>
      <c r="B303" s="507">
        <v>0.19</v>
      </c>
      <c r="C303" s="507" t="s">
        <v>3055</v>
      </c>
      <c r="D303" s="507">
        <v>0.42100320305045691</v>
      </c>
      <c r="E303" s="508">
        <f t="shared" si="12"/>
        <v>8.4627278665389757E-2</v>
      </c>
      <c r="F303" s="509">
        <f ca="1">LOOKUP(C303,'Growth Pattern'!B$15:B$376,'Growth Pattern'!D$15:D$368)-(LOOKUP(C303,'Growth Pattern'!B$15:B$376,'Growth Pattern'!H$15:H$368)*LOOKUP(C303,'Growth Pattern'!B$15:B$376,'Growth Pattern'!I$15:I$368)/100)</f>
        <v>2.6713699999999996</v>
      </c>
      <c r="G303" s="509">
        <f ca="1">LOOKUP(C303,'Growth Pattern'!B$15:B$376,'Growth Pattern'!E$15:E$368)-(LOOKUP(C303,'Growth Pattern'!B$15:B$376,'Growth Pattern'!H$15:H$368)*LOOKUP(C303,'Growth Pattern'!B$15:B$376,'Growth Pattern'!I$15:I$368)/100)</f>
        <v>3.9513699999999998</v>
      </c>
      <c r="H303" s="509">
        <f ca="1">LOOKUP(C303,'Growth Pattern'!B$15:B$376,'Growth Pattern'!F$15:F$368)-(LOOKUP(C303,'Growth Pattern'!B$15:B$376,'Growth Pattern'!I$15:I$368)*LOOKUP(C303,'Growth Pattern'!B$15:B$376,'Growth Pattern'!H$15:H$368)/100)</f>
        <v>5.2513700000000005</v>
      </c>
      <c r="I303" s="509">
        <f ca="1">LOOKUP(C303,'Growth Pattern'!B$15:B$376,'Growth Pattern'!G$15:G$368)-(LOOKUP(C303,'Growth Pattern'!B$15:B$376,'Growth Pattern'!H$15:H$368)*LOOKUP(C303,'Growth Pattern'!B$15:B$376,'Growth Pattern'!I$15:I$368)/100)</f>
        <v>6.5713700000000008</v>
      </c>
      <c r="J303" s="510">
        <f t="shared" ca="1" si="13"/>
        <v>1123.7617350414773</v>
      </c>
      <c r="K303" s="511">
        <f ca="1">LOOKUP(C303,'Growth Pattern'!B$15:B$376,'Growth Pattern'!H$15:H$368)</f>
        <v>61.55</v>
      </c>
      <c r="L303" s="512">
        <f t="shared" ca="1" si="14"/>
        <v>-0.94522860310977919</v>
      </c>
      <c r="M303" s="513">
        <f>LN('Growth Pattern'!F316/'Growth Pattern'!D316)/2</f>
        <v>0.27194324301343942</v>
      </c>
      <c r="N303" s="523"/>
      <c r="O303" s="528"/>
    </row>
    <row r="304" spans="1:15" x14ac:dyDescent="0.25">
      <c r="A304" s="507">
        <v>1.633540776921129</v>
      </c>
      <c r="B304" s="507">
        <v>0.1125456019167738</v>
      </c>
      <c r="C304" s="542" t="s">
        <v>3057</v>
      </c>
      <c r="D304" s="507">
        <v>0.49496812365168502</v>
      </c>
      <c r="E304" s="508">
        <f t="shared" si="12"/>
        <v>9.1062226757696596E-2</v>
      </c>
      <c r="F304" s="509">
        <f ca="1">LOOKUP(C304,'Growth Pattern'!B$15:B$376,'Growth Pattern'!D$15:D$368)-(LOOKUP(C304,'Growth Pattern'!B$15:B$376,'Growth Pattern'!H$15:H$368)*LOOKUP(C304,'Growth Pattern'!B$15:B$376,'Growth Pattern'!I$15:I$368)/100)</f>
        <v>10.272724999999999</v>
      </c>
      <c r="G304" s="509">
        <f ca="1">LOOKUP(C304,'Growth Pattern'!B$15:B$376,'Growth Pattern'!E$15:E$368)-(LOOKUP(C304,'Growth Pattern'!B$15:B$376,'Growth Pattern'!H$15:H$368)*LOOKUP(C304,'Growth Pattern'!B$15:B$376,'Growth Pattern'!I$15:I$368)/100)</f>
        <v>14.032725000000001</v>
      </c>
      <c r="H304" s="509">
        <f ca="1">LOOKUP(C304,'Growth Pattern'!B$15:B$376,'Growth Pattern'!F$15:F$368)-(LOOKUP(C304,'Growth Pattern'!B$15:B$376,'Growth Pattern'!I$15:I$368)*LOOKUP(C304,'Growth Pattern'!B$15:B$376,'Growth Pattern'!H$15:H$368)/100)</f>
        <v>16.932724999999998</v>
      </c>
      <c r="I304" s="509">
        <f ca="1">LOOKUP(C304,'Growth Pattern'!B$15:B$376,'Growth Pattern'!G$15:G$368)-(LOOKUP(C304,'Growth Pattern'!B$15:B$376,'Growth Pattern'!H$15:H$368)*LOOKUP(C304,'Growth Pattern'!B$15:B$376,'Growth Pattern'!I$15:I$368)/100)</f>
        <v>18.972724999999986</v>
      </c>
      <c r="J304" s="510">
        <f t="shared" ca="1" si="13"/>
        <v>1357.8590221898801</v>
      </c>
      <c r="K304" s="511">
        <f ca="1">LOOKUP(C304,'Growth Pattern'!B$15:B$376,'Growth Pattern'!H$15:H$368)</f>
        <v>439.25</v>
      </c>
      <c r="L304" s="512">
        <f t="shared" ca="1" si="14"/>
        <v>-0.67651280963497828</v>
      </c>
      <c r="M304" s="513">
        <f>LN('Growth Pattern'!F317/'Growth Pattern'!D317)/2</f>
        <v>0.20629853962271799</v>
      </c>
      <c r="N304" s="523"/>
      <c r="O304" s="528"/>
    </row>
    <row r="305" spans="1:15" x14ac:dyDescent="0.25">
      <c r="A305" s="527">
        <v>3.4585727001074913</v>
      </c>
      <c r="B305" s="527">
        <v>0.47</v>
      </c>
      <c r="C305" s="527" t="s">
        <v>701</v>
      </c>
      <c r="D305" s="507">
        <v>0.53282855706741383</v>
      </c>
      <c r="E305" s="508">
        <f t="shared" si="12"/>
        <v>9.4356084464865014E-2</v>
      </c>
      <c r="F305" s="509">
        <f ca="1">LOOKUP(C305,'Growth Pattern'!B$15:B$376,'Growth Pattern'!D$15:D$368)-(LOOKUP(C305,'Growth Pattern'!B$15:B$376,'Growth Pattern'!H$15:H$368)*LOOKUP(C305,'Growth Pattern'!B$15:B$376,'Growth Pattern'!I$15:I$368)/100)</f>
        <v>5.6841400000000002</v>
      </c>
      <c r="G305" s="509">
        <f ca="1">LOOKUP(C305,'Growth Pattern'!B$15:B$376,'Growth Pattern'!E$15:E$368)-(LOOKUP(C305,'Growth Pattern'!B$15:B$376,'Growth Pattern'!H$15:H$368)*LOOKUP(C305,'Growth Pattern'!B$15:B$376,'Growth Pattern'!I$15:I$368)/100)</f>
        <v>10.354140000000001</v>
      </c>
      <c r="H305" s="509">
        <f ca="1">LOOKUP(C305,'Growth Pattern'!B$15:B$376,'Growth Pattern'!F$15:F$368)-(LOOKUP(C305,'Growth Pattern'!B$15:B$376,'Growth Pattern'!I$15:I$368)*LOOKUP(C305,'Growth Pattern'!B$15:B$376,'Growth Pattern'!H$15:H$368)/100)</f>
        <v>13.194140000000001</v>
      </c>
      <c r="I305" s="509">
        <f ca="1">LOOKUP(C305,'Growth Pattern'!B$15:B$376,'Growth Pattern'!G$15:G$368)-(LOOKUP(C305,'Growth Pattern'!B$15:B$376,'Growth Pattern'!H$15:H$368)*LOOKUP(C305,'Growth Pattern'!B$15:B$376,'Growth Pattern'!I$15:I$368)/100)</f>
        <v>13.194140000000001</v>
      </c>
      <c r="J305" s="510">
        <f t="shared" ca="1" si="13"/>
        <v>727.40647609057669</v>
      </c>
      <c r="K305" s="511">
        <f ca="1">LOOKUP(C305,'Growth Pattern'!B$15:B$376,'Growth Pattern'!H$15:H$368)</f>
        <v>386.9</v>
      </c>
      <c r="L305" s="512">
        <f t="shared" ca="1" si="14"/>
        <v>-0.46811031697245548</v>
      </c>
      <c r="M305" s="513">
        <f>LN('Growth Pattern'!F318/'Growth Pattern'!D318)/2</f>
        <v>0.2253373667710501</v>
      </c>
      <c r="N305" s="523"/>
      <c r="O305" s="528"/>
    </row>
    <row r="306" spans="1:15" x14ac:dyDescent="0.25">
      <c r="A306" s="516">
        <v>2.9194561978700206</v>
      </c>
      <c r="B306" s="516">
        <v>7.0000000000000007E-2</v>
      </c>
      <c r="C306" s="516" t="s">
        <v>4731</v>
      </c>
      <c r="D306" s="507">
        <v>0.99991991918482725</v>
      </c>
      <c r="E306" s="508">
        <f t="shared" si="12"/>
        <v>0.13499303296908</v>
      </c>
      <c r="F306" s="509">
        <f ca="1">LOOKUP(C306,'Growth Pattern'!B$15:B$376,'Growth Pattern'!D$15:D$368)-(LOOKUP(C306,'Growth Pattern'!B$15:B$376,'Growth Pattern'!H$15:H$368)*LOOKUP(C306,'Growth Pattern'!B$15:B$376,'Growth Pattern'!I$15:I$368)/100)</f>
        <v>-0.42599999999999993</v>
      </c>
      <c r="G306" s="509">
        <f ca="1">LOOKUP(C306,'Growth Pattern'!B$15:B$376,'Growth Pattern'!E$15:E$368)-(LOOKUP(C306,'Growth Pattern'!B$15:B$376,'Growth Pattern'!H$15:H$368)*LOOKUP(C306,'Growth Pattern'!B$15:B$376,'Growth Pattern'!I$15:I$368)/100)</f>
        <v>2.274</v>
      </c>
      <c r="H306" s="509">
        <f ca="1">LOOKUP(C306,'Growth Pattern'!B$15:B$376,'Growth Pattern'!F$15:F$368)-(LOOKUP(C306,'Growth Pattern'!B$15:B$376,'Growth Pattern'!I$15:I$368)*LOOKUP(C306,'Growth Pattern'!B$15:B$376,'Growth Pattern'!H$15:H$368)/100)</f>
        <v>2.9740000000000002</v>
      </c>
      <c r="I306" s="509">
        <f ca="1">LOOKUP(C306,'Growth Pattern'!B$15:B$376,'Growth Pattern'!G$15:G$368)-(LOOKUP(C306,'Growth Pattern'!B$15:B$376,'Growth Pattern'!H$15:H$368)*LOOKUP(C306,'Growth Pattern'!B$15:B$376,'Growth Pattern'!I$15:I$368)/100)</f>
        <v>2.9740000000000002</v>
      </c>
      <c r="J306" s="510">
        <f t="shared" ca="1" si="13"/>
        <v>40.873559333782993</v>
      </c>
      <c r="K306" s="511">
        <f ca="1">LOOKUP(C306,'Growth Pattern'!B$15:B$376,'Growth Pattern'!H$15:H$368)</f>
        <v>20</v>
      </c>
      <c r="L306" s="512">
        <f t="shared" ca="1" si="14"/>
        <v>-0.51068611772526717</v>
      </c>
      <c r="M306" s="513" t="e">
        <f>LN('Growth Pattern'!F319/'Growth Pattern'!D319)/2</f>
        <v>#DIV/0!</v>
      </c>
      <c r="N306" s="523"/>
      <c r="O306" s="528"/>
    </row>
    <row r="307" spans="1:15" x14ac:dyDescent="0.25">
      <c r="A307" s="516">
        <v>3.1761701034952048</v>
      </c>
      <c r="B307" s="516"/>
      <c r="C307" s="516" t="s">
        <v>5319</v>
      </c>
      <c r="D307" s="507">
        <v>0.23494390796948775</v>
      </c>
      <c r="E307" s="508">
        <f t="shared" si="12"/>
        <v>6.8440119993345441E-2</v>
      </c>
      <c r="F307" s="509">
        <f ca="1">LOOKUP(C307,'Growth Pattern'!B$15:B$376,'Growth Pattern'!D$15:D$368)-(LOOKUP(C307,'Growth Pattern'!B$15:B$376,'Growth Pattern'!H$15:H$368)*LOOKUP(C307,'Growth Pattern'!B$15:B$376,'Growth Pattern'!I$15:I$368)/100)</f>
        <v>0</v>
      </c>
      <c r="G307" s="509">
        <f ca="1">LOOKUP(C307,'Growth Pattern'!B$15:B$376,'Growth Pattern'!E$15:E$368)-(LOOKUP(C307,'Growth Pattern'!B$15:B$376,'Growth Pattern'!H$15:H$368)*LOOKUP(C307,'Growth Pattern'!B$15:B$376,'Growth Pattern'!I$15:I$368)/100)</f>
        <v>0</v>
      </c>
      <c r="H307" s="509">
        <f ca="1">LOOKUP(C307,'Growth Pattern'!B$15:B$376,'Growth Pattern'!F$15:F$368)-(LOOKUP(C307,'Growth Pattern'!B$15:B$376,'Growth Pattern'!I$15:I$368)*LOOKUP(C307,'Growth Pattern'!B$15:B$376,'Growth Pattern'!H$15:H$368)/100)</f>
        <v>0</v>
      </c>
      <c r="I307" s="509">
        <f ca="1">LOOKUP(C307,'Growth Pattern'!B$15:B$376,'Growth Pattern'!G$15:G$368)-(LOOKUP(C307,'Growth Pattern'!B$15:B$376,'Growth Pattern'!H$15:H$368)*LOOKUP(C307,'Growth Pattern'!B$15:B$376,'Growth Pattern'!I$15:I$368)/100)</f>
        <v>0</v>
      </c>
      <c r="J307" s="510">
        <f t="shared" ca="1" si="13"/>
        <v>0</v>
      </c>
      <c r="K307" s="511">
        <f ca="1">LOOKUP(C307,'Growth Pattern'!B$15:B$376,'Growth Pattern'!H$15:H$368)</f>
        <v>80.2</v>
      </c>
      <c r="L307" s="512" t="e">
        <f t="shared" ca="1" si="14"/>
        <v>#DIV/0!</v>
      </c>
      <c r="M307" s="513" t="e">
        <f>LN('Growth Pattern'!F320/'Growth Pattern'!D320)/2</f>
        <v>#DIV/0!</v>
      </c>
      <c r="N307" s="523"/>
      <c r="O307" s="528"/>
    </row>
    <row r="308" spans="1:15" x14ac:dyDescent="0.25">
      <c r="A308" s="507">
        <v>0.6099882700996121</v>
      </c>
      <c r="B308" s="507">
        <v>0.28655150907526328</v>
      </c>
      <c r="C308" s="507" t="s">
        <v>5321</v>
      </c>
      <c r="D308" s="507">
        <v>0.98019755933600061</v>
      </c>
      <c r="E308" s="508">
        <f t="shared" si="12"/>
        <v>0.13327718766223207</v>
      </c>
      <c r="F308" s="509">
        <f ca="1">LOOKUP(C308,'Growth Pattern'!B$15:B$376,'Growth Pattern'!D$15:D$368)-(LOOKUP(C308,'Growth Pattern'!B$15:B$376,'Growth Pattern'!H$15:H$368)*LOOKUP(C308,'Growth Pattern'!B$15:B$376,'Growth Pattern'!I$15:I$368)/100)</f>
        <v>0</v>
      </c>
      <c r="G308" s="509">
        <f ca="1">LOOKUP(C308,'Growth Pattern'!B$15:B$376,'Growth Pattern'!E$15:E$368)-(LOOKUP(C308,'Growth Pattern'!B$15:B$376,'Growth Pattern'!H$15:H$368)*LOOKUP(C308,'Growth Pattern'!B$15:B$376,'Growth Pattern'!I$15:I$368)/100)</f>
        <v>0</v>
      </c>
      <c r="H308" s="509">
        <f ca="1">LOOKUP(C308,'Growth Pattern'!B$15:B$376,'Growth Pattern'!F$15:F$368)-(LOOKUP(C308,'Growth Pattern'!B$15:B$376,'Growth Pattern'!I$15:I$368)*LOOKUP(C308,'Growth Pattern'!B$15:B$376,'Growth Pattern'!H$15:H$368)/100)</f>
        <v>0</v>
      </c>
      <c r="I308" s="509">
        <f ca="1">LOOKUP(C308,'Growth Pattern'!B$15:B$376,'Growth Pattern'!G$15:G$368)-(LOOKUP(C308,'Growth Pattern'!B$15:B$376,'Growth Pattern'!H$15:H$368)*LOOKUP(C308,'Growth Pattern'!B$15:B$376,'Growth Pattern'!I$15:I$368)/100)</f>
        <v>0</v>
      </c>
      <c r="J308" s="510">
        <f t="shared" ca="1" si="13"/>
        <v>0</v>
      </c>
      <c r="K308" s="511">
        <f ca="1">LOOKUP(C308,'Growth Pattern'!B$15:B$376,'Growth Pattern'!H$15:H$368)</f>
        <v>20.8</v>
      </c>
      <c r="L308" s="512" t="e">
        <f t="shared" ca="1" si="14"/>
        <v>#DIV/0!</v>
      </c>
      <c r="M308" s="513" t="e">
        <f>LN('Growth Pattern'!F321/'Growth Pattern'!D321)/2</f>
        <v>#DIV/0!</v>
      </c>
      <c r="N308" s="523"/>
      <c r="O308" s="528"/>
    </row>
    <row r="309" spans="1:15" x14ac:dyDescent="0.25">
      <c r="A309" s="516">
        <v>2.8358085418092491</v>
      </c>
      <c r="B309" s="516">
        <v>0.41</v>
      </c>
      <c r="C309" s="516" t="s">
        <v>423</v>
      </c>
      <c r="D309" s="507">
        <v>0.594708733643869</v>
      </c>
      <c r="E309" s="508">
        <f t="shared" si="12"/>
        <v>9.9739659827016602E-2</v>
      </c>
      <c r="F309" s="509">
        <f ca="1">LOOKUP(C309,'Growth Pattern'!B$15:B$376,'Growth Pattern'!D$15:D$368)-(LOOKUP(C309,'Growth Pattern'!B$15:B$376,'Growth Pattern'!H$15:H$368)*LOOKUP(C309,'Growth Pattern'!B$15:B$376,'Growth Pattern'!I$15:I$368)/100)</f>
        <v>-7.77</v>
      </c>
      <c r="G309" s="509">
        <f ca="1">LOOKUP(C309,'Growth Pattern'!B$15:B$376,'Growth Pattern'!E$15:E$368)-(LOOKUP(C309,'Growth Pattern'!B$15:B$376,'Growth Pattern'!H$15:H$368)*LOOKUP(C309,'Growth Pattern'!B$15:B$376,'Growth Pattern'!I$15:I$368)/100)</f>
        <v>-4.2</v>
      </c>
      <c r="H309" s="509">
        <f ca="1">LOOKUP(C309,'Growth Pattern'!B$15:B$376,'Growth Pattern'!F$15:F$368)-(LOOKUP(C309,'Growth Pattern'!B$15:B$376,'Growth Pattern'!I$15:I$368)*LOOKUP(C309,'Growth Pattern'!B$15:B$376,'Growth Pattern'!H$15:H$368)/100)</f>
        <v>2.75</v>
      </c>
      <c r="I309" s="509">
        <f ca="1">LOOKUP(C309,'Growth Pattern'!B$15:B$376,'Growth Pattern'!G$15:G$368)-(LOOKUP(C309,'Growth Pattern'!B$15:B$376,'Growth Pattern'!H$15:H$368)*LOOKUP(C309,'Growth Pattern'!B$15:B$376,'Growth Pattern'!I$15:I$368)/100)</f>
        <v>13.080000000000004</v>
      </c>
      <c r="J309" s="510">
        <f t="shared" ca="1" si="13"/>
        <v>488.87863191144152</v>
      </c>
      <c r="K309" s="511">
        <f ca="1">LOOKUP(C309,'Growth Pattern'!B$15:B$376,'Growth Pattern'!H$15:H$368)</f>
        <v>50.7</v>
      </c>
      <c r="L309" s="512">
        <f t="shared" ca="1" si="14"/>
        <v>-0.89629327875965725</v>
      </c>
      <c r="M309" s="513" t="e">
        <f>LN('Growth Pattern'!F322/'Growth Pattern'!D322)/2</f>
        <v>#NUM!</v>
      </c>
      <c r="N309" s="523"/>
      <c r="O309" s="528"/>
    </row>
    <row r="310" spans="1:15" x14ac:dyDescent="0.25">
      <c r="A310" s="516">
        <v>3.1914469277333706</v>
      </c>
      <c r="B310" s="516">
        <v>0.04</v>
      </c>
      <c r="C310" s="516" t="s">
        <v>425</v>
      </c>
      <c r="D310" s="507">
        <v>0.71041638355466818</v>
      </c>
      <c r="E310" s="508">
        <f t="shared" si="12"/>
        <v>0.10980622536925613</v>
      </c>
      <c r="F310" s="509">
        <f ca="1">LOOKUP(C310,'Growth Pattern'!B$15:B$376,'Growth Pattern'!D$15:D$368)-(LOOKUP(C310,'Growth Pattern'!B$15:B$376,'Growth Pattern'!H$15:H$368)*LOOKUP(C310,'Growth Pattern'!B$15:B$376,'Growth Pattern'!I$15:I$368)/100)</f>
        <v>19.399999999999999</v>
      </c>
      <c r="G310" s="509">
        <f ca="1">LOOKUP(C310,'Growth Pattern'!B$15:B$376,'Growth Pattern'!E$15:E$368)-(LOOKUP(C310,'Growth Pattern'!B$15:B$376,'Growth Pattern'!H$15:H$368)*LOOKUP(C310,'Growth Pattern'!B$15:B$376,'Growth Pattern'!I$15:I$368)/100)</f>
        <v>22.53</v>
      </c>
      <c r="H310" s="509">
        <f ca="1">LOOKUP(C310,'Growth Pattern'!B$15:B$376,'Growth Pattern'!F$15:F$368)-(LOOKUP(C310,'Growth Pattern'!B$15:B$376,'Growth Pattern'!I$15:I$368)*LOOKUP(C310,'Growth Pattern'!B$15:B$376,'Growth Pattern'!H$15:H$368)/100)</f>
        <v>28.77</v>
      </c>
      <c r="I310" s="509">
        <f ca="1">LOOKUP(C310,'Growth Pattern'!B$15:B$376,'Growth Pattern'!G$15:G$368)-(LOOKUP(C310,'Growth Pattern'!B$15:B$376,'Growth Pattern'!H$15:H$368)*LOOKUP(C310,'Growth Pattern'!B$15:B$376,'Growth Pattern'!I$15:I$368)/100)</f>
        <v>38.11999999999999</v>
      </c>
      <c r="J310" s="510">
        <f t="shared" ca="1" si="13"/>
        <v>998.69002541487157</v>
      </c>
      <c r="K310" s="511">
        <f ca="1">LOOKUP(C310,'Growth Pattern'!B$15:B$376,'Growth Pattern'!H$15:H$368)</f>
        <v>355</v>
      </c>
      <c r="L310" s="512">
        <f t="shared" ca="1" si="14"/>
        <v>-0.64453434903134488</v>
      </c>
      <c r="M310" s="513">
        <f>LN('Growth Pattern'!F323/'Growth Pattern'!D323)/2</f>
        <v>0.19703005574708707</v>
      </c>
      <c r="N310" s="523"/>
      <c r="O310" s="528"/>
    </row>
    <row r="311" spans="1:15" x14ac:dyDescent="0.25">
      <c r="A311" s="507">
        <v>2.6155593504130867</v>
      </c>
      <c r="B311" s="507">
        <v>0.48</v>
      </c>
      <c r="C311" s="507" t="s">
        <v>2925</v>
      </c>
      <c r="D311" s="507">
        <v>0.18896001613424515</v>
      </c>
      <c r="E311" s="508">
        <f t="shared" si="12"/>
        <v>6.4439521403679326E-2</v>
      </c>
      <c r="F311" s="509">
        <f ca="1">LOOKUP(C311,'Growth Pattern'!B$15:B$376,'Growth Pattern'!D$15:D$368)-(LOOKUP(C311,'Growth Pattern'!B$15:B$376,'Growth Pattern'!H$15:H$368)*LOOKUP(C311,'Growth Pattern'!B$15:B$376,'Growth Pattern'!I$15:I$368)/100)</f>
        <v>15.58</v>
      </c>
      <c r="G311" s="509">
        <f ca="1">LOOKUP(C311,'Growth Pattern'!B$15:B$376,'Growth Pattern'!E$15:E$368)-(LOOKUP(C311,'Growth Pattern'!B$15:B$376,'Growth Pattern'!H$15:H$368)*LOOKUP(C311,'Growth Pattern'!B$15:B$376,'Growth Pattern'!I$15:I$368)/100)</f>
        <v>19.8</v>
      </c>
      <c r="H311" s="509">
        <f ca="1">LOOKUP(C311,'Growth Pattern'!B$15:B$376,'Growth Pattern'!F$15:F$368)-(LOOKUP(C311,'Growth Pattern'!B$15:B$376,'Growth Pattern'!I$15:I$368)*LOOKUP(C311,'Growth Pattern'!B$15:B$376,'Growth Pattern'!H$15:H$368)/100)</f>
        <v>25</v>
      </c>
      <c r="I311" s="509">
        <f ca="1">LOOKUP(C311,'Growth Pattern'!B$15:B$376,'Growth Pattern'!G$15:G$368)-(LOOKUP(C311,'Growth Pattern'!B$15:B$376,'Growth Pattern'!H$15:H$368)*LOOKUP(C311,'Growth Pattern'!B$15:B$376,'Growth Pattern'!I$15:I$368)/100)</f>
        <v>31.179999999999993</v>
      </c>
      <c r="J311" s="510">
        <f t="shared" ca="1" si="13"/>
        <v>-1605.2150984714247</v>
      </c>
      <c r="K311" s="511">
        <f ca="1">LOOKUP(C311,'Growth Pattern'!B$15:B$376,'Growth Pattern'!H$15:H$368)</f>
        <v>111.35</v>
      </c>
      <c r="L311" s="512">
        <f t="shared" ca="1" si="14"/>
        <v>-1.0693676505447984</v>
      </c>
      <c r="M311" s="513">
        <f>LN('Growth Pattern'!F324/'Growth Pattern'!D324)/2</f>
        <v>0.23644389221279927</v>
      </c>
      <c r="N311" s="523"/>
      <c r="O311" s="528"/>
    </row>
    <row r="312" spans="1:15" x14ac:dyDescent="0.25">
      <c r="A312" s="507">
        <v>2.6287799162342571</v>
      </c>
      <c r="B312" s="507">
        <v>0.04</v>
      </c>
      <c r="C312" s="507" t="s">
        <v>427</v>
      </c>
      <c r="D312" s="507">
        <v>0.94307396618591999</v>
      </c>
      <c r="E312" s="508">
        <f t="shared" si="12"/>
        <v>0.13004743505817506</v>
      </c>
      <c r="F312" s="509">
        <f ca="1">LOOKUP(C312,'Growth Pattern'!B$15:B$376,'Growth Pattern'!D$15:D$368)-(LOOKUP(C312,'Growth Pattern'!B$15:B$376,'Growth Pattern'!H$15:H$368)*LOOKUP(C312,'Growth Pattern'!B$15:B$376,'Growth Pattern'!I$15:I$368)/100)</f>
        <v>5.78</v>
      </c>
      <c r="G312" s="509">
        <f ca="1">LOOKUP(C312,'Growth Pattern'!B$15:B$376,'Growth Pattern'!E$15:E$368)-(LOOKUP(C312,'Growth Pattern'!B$15:B$376,'Growth Pattern'!H$15:H$368)*LOOKUP(C312,'Growth Pattern'!B$15:B$376,'Growth Pattern'!I$15:I$368)/100)</f>
        <v>7.23</v>
      </c>
      <c r="H312" s="509">
        <f ca="1">LOOKUP(C312,'Growth Pattern'!B$15:B$376,'Growth Pattern'!F$15:F$368)-(LOOKUP(C312,'Growth Pattern'!B$15:B$376,'Growth Pattern'!I$15:I$368)*LOOKUP(C312,'Growth Pattern'!B$15:B$376,'Growth Pattern'!H$15:H$368)/100)</f>
        <v>9.5500000000000007</v>
      </c>
      <c r="I312" s="509">
        <f ca="1">LOOKUP(C312,'Growth Pattern'!B$15:B$376,'Growth Pattern'!G$15:G$368)-(LOOKUP(C312,'Growth Pattern'!B$15:B$376,'Growth Pattern'!H$15:H$368)*LOOKUP(C312,'Growth Pattern'!B$15:B$376,'Growth Pattern'!I$15:I$368)/100)</f>
        <v>12.740000000000002</v>
      </c>
      <c r="J312" s="510">
        <f t="shared" ca="1" si="13"/>
        <v>196.05597864242529</v>
      </c>
      <c r="K312" s="511">
        <f ca="1">LOOKUP(C312,'Growth Pattern'!B$15:B$376,'Growth Pattern'!H$15:H$368)</f>
        <v>99.55</v>
      </c>
      <c r="L312" s="512">
        <f t="shared" ca="1" si="14"/>
        <v>-0.49223685658898853</v>
      </c>
      <c r="M312" s="513">
        <f>LN('Growth Pattern'!F325/'Growth Pattern'!D325)/2</f>
        <v>0.25106873590417644</v>
      </c>
      <c r="N312" s="523"/>
      <c r="O312" s="528"/>
    </row>
    <row r="313" spans="1:15" x14ac:dyDescent="0.25">
      <c r="A313" s="507">
        <v>1.851576738990274</v>
      </c>
      <c r="B313" s="507">
        <v>0.01</v>
      </c>
      <c r="C313" s="507" t="s">
        <v>3834</v>
      </c>
      <c r="D313" s="507">
        <v>0.41047897187776461</v>
      </c>
      <c r="E313" s="508">
        <f t="shared" si="12"/>
        <v>8.3711670553365522E-2</v>
      </c>
      <c r="F313" s="509">
        <f ca="1">LOOKUP(C313,'Growth Pattern'!B$15:B$376,'Growth Pattern'!D$15:D$368)-(LOOKUP(C313,'Growth Pattern'!B$15:B$376,'Growth Pattern'!H$15:H$368)*LOOKUP(C313,'Growth Pattern'!B$15:B$376,'Growth Pattern'!I$15:I$368)/100)</f>
        <v>13.13392</v>
      </c>
      <c r="G313" s="509">
        <f ca="1">LOOKUP(C313,'Growth Pattern'!B$15:B$376,'Growth Pattern'!E$15:E$368)-(LOOKUP(C313,'Growth Pattern'!B$15:B$376,'Growth Pattern'!H$15:H$368)*LOOKUP(C313,'Growth Pattern'!B$15:B$376,'Growth Pattern'!I$15:I$368)/100)</f>
        <v>17.803920000000002</v>
      </c>
      <c r="H313" s="509">
        <f ca="1">LOOKUP(C313,'Growth Pattern'!B$15:B$376,'Growth Pattern'!F$15:F$368)-(LOOKUP(C313,'Growth Pattern'!B$15:B$376,'Growth Pattern'!I$15:I$368)*LOOKUP(C313,'Growth Pattern'!B$15:B$376,'Growth Pattern'!H$15:H$368)/100)</f>
        <v>20.903919999999999</v>
      </c>
      <c r="I313" s="509">
        <f ca="1">LOOKUP(C313,'Growth Pattern'!B$15:B$376,'Growth Pattern'!G$15:G$368)-(LOOKUP(C313,'Growth Pattern'!B$15:B$376,'Growth Pattern'!H$15:H$368)*LOOKUP(C313,'Growth Pattern'!B$15:B$376,'Growth Pattern'!I$15:I$368)/100)</f>
        <v>20.903919999999999</v>
      </c>
      <c r="J313" s="510">
        <f t="shared" ca="1" si="13"/>
        <v>4472.4003477420638</v>
      </c>
      <c r="K313" s="511">
        <f ca="1">LOOKUP(C313,'Growth Pattern'!B$15:B$376,'Growth Pattern'!H$15:H$368)</f>
        <v>130.69999999999999</v>
      </c>
      <c r="L313" s="512">
        <f t="shared" ca="1" si="14"/>
        <v>-0.97077631923850805</v>
      </c>
      <c r="M313" s="513">
        <f>LN('Growth Pattern'!F326/'Growth Pattern'!D326)/2</f>
        <v>0.182573588807356</v>
      </c>
      <c r="N313" s="523"/>
      <c r="O313" s="528"/>
    </row>
    <row r="314" spans="1:15" x14ac:dyDescent="0.25">
      <c r="A314" s="507">
        <v>4.7148375710661918</v>
      </c>
      <c r="B314" s="507"/>
      <c r="C314" s="507" t="s">
        <v>429</v>
      </c>
      <c r="D314" s="507">
        <v>0.70793658217050837</v>
      </c>
      <c r="E314" s="508">
        <f t="shared" si="12"/>
        <v>0.10959048264883423</v>
      </c>
      <c r="F314" s="509">
        <f ca="1">LOOKUP(C314,'Growth Pattern'!B$15:B$376,'Growth Pattern'!D$15:D$368)-(LOOKUP(C314,'Growth Pattern'!B$15:B$376,'Growth Pattern'!H$15:H$368)*LOOKUP(C314,'Growth Pattern'!B$15:B$376,'Growth Pattern'!I$15:I$368)/100)</f>
        <v>0</v>
      </c>
      <c r="G314" s="509">
        <f ca="1">LOOKUP(C314,'Growth Pattern'!B$15:B$376,'Growth Pattern'!E$15:E$368)-(LOOKUP(C314,'Growth Pattern'!B$15:B$376,'Growth Pattern'!H$15:H$368)*LOOKUP(C314,'Growth Pattern'!B$15:B$376,'Growth Pattern'!I$15:I$368)/100)</f>
        <v>0</v>
      </c>
      <c r="H314" s="509">
        <f ca="1">LOOKUP(C314,'Growth Pattern'!B$15:B$376,'Growth Pattern'!F$15:F$368)-(LOOKUP(C314,'Growth Pattern'!B$15:B$376,'Growth Pattern'!I$15:I$368)*LOOKUP(C314,'Growth Pattern'!B$15:B$376,'Growth Pattern'!H$15:H$368)/100)</f>
        <v>0</v>
      </c>
      <c r="I314" s="509">
        <f ca="1">LOOKUP(C314,'Growth Pattern'!B$15:B$376,'Growth Pattern'!G$15:G$368)-(LOOKUP(C314,'Growth Pattern'!B$15:B$376,'Growth Pattern'!H$15:H$368)*LOOKUP(C314,'Growth Pattern'!B$15:B$376,'Growth Pattern'!I$15:I$368)/100)</f>
        <v>0</v>
      </c>
      <c r="J314" s="510">
        <f t="shared" ca="1" si="13"/>
        <v>0</v>
      </c>
      <c r="K314" s="511">
        <f ca="1">LOOKUP(C314,'Growth Pattern'!B$15:B$376,'Growth Pattern'!H$15:H$368)</f>
        <v>2.2000000000000002</v>
      </c>
      <c r="L314" s="512" t="e">
        <f t="shared" ca="1" si="14"/>
        <v>#DIV/0!</v>
      </c>
      <c r="M314" s="513" t="e">
        <f>LN('Growth Pattern'!F327/'Growth Pattern'!D327)/2</f>
        <v>#DIV/0!</v>
      </c>
      <c r="N314" s="523"/>
      <c r="O314" s="528"/>
    </row>
    <row r="315" spans="1:15" x14ac:dyDescent="0.25">
      <c r="A315" s="507">
        <v>1.7202182222185161</v>
      </c>
      <c r="B315" s="507">
        <v>0.1</v>
      </c>
      <c r="C315" s="507" t="s">
        <v>2920</v>
      </c>
      <c r="D315" s="507">
        <v>0.62510636736230707</v>
      </c>
      <c r="E315" s="508">
        <f t="shared" si="12"/>
        <v>0.10238425396052073</v>
      </c>
      <c r="F315" s="509">
        <f ca="1">LOOKUP(C315,'Growth Pattern'!B$15:B$376,'Growth Pattern'!D$15:D$368)-(LOOKUP(C315,'Growth Pattern'!B$15:B$376,'Growth Pattern'!H$15:H$368)*LOOKUP(C315,'Growth Pattern'!B$15:B$376,'Growth Pattern'!I$15:I$368)/100)</f>
        <v>26.454954999999998</v>
      </c>
      <c r="G315" s="509">
        <f ca="1">LOOKUP(C315,'Growth Pattern'!B$15:B$376,'Growth Pattern'!E$15:E$368)-(LOOKUP(C315,'Growth Pattern'!B$15:B$376,'Growth Pattern'!H$15:H$368)*LOOKUP(C315,'Growth Pattern'!B$15:B$376,'Growth Pattern'!I$15:I$368)/100)</f>
        <v>19.884954999999998</v>
      </c>
      <c r="H315" s="509">
        <f ca="1">LOOKUP(C315,'Growth Pattern'!B$15:B$376,'Growth Pattern'!F$15:F$368)-(LOOKUP(C315,'Growth Pattern'!B$15:B$376,'Growth Pattern'!I$15:I$368)*LOOKUP(C315,'Growth Pattern'!B$15:B$376,'Growth Pattern'!H$15:H$368)/100)</f>
        <v>24.684955000000002</v>
      </c>
      <c r="I315" s="509">
        <f ca="1">LOOKUP(C315,'Growth Pattern'!B$15:B$376,'Growth Pattern'!G$15:G$368)-(LOOKUP(C315,'Growth Pattern'!B$15:B$376,'Growth Pattern'!H$15:H$368)*LOOKUP(C315,'Growth Pattern'!B$15:B$376,'Growth Pattern'!I$15:I$368)/100)</f>
        <v>40.854955000000032</v>
      </c>
      <c r="J315" s="510">
        <f t="shared" ca="1" si="13"/>
        <v>1427.2009376461206</v>
      </c>
      <c r="K315" s="511">
        <f ca="1">LOOKUP(C315,'Growth Pattern'!B$15:B$376,'Growth Pattern'!H$15:H$368)</f>
        <v>362.05</v>
      </c>
      <c r="L315" s="512">
        <f t="shared" ca="1" si="14"/>
        <v>-0.74632163527223561</v>
      </c>
      <c r="M315" s="513">
        <f>LN('Growth Pattern'!F328/'Growth Pattern'!D328)/2</f>
        <v>-2.559471571360717E-2</v>
      </c>
      <c r="N315" s="523"/>
      <c r="O315" s="528"/>
    </row>
    <row r="316" spans="1:15" x14ac:dyDescent="0.25">
      <c r="A316" s="507">
        <v>3.6373174864091871</v>
      </c>
      <c r="B316" s="507">
        <v>0.33</v>
      </c>
      <c r="C316" s="507" t="s">
        <v>5356</v>
      </c>
      <c r="D316" s="507">
        <v>0.39501146762731498</v>
      </c>
      <c r="E316" s="508">
        <f t="shared" si="12"/>
        <v>8.2365997683576414E-2</v>
      </c>
      <c r="F316" s="509">
        <f ca="1">LOOKUP(C316,'Growth Pattern'!B$15:B$376,'Growth Pattern'!D$15:D$368)-(LOOKUP(C316,'Growth Pattern'!B$15:B$376,'Growth Pattern'!H$15:H$368)*LOOKUP(C316,'Growth Pattern'!B$15:B$376,'Growth Pattern'!I$15:I$368)/100)</f>
        <v>0</v>
      </c>
      <c r="G316" s="509">
        <f ca="1">LOOKUP(C316,'Growth Pattern'!B$15:B$376,'Growth Pattern'!E$15:E$368)-(LOOKUP(C316,'Growth Pattern'!B$15:B$376,'Growth Pattern'!H$15:H$368)*LOOKUP(C316,'Growth Pattern'!B$15:B$376,'Growth Pattern'!I$15:I$368)/100)</f>
        <v>0</v>
      </c>
      <c r="H316" s="509">
        <f ca="1">LOOKUP(C316,'Growth Pattern'!B$15:B$376,'Growth Pattern'!F$15:F$368)-(LOOKUP(C316,'Growth Pattern'!B$15:B$376,'Growth Pattern'!I$15:I$368)*LOOKUP(C316,'Growth Pattern'!B$15:B$376,'Growth Pattern'!H$15:H$368)/100)</f>
        <v>0</v>
      </c>
      <c r="I316" s="509">
        <f ca="1">LOOKUP(C316,'Growth Pattern'!B$15:B$376,'Growth Pattern'!G$15:G$368)-(LOOKUP(C316,'Growth Pattern'!B$15:B$376,'Growth Pattern'!H$15:H$368)*LOOKUP(C316,'Growth Pattern'!B$15:B$376,'Growth Pattern'!I$15:I$368)/100)</f>
        <v>0</v>
      </c>
      <c r="J316" s="510">
        <f t="shared" ca="1" si="13"/>
        <v>0</v>
      </c>
      <c r="K316" s="511">
        <f ca="1">LOOKUP(C316,'Growth Pattern'!B$15:B$376,'Growth Pattern'!H$15:H$368)</f>
        <v>242.25</v>
      </c>
      <c r="L316" s="512" t="e">
        <f t="shared" ca="1" si="14"/>
        <v>#DIV/0!</v>
      </c>
      <c r="M316" s="513" t="e">
        <f>LN('Growth Pattern'!F329/'Growth Pattern'!D329)/2</f>
        <v>#DIV/0!</v>
      </c>
      <c r="N316" s="523"/>
      <c r="O316" s="528"/>
    </row>
    <row r="317" spans="1:15" x14ac:dyDescent="0.25">
      <c r="A317" s="507">
        <v>2.7658815281466027</v>
      </c>
      <c r="B317" s="507">
        <v>0.12</v>
      </c>
      <c r="C317" s="507" t="s">
        <v>4151</v>
      </c>
      <c r="D317" s="507">
        <v>0.8105891095434371</v>
      </c>
      <c r="E317" s="508">
        <f t="shared" si="12"/>
        <v>0.11852125253027904</v>
      </c>
      <c r="F317" s="509">
        <f ca="1">LOOKUP(C317,'Growth Pattern'!B$15:B$376,'Growth Pattern'!D$15:D$368)-(LOOKUP(C317,'Growth Pattern'!B$15:B$376,'Growth Pattern'!H$15:H$368)*LOOKUP(C317,'Growth Pattern'!B$15:B$376,'Growth Pattern'!I$15:I$368)/100)</f>
        <v>0</v>
      </c>
      <c r="G317" s="509">
        <f ca="1">LOOKUP(C317,'Growth Pattern'!B$15:B$376,'Growth Pattern'!E$15:E$368)-(LOOKUP(C317,'Growth Pattern'!B$15:B$376,'Growth Pattern'!H$15:H$368)*LOOKUP(C317,'Growth Pattern'!B$15:B$376,'Growth Pattern'!I$15:I$368)/100)</f>
        <v>13.7</v>
      </c>
      <c r="H317" s="509">
        <f ca="1">LOOKUP(C317,'Growth Pattern'!B$15:B$376,'Growth Pattern'!F$15:F$368)-(LOOKUP(C317,'Growth Pattern'!B$15:B$376,'Growth Pattern'!I$15:I$368)*LOOKUP(C317,'Growth Pattern'!B$15:B$376,'Growth Pattern'!H$15:H$368)/100)</f>
        <v>19.100000000000001</v>
      </c>
      <c r="I317" s="509">
        <f ca="1">LOOKUP(C317,'Growth Pattern'!B$15:B$376,'Growth Pattern'!G$15:G$368)-(LOOKUP(C317,'Growth Pattern'!B$15:B$376,'Growth Pattern'!H$15:H$368)*LOOKUP(C317,'Growth Pattern'!B$15:B$376,'Growth Pattern'!I$15:I$368)/100)</f>
        <v>19.100000000000001</v>
      </c>
      <c r="J317" s="510">
        <f t="shared" ca="1" si="13"/>
        <v>381.83874023896664</v>
      </c>
      <c r="K317" s="511">
        <f ca="1">LOOKUP(C317,'Growth Pattern'!B$15:B$376,'Growth Pattern'!H$15:H$368)</f>
        <v>103.2</v>
      </c>
      <c r="L317" s="512">
        <f t="shared" ca="1" si="14"/>
        <v>-0.72972883805500144</v>
      </c>
      <c r="M317" s="513" t="e">
        <f>LN('Growth Pattern'!F330/'Growth Pattern'!D330)/2</f>
        <v>#DIV/0!</v>
      </c>
      <c r="N317" s="523"/>
      <c r="O317" s="528"/>
    </row>
    <row r="318" spans="1:15" x14ac:dyDescent="0.25">
      <c r="A318" s="516">
        <v>1.6464462581020332</v>
      </c>
      <c r="B318" s="516">
        <v>0.09</v>
      </c>
      <c r="C318" s="516" t="s">
        <v>4154</v>
      </c>
      <c r="D318" s="507">
        <v>0.49025774010573298</v>
      </c>
      <c r="E318" s="508">
        <f t="shared" si="12"/>
        <v>9.0652423389198766E-2</v>
      </c>
      <c r="F318" s="509">
        <f ca="1">LOOKUP(C318,'Growth Pattern'!B$15:B$376,'Growth Pattern'!D$15:D$368)-(LOOKUP(C318,'Growth Pattern'!B$15:B$376,'Growth Pattern'!H$15:H$368)*LOOKUP(C318,'Growth Pattern'!B$15:B$376,'Growth Pattern'!I$15:I$368)/100)</f>
        <v>82.21</v>
      </c>
      <c r="G318" s="509">
        <f ca="1">LOOKUP(C318,'Growth Pattern'!B$15:B$376,'Growth Pattern'!E$15:E$368)-(LOOKUP(C318,'Growth Pattern'!B$15:B$376,'Growth Pattern'!H$15:H$368)*LOOKUP(C318,'Growth Pattern'!B$15:B$376,'Growth Pattern'!I$15:I$368)/100)</f>
        <v>80.63</v>
      </c>
      <c r="H318" s="509">
        <f ca="1">LOOKUP(C318,'Growth Pattern'!B$15:B$376,'Growth Pattern'!F$15:F$368)-(LOOKUP(C318,'Growth Pattern'!B$15:B$376,'Growth Pattern'!I$15:I$368)*LOOKUP(C318,'Growth Pattern'!B$15:B$376,'Growth Pattern'!H$15:H$368)/100)</f>
        <v>95.85</v>
      </c>
      <c r="I318" s="509">
        <f ca="1">LOOKUP(C318,'Growth Pattern'!B$15:B$376,'Growth Pattern'!G$15:G$368)-(LOOKUP(C318,'Growth Pattern'!B$15:B$376,'Growth Pattern'!H$15:H$368)*LOOKUP(C318,'Growth Pattern'!B$15:B$376,'Growth Pattern'!I$15:I$368)/100)</f>
        <v>127.87</v>
      </c>
      <c r="J318" s="510">
        <f t="shared" ca="1" si="13"/>
        <v>9489.2603507296244</v>
      </c>
      <c r="K318" s="511">
        <f ca="1">LOOKUP(C318,'Growth Pattern'!B$15:B$376,'Growth Pattern'!H$15:H$368)</f>
        <v>1236.3499999999999</v>
      </c>
      <c r="L318" s="512">
        <f t="shared" ca="1" si="14"/>
        <v>-0.86971060395608835</v>
      </c>
      <c r="M318" s="513">
        <f>LN('Growth Pattern'!F331/'Growth Pattern'!D331)/2</f>
        <v>7.6753760163805765E-2</v>
      </c>
      <c r="N318" s="523"/>
      <c r="O318" s="528"/>
    </row>
    <row r="319" spans="1:15" x14ac:dyDescent="0.25">
      <c r="A319" s="507">
        <v>2.6623467407054422</v>
      </c>
      <c r="B319" s="507">
        <v>0.14000000000000001</v>
      </c>
      <c r="C319" s="507" t="s">
        <v>1394</v>
      </c>
      <c r="D319" s="507">
        <v>0.19362612798371048</v>
      </c>
      <c r="E319" s="508">
        <f t="shared" si="12"/>
        <v>6.4845473134582818E-2</v>
      </c>
      <c r="F319" s="509">
        <f ca="1">LOOKUP(C319,'Growth Pattern'!B$15:B$376,'Growth Pattern'!D$15:D$368)-(LOOKUP(C319,'Growth Pattern'!B$15:B$376,'Growth Pattern'!H$15:H$368)*LOOKUP(C319,'Growth Pattern'!B$15:B$376,'Growth Pattern'!I$15:I$368)/100)</f>
        <v>-2.0043799999999998</v>
      </c>
      <c r="G319" s="509">
        <f ca="1">LOOKUP(C319,'Growth Pattern'!B$15:B$376,'Growth Pattern'!E$15:E$368)-(LOOKUP(C319,'Growth Pattern'!B$15:B$376,'Growth Pattern'!H$15:H$368)*LOOKUP(C319,'Growth Pattern'!B$15:B$376,'Growth Pattern'!I$15:I$368)/100)</f>
        <v>-2.0043799999999998</v>
      </c>
      <c r="H319" s="509">
        <f ca="1">LOOKUP(C319,'Growth Pattern'!B$15:B$376,'Growth Pattern'!F$15:F$368)-(LOOKUP(C319,'Growth Pattern'!B$15:B$376,'Growth Pattern'!I$15:I$368)*LOOKUP(C319,'Growth Pattern'!B$15:B$376,'Growth Pattern'!H$15:H$368)/100)</f>
        <v>-2.0043799999999998</v>
      </c>
      <c r="I319" s="509">
        <f ca="1">LOOKUP(C319,'Growth Pattern'!B$15:B$376,'Growth Pattern'!G$15:G$368)-(LOOKUP(C319,'Growth Pattern'!B$15:B$376,'Growth Pattern'!H$15:H$368)*LOOKUP(C319,'Growth Pattern'!B$15:B$376,'Growth Pattern'!I$15:I$368)/100)</f>
        <v>-2.0043799999999998</v>
      </c>
      <c r="J319" s="510">
        <f t="shared" ca="1" si="13"/>
        <v>103.88691209526266</v>
      </c>
      <c r="K319" s="511">
        <f ca="1">LOOKUP(C319,'Growth Pattern'!B$15:B$376,'Growth Pattern'!H$15:H$368)</f>
        <v>97.3</v>
      </c>
      <c r="L319" s="512">
        <f t="shared" ca="1" si="14"/>
        <v>-6.3404638393935203E-2</v>
      </c>
      <c r="M319" s="513" t="e">
        <f>LN('Growth Pattern'!F332/'Growth Pattern'!D332)/2</f>
        <v>#DIV/0!</v>
      </c>
      <c r="N319" s="523"/>
      <c r="O319" s="528"/>
    </row>
    <row r="320" spans="1:15" x14ac:dyDescent="0.25">
      <c r="A320" s="507">
        <v>3.8093558293714511</v>
      </c>
      <c r="B320" s="507">
        <v>0.21897372446638563</v>
      </c>
      <c r="C320" s="507" t="s">
        <v>580</v>
      </c>
      <c r="D320" s="507">
        <v>0.34833809899946044</v>
      </c>
      <c r="E320" s="508">
        <f t="shared" si="12"/>
        <v>7.8305414612953067E-2</v>
      </c>
      <c r="F320" s="509">
        <f ca="1">LOOKUP(C320,'Growth Pattern'!B$15:B$376,'Growth Pattern'!D$15:D$368)-(LOOKUP(C320,'Growth Pattern'!B$15:B$376,'Growth Pattern'!H$15:H$368)*LOOKUP(C320,'Growth Pattern'!B$15:B$376,'Growth Pattern'!I$15:I$368)/100)</f>
        <v>20.273580000000003</v>
      </c>
      <c r="G320" s="509">
        <f ca="1">LOOKUP(C320,'Growth Pattern'!B$15:B$376,'Growth Pattern'!E$15:E$368)-(LOOKUP(C320,'Growth Pattern'!B$15:B$376,'Growth Pattern'!H$15:H$368)*LOOKUP(C320,'Growth Pattern'!B$15:B$376,'Growth Pattern'!I$15:I$368)/100)</f>
        <v>24.093580000000003</v>
      </c>
      <c r="H320" s="509">
        <f ca="1">LOOKUP(C320,'Growth Pattern'!B$15:B$376,'Growth Pattern'!F$15:F$368)-(LOOKUP(C320,'Growth Pattern'!B$15:B$376,'Growth Pattern'!I$15:I$368)*LOOKUP(C320,'Growth Pattern'!B$15:B$376,'Growth Pattern'!H$15:H$368)/100)</f>
        <v>-4.5064200000000003</v>
      </c>
      <c r="I320" s="509">
        <f ca="1">LOOKUP(C320,'Growth Pattern'!B$15:B$376,'Growth Pattern'!G$15:G$368)-(LOOKUP(C320,'Growth Pattern'!B$15:B$376,'Growth Pattern'!H$15:H$368)*LOOKUP(C320,'Growth Pattern'!B$15:B$376,'Growth Pattern'!I$15:I$368)/100)</f>
        <v>-4.5064200000000003</v>
      </c>
      <c r="J320" s="510">
        <f t="shared" ca="1" si="13"/>
        <v>2159.75248504712</v>
      </c>
      <c r="K320" s="511">
        <f ca="1">LOOKUP(C320,'Growth Pattern'!B$15:B$376,'Growth Pattern'!H$15:H$368)</f>
        <v>168.15</v>
      </c>
      <c r="L320" s="512">
        <f t="shared" ca="1" si="14"/>
        <v>-0.92214385622233397</v>
      </c>
      <c r="M320" s="513" t="e">
        <f>LN('Growth Pattern'!F333/'Growth Pattern'!D333)/2</f>
        <v>#NUM!</v>
      </c>
      <c r="N320" s="547"/>
      <c r="O320" s="528"/>
    </row>
    <row r="321" spans="1:15" x14ac:dyDescent="0.25">
      <c r="A321" s="507">
        <v>1.9446007755889276</v>
      </c>
      <c r="B321" s="507">
        <v>0.47</v>
      </c>
      <c r="C321" s="507" t="s">
        <v>4019</v>
      </c>
      <c r="D321" s="507">
        <v>0.31991706772522344</v>
      </c>
      <c r="E321" s="508">
        <f t="shared" si="12"/>
        <v>7.583278489209444E-2</v>
      </c>
      <c r="F321" s="509">
        <f ca="1">LOOKUP(C321,'Growth Pattern'!B$15:B$376,'Growth Pattern'!D$15:D$368)-(LOOKUP(C321,'Growth Pattern'!B$15:B$376,'Growth Pattern'!H$15:H$368)*LOOKUP(C321,'Growth Pattern'!B$15:B$376,'Growth Pattern'!I$15:I$368)/100)</f>
        <v>35.119999999999997</v>
      </c>
      <c r="G321" s="509">
        <f ca="1">LOOKUP(C321,'Growth Pattern'!B$15:B$376,'Growth Pattern'!E$15:E$368)-(LOOKUP(C321,'Growth Pattern'!B$15:B$376,'Growth Pattern'!H$15:H$368)*LOOKUP(C321,'Growth Pattern'!B$15:B$376,'Growth Pattern'!I$15:I$368)/100)</f>
        <v>44.2</v>
      </c>
      <c r="H321" s="509">
        <f ca="1">LOOKUP(C321,'Growth Pattern'!B$15:B$376,'Growth Pattern'!F$15:F$368)-(LOOKUP(C321,'Growth Pattern'!B$15:B$376,'Growth Pattern'!I$15:I$368)*LOOKUP(C321,'Growth Pattern'!B$15:B$376,'Growth Pattern'!H$15:H$368)/100)</f>
        <v>51.82</v>
      </c>
      <c r="I321" s="509">
        <f ca="1">LOOKUP(C321,'Growth Pattern'!B$15:B$376,'Growth Pattern'!G$15:G$368)-(LOOKUP(C321,'Growth Pattern'!B$15:B$376,'Growth Pattern'!H$15:H$368)*LOOKUP(C321,'Growth Pattern'!B$15:B$376,'Growth Pattern'!I$15:I$368)/100)</f>
        <v>57.97999999999999</v>
      </c>
      <c r="J321" s="510">
        <f t="shared" ca="1" si="13"/>
        <v>-11052.7481253485</v>
      </c>
      <c r="K321" s="511">
        <f ca="1">LOOKUP(C321,'Growth Pattern'!B$15:B$376,'Growth Pattern'!H$15:H$368)</f>
        <v>1175</v>
      </c>
      <c r="L321" s="512">
        <f t="shared" ca="1" si="14"/>
        <v>-1.1063084028220314</v>
      </c>
      <c r="M321" s="513">
        <f>LN('Growth Pattern'!F334/'Growth Pattern'!D334)/2</f>
        <v>0.19450270318352403</v>
      </c>
      <c r="N321" s="523"/>
      <c r="O321" s="528"/>
    </row>
    <row r="322" spans="1:15" x14ac:dyDescent="0.25">
      <c r="A322" s="507">
        <v>2.4497588955662311</v>
      </c>
      <c r="B322" s="507">
        <v>0.46082324867824503</v>
      </c>
      <c r="C322" s="507" t="s">
        <v>2320</v>
      </c>
      <c r="D322" s="507">
        <v>0.20059787714366825</v>
      </c>
      <c r="E322" s="508">
        <f t="shared" ref="E322:E360" si="15">$O$12+D322*($P$13-$O$12)</f>
        <v>6.5452015311499134E-2</v>
      </c>
      <c r="F322" s="509">
        <f ca="1">LOOKUP(C322,'Growth Pattern'!B$15:B$376,'Growth Pattern'!D$15:D$368)-(LOOKUP(C322,'Growth Pattern'!B$15:B$376,'Growth Pattern'!H$15:H$368)*LOOKUP(C322,'Growth Pattern'!B$15:B$376,'Growth Pattern'!I$15:I$368)/100)</f>
        <v>24.031280000000002</v>
      </c>
      <c r="G322" s="509">
        <f ca="1">LOOKUP(C322,'Growth Pattern'!B$15:B$376,'Growth Pattern'!E$15:E$368)-(LOOKUP(C322,'Growth Pattern'!B$15:B$376,'Growth Pattern'!H$15:H$368)*LOOKUP(C322,'Growth Pattern'!B$15:B$376,'Growth Pattern'!I$15:I$368)/100)</f>
        <v>121.59128000000001</v>
      </c>
      <c r="H322" s="509">
        <f ca="1">LOOKUP(C322,'Growth Pattern'!B$15:B$376,'Growth Pattern'!F$15:F$368)-(LOOKUP(C322,'Growth Pattern'!B$15:B$376,'Growth Pattern'!I$15:I$368)*LOOKUP(C322,'Growth Pattern'!B$15:B$376,'Growth Pattern'!H$15:H$368)/100)</f>
        <v>139.64127999999999</v>
      </c>
      <c r="I322" s="509">
        <f ca="1">LOOKUP(C322,'Growth Pattern'!B$15:B$376,'Growth Pattern'!G$15:G$368)-(LOOKUP(C322,'Growth Pattern'!B$15:B$376,'Growth Pattern'!H$15:H$368)*LOOKUP(C322,'Growth Pattern'!B$15:B$376,'Growth Pattern'!I$15:I$368)/100)</f>
        <v>139.64127999999999</v>
      </c>
      <c r="J322" s="510">
        <f t="shared" ref="J322:J367" ca="1" si="16">F322+G322/((1+E322)*(1+$O$15))+H322/((1+E322)^2)*((1+$O$15)^2)+(I322/(E322-$P$16))/((1+E322)^3)*((1+$O$15)^3)</f>
        <v>-7674.9749786850316</v>
      </c>
      <c r="K322" s="511">
        <f ca="1">LOOKUP(C322,'Growth Pattern'!B$15:B$376,'Growth Pattern'!H$15:H$368)</f>
        <v>1168.6500000000001</v>
      </c>
      <c r="L322" s="512">
        <f ca="1">(K322-J322)/J322</f>
        <v>-1.1522675973857346</v>
      </c>
      <c r="M322" s="513">
        <f>LN('Growth Pattern'!F335/'Growth Pattern'!D335)/2</f>
        <v>0.68876796657940775</v>
      </c>
      <c r="N322" s="523"/>
      <c r="O322" s="528"/>
    </row>
    <row r="323" spans="1:15" x14ac:dyDescent="0.25">
      <c r="A323" s="507">
        <v>3.5230987488601979</v>
      </c>
      <c r="B323" s="507">
        <v>0.29706358534816574</v>
      </c>
      <c r="C323" s="507" t="s">
        <v>3835</v>
      </c>
      <c r="D323" s="507">
        <v>0.44915842716341792</v>
      </c>
      <c r="E323" s="508">
        <f t="shared" si="15"/>
        <v>8.7076783163217361E-2</v>
      </c>
      <c r="F323" s="509">
        <f ca="1">LOOKUP(C323,'Growth Pattern'!B$15:B$376,'Growth Pattern'!D$15:D$368)-(LOOKUP(C323,'Growth Pattern'!B$15:B$376,'Growth Pattern'!H$15:H$368)*LOOKUP(C323,'Growth Pattern'!B$15:B$376,'Growth Pattern'!I$15:I$368)/100)</f>
        <v>6.7612750000000004</v>
      </c>
      <c r="G323" s="509">
        <f ca="1">LOOKUP(C323,'Growth Pattern'!B$15:B$376,'Growth Pattern'!E$15:E$368)-(LOOKUP(C323,'Growth Pattern'!B$15:B$376,'Growth Pattern'!H$15:H$368)*LOOKUP(C323,'Growth Pattern'!B$15:B$376,'Growth Pattern'!I$15:I$368)/100)</f>
        <v>8.3012749999999986</v>
      </c>
      <c r="H323" s="509">
        <f ca="1">LOOKUP(C323,'Growth Pattern'!B$15:B$376,'Growth Pattern'!F$15:F$368)-(LOOKUP(C323,'Growth Pattern'!B$15:B$376,'Growth Pattern'!I$15:I$368)*LOOKUP(C323,'Growth Pattern'!B$15:B$376,'Growth Pattern'!H$15:H$368)/100)</f>
        <v>10.661275</v>
      </c>
      <c r="I323" s="509">
        <f ca="1">LOOKUP(C323,'Growth Pattern'!B$15:B$376,'Growth Pattern'!G$15:G$368)-(LOOKUP(C323,'Growth Pattern'!B$15:B$376,'Growth Pattern'!H$15:H$368)*LOOKUP(C323,'Growth Pattern'!B$15:B$376,'Growth Pattern'!I$15:I$368)/100)</f>
        <v>13.841275000000007</v>
      </c>
      <c r="J323" s="510">
        <f t="shared" ca="1" si="16"/>
        <v>1545.9271821766392</v>
      </c>
      <c r="K323" s="511">
        <f ca="1">LOOKUP(C323,'Growth Pattern'!B$15:B$376,'Growth Pattern'!H$15:H$368)</f>
        <v>26.05</v>
      </c>
      <c r="L323" s="512">
        <f ca="1">IF(J323=0,0,(K323-J323)/J323)</f>
        <v>-0.98314927100038307</v>
      </c>
      <c r="M323" s="513">
        <f>LN('Growth Pattern'!F336/'Growth Pattern'!D336)/2</f>
        <v>0.20576943974586573</v>
      </c>
      <c r="N323" s="523"/>
      <c r="O323" s="528"/>
    </row>
    <row r="324" spans="1:15" x14ac:dyDescent="0.25">
      <c r="A324" s="507">
        <v>2.1207074540244801</v>
      </c>
      <c r="B324" s="507">
        <v>0.26</v>
      </c>
      <c r="C324" s="507" t="s">
        <v>4159</v>
      </c>
      <c r="D324" s="507">
        <v>0.13106118728768537</v>
      </c>
      <c r="E324" s="508">
        <f t="shared" si="15"/>
        <v>5.9402323294028628E-2</v>
      </c>
      <c r="F324" s="509">
        <f ca="1">LOOKUP(C324,'Growth Pattern'!B$15:B$376,'Growth Pattern'!D$15:D$368)-(LOOKUP(C324,'Growth Pattern'!B$15:B$376,'Growth Pattern'!H$15:H$368)*LOOKUP(C324,'Growth Pattern'!B$15:B$376,'Growth Pattern'!I$15:I$368)/100)</f>
        <v>0</v>
      </c>
      <c r="G324" s="509">
        <f ca="1">LOOKUP(C324,'Growth Pattern'!B$15:B$376,'Growth Pattern'!E$15:E$368)-(LOOKUP(C324,'Growth Pattern'!B$15:B$376,'Growth Pattern'!H$15:H$368)*LOOKUP(C324,'Growth Pattern'!B$15:B$376,'Growth Pattern'!I$15:I$368)/100)</f>
        <v>31.58</v>
      </c>
      <c r="H324" s="509">
        <f ca="1">LOOKUP(C324,'Growth Pattern'!B$15:B$376,'Growth Pattern'!F$15:F$368)-(LOOKUP(C324,'Growth Pattern'!B$15:B$376,'Growth Pattern'!I$15:I$368)*LOOKUP(C324,'Growth Pattern'!B$15:B$376,'Growth Pattern'!H$15:H$368)/100)</f>
        <v>37.99</v>
      </c>
      <c r="I324" s="509">
        <f ca="1">LOOKUP(C324,'Growth Pattern'!B$15:B$376,'Growth Pattern'!G$15:G$368)-(LOOKUP(C324,'Growth Pattern'!B$15:B$376,'Growth Pattern'!H$15:H$368)*LOOKUP(C324,'Growth Pattern'!B$15:B$376,'Growth Pattern'!I$15:I$368)/100)</f>
        <v>37.99</v>
      </c>
      <c r="J324" s="510">
        <f t="shared" ca="1" si="16"/>
        <v>-1487.5433894943487</v>
      </c>
      <c r="K324" s="511">
        <f ca="1">LOOKUP(C324,'Growth Pattern'!B$15:B$376,'Growth Pattern'!H$15:H$368)</f>
        <v>582</v>
      </c>
      <c r="L324" s="512">
        <f ca="1">IF(J324=0,0,(K324-J324)/J324)</f>
        <v>-1.391249091697309</v>
      </c>
      <c r="M324" s="513" t="e">
        <f>LN('Growth Pattern'!F337/'Growth Pattern'!D337)/2</f>
        <v>#DIV/0!</v>
      </c>
      <c r="N324" s="523"/>
      <c r="O324" s="528"/>
    </row>
    <row r="325" spans="1:15" x14ac:dyDescent="0.25">
      <c r="A325" s="516">
        <v>2.110644824747248</v>
      </c>
      <c r="B325" s="516">
        <v>0.26</v>
      </c>
      <c r="C325" s="543" t="s">
        <v>2926</v>
      </c>
      <c r="D325" s="507">
        <v>0.28740020967770791</v>
      </c>
      <c r="E325" s="508">
        <f t="shared" si="15"/>
        <v>7.3003818241960589E-2</v>
      </c>
      <c r="F325" s="509">
        <f ca="1">LOOKUP(C325,'Growth Pattern'!B$15:B$376,'Growth Pattern'!D$15:D$368)-(LOOKUP(C325,'Growth Pattern'!B$15:B$376,'Growth Pattern'!H$15:H$368)*LOOKUP(C325,'Growth Pattern'!B$15:B$376,'Growth Pattern'!I$15:I$368)/100)</f>
        <v>46.72</v>
      </c>
      <c r="G325" s="509">
        <f ca="1">LOOKUP(C325,'Growth Pattern'!B$15:B$376,'Growth Pattern'!E$15:E$368)-(LOOKUP(C325,'Growth Pattern'!B$15:B$376,'Growth Pattern'!H$15:H$368)*LOOKUP(C325,'Growth Pattern'!B$15:B$376,'Growth Pattern'!I$15:I$368)/100)</f>
        <v>67.430000000000007</v>
      </c>
      <c r="H325" s="509">
        <f ca="1">LOOKUP(C325,'Growth Pattern'!B$15:B$376,'Growth Pattern'!F$15:F$368)-(LOOKUP(C325,'Growth Pattern'!B$15:B$376,'Growth Pattern'!I$15:I$368)*LOOKUP(C325,'Growth Pattern'!B$15:B$376,'Growth Pattern'!H$15:H$368)/100)</f>
        <v>79.47</v>
      </c>
      <c r="I325" s="509">
        <f ca="1">LOOKUP(C325,'Growth Pattern'!B$15:B$376,'Growth Pattern'!G$15:G$368)-(LOOKUP(C325,'Growth Pattern'!B$15:B$376,'Growth Pattern'!H$15:H$368)*LOOKUP(C325,'Growth Pattern'!B$15:B$376,'Growth Pattern'!I$15:I$368)/100)</f>
        <v>79.47</v>
      </c>
      <c r="J325" s="510">
        <f t="shared" ca="1" si="16"/>
        <v>-9016.1297966416842</v>
      </c>
      <c r="K325" s="511">
        <f ca="1">LOOKUP(C325,'Growth Pattern'!B$15:B$376,'Growth Pattern'!H$15:H$368)</f>
        <v>498.35</v>
      </c>
      <c r="L325" s="512">
        <f ca="1">(K325-J325)/J325</f>
        <v>-1.05527316168248</v>
      </c>
      <c r="M325" s="513">
        <f>LN('Growth Pattern'!F338/'Growth Pattern'!D338)/2</f>
        <v>0.26560362671605825</v>
      </c>
      <c r="N325" s="523"/>
      <c r="O325" s="528"/>
    </row>
    <row r="326" spans="1:15" x14ac:dyDescent="0.25">
      <c r="A326" s="516">
        <v>1.9938770278797999</v>
      </c>
      <c r="B326" s="516">
        <v>0.2</v>
      </c>
      <c r="C326" s="516" t="s">
        <v>2319</v>
      </c>
      <c r="D326" s="507">
        <v>0.44908585121120576</v>
      </c>
      <c r="E326" s="508">
        <f t="shared" si="15"/>
        <v>8.7070469055374911E-2</v>
      </c>
      <c r="F326" s="509">
        <f ca="1">LOOKUP(C326,'Growth Pattern'!B$15:B$376,'Growth Pattern'!D$15:D$368)-(LOOKUP(C326,'Growth Pattern'!B$15:B$376,'Growth Pattern'!H$15:H$368)*LOOKUP(C326,'Growth Pattern'!B$15:B$376,'Growth Pattern'!I$15:I$368)/100)</f>
        <v>-32.917789999999997</v>
      </c>
      <c r="G326" s="509">
        <f ca="1">LOOKUP(C326,'Growth Pattern'!B$15:B$376,'Growth Pattern'!E$15:E$368)-(LOOKUP(C326,'Growth Pattern'!B$15:B$376,'Growth Pattern'!H$15:H$368)*LOOKUP(C326,'Growth Pattern'!B$15:B$376,'Growth Pattern'!I$15:I$368)/100)</f>
        <v>59.602209999999999</v>
      </c>
      <c r="H326" s="509">
        <f ca="1">LOOKUP(C326,'Growth Pattern'!B$15:B$376,'Growth Pattern'!F$15:F$368)-(LOOKUP(C326,'Growth Pattern'!B$15:B$376,'Growth Pattern'!I$15:I$368)*LOOKUP(C326,'Growth Pattern'!B$15:B$376,'Growth Pattern'!H$15:H$368)/100)</f>
        <v>67.102209999999999</v>
      </c>
      <c r="I326" s="509">
        <f ca="1">LOOKUP(C326,'Growth Pattern'!B$15:B$376,'Growth Pattern'!G$15:G$368)-(LOOKUP(C326,'Growth Pattern'!B$15:B$376,'Growth Pattern'!H$15:H$368)*LOOKUP(C326,'Growth Pattern'!B$15:B$376,'Growth Pattern'!I$15:I$368)/100)</f>
        <v>67.102209999999999</v>
      </c>
      <c r="J326" s="510">
        <f t="shared" ca="1" si="16"/>
        <v>7466.5002624290355</v>
      </c>
      <c r="K326" s="511">
        <f ca="1">LOOKUP(C326,'Growth Pattern'!B$15:B$376,'Growth Pattern'!H$15:H$368)</f>
        <v>579.54999999999995</v>
      </c>
      <c r="L326" s="512">
        <f ca="1">(K326-J326)/J326</f>
        <v>-0.92237996656663102</v>
      </c>
      <c r="M326" s="513" t="e">
        <f>LN('Growth Pattern'!F339/'Growth Pattern'!D339)/2</f>
        <v>#NUM!</v>
      </c>
      <c r="N326" s="523"/>
      <c r="O326" s="528"/>
    </row>
    <row r="327" spans="1:15" x14ac:dyDescent="0.25">
      <c r="A327" s="516">
        <v>2.2027640026069539</v>
      </c>
      <c r="B327" s="516">
        <v>0.54</v>
      </c>
      <c r="C327" s="516" t="s">
        <v>3836</v>
      </c>
      <c r="D327" s="507">
        <v>0.2714202184597666</v>
      </c>
      <c r="E327" s="508">
        <f t="shared" si="15"/>
        <v>7.1613559005999694E-2</v>
      </c>
      <c r="F327" s="509">
        <f ca="1">LOOKUP(C327,'Growth Pattern'!B$15:B$376,'Growth Pattern'!D$15:D$368)-(LOOKUP(C327,'Growth Pattern'!B$15:B$376,'Growth Pattern'!H$15:H$368)*LOOKUP(C327,'Growth Pattern'!B$15:B$376,'Growth Pattern'!I$15:I$368)/100)</f>
        <v>56.39</v>
      </c>
      <c r="G327" s="509">
        <f ca="1">LOOKUP(C327,'Growth Pattern'!B$15:B$376,'Growth Pattern'!E$15:E$368)-(LOOKUP(C327,'Growth Pattern'!B$15:B$376,'Growth Pattern'!H$15:H$368)*LOOKUP(C327,'Growth Pattern'!B$15:B$376,'Growth Pattern'!I$15:I$368)/100)</f>
        <v>93.4</v>
      </c>
      <c r="H327" s="509">
        <f ca="1">LOOKUP(C327,'Growth Pattern'!B$15:B$376,'Growth Pattern'!F$15:F$368)-(LOOKUP(C327,'Growth Pattern'!B$15:B$376,'Growth Pattern'!I$15:I$368)*LOOKUP(C327,'Growth Pattern'!B$15:B$376,'Growth Pattern'!H$15:H$368)/100)</f>
        <v>118.7</v>
      </c>
      <c r="I327" s="509">
        <f ca="1">LOOKUP(C327,'Growth Pattern'!B$15:B$376,'Growth Pattern'!G$15:G$368)-(LOOKUP(C327,'Growth Pattern'!B$15:B$376,'Growth Pattern'!H$15:H$368)*LOOKUP(C327,'Growth Pattern'!B$15:B$376,'Growth Pattern'!I$15:I$368)/100)</f>
        <v>132.28999999999996</v>
      </c>
      <c r="J327" s="510">
        <f t="shared" ca="1" si="16"/>
        <v>-12571.513114002166</v>
      </c>
      <c r="K327" s="511">
        <f ca="1">LOOKUP(C327,'Growth Pattern'!B$15:B$376,'Growth Pattern'!H$15:H$368)</f>
        <v>4140.8999999999996</v>
      </c>
      <c r="L327" s="512">
        <f ca="1">(K327-J327)/J327</f>
        <v>-1.3293875576033769</v>
      </c>
      <c r="M327" s="513">
        <f>LN('Growth Pattern'!F340/'Growth Pattern'!D340)/2</f>
        <v>0.37215373189826584</v>
      </c>
      <c r="N327" s="523"/>
      <c r="O327" s="528"/>
    </row>
    <row r="328" spans="1:15" x14ac:dyDescent="0.25">
      <c r="A328" s="516">
        <v>1.8843375376015747</v>
      </c>
      <c r="B328" s="516">
        <v>0.06</v>
      </c>
      <c r="C328" s="516" t="s">
        <v>3837</v>
      </c>
      <c r="D328" s="507">
        <v>0.4134288793478138</v>
      </c>
      <c r="E328" s="508">
        <f t="shared" si="15"/>
        <v>8.3968312503259812E-2</v>
      </c>
      <c r="F328" s="509">
        <f ca="1">LOOKUP(C328,'Growth Pattern'!B$15:B$376,'Growth Pattern'!D$15:D$368)-(LOOKUP(C328,'Growth Pattern'!B$15:B$376,'Growth Pattern'!H$15:H$368)*LOOKUP(C328,'Growth Pattern'!B$15:B$376,'Growth Pattern'!I$15:I$368)/100)</f>
        <v>27.32</v>
      </c>
      <c r="G328" s="509">
        <f ca="1">LOOKUP(C328,'Growth Pattern'!B$15:B$376,'Growth Pattern'!E$15:E$368)-(LOOKUP(C328,'Growth Pattern'!B$15:B$376,'Growth Pattern'!H$15:H$368)*LOOKUP(C328,'Growth Pattern'!B$15:B$376,'Growth Pattern'!I$15:I$368)/100)</f>
        <v>34.799999999999997</v>
      </c>
      <c r="H328" s="509">
        <f ca="1">LOOKUP(C328,'Growth Pattern'!B$15:B$376,'Growth Pattern'!F$15:F$368)-(LOOKUP(C328,'Growth Pattern'!B$15:B$376,'Growth Pattern'!I$15:I$368)*LOOKUP(C328,'Growth Pattern'!B$15:B$376,'Growth Pattern'!H$15:H$368)/100)</f>
        <v>42.2</v>
      </c>
      <c r="I328" s="509">
        <f ca="1">LOOKUP(C328,'Growth Pattern'!B$15:B$376,'Growth Pattern'!G$15:G$368)-(LOOKUP(C328,'Growth Pattern'!B$15:B$376,'Growth Pattern'!H$15:H$368)*LOOKUP(C328,'Growth Pattern'!B$15:B$376,'Growth Pattern'!I$15:I$368)/100)</f>
        <v>49.520000000000024</v>
      </c>
      <c r="J328" s="510">
        <f t="shared" ca="1" si="16"/>
        <v>9893.059236519066</v>
      </c>
      <c r="K328" s="511">
        <f ca="1">LOOKUP(C328,'Growth Pattern'!B$15:B$376,'Growth Pattern'!H$15:H$368)</f>
        <v>623.75</v>
      </c>
      <c r="L328" s="512">
        <f ca="1">(K328-J328)/J328</f>
        <v>-0.93695074646904974</v>
      </c>
      <c r="M328" s="513">
        <f>LN('Growth Pattern'!F341/'Growth Pattern'!D341)/2</f>
        <v>0.21740059316968843</v>
      </c>
      <c r="N328" s="523"/>
      <c r="O328" s="528"/>
    </row>
    <row r="329" spans="1:15" x14ac:dyDescent="0.25">
      <c r="A329" s="516">
        <v>3.3772124268848431</v>
      </c>
      <c r="B329" s="516"/>
      <c r="C329" s="516" t="s">
        <v>3838</v>
      </c>
      <c r="D329" s="507">
        <v>0.32649286579845532</v>
      </c>
      <c r="E329" s="508">
        <f t="shared" si="15"/>
        <v>7.6404879324465616E-2</v>
      </c>
      <c r="F329" s="509">
        <f ca="1">LOOKUP(C329,'Growth Pattern'!B$15:B$376,'Growth Pattern'!D$15:D$368)-(LOOKUP(C329,'Growth Pattern'!B$15:B$376,'Growth Pattern'!H$15:H$368)*LOOKUP(C329,'Growth Pattern'!B$15:B$376,'Growth Pattern'!I$15:I$368)/100)</f>
        <v>5.5230399999999999</v>
      </c>
      <c r="G329" s="509">
        <f ca="1">LOOKUP(C329,'Growth Pattern'!B$15:B$376,'Growth Pattern'!E$15:E$368)-(LOOKUP(C329,'Growth Pattern'!B$15:B$376,'Growth Pattern'!H$15:H$368)*LOOKUP(C329,'Growth Pattern'!B$15:B$376,'Growth Pattern'!I$15:I$368)/100)</f>
        <v>6.6930399999999999</v>
      </c>
      <c r="H329" s="509">
        <f ca="1">LOOKUP(C329,'Growth Pattern'!B$15:B$376,'Growth Pattern'!F$15:F$368)-(LOOKUP(C329,'Growth Pattern'!B$15:B$376,'Growth Pattern'!I$15:I$368)*LOOKUP(C329,'Growth Pattern'!B$15:B$376,'Growth Pattern'!H$15:H$368)/100)</f>
        <v>8.3930399999999992</v>
      </c>
      <c r="I329" s="509">
        <f ca="1">LOOKUP(C329,'Growth Pattern'!B$15:B$376,'Growth Pattern'!G$15:G$368)-(LOOKUP(C329,'Growth Pattern'!B$15:B$376,'Growth Pattern'!H$15:H$368)*LOOKUP(C329,'Growth Pattern'!B$15:B$376,'Growth Pattern'!I$15:I$368)/100)</f>
        <v>10.623039999999998</v>
      </c>
      <c r="J329" s="510">
        <f t="shared" ca="1" si="16"/>
        <v>-2350.2514376875192</v>
      </c>
      <c r="K329" s="511">
        <f ca="1">LOOKUP(C329,'Growth Pattern'!B$15:B$376,'Growth Pattern'!H$15:H$368)</f>
        <v>91.7</v>
      </c>
      <c r="L329" s="512">
        <f ca="1">(K329-J329)/J329</f>
        <v>-1.0390171019702581</v>
      </c>
      <c r="M329" s="513">
        <f>LN('Growth Pattern'!F342/'Growth Pattern'!D342)/2</f>
        <v>0.18695162394945489</v>
      </c>
      <c r="N329" s="523"/>
      <c r="O329" s="528"/>
    </row>
    <row r="330" spans="1:15" x14ac:dyDescent="0.25">
      <c r="A330" s="507">
        <v>2.4124536317268657</v>
      </c>
      <c r="B330" s="507"/>
      <c r="C330" s="507" t="s">
        <v>1081</v>
      </c>
      <c r="D330" s="507">
        <v>0.40212330464619511</v>
      </c>
      <c r="E330" s="508">
        <f t="shared" si="15"/>
        <v>8.298472750421898E-2</v>
      </c>
      <c r="F330" s="509">
        <f ca="1">LOOKUP(C330,'Growth Pattern'!B$15:B$376,'Growth Pattern'!D$15:D$368)-(LOOKUP(C330,'Growth Pattern'!B$15:B$376,'Growth Pattern'!H$15:H$368)*LOOKUP(C330,'Growth Pattern'!B$15:B$376,'Growth Pattern'!I$15:I$368)/100)</f>
        <v>-6.49376</v>
      </c>
      <c r="G330" s="509">
        <f ca="1">LOOKUP(C330,'Growth Pattern'!B$15:B$376,'Growth Pattern'!E$15:E$368)-(LOOKUP(C330,'Growth Pattern'!B$15:B$376,'Growth Pattern'!H$15:H$368)*LOOKUP(C330,'Growth Pattern'!B$15:B$376,'Growth Pattern'!I$15:I$368)/100)</f>
        <v>-6.49376</v>
      </c>
      <c r="H330" s="509">
        <f ca="1">LOOKUP(C330,'Growth Pattern'!B$15:B$376,'Growth Pattern'!F$15:F$368)-(LOOKUP(C330,'Growth Pattern'!B$15:B$376,'Growth Pattern'!I$15:I$368)*LOOKUP(C330,'Growth Pattern'!B$15:B$376,'Growth Pattern'!H$15:H$368)/100)</f>
        <v>-6.49376</v>
      </c>
      <c r="I330" s="509">
        <f ca="1">LOOKUP(C330,'Growth Pattern'!B$15:B$376,'Growth Pattern'!G$15:G$368)-(LOOKUP(C330,'Growth Pattern'!B$15:B$376,'Growth Pattern'!H$15:H$368)*LOOKUP(C330,'Growth Pattern'!B$15:B$376,'Growth Pattern'!I$15:I$368)/100)</f>
        <v>-6.49376</v>
      </c>
      <c r="J330" s="510">
        <f t="shared" ca="1" si="16"/>
        <v>-1730.8972151471467</v>
      </c>
      <c r="K330" s="511">
        <f ca="1">LOOKUP(C330,'Growth Pattern'!B$15:B$376,'Growth Pattern'!H$15:H$368)</f>
        <v>1014.65</v>
      </c>
      <c r="L330" s="512">
        <f ca="1">IF(J330=0,0,(K330-J330)/J330)</f>
        <v>-1.5861988748498523</v>
      </c>
      <c r="M330" s="513" t="e">
        <f>LN('Growth Pattern'!F343/'Growth Pattern'!D343)/2</f>
        <v>#DIV/0!</v>
      </c>
      <c r="N330" s="523"/>
      <c r="O330" s="528"/>
    </row>
    <row r="331" spans="1:15" x14ac:dyDescent="0.25">
      <c r="A331" s="516">
        <v>2.7303660400213698</v>
      </c>
      <c r="B331" s="516"/>
      <c r="C331" s="516" t="s">
        <v>2927</v>
      </c>
      <c r="D331" s="507">
        <v>0.72064515704356447</v>
      </c>
      <c r="E331" s="508">
        <f t="shared" si="15"/>
        <v>0.11069612866279012</v>
      </c>
      <c r="F331" s="509">
        <f ca="1">LOOKUP(C331,'Growth Pattern'!B$15:B$376,'Growth Pattern'!D$15:D$368)-(LOOKUP(C331,'Growth Pattern'!B$15:B$376,'Growth Pattern'!H$15:H$368)*LOOKUP(C331,'Growth Pattern'!B$15:B$376,'Growth Pattern'!I$15:I$368)/100)</f>
        <v>42.46</v>
      </c>
      <c r="G331" s="509">
        <f ca="1">LOOKUP(C331,'Growth Pattern'!B$15:B$376,'Growth Pattern'!E$15:E$368)-(LOOKUP(C331,'Growth Pattern'!B$15:B$376,'Growth Pattern'!H$15:H$368)*LOOKUP(C331,'Growth Pattern'!B$15:B$376,'Growth Pattern'!I$15:I$368)/100)</f>
        <v>25.2</v>
      </c>
      <c r="H331" s="509">
        <f ca="1">LOOKUP(C331,'Growth Pattern'!B$15:B$376,'Growth Pattern'!F$15:F$368)-(LOOKUP(C331,'Growth Pattern'!B$15:B$376,'Growth Pattern'!I$15:I$368)*LOOKUP(C331,'Growth Pattern'!B$15:B$376,'Growth Pattern'!H$15:H$368)/100)</f>
        <v>57.4</v>
      </c>
      <c r="I331" s="509">
        <f ca="1">LOOKUP(C331,'Growth Pattern'!B$15:B$376,'Growth Pattern'!G$15:G$368)-(LOOKUP(C331,'Growth Pattern'!B$15:B$376,'Growth Pattern'!H$15:H$368)*LOOKUP(C331,'Growth Pattern'!B$15:B$376,'Growth Pattern'!I$15:I$368)/100)</f>
        <v>139.06000000000003</v>
      </c>
      <c r="J331" s="510">
        <f t="shared" ca="1" si="16"/>
        <v>3417.9055620380777</v>
      </c>
      <c r="K331" s="511">
        <f ca="1">LOOKUP(C331,'Growth Pattern'!B$15:B$376,'Growth Pattern'!H$15:H$368)</f>
        <v>397.4</v>
      </c>
      <c r="L331" s="512">
        <f t="shared" ref="L331:L362" ca="1" si="17">(K331-J331)/J331</f>
        <v>-0.88372996480247024</v>
      </c>
      <c r="M331" s="513">
        <f>LN('Growth Pattern'!F344/'Growth Pattern'!D344)/2</f>
        <v>0.15074092352520529</v>
      </c>
      <c r="N331" s="523"/>
      <c r="O331" s="528"/>
    </row>
    <row r="332" spans="1:15" x14ac:dyDescent="0.25">
      <c r="A332" s="516">
        <v>2.590343871981589</v>
      </c>
      <c r="B332" s="516"/>
      <c r="C332" s="516" t="s">
        <v>3839</v>
      </c>
      <c r="D332" s="507">
        <v>0.36537842314542829</v>
      </c>
      <c r="E332" s="508">
        <f t="shared" si="15"/>
        <v>7.9787922813652268E-2</v>
      </c>
      <c r="F332" s="509">
        <f ca="1">LOOKUP(C332,'Growth Pattern'!B$15:B$376,'Growth Pattern'!D$15:D$368)-(LOOKUP(C332,'Growth Pattern'!B$15:B$376,'Growth Pattern'!H$15:H$368)*LOOKUP(C332,'Growth Pattern'!B$15:B$376,'Growth Pattern'!I$15:I$368)/100)</f>
        <v>4.5101599999999999</v>
      </c>
      <c r="G332" s="509">
        <f ca="1">LOOKUP(C332,'Growth Pattern'!B$15:B$376,'Growth Pattern'!E$15:E$368)-(LOOKUP(C332,'Growth Pattern'!B$15:B$376,'Growth Pattern'!H$15:H$368)*LOOKUP(C332,'Growth Pattern'!B$15:B$376,'Growth Pattern'!I$15:I$368)/100)</f>
        <v>6.3701600000000003</v>
      </c>
      <c r="H332" s="509">
        <f ca="1">LOOKUP(C332,'Growth Pattern'!B$15:B$376,'Growth Pattern'!F$15:F$368)-(LOOKUP(C332,'Growth Pattern'!B$15:B$376,'Growth Pattern'!I$15:I$368)*LOOKUP(C332,'Growth Pattern'!B$15:B$376,'Growth Pattern'!H$15:H$368)/100)</f>
        <v>6.6901600000000006</v>
      </c>
      <c r="I332" s="509">
        <f ca="1">LOOKUP(C332,'Growth Pattern'!B$15:B$376,'Growth Pattern'!G$15:G$368)-(LOOKUP(C332,'Growth Pattern'!B$15:B$376,'Growth Pattern'!H$15:H$368)*LOOKUP(C332,'Growth Pattern'!B$15:B$376,'Growth Pattern'!I$15:I$368)/100)</f>
        <v>6.6901600000000006</v>
      </c>
      <c r="J332" s="510">
        <f t="shared" ca="1" si="16"/>
        <v>-25040.741703943255</v>
      </c>
      <c r="K332" s="511">
        <f ca="1">LOOKUP(C332,'Growth Pattern'!B$15:B$376,'Growth Pattern'!H$15:H$368)</f>
        <v>36.049999999999997</v>
      </c>
      <c r="L332" s="512">
        <f t="shared" ca="1" si="17"/>
        <v>-1.0014396538419756</v>
      </c>
      <c r="M332" s="513">
        <f>LN('Growth Pattern'!F345/'Growth Pattern'!D345)/2</f>
        <v>0.17336991104769103</v>
      </c>
      <c r="N332" s="523"/>
      <c r="O332" s="528"/>
    </row>
    <row r="333" spans="1:15" x14ac:dyDescent="0.25">
      <c r="A333" s="516">
        <v>2.5694752386057602</v>
      </c>
      <c r="B333" s="516">
        <v>0.23</v>
      </c>
      <c r="C333" s="516" t="s">
        <v>3840</v>
      </c>
      <c r="D333" s="507">
        <v>0.45970764749791082</v>
      </c>
      <c r="E333" s="508">
        <f t="shared" si="15"/>
        <v>8.7994565332318253E-2</v>
      </c>
      <c r="F333" s="509">
        <f ca="1">LOOKUP(C333,'Growth Pattern'!B$15:B$376,'Growth Pattern'!D$15:D$368)-(LOOKUP(C333,'Growth Pattern'!B$15:B$376,'Growth Pattern'!H$15:H$368)*LOOKUP(C333,'Growth Pattern'!B$15:B$376,'Growth Pattern'!I$15:I$368)/100)</f>
        <v>0</v>
      </c>
      <c r="G333" s="509">
        <f ca="1">LOOKUP(C333,'Growth Pattern'!B$15:B$376,'Growth Pattern'!E$15:E$368)-(LOOKUP(C333,'Growth Pattern'!B$15:B$376,'Growth Pattern'!H$15:H$368)*LOOKUP(C333,'Growth Pattern'!B$15:B$376,'Growth Pattern'!I$15:I$368)/100)</f>
        <v>8.02</v>
      </c>
      <c r="H333" s="509">
        <f ca="1">LOOKUP(C333,'Growth Pattern'!B$15:B$376,'Growth Pattern'!F$15:F$368)-(LOOKUP(C333,'Growth Pattern'!B$15:B$376,'Growth Pattern'!I$15:I$368)*LOOKUP(C333,'Growth Pattern'!B$15:B$376,'Growth Pattern'!H$15:H$368)/100)</f>
        <v>10.1</v>
      </c>
      <c r="I333" s="509">
        <f ca="1">LOOKUP(C333,'Growth Pattern'!B$15:B$376,'Growth Pattern'!G$15:G$368)-(LOOKUP(C333,'Growth Pattern'!B$15:B$376,'Growth Pattern'!H$15:H$368)*LOOKUP(C333,'Growth Pattern'!B$15:B$376,'Growth Pattern'!I$15:I$368)/100)</f>
        <v>10.1</v>
      </c>
      <c r="J333" s="510">
        <f t="shared" ca="1" si="16"/>
        <v>996.85249475840499</v>
      </c>
      <c r="K333" s="511">
        <f ca="1">LOOKUP(C333,'Growth Pattern'!B$15:B$376,'Growth Pattern'!H$15:H$368)</f>
        <v>133.44999999999999</v>
      </c>
      <c r="L333" s="512">
        <f t="shared" ca="1" si="17"/>
        <v>-0.86612863919015159</v>
      </c>
      <c r="M333" s="513" t="e">
        <f>LN('Growth Pattern'!F346/'Growth Pattern'!D346)/2</f>
        <v>#DIV/0!</v>
      </c>
      <c r="N333" s="523"/>
      <c r="O333" s="528"/>
    </row>
    <row r="334" spans="1:15" x14ac:dyDescent="0.25">
      <c r="A334" s="516">
        <v>1.9332566608373825</v>
      </c>
      <c r="B334" s="516">
        <v>0.16</v>
      </c>
      <c r="C334" s="516" t="s">
        <v>1083</v>
      </c>
      <c r="D334" s="507">
        <v>0.3685451181791648</v>
      </c>
      <c r="E334" s="508">
        <f t="shared" si="15"/>
        <v>8.0063425281587344E-2</v>
      </c>
      <c r="F334" s="509">
        <f ca="1">LOOKUP(C334,'Growth Pattern'!B$15:B$376,'Growth Pattern'!D$15:D$368)-(LOOKUP(C334,'Growth Pattern'!B$15:B$376,'Growth Pattern'!H$15:H$368)*LOOKUP(C334,'Growth Pattern'!B$15:B$376,'Growth Pattern'!I$15:I$368)/100)</f>
        <v>16.96</v>
      </c>
      <c r="G334" s="509">
        <f ca="1">LOOKUP(C334,'Growth Pattern'!B$15:B$376,'Growth Pattern'!E$15:E$368)-(LOOKUP(C334,'Growth Pattern'!B$15:B$376,'Growth Pattern'!H$15:H$368)*LOOKUP(C334,'Growth Pattern'!B$15:B$376,'Growth Pattern'!I$15:I$368)/100)</f>
        <v>20.76</v>
      </c>
      <c r="H334" s="509">
        <f ca="1">LOOKUP(C334,'Growth Pattern'!B$15:B$376,'Growth Pattern'!F$15:F$368)-(LOOKUP(C334,'Growth Pattern'!B$15:B$376,'Growth Pattern'!I$15:I$368)*LOOKUP(C334,'Growth Pattern'!B$15:B$376,'Growth Pattern'!H$15:H$368)/100)</f>
        <v>23.75</v>
      </c>
      <c r="I334" s="509">
        <f ca="1">LOOKUP(C334,'Growth Pattern'!B$15:B$376,'Growth Pattern'!G$15:G$368)-(LOOKUP(C334,'Growth Pattern'!B$15:B$376,'Growth Pattern'!H$15:H$368)*LOOKUP(C334,'Growth Pattern'!B$15:B$376,'Growth Pattern'!I$15:I$368)/100)</f>
        <v>23.75</v>
      </c>
      <c r="J334" s="510">
        <f t="shared" ca="1" si="16"/>
        <v>297259.70625481301</v>
      </c>
      <c r="K334" s="511">
        <f ca="1">LOOKUP(C334,'Growth Pattern'!B$15:B$376,'Growth Pattern'!H$15:H$368)</f>
        <v>156</v>
      </c>
      <c r="L334" s="512">
        <f t="shared" ca="1" si="17"/>
        <v>-0.99947520637100318</v>
      </c>
      <c r="M334" s="513">
        <f>LN('Growth Pattern'!F347/'Growth Pattern'!D347)/2</f>
        <v>0.16836245005844661</v>
      </c>
      <c r="N334" s="523"/>
      <c r="O334" s="528"/>
    </row>
    <row r="335" spans="1:15" x14ac:dyDescent="0.25">
      <c r="A335" s="516">
        <v>2.9025276891136609</v>
      </c>
      <c r="B335" s="516">
        <v>0.19</v>
      </c>
      <c r="C335" s="543" t="s">
        <v>114</v>
      </c>
      <c r="D335" s="507">
        <v>0.40309358709312182</v>
      </c>
      <c r="E335" s="508">
        <f t="shared" si="15"/>
        <v>8.3069142077101601E-2</v>
      </c>
      <c r="F335" s="509">
        <f ca="1">LOOKUP(C335,'Growth Pattern'!B$15:B$376,'Growth Pattern'!D$15:D$368)-(LOOKUP(C335,'Growth Pattern'!B$15:B$376,'Growth Pattern'!H$15:H$368)*LOOKUP(C335,'Growth Pattern'!B$15:B$376,'Growth Pattern'!I$15:I$368)/100)</f>
        <v>-8.85</v>
      </c>
      <c r="G335" s="509">
        <f ca="1">LOOKUP(C335,'Growth Pattern'!B$15:B$376,'Growth Pattern'!E$15:E$368)-(LOOKUP(C335,'Growth Pattern'!B$15:B$376,'Growth Pattern'!H$15:H$368)*LOOKUP(C335,'Growth Pattern'!B$15:B$376,'Growth Pattern'!I$15:I$368)/100)</f>
        <v>-1.9</v>
      </c>
      <c r="H335" s="509">
        <f ca="1">LOOKUP(C335,'Growth Pattern'!B$15:B$376,'Growth Pattern'!F$15:F$368)-(LOOKUP(C335,'Growth Pattern'!B$15:B$376,'Growth Pattern'!I$15:I$368)*LOOKUP(C335,'Growth Pattern'!B$15:B$376,'Growth Pattern'!H$15:H$368)/100)</f>
        <v>1.76</v>
      </c>
      <c r="I335" s="509">
        <f ca="1">LOOKUP(C335,'Growth Pattern'!B$15:B$376,'Growth Pattern'!G$15:G$368)-(LOOKUP(C335,'Growth Pattern'!B$15:B$376,'Growth Pattern'!H$15:H$368)*LOOKUP(C335,'Growth Pattern'!B$15:B$376,'Growth Pattern'!I$15:I$368)/100)</f>
        <v>2.1299999999999955</v>
      </c>
      <c r="J335" s="510">
        <f t="shared" ca="1" si="16"/>
        <v>537.1493890746209</v>
      </c>
      <c r="K335" s="511">
        <f ca="1">LOOKUP(C335,'Growth Pattern'!B$15:B$376,'Growth Pattern'!H$15:H$368)</f>
        <v>77.95</v>
      </c>
      <c r="L335" s="512">
        <f t="shared" ca="1" si="17"/>
        <v>-0.85488208385698983</v>
      </c>
      <c r="M335" s="513" t="e">
        <f>LN('Growth Pattern'!F348/'Growth Pattern'!D348)/2</f>
        <v>#NUM!</v>
      </c>
      <c r="N335" s="523" t="s">
        <v>2834</v>
      </c>
      <c r="O335" s="528"/>
    </row>
    <row r="336" spans="1:15" x14ac:dyDescent="0.25">
      <c r="A336" s="516">
        <v>3.1374464114102087</v>
      </c>
      <c r="B336" s="516">
        <v>0.21</v>
      </c>
      <c r="C336" s="516" t="s">
        <v>4063</v>
      </c>
      <c r="D336" s="507">
        <v>0.59303918805739642</v>
      </c>
      <c r="E336" s="508">
        <f t="shared" si="15"/>
        <v>9.9594409360993494E-2</v>
      </c>
      <c r="F336" s="509">
        <f ca="1">LOOKUP(C336,'Growth Pattern'!B$15:B$376,'Growth Pattern'!D$15:D$368)-(LOOKUP(C336,'Growth Pattern'!B$15:B$376,'Growth Pattern'!H$15:H$368)*LOOKUP(C336,'Growth Pattern'!B$15:B$376,'Growth Pattern'!I$15:I$368)/100)</f>
        <v>1.41</v>
      </c>
      <c r="G336" s="509">
        <f ca="1">LOOKUP(C336,'Growth Pattern'!B$15:B$376,'Growth Pattern'!E$15:E$368)-(LOOKUP(C336,'Growth Pattern'!B$15:B$376,'Growth Pattern'!H$15:H$368)*LOOKUP(C336,'Growth Pattern'!B$15:B$376,'Growth Pattern'!I$15:I$368)/100)</f>
        <v>4.4000000000000004</v>
      </c>
      <c r="H336" s="509">
        <f ca="1">LOOKUP(C336,'Growth Pattern'!B$15:B$376,'Growth Pattern'!F$15:F$368)-(LOOKUP(C336,'Growth Pattern'!B$15:B$376,'Growth Pattern'!I$15:I$368)*LOOKUP(C336,'Growth Pattern'!B$15:B$376,'Growth Pattern'!H$15:H$368)/100)</f>
        <v>5.8</v>
      </c>
      <c r="I336" s="509">
        <f ca="1">LOOKUP(C336,'Growth Pattern'!B$15:B$376,'Growth Pattern'!G$15:G$368)-(LOOKUP(C336,'Growth Pattern'!B$15:B$376,'Growth Pattern'!H$15:H$368)*LOOKUP(C336,'Growth Pattern'!B$15:B$376,'Growth Pattern'!I$15:I$368)/100)</f>
        <v>5.8</v>
      </c>
      <c r="J336" s="510">
        <f t="shared" ca="1" si="16"/>
        <v>232.84586506531954</v>
      </c>
      <c r="K336" s="511">
        <f ca="1">LOOKUP(C336,'Growth Pattern'!B$15:B$376,'Growth Pattern'!H$15:H$368)</f>
        <v>53.5</v>
      </c>
      <c r="L336" s="512">
        <f t="shared" ca="1" si="17"/>
        <v>-0.77023427070525041</v>
      </c>
      <c r="M336" s="513">
        <f>LN('Growth Pattern'!F349/'Growth Pattern'!D349)/2</f>
        <v>0.70713410658114839</v>
      </c>
      <c r="N336" s="523"/>
      <c r="O336" s="528"/>
    </row>
    <row r="337" spans="1:15" x14ac:dyDescent="0.25">
      <c r="A337" s="507">
        <v>2.8086994029558916</v>
      </c>
      <c r="B337" s="507">
        <v>0.35</v>
      </c>
      <c r="C337" s="507" t="s">
        <v>3841</v>
      </c>
      <c r="D337" s="507">
        <v>0.56034275771793385</v>
      </c>
      <c r="E337" s="508">
        <f t="shared" si="15"/>
        <v>9.6749819921460256E-2</v>
      </c>
      <c r="F337" s="509">
        <f ca="1">LOOKUP(C337,'Growth Pattern'!B$15:B$376,'Growth Pattern'!D$15:D$368)-(LOOKUP(C337,'Growth Pattern'!B$15:B$376,'Growth Pattern'!H$15:H$368)*LOOKUP(C337,'Growth Pattern'!B$15:B$376,'Growth Pattern'!I$15:I$368)/100)</f>
        <v>0</v>
      </c>
      <c r="G337" s="509">
        <f ca="1">LOOKUP(C337,'Growth Pattern'!B$15:B$376,'Growth Pattern'!E$15:E$368)-(LOOKUP(C337,'Growth Pattern'!B$15:B$376,'Growth Pattern'!H$15:H$368)*LOOKUP(C337,'Growth Pattern'!B$15:B$376,'Growth Pattern'!I$15:I$368)/100)</f>
        <v>0</v>
      </c>
      <c r="H337" s="509">
        <f ca="1">LOOKUP(C337,'Growth Pattern'!B$15:B$376,'Growth Pattern'!F$15:F$368)-(LOOKUP(C337,'Growth Pattern'!B$15:B$376,'Growth Pattern'!I$15:I$368)*LOOKUP(C337,'Growth Pattern'!B$15:B$376,'Growth Pattern'!H$15:H$368)/100)</f>
        <v>0</v>
      </c>
      <c r="I337" s="509">
        <f ca="1">LOOKUP(C337,'Growth Pattern'!B$15:B$376,'Growth Pattern'!G$15:G$368)-(LOOKUP(C337,'Growth Pattern'!B$15:B$376,'Growth Pattern'!H$15:H$368)*LOOKUP(C337,'Growth Pattern'!B$15:B$376,'Growth Pattern'!I$15:I$368)/100)</f>
        <v>0</v>
      </c>
      <c r="J337" s="510">
        <f t="shared" ca="1" si="16"/>
        <v>0</v>
      </c>
      <c r="K337" s="511">
        <f ca="1">LOOKUP(C337,'Growth Pattern'!B$15:B$376,'Growth Pattern'!H$15:H$368)</f>
        <v>96.05</v>
      </c>
      <c r="L337" s="512" t="e">
        <f t="shared" ca="1" si="17"/>
        <v>#DIV/0!</v>
      </c>
      <c r="M337" s="513" t="e">
        <f>LN('Growth Pattern'!F350/'Growth Pattern'!D350)/2</f>
        <v>#DIV/0!</v>
      </c>
      <c r="N337" s="523"/>
      <c r="O337" s="528"/>
    </row>
    <row r="338" spans="1:15" x14ac:dyDescent="0.25">
      <c r="A338" s="507">
        <v>2.2326724441997925</v>
      </c>
      <c r="B338" s="507">
        <v>0.26</v>
      </c>
      <c r="C338" s="507" t="s">
        <v>1047</v>
      </c>
      <c r="D338" s="507">
        <v>0.19969165169337705</v>
      </c>
      <c r="E338" s="508">
        <f t="shared" si="15"/>
        <v>6.5373173697323803E-2</v>
      </c>
      <c r="F338" s="509">
        <f ca="1">LOOKUP(C338,'Growth Pattern'!B$15:B$376,'Growth Pattern'!D$15:D$368)-(LOOKUP(C338,'Growth Pattern'!B$15:B$376,'Growth Pattern'!H$15:H$368)*LOOKUP(C338,'Growth Pattern'!B$15:B$376,'Growth Pattern'!I$15:I$368)/100)</f>
        <v>87.79</v>
      </c>
      <c r="G338" s="509">
        <f ca="1">LOOKUP(C338,'Growth Pattern'!B$15:B$376,'Growth Pattern'!E$15:E$368)-(LOOKUP(C338,'Growth Pattern'!B$15:B$376,'Growth Pattern'!H$15:H$368)*LOOKUP(C338,'Growth Pattern'!B$15:B$376,'Growth Pattern'!I$15:I$368)/100)</f>
        <v>52.6</v>
      </c>
      <c r="H338" s="509">
        <f ca="1">LOOKUP(C338,'Growth Pattern'!B$15:B$376,'Growth Pattern'!F$15:F$368)-(LOOKUP(C338,'Growth Pattern'!B$15:B$376,'Growth Pattern'!I$15:I$368)*LOOKUP(C338,'Growth Pattern'!B$15:B$376,'Growth Pattern'!H$15:H$368)/100)</f>
        <v>64.5</v>
      </c>
      <c r="I338" s="509">
        <f ca="1">LOOKUP(C338,'Growth Pattern'!B$15:B$376,'Growth Pattern'!G$15:G$368)-(LOOKUP(C338,'Growth Pattern'!B$15:B$376,'Growth Pattern'!H$15:H$368)*LOOKUP(C338,'Growth Pattern'!B$15:B$376,'Growth Pattern'!I$15:I$368)/100)</f>
        <v>123.49000000000005</v>
      </c>
      <c r="J338" s="510">
        <f t="shared" ca="1" si="16"/>
        <v>-6787.9553124206832</v>
      </c>
      <c r="K338" s="511">
        <f ca="1">LOOKUP(C338,'Growth Pattern'!B$15:B$376,'Growth Pattern'!H$15:H$368)</f>
        <v>1033.9000000000001</v>
      </c>
      <c r="L338" s="512">
        <f t="shared" ca="1" si="17"/>
        <v>-1.1523139078579607</v>
      </c>
      <c r="M338" s="513" t="e">
        <f>LN('Growth Pattern'!F351/'Growth Pattern'!D351)/2</f>
        <v>#DIV/0!</v>
      </c>
      <c r="N338" s="523"/>
      <c r="O338" s="528"/>
    </row>
    <row r="339" spans="1:15" x14ac:dyDescent="0.25">
      <c r="A339" s="507">
        <v>2.9665460986546206</v>
      </c>
      <c r="B339" s="507">
        <v>0.11</v>
      </c>
      <c r="C339" s="507" t="s">
        <v>3842</v>
      </c>
      <c r="D339" s="507">
        <v>0.68700310354576177</v>
      </c>
      <c r="E339" s="508">
        <f t="shared" si="15"/>
        <v>0.10776927000848127</v>
      </c>
      <c r="F339" s="509">
        <f ca="1">LOOKUP(C339,'Growth Pattern'!B$15:B$376,'Growth Pattern'!D$15:D$368)-(LOOKUP(C339,'Growth Pattern'!B$15:B$376,'Growth Pattern'!H$15:H$368)*LOOKUP(C339,'Growth Pattern'!B$15:B$376,'Growth Pattern'!I$15:I$368)/100)</f>
        <v>41.08</v>
      </c>
      <c r="G339" s="509">
        <f ca="1">LOOKUP(C339,'Growth Pattern'!B$15:B$376,'Growth Pattern'!E$15:E$368)-(LOOKUP(C339,'Growth Pattern'!B$15:B$376,'Growth Pattern'!H$15:H$368)*LOOKUP(C339,'Growth Pattern'!B$15:B$376,'Growth Pattern'!I$15:I$368)/100)</f>
        <v>42.37</v>
      </c>
      <c r="H339" s="509">
        <f ca="1">LOOKUP(C339,'Growth Pattern'!B$15:B$376,'Growth Pattern'!F$15:F$368)-(LOOKUP(C339,'Growth Pattern'!B$15:B$376,'Growth Pattern'!I$15:I$368)*LOOKUP(C339,'Growth Pattern'!B$15:B$376,'Growth Pattern'!H$15:H$368)/100)</f>
        <v>55.7</v>
      </c>
      <c r="I339" s="509">
        <f ca="1">LOOKUP(C339,'Growth Pattern'!B$15:B$376,'Growth Pattern'!G$15:G$368)-(LOOKUP(C339,'Growth Pattern'!B$15:B$376,'Growth Pattern'!H$15:H$368)*LOOKUP(C339,'Growth Pattern'!B$15:B$376,'Growth Pattern'!I$15:I$368)/100)</f>
        <v>81.070000000000022</v>
      </c>
      <c r="J339" s="510">
        <f t="shared" ca="1" si="16"/>
        <v>2272.2898389262223</v>
      </c>
      <c r="K339" s="511">
        <f ca="1">LOOKUP(C339,'Growth Pattern'!B$15:B$376,'Growth Pattern'!H$15:H$368)</f>
        <v>318.3</v>
      </c>
      <c r="L339" s="512">
        <f t="shared" ca="1" si="17"/>
        <v>-0.85992103888013971</v>
      </c>
      <c r="M339" s="513">
        <f>LN('Growth Pattern'!F352/'Growth Pattern'!D352)/2</f>
        <v>-0.15414118756819531</v>
      </c>
      <c r="N339" s="523"/>
      <c r="O339" s="528"/>
    </row>
    <row r="340" spans="1:15" x14ac:dyDescent="0.25">
      <c r="A340" s="527">
        <v>2.6108951106938676</v>
      </c>
      <c r="B340" s="527">
        <v>0.13</v>
      </c>
      <c r="C340" s="527" t="s">
        <v>1269</v>
      </c>
      <c r="D340" s="507">
        <v>0.64618596738332457</v>
      </c>
      <c r="E340" s="508">
        <f t="shared" si="15"/>
        <v>0.10421817916234924</v>
      </c>
      <c r="F340" s="509">
        <f ca="1">LOOKUP(C340,'Growth Pattern'!B$15:B$376,'Growth Pattern'!D$15:D$368)-(LOOKUP(C340,'Growth Pattern'!B$15:B$376,'Growth Pattern'!H$15:H$368)*LOOKUP(C340,'Growth Pattern'!B$15:B$376,'Growth Pattern'!I$15:I$368)/100)</f>
        <v>0</v>
      </c>
      <c r="G340" s="509">
        <f ca="1">LOOKUP(C340,'Growth Pattern'!B$15:B$376,'Growth Pattern'!E$15:E$368)-(LOOKUP(C340,'Growth Pattern'!B$15:B$376,'Growth Pattern'!H$15:H$368)*LOOKUP(C340,'Growth Pattern'!B$15:B$376,'Growth Pattern'!I$15:I$368)/100)</f>
        <v>13.4</v>
      </c>
      <c r="H340" s="509">
        <f ca="1">LOOKUP(C340,'Growth Pattern'!B$15:B$376,'Growth Pattern'!F$15:F$368)-(LOOKUP(C340,'Growth Pattern'!B$15:B$376,'Growth Pattern'!I$15:I$368)*LOOKUP(C340,'Growth Pattern'!B$15:B$376,'Growth Pattern'!H$15:H$368)/100)</f>
        <v>17.2</v>
      </c>
      <c r="I340" s="509">
        <f ca="1">LOOKUP(C340,'Growth Pattern'!B$15:B$376,'Growth Pattern'!G$15:G$368)-(LOOKUP(C340,'Growth Pattern'!B$15:B$376,'Growth Pattern'!H$15:H$368)*LOOKUP(C340,'Growth Pattern'!B$15:B$376,'Growth Pattern'!I$15:I$368)/100)</f>
        <v>17.2</v>
      </c>
      <c r="J340" s="510">
        <f t="shared" ca="1" si="16"/>
        <v>553.74154048257583</v>
      </c>
      <c r="K340" s="511">
        <f ca="1">LOOKUP(C340,'Growth Pattern'!B$15:B$376,'Growth Pattern'!H$15:H$368)</f>
        <v>170.45</v>
      </c>
      <c r="L340" s="512">
        <f t="shared" ca="1" si="17"/>
        <v>-0.69218491382919212</v>
      </c>
      <c r="M340" s="513">
        <f>LN('Growth Pattern'!F353/'Growth Pattern'!D353)/2</f>
        <v>0.15222938093644051</v>
      </c>
      <c r="N340" s="548"/>
      <c r="O340" s="528"/>
    </row>
    <row r="341" spans="1:15" x14ac:dyDescent="0.25">
      <c r="A341" s="527">
        <v>3.0385304632667425</v>
      </c>
      <c r="B341" s="527">
        <v>0.61906998023162474</v>
      </c>
      <c r="C341" s="527" t="s">
        <v>947</v>
      </c>
      <c r="D341" s="507">
        <v>0.2864619707191382</v>
      </c>
      <c r="E341" s="508">
        <f t="shared" si="15"/>
        <v>7.2922191452565024E-2</v>
      </c>
      <c r="F341" s="509">
        <f ca="1">LOOKUP(C341,'Growth Pattern'!B$15:B$376,'Growth Pattern'!D$15:D$368)-(LOOKUP(C341,'Growth Pattern'!B$15:B$376,'Growth Pattern'!H$15:H$368)*LOOKUP(C341,'Growth Pattern'!B$15:B$376,'Growth Pattern'!I$15:I$368)/100)</f>
        <v>2.7102850000000003</v>
      </c>
      <c r="G341" s="509">
        <f ca="1">LOOKUP(C341,'Growth Pattern'!B$15:B$376,'Growth Pattern'!E$15:E$368)-(LOOKUP(C341,'Growth Pattern'!B$15:B$376,'Growth Pattern'!H$15:H$368)*LOOKUP(C341,'Growth Pattern'!B$15:B$376,'Growth Pattern'!I$15:I$368)/100)</f>
        <v>2.7102850000000003</v>
      </c>
      <c r="H341" s="509">
        <f ca="1">LOOKUP(C341,'Growth Pattern'!B$15:B$376,'Growth Pattern'!F$15:F$368)-(LOOKUP(C341,'Growth Pattern'!B$15:B$376,'Growth Pattern'!I$15:I$368)*LOOKUP(C341,'Growth Pattern'!B$15:B$376,'Growth Pattern'!H$15:H$368)/100)</f>
        <v>3.9702850000000001</v>
      </c>
      <c r="I341" s="509">
        <f ca="1">LOOKUP(C341,'Growth Pattern'!B$15:B$376,'Growth Pattern'!G$15:G$368)-(LOOKUP(C341,'Growth Pattern'!B$15:B$376,'Growth Pattern'!H$15:H$368)*LOOKUP(C341,'Growth Pattern'!B$15:B$376,'Growth Pattern'!I$15:I$368)/100)</f>
        <v>6.4902850000000001</v>
      </c>
      <c r="J341" s="510">
        <f t="shared" ca="1" si="16"/>
        <v>-733.75283861633773</v>
      </c>
      <c r="K341" s="511">
        <f ca="1">LOOKUP(C341,'Growth Pattern'!B$15:B$376,'Growth Pattern'!H$15:H$368)</f>
        <v>33.85</v>
      </c>
      <c r="L341" s="512">
        <f t="shared" ca="1" si="17"/>
        <v>-1.0461327005750767</v>
      </c>
      <c r="M341" s="513" t="e">
        <f>LN('Growth Pattern'!F354/'Growth Pattern'!D354)/2</f>
        <v>#DIV/0!</v>
      </c>
      <c r="N341" s="523"/>
      <c r="O341" s="528"/>
    </row>
    <row r="342" spans="1:15" x14ac:dyDescent="0.25">
      <c r="A342" s="507">
        <v>2.2953179252367741</v>
      </c>
      <c r="B342" s="507">
        <v>0.36</v>
      </c>
      <c r="C342" s="507" t="s">
        <v>582</v>
      </c>
      <c r="D342" s="507">
        <v>0.40244167833810951</v>
      </c>
      <c r="E342" s="508">
        <f t="shared" si="15"/>
        <v>8.301242601541553E-2</v>
      </c>
      <c r="F342" s="509">
        <f ca="1">LOOKUP(C342,'Growth Pattern'!B$15:B$376,'Growth Pattern'!D$15:D$368)-(LOOKUP(C342,'Growth Pattern'!B$15:B$376,'Growth Pattern'!H$15:H$368)*LOOKUP(C342,'Growth Pattern'!B$15:B$376,'Growth Pattern'!I$15:I$368)/100)</f>
        <v>50.269649999999999</v>
      </c>
      <c r="G342" s="509">
        <f ca="1">LOOKUP(C342,'Growth Pattern'!B$15:B$376,'Growth Pattern'!E$15:E$368)-(LOOKUP(C342,'Growth Pattern'!B$15:B$376,'Growth Pattern'!H$15:H$368)*LOOKUP(C342,'Growth Pattern'!B$15:B$376,'Growth Pattern'!I$15:I$368)/100)</f>
        <v>64.959649999999996</v>
      </c>
      <c r="H342" s="509">
        <f ca="1">LOOKUP(C342,'Growth Pattern'!B$15:B$376,'Growth Pattern'!F$15:F$368)-(LOOKUP(C342,'Growth Pattern'!B$15:B$376,'Growth Pattern'!I$15:I$368)*LOOKUP(C342,'Growth Pattern'!B$15:B$376,'Growth Pattern'!H$15:H$368)/100)</f>
        <v>84.359650000000002</v>
      </c>
      <c r="I342" s="509">
        <f ca="1">LOOKUP(C342,'Growth Pattern'!B$15:B$376,'Growth Pattern'!G$15:G$368)-(LOOKUP(C342,'Growth Pattern'!B$15:B$376,'Growth Pattern'!H$15:H$368)*LOOKUP(C342,'Growth Pattern'!B$15:B$376,'Growth Pattern'!I$15:I$368)/100)</f>
        <v>108.46965000000002</v>
      </c>
      <c r="J342" s="510">
        <f t="shared" ca="1" si="16"/>
        <v>28528.156727700349</v>
      </c>
      <c r="K342" s="511">
        <f ca="1">LOOKUP(C342,'Growth Pattern'!B$15:B$376,'Growth Pattern'!H$15:H$368)</f>
        <v>1220.9000000000001</v>
      </c>
      <c r="L342" s="512">
        <f t="shared" ca="1" si="17"/>
        <v>-0.95720368435810899</v>
      </c>
      <c r="M342" s="513">
        <f>LN('Growth Pattern'!F355/'Growth Pattern'!D355)/2</f>
        <v>0.17988147731365448</v>
      </c>
      <c r="N342" s="549"/>
      <c r="O342" s="528"/>
    </row>
    <row r="343" spans="1:15" x14ac:dyDescent="0.25">
      <c r="A343" s="507">
        <v>3.0607072630158294</v>
      </c>
      <c r="B343" s="507">
        <v>0.21</v>
      </c>
      <c r="C343" s="507" t="s">
        <v>1395</v>
      </c>
      <c r="D343" s="507">
        <v>0.78198418548962545</v>
      </c>
      <c r="E343" s="508">
        <f t="shared" si="15"/>
        <v>0.11603262413759742</v>
      </c>
      <c r="F343" s="509">
        <f ca="1">LOOKUP(C343,'Growth Pattern'!B$15:B$376,'Growth Pattern'!D$15:D$368)-(LOOKUP(C343,'Growth Pattern'!B$15:B$376,'Growth Pattern'!H$15:H$368)*LOOKUP(C343,'Growth Pattern'!B$15:B$376,'Growth Pattern'!I$15:I$368)/100)</f>
        <v>13.07</v>
      </c>
      <c r="G343" s="509">
        <f ca="1">LOOKUP(C343,'Growth Pattern'!B$15:B$376,'Growth Pattern'!E$15:E$368)-(LOOKUP(C343,'Growth Pattern'!B$15:B$376,'Growth Pattern'!H$15:H$368)*LOOKUP(C343,'Growth Pattern'!B$15:B$376,'Growth Pattern'!I$15:I$368)/100)</f>
        <v>35.5</v>
      </c>
      <c r="H343" s="509">
        <f ca="1">LOOKUP(C343,'Growth Pattern'!B$15:B$376,'Growth Pattern'!F$15:F$368)-(LOOKUP(C343,'Growth Pattern'!B$15:B$376,'Growth Pattern'!I$15:I$368)*LOOKUP(C343,'Growth Pattern'!B$15:B$376,'Growth Pattern'!H$15:H$368)/100)</f>
        <v>49.1</v>
      </c>
      <c r="I343" s="509">
        <f ca="1">LOOKUP(C343,'Growth Pattern'!B$15:B$376,'Growth Pattern'!G$15:G$368)-(LOOKUP(C343,'Growth Pattern'!B$15:B$376,'Growth Pattern'!H$15:H$368)*LOOKUP(C343,'Growth Pattern'!B$15:B$376,'Growth Pattern'!I$15:I$368)/100)</f>
        <v>49.1</v>
      </c>
      <c r="J343" s="510">
        <f t="shared" ca="1" si="16"/>
        <v>1064.5909200350613</v>
      </c>
      <c r="K343" s="511">
        <f ca="1">LOOKUP(C343,'Growth Pattern'!B$15:B$376,'Growth Pattern'!H$15:H$368)</f>
        <v>645.54999999999995</v>
      </c>
      <c r="L343" s="512">
        <f t="shared" ca="1" si="17"/>
        <v>-0.39361684582211226</v>
      </c>
      <c r="M343" s="513" t="e">
        <f>LN('Growth Pattern'!F356/'Growth Pattern'!D356)/2</f>
        <v>#DIV/0!</v>
      </c>
      <c r="N343" s="523"/>
      <c r="O343" s="528"/>
    </row>
    <row r="344" spans="1:15" x14ac:dyDescent="0.25">
      <c r="A344" s="516">
        <v>2.9211829475378179</v>
      </c>
      <c r="B344" s="516">
        <v>0.24</v>
      </c>
      <c r="C344" s="516" t="s">
        <v>949</v>
      </c>
      <c r="D344" s="507">
        <v>0.66715973289561759</v>
      </c>
      <c r="E344" s="508">
        <f t="shared" si="15"/>
        <v>0.10604289676191873</v>
      </c>
      <c r="F344" s="509">
        <f ca="1">LOOKUP(C344,'Growth Pattern'!B$15:B$376,'Growth Pattern'!D$15:D$368)-(LOOKUP(C344,'Growth Pattern'!B$15:B$376,'Growth Pattern'!H$15:H$368)*LOOKUP(C344,'Growth Pattern'!B$15:B$376,'Growth Pattern'!I$15:I$368)/100)</f>
        <v>26.58</v>
      </c>
      <c r="G344" s="509">
        <f ca="1">LOOKUP(C344,'Growth Pattern'!B$15:B$376,'Growth Pattern'!E$15:E$368)-(LOOKUP(C344,'Growth Pattern'!B$15:B$376,'Growth Pattern'!H$15:H$368)*LOOKUP(C344,'Growth Pattern'!B$15:B$376,'Growth Pattern'!I$15:I$368)/100)</f>
        <v>21.5</v>
      </c>
      <c r="H344" s="509">
        <f ca="1">LOOKUP(C344,'Growth Pattern'!B$15:B$376,'Growth Pattern'!F$15:F$368)-(LOOKUP(C344,'Growth Pattern'!B$15:B$376,'Growth Pattern'!I$15:I$368)*LOOKUP(C344,'Growth Pattern'!B$15:B$376,'Growth Pattern'!H$15:H$368)/100)</f>
        <v>26.88</v>
      </c>
      <c r="I344" s="509">
        <f ca="1">LOOKUP(C344,'Growth Pattern'!B$15:B$376,'Growth Pattern'!G$15:G$368)-(LOOKUP(C344,'Growth Pattern'!B$15:B$376,'Growth Pattern'!H$15:H$368)*LOOKUP(C344,'Growth Pattern'!B$15:B$376,'Growth Pattern'!I$15:I$368)/100)</f>
        <v>42.720000000000013</v>
      </c>
      <c r="J344" s="510">
        <f t="shared" ca="1" si="16"/>
        <v>1280.3359500000754</v>
      </c>
      <c r="K344" s="511">
        <f ca="1">LOOKUP(C344,'Growth Pattern'!B$15:B$376,'Growth Pattern'!H$15:H$368)</f>
        <v>167.8</v>
      </c>
      <c r="L344" s="512">
        <f t="shared" ca="1" si="17"/>
        <v>-0.86894064796041226</v>
      </c>
      <c r="M344" s="513">
        <f>LN('Growth Pattern'!F357/'Growth Pattern'!D357)/2</f>
        <v>0.21266283195571795</v>
      </c>
      <c r="N344" s="523"/>
      <c r="O344" s="528"/>
    </row>
    <row r="345" spans="1:15" x14ac:dyDescent="0.25">
      <c r="A345" s="506">
        <v>2.7322296728921964</v>
      </c>
      <c r="B345" s="506">
        <v>0.34</v>
      </c>
      <c r="C345" s="506" t="s">
        <v>1396</v>
      </c>
      <c r="D345" s="507">
        <v>0.36026496115499634</v>
      </c>
      <c r="E345" s="508">
        <f t="shared" si="15"/>
        <v>7.9343051620484689E-2</v>
      </c>
      <c r="F345" s="509">
        <f ca="1">LOOKUP(C345,'Growth Pattern'!B$15:B$376,'Growth Pattern'!D$15:D$368)-(LOOKUP(C345,'Growth Pattern'!B$15:B$376,'Growth Pattern'!H$15:H$368)*LOOKUP(C345,'Growth Pattern'!B$15:B$376,'Growth Pattern'!I$15:I$368)/100)</f>
        <v>-0.43197500000000011</v>
      </c>
      <c r="G345" s="509">
        <f ca="1">LOOKUP(C345,'Growth Pattern'!B$15:B$376,'Growth Pattern'!E$15:E$368)-(LOOKUP(C345,'Growth Pattern'!B$15:B$376,'Growth Pattern'!H$15:H$368)*LOOKUP(C345,'Growth Pattern'!B$15:B$376,'Growth Pattern'!I$15:I$368)/100)</f>
        <v>-0.15197500000000008</v>
      </c>
      <c r="H345" s="509">
        <f ca="1">LOOKUP(C345,'Growth Pattern'!B$15:B$376,'Growth Pattern'!F$15:F$368)-(LOOKUP(C345,'Growth Pattern'!B$15:B$376,'Growth Pattern'!I$15:I$368)*LOOKUP(C345,'Growth Pattern'!B$15:B$376,'Growth Pattern'!H$15:H$368)/100)</f>
        <v>-11.001975</v>
      </c>
      <c r="I345" s="509">
        <f ca="1">LOOKUP(C345,'Growth Pattern'!B$15:B$376,'Growth Pattern'!G$15:G$368)-(LOOKUP(C345,'Growth Pattern'!B$15:B$376,'Growth Pattern'!H$15:H$368)*LOOKUP(C345,'Growth Pattern'!B$15:B$376,'Growth Pattern'!I$15:I$368)/100)</f>
        <v>-11.001975</v>
      </c>
      <c r="J345" s="510">
        <f t="shared" ca="1" si="16"/>
        <v>13308.654832522659</v>
      </c>
      <c r="K345" s="511">
        <f ca="1">LOOKUP(C345,'Growth Pattern'!B$15:B$376,'Growth Pattern'!H$15:H$368)</f>
        <v>27.75</v>
      </c>
      <c r="L345" s="512">
        <f t="shared" ca="1" si="17"/>
        <v>-0.99791489069712835</v>
      </c>
      <c r="M345" s="513">
        <f>LN('Growth Pattern'!F358/'Growth Pattern'!D358)/2</f>
        <v>0.66176975358217216</v>
      </c>
      <c r="N345" s="523"/>
      <c r="O345" s="528"/>
    </row>
    <row r="346" spans="1:15" x14ac:dyDescent="0.25">
      <c r="A346" s="506">
        <v>2.9157467554718388</v>
      </c>
      <c r="B346" s="506">
        <v>0.09</v>
      </c>
      <c r="C346" s="506" t="s">
        <v>950</v>
      </c>
      <c r="D346" s="507">
        <v>0.93292690178870963</v>
      </c>
      <c r="E346" s="508">
        <f t="shared" si="15"/>
        <v>0.12916464045561776</v>
      </c>
      <c r="F346" s="509">
        <f ca="1">LOOKUP(C346,'Growth Pattern'!B$15:B$376,'Growth Pattern'!D$15:D$368)-(LOOKUP(C346,'Growth Pattern'!B$15:B$376,'Growth Pattern'!H$15:H$368)*LOOKUP(C346,'Growth Pattern'!B$15:B$376,'Growth Pattern'!I$15:I$368)/100)</f>
        <v>11.7</v>
      </c>
      <c r="G346" s="509">
        <f ca="1">LOOKUP(C346,'Growth Pattern'!B$15:B$376,'Growth Pattern'!E$15:E$368)-(LOOKUP(C346,'Growth Pattern'!B$15:B$376,'Growth Pattern'!H$15:H$368)*LOOKUP(C346,'Growth Pattern'!B$15:B$376,'Growth Pattern'!I$15:I$368)/100)</f>
        <v>14.4</v>
      </c>
      <c r="H346" s="509">
        <f ca="1">LOOKUP(C346,'Growth Pattern'!B$15:B$376,'Growth Pattern'!F$15:F$368)-(LOOKUP(C346,'Growth Pattern'!B$15:B$376,'Growth Pattern'!I$15:I$368)*LOOKUP(C346,'Growth Pattern'!B$15:B$376,'Growth Pattern'!H$15:H$368)/100)</f>
        <v>16.2</v>
      </c>
      <c r="I346" s="509">
        <f ca="1">LOOKUP(C346,'Growth Pattern'!B$15:B$376,'Growth Pattern'!G$15:G$368)-(LOOKUP(C346,'Growth Pattern'!B$15:B$376,'Growth Pattern'!H$15:H$368)*LOOKUP(C346,'Growth Pattern'!B$15:B$376,'Growth Pattern'!I$15:I$368)/100)</f>
        <v>16.2</v>
      </c>
      <c r="J346" s="510">
        <f t="shared" ca="1" si="16"/>
        <v>266.02931892457036</v>
      </c>
      <c r="K346" s="511">
        <f ca="1">LOOKUP(C346,'Growth Pattern'!B$15:B$376,'Growth Pattern'!H$15:H$368)</f>
        <v>69.8</v>
      </c>
      <c r="L346" s="512">
        <f t="shared" ca="1" si="17"/>
        <v>-0.73762290456492496</v>
      </c>
      <c r="M346" s="513">
        <f>LN('Growth Pattern'!F359/'Growth Pattern'!D359)/2</f>
        <v>5.6117311849247882E-3</v>
      </c>
      <c r="N346" s="523"/>
      <c r="O346" s="528"/>
    </row>
    <row r="347" spans="1:15" x14ac:dyDescent="0.25">
      <c r="A347" s="506">
        <v>3.8628337305433691</v>
      </c>
      <c r="B347" s="506">
        <v>0.2096565870288816</v>
      </c>
      <c r="C347" s="506" t="s">
        <v>951</v>
      </c>
      <c r="D347" s="507">
        <v>0.40456775249684668</v>
      </c>
      <c r="E347" s="508">
        <f t="shared" si="15"/>
        <v>8.3197394467225655E-2</v>
      </c>
      <c r="F347" s="509">
        <f ca="1">LOOKUP(C347,'Growth Pattern'!B$15:B$376,'Growth Pattern'!D$15:D$368)-(LOOKUP(C347,'Growth Pattern'!B$15:B$376,'Growth Pattern'!H$15:H$368)*LOOKUP(C347,'Growth Pattern'!B$15:B$376,'Growth Pattern'!I$15:I$368)/100)</f>
        <v>0</v>
      </c>
      <c r="G347" s="509">
        <f ca="1">LOOKUP(C347,'Growth Pattern'!B$15:B$376,'Growth Pattern'!E$15:E$368)-(LOOKUP(C347,'Growth Pattern'!B$15:B$376,'Growth Pattern'!H$15:H$368)*LOOKUP(C347,'Growth Pattern'!B$15:B$376,'Growth Pattern'!I$15:I$368)/100)</f>
        <v>1.5</v>
      </c>
      <c r="H347" s="509">
        <f ca="1">LOOKUP(C347,'Growth Pattern'!B$15:B$376,'Growth Pattern'!F$15:F$368)-(LOOKUP(C347,'Growth Pattern'!B$15:B$376,'Growth Pattern'!I$15:I$368)*LOOKUP(C347,'Growth Pattern'!B$15:B$376,'Growth Pattern'!H$15:H$368)/100)</f>
        <v>0</v>
      </c>
      <c r="I347" s="509">
        <f ca="1">LOOKUP(C347,'Growth Pattern'!B$15:B$376,'Growth Pattern'!G$15:G$368)-(LOOKUP(C347,'Growth Pattern'!B$15:B$376,'Growth Pattern'!H$15:H$368)*LOOKUP(C347,'Growth Pattern'!B$15:B$376,'Growth Pattern'!I$15:I$368)/100)</f>
        <v>0</v>
      </c>
      <c r="J347" s="510">
        <f t="shared" ca="1" si="16"/>
        <v>1.3847891507694958</v>
      </c>
      <c r="K347" s="511">
        <f ca="1">LOOKUP(C347,'Growth Pattern'!B$15:B$376,'Growth Pattern'!H$15:H$368)</f>
        <v>21.55</v>
      </c>
      <c r="L347" s="512">
        <f t="shared" ca="1" si="17"/>
        <v>14.561935900512475</v>
      </c>
      <c r="M347" s="513" t="e">
        <f>LN('Growth Pattern'!F360/'Growth Pattern'!D360)/2</f>
        <v>#NUM!</v>
      </c>
      <c r="N347" s="523"/>
      <c r="O347" s="528"/>
    </row>
    <row r="348" spans="1:15" x14ac:dyDescent="0.25">
      <c r="A348" s="506">
        <v>2.7205341935091805</v>
      </c>
      <c r="B348" s="506">
        <v>0.19</v>
      </c>
      <c r="C348" s="506" t="s">
        <v>2928</v>
      </c>
      <c r="D348" s="507">
        <v>0.53359373101565255</v>
      </c>
      <c r="E348" s="508">
        <f t="shared" si="15"/>
        <v>9.4422654598361772E-2</v>
      </c>
      <c r="F348" s="509">
        <f ca="1">LOOKUP(C348,'Growth Pattern'!B$15:B$376,'Growth Pattern'!D$15:D$368)-(LOOKUP(C348,'Growth Pattern'!B$15:B$376,'Growth Pattern'!H$15:H$368)*LOOKUP(C348,'Growth Pattern'!B$15:B$376,'Growth Pattern'!I$15:I$368)/100)</f>
        <v>3.3123999999999993</v>
      </c>
      <c r="G348" s="509">
        <f ca="1">LOOKUP(C348,'Growth Pattern'!B$15:B$376,'Growth Pattern'!E$15:E$368)-(LOOKUP(C348,'Growth Pattern'!B$15:B$376,'Growth Pattern'!H$15:H$368)*LOOKUP(C348,'Growth Pattern'!B$15:B$376,'Growth Pattern'!I$15:I$368)/100)</f>
        <v>3.2523999999999997</v>
      </c>
      <c r="H348" s="509">
        <f ca="1">LOOKUP(C348,'Growth Pattern'!B$15:B$376,'Growth Pattern'!F$15:F$368)-(LOOKUP(C348,'Growth Pattern'!B$15:B$376,'Growth Pattern'!I$15:I$368)*LOOKUP(C348,'Growth Pattern'!B$15:B$376,'Growth Pattern'!H$15:H$368)/100)</f>
        <v>10.352399999999999</v>
      </c>
      <c r="I348" s="509">
        <f ca="1">LOOKUP(C348,'Growth Pattern'!B$15:B$376,'Growth Pattern'!G$15:G$368)-(LOOKUP(C348,'Growth Pattern'!B$15:B$376,'Growth Pattern'!H$15:H$368)*LOOKUP(C348,'Growth Pattern'!B$15:B$376,'Growth Pattern'!I$15:I$368)/100)</f>
        <v>24.612400000000012</v>
      </c>
      <c r="J348" s="510">
        <f t="shared" ca="1" si="16"/>
        <v>1316.7551134101957</v>
      </c>
      <c r="K348" s="511">
        <f ca="1">LOOKUP(C348,'Growth Pattern'!B$15:B$376,'Growth Pattern'!H$15:H$368)</f>
        <v>58</v>
      </c>
      <c r="L348" s="512">
        <f t="shared" ca="1" si="17"/>
        <v>-0.95595232597974211</v>
      </c>
      <c r="M348" s="513">
        <f>LN('Growth Pattern'!F361/'Growth Pattern'!D361)/2</f>
        <v>0.16271120021731397</v>
      </c>
      <c r="N348" s="523"/>
      <c r="O348" s="528"/>
    </row>
    <row r="349" spans="1:15" x14ac:dyDescent="0.25">
      <c r="A349" s="507">
        <v>2.7241548274322747</v>
      </c>
      <c r="B349" s="507">
        <v>0.28000000000000003</v>
      </c>
      <c r="C349" s="507" t="s">
        <v>5329</v>
      </c>
      <c r="D349" s="507">
        <v>0.34814474588268218</v>
      </c>
      <c r="E349" s="508">
        <f t="shared" si="15"/>
        <v>7.8288592891793352E-2</v>
      </c>
      <c r="F349" s="509">
        <f ca="1">LOOKUP(C349,'Growth Pattern'!B$15:B$376,'Growth Pattern'!D$15:D$368)-(LOOKUP(C349,'Growth Pattern'!B$15:B$376,'Growth Pattern'!H$15:H$368)*LOOKUP(C349,'Growth Pattern'!B$15:B$376,'Growth Pattern'!I$15:I$368)/100)</f>
        <v>9.3000000000000007</v>
      </c>
      <c r="G349" s="509">
        <f ca="1">LOOKUP(C349,'Growth Pattern'!B$15:B$376,'Growth Pattern'!E$15:E$368)-(LOOKUP(C349,'Growth Pattern'!B$15:B$376,'Growth Pattern'!H$15:H$368)*LOOKUP(C349,'Growth Pattern'!B$15:B$376,'Growth Pattern'!I$15:I$368)/100)</f>
        <v>11.3</v>
      </c>
      <c r="H349" s="509">
        <f ca="1">LOOKUP(C349,'Growth Pattern'!B$15:B$376,'Growth Pattern'!F$15:F$368)-(LOOKUP(C349,'Growth Pattern'!B$15:B$376,'Growth Pattern'!I$15:I$368)*LOOKUP(C349,'Growth Pattern'!B$15:B$376,'Growth Pattern'!H$15:H$368)/100)</f>
        <v>13.31</v>
      </c>
      <c r="I349" s="509">
        <f ca="1">LOOKUP(C349,'Growth Pattern'!B$15:B$376,'Growth Pattern'!G$15:G$368)-(LOOKUP(C349,'Growth Pattern'!B$15:B$376,'Growth Pattern'!H$15:H$368)*LOOKUP(C349,'Growth Pattern'!B$15:B$376,'Growth Pattern'!I$15:I$368)/100)</f>
        <v>15.329999999999998</v>
      </c>
      <c r="J349" s="510">
        <f t="shared" ca="1" si="16"/>
        <v>-7113.4695929149493</v>
      </c>
      <c r="K349" s="511">
        <f ca="1">LOOKUP(C349,'Growth Pattern'!B$15:B$376,'Growth Pattern'!H$15:H$368)</f>
        <v>161.69999999999999</v>
      </c>
      <c r="L349" s="512">
        <f t="shared" ca="1" si="17"/>
        <v>-1.0227315233287921</v>
      </c>
      <c r="M349" s="513" t="e">
        <f>LN('Growth Pattern'!F362/'Growth Pattern'!D362)/2</f>
        <v>#DIV/0!</v>
      </c>
      <c r="N349" s="523"/>
      <c r="O349" s="528"/>
    </row>
    <row r="350" spans="1:15" x14ac:dyDescent="0.25">
      <c r="A350" s="507">
        <v>0</v>
      </c>
      <c r="B350" s="507">
        <v>0.24</v>
      </c>
      <c r="C350" s="507" t="s">
        <v>781</v>
      </c>
      <c r="D350" s="507">
        <v>1</v>
      </c>
      <c r="E350" s="508">
        <f t="shared" si="15"/>
        <v>0.13500000000000001</v>
      </c>
      <c r="F350" s="509">
        <f ca="1">LOOKUP(C350,'Growth Pattern'!B$15:B$376,'Growth Pattern'!D$15:D$368)-(LOOKUP(C350,'Growth Pattern'!B$15:B$376,'Growth Pattern'!H$15:H$368)*LOOKUP(C350,'Growth Pattern'!B$15:B$376,'Growth Pattern'!I$15:I$368)/100)</f>
        <v>-13.31</v>
      </c>
      <c r="G350" s="509">
        <f ca="1">LOOKUP(C350,'Growth Pattern'!B$15:B$376,'Growth Pattern'!E$15:E$368)-(LOOKUP(C350,'Growth Pattern'!B$15:B$376,'Growth Pattern'!H$15:H$368)*LOOKUP(C350,'Growth Pattern'!B$15:B$376,'Growth Pattern'!I$15:I$368)/100)</f>
        <v>-26.55</v>
      </c>
      <c r="H350" s="509">
        <f ca="1">LOOKUP(C350,'Growth Pattern'!B$15:B$376,'Growth Pattern'!F$15:F$368)-(LOOKUP(C350,'Growth Pattern'!B$15:B$376,'Growth Pattern'!I$15:I$368)*LOOKUP(C350,'Growth Pattern'!B$15:B$376,'Growth Pattern'!H$15:H$368)/100)</f>
        <v>-21.6</v>
      </c>
      <c r="I350" s="509">
        <f ca="1">LOOKUP(C350,'Growth Pattern'!B$15:B$376,'Growth Pattern'!G$15:G$368)-(LOOKUP(C350,'Growth Pattern'!B$15:B$376,'Growth Pattern'!H$15:H$368)*LOOKUP(C350,'Growth Pattern'!B$15:B$376,'Growth Pattern'!I$15:I$368)/100)</f>
        <v>1.5400000000000098</v>
      </c>
      <c r="J350" s="510">
        <f t="shared" ca="1" si="16"/>
        <v>-34.319254187561</v>
      </c>
      <c r="K350" s="511">
        <f ca="1">LOOKUP(C350,'Growth Pattern'!B$15:B$376,'Growth Pattern'!H$15:H$368)</f>
        <v>0</v>
      </c>
      <c r="L350" s="512">
        <f t="shared" ca="1" si="17"/>
        <v>-1</v>
      </c>
      <c r="M350" s="513">
        <f>LN('Growth Pattern'!F363/'Growth Pattern'!D363)/2</f>
        <v>0.48413991990587768</v>
      </c>
      <c r="N350" s="523"/>
      <c r="O350" s="528"/>
    </row>
    <row r="351" spans="1:15" x14ac:dyDescent="0.25">
      <c r="A351" s="507">
        <v>2.6860911112837047</v>
      </c>
      <c r="B351" s="507">
        <v>0.3</v>
      </c>
      <c r="C351" s="507" t="s">
        <v>553</v>
      </c>
      <c r="D351" s="507">
        <v>0.51007709901312392</v>
      </c>
      <c r="E351" s="508">
        <f t="shared" si="15"/>
        <v>9.2376707614141795E-2</v>
      </c>
      <c r="F351" s="509">
        <f ca="1">LOOKUP(C351,'Growth Pattern'!B$15:B$376,'Growth Pattern'!D$15:D$368)-(LOOKUP(C351,'Growth Pattern'!B$15:B$376,'Growth Pattern'!H$15:H$368)*LOOKUP(C351,'Growth Pattern'!B$15:B$376,'Growth Pattern'!I$15:I$368)/100)</f>
        <v>0</v>
      </c>
      <c r="G351" s="509">
        <f ca="1">LOOKUP(C351,'Growth Pattern'!B$15:B$376,'Growth Pattern'!E$15:E$368)-(LOOKUP(C351,'Growth Pattern'!B$15:B$376,'Growth Pattern'!H$15:H$368)*LOOKUP(C351,'Growth Pattern'!B$15:B$376,'Growth Pattern'!I$15:I$368)/100)</f>
        <v>0</v>
      </c>
      <c r="H351" s="509">
        <f ca="1">LOOKUP(C351,'Growth Pattern'!B$15:B$376,'Growth Pattern'!F$15:F$368)-(LOOKUP(C351,'Growth Pattern'!B$15:B$376,'Growth Pattern'!I$15:I$368)*LOOKUP(C351,'Growth Pattern'!B$15:B$376,'Growth Pattern'!H$15:H$368)/100)</f>
        <v>0</v>
      </c>
      <c r="I351" s="509">
        <f ca="1">LOOKUP(C351,'Growth Pattern'!B$15:B$376,'Growth Pattern'!G$15:G$368)-(LOOKUP(C351,'Growth Pattern'!B$15:B$376,'Growth Pattern'!H$15:H$368)*LOOKUP(C351,'Growth Pattern'!B$15:B$376,'Growth Pattern'!I$15:I$368)/100)</f>
        <v>0</v>
      </c>
      <c r="J351" s="510">
        <f t="shared" ca="1" si="16"/>
        <v>0</v>
      </c>
      <c r="K351" s="511">
        <f ca="1">LOOKUP(C351,'Growth Pattern'!B$15:B$376,'Growth Pattern'!H$15:H$368)</f>
        <v>874.5</v>
      </c>
      <c r="L351" s="512" t="e">
        <f t="shared" ca="1" si="17"/>
        <v>#DIV/0!</v>
      </c>
      <c r="M351" s="513">
        <f>LN('Growth Pattern'!F364/'Growth Pattern'!D364)/2</f>
        <v>0.179250616123905</v>
      </c>
      <c r="N351" s="523"/>
      <c r="O351" s="528"/>
    </row>
    <row r="352" spans="1:15" x14ac:dyDescent="0.25">
      <c r="A352" s="507">
        <v>3.0002831453668768</v>
      </c>
      <c r="B352" s="507">
        <v>0.04</v>
      </c>
      <c r="C352" s="507" t="s">
        <v>952</v>
      </c>
      <c r="D352" s="507">
        <v>0.69648340078006588</v>
      </c>
      <c r="E352" s="508">
        <f t="shared" si="15"/>
        <v>0.10859405586786575</v>
      </c>
      <c r="F352" s="509">
        <f ca="1">LOOKUP(C352,'Growth Pattern'!B$15:B$376,'Growth Pattern'!D$15:D$368)-(LOOKUP(C352,'Growth Pattern'!B$15:B$376,'Growth Pattern'!H$15:H$368)*LOOKUP(C352,'Growth Pattern'!B$15:B$376,'Growth Pattern'!I$15:I$368)/100)</f>
        <v>18.62</v>
      </c>
      <c r="G352" s="509">
        <f ca="1">LOOKUP(C352,'Growth Pattern'!B$15:B$376,'Growth Pattern'!E$15:E$368)-(LOOKUP(C352,'Growth Pattern'!B$15:B$376,'Growth Pattern'!H$15:H$368)*LOOKUP(C352,'Growth Pattern'!B$15:B$376,'Growth Pattern'!I$15:I$368)/100)</f>
        <v>26.1</v>
      </c>
      <c r="H352" s="509">
        <f ca="1">LOOKUP(C352,'Growth Pattern'!B$15:B$376,'Growth Pattern'!F$15:F$368)-(LOOKUP(C352,'Growth Pattern'!B$15:B$376,'Growth Pattern'!I$15:I$368)*LOOKUP(C352,'Growth Pattern'!B$15:B$376,'Growth Pattern'!H$15:H$368)/100)</f>
        <v>33.5</v>
      </c>
      <c r="I352" s="509">
        <f ca="1">LOOKUP(C352,'Growth Pattern'!B$15:B$376,'Growth Pattern'!G$15:G$368)-(LOOKUP(C352,'Growth Pattern'!B$15:B$376,'Growth Pattern'!H$15:H$368)*LOOKUP(C352,'Growth Pattern'!B$15:B$376,'Growth Pattern'!I$15:I$368)/100)</f>
        <v>40.819999999999993</v>
      </c>
      <c r="J352" s="510">
        <f t="shared" ca="1" si="16"/>
        <v>1117.2246078892274</v>
      </c>
      <c r="K352" s="511">
        <f ca="1">LOOKUP(C352,'Growth Pattern'!B$15:B$376,'Growth Pattern'!H$15:H$368)</f>
        <v>320.8</v>
      </c>
      <c r="L352" s="512">
        <f t="shared" ca="1" si="17"/>
        <v>-0.71285988713935733</v>
      </c>
      <c r="M352" s="513">
        <f>LN('Growth Pattern'!F365/'Growth Pattern'!D365)/2</f>
        <v>0.24208884114154958</v>
      </c>
      <c r="N352" s="523"/>
      <c r="O352" s="528"/>
    </row>
    <row r="353" spans="1:15" x14ac:dyDescent="0.25">
      <c r="A353" s="507">
        <v>4.362889125084326</v>
      </c>
      <c r="B353" s="507">
        <v>0.05</v>
      </c>
      <c r="C353" s="507" t="s">
        <v>845</v>
      </c>
      <c r="D353" s="507">
        <v>0.99696261405737563</v>
      </c>
      <c r="E353" s="508">
        <f t="shared" si="15"/>
        <v>0.13473574742299169</v>
      </c>
      <c r="F353" s="509">
        <f ca="1">LOOKUP(C353,'Growth Pattern'!B$15:B$376,'Growth Pattern'!D$15:D$368)-(LOOKUP(C353,'Growth Pattern'!B$15:B$376,'Growth Pattern'!H$15:H$368)*LOOKUP(C353,'Growth Pattern'!B$15:B$376,'Growth Pattern'!I$15:I$368)/100)</f>
        <v>0</v>
      </c>
      <c r="G353" s="509">
        <f ca="1">LOOKUP(C353,'Growth Pattern'!B$15:B$376,'Growth Pattern'!E$15:E$368)-(LOOKUP(C353,'Growth Pattern'!B$15:B$376,'Growth Pattern'!H$15:H$368)*LOOKUP(C353,'Growth Pattern'!B$15:B$376,'Growth Pattern'!I$15:I$368)/100)</f>
        <v>0</v>
      </c>
      <c r="H353" s="509">
        <f ca="1">LOOKUP(C353,'Growth Pattern'!B$15:B$376,'Growth Pattern'!F$15:F$368)-(LOOKUP(C353,'Growth Pattern'!B$15:B$376,'Growth Pattern'!I$15:I$368)*LOOKUP(C353,'Growth Pattern'!B$15:B$376,'Growth Pattern'!H$15:H$368)/100)</f>
        <v>0</v>
      </c>
      <c r="I353" s="509">
        <f ca="1">LOOKUP(C353,'Growth Pattern'!B$15:B$376,'Growth Pattern'!G$15:G$368)-(LOOKUP(C353,'Growth Pattern'!B$15:B$376,'Growth Pattern'!H$15:H$368)*LOOKUP(C353,'Growth Pattern'!B$15:B$376,'Growth Pattern'!I$15:I$368)/100)</f>
        <v>0</v>
      </c>
      <c r="J353" s="510">
        <f t="shared" ca="1" si="16"/>
        <v>0</v>
      </c>
      <c r="K353" s="511">
        <f ca="1">LOOKUP(C353,'Growth Pattern'!B$15:B$376,'Growth Pattern'!H$15:H$368)</f>
        <v>63.2</v>
      </c>
      <c r="L353" s="512" t="e">
        <f t="shared" ca="1" si="17"/>
        <v>#DIV/0!</v>
      </c>
      <c r="M353" s="513" t="e">
        <f>LN('Growth Pattern'!F366/'Growth Pattern'!D366)/2</f>
        <v>#DIV/0!</v>
      </c>
      <c r="N353" s="523"/>
      <c r="O353" s="528"/>
    </row>
    <row r="354" spans="1:15" x14ac:dyDescent="0.25">
      <c r="A354" s="507">
        <v>2.7057921983857733</v>
      </c>
      <c r="B354" s="507">
        <v>0.26</v>
      </c>
      <c r="C354" s="507" t="s">
        <v>2952</v>
      </c>
      <c r="D354" s="507">
        <v>-5.3083010166658513E-2</v>
      </c>
      <c r="E354" s="508">
        <f t="shared" si="15"/>
        <v>4.3381778115500709E-2</v>
      </c>
      <c r="F354" s="509">
        <f ca="1">LOOKUP(C354,'Growth Pattern'!B$15:B$376,'Growth Pattern'!D$15:D$368)-(LOOKUP(C354,'Growth Pattern'!B$15:B$376,'Growth Pattern'!H$15:H$368)*LOOKUP(C354,'Growth Pattern'!B$15:B$376,'Growth Pattern'!I$15:I$368)/100)</f>
        <v>23.188420000000001</v>
      </c>
      <c r="G354" s="509">
        <f ca="1">LOOKUP(C354,'Growth Pattern'!B$15:B$376,'Growth Pattern'!E$15:E$368)-(LOOKUP(C354,'Growth Pattern'!B$15:B$376,'Growth Pattern'!H$15:H$368)*LOOKUP(C354,'Growth Pattern'!B$15:B$376,'Growth Pattern'!I$15:I$368)/100)</f>
        <v>28.308420000000002</v>
      </c>
      <c r="H354" s="509">
        <f ca="1">LOOKUP(C354,'Growth Pattern'!B$15:B$376,'Growth Pattern'!F$15:F$368)-(LOOKUP(C354,'Growth Pattern'!B$15:B$376,'Growth Pattern'!I$15:I$368)*LOOKUP(C354,'Growth Pattern'!B$15:B$376,'Growth Pattern'!H$15:H$368)/100)</f>
        <v>30.90842</v>
      </c>
      <c r="I354" s="509">
        <f ca="1">LOOKUP(C354,'Growth Pattern'!B$15:B$376,'Growth Pattern'!G$15:G$368)-(LOOKUP(C354,'Growth Pattern'!B$15:B$376,'Growth Pattern'!H$15:H$368)*LOOKUP(C354,'Growth Pattern'!B$15:B$376,'Growth Pattern'!I$15:I$368)/100)</f>
        <v>30.90842</v>
      </c>
      <c r="J354" s="510">
        <f t="shared" ca="1" si="16"/>
        <v>-664.39290035300814</v>
      </c>
      <c r="K354" s="511">
        <f ca="1">LOOKUP(C354,'Growth Pattern'!B$15:B$376,'Growth Pattern'!H$15:H$368)</f>
        <v>174.7</v>
      </c>
      <c r="L354" s="512">
        <f t="shared" ca="1" si="17"/>
        <v>-1.2629468194304569</v>
      </c>
      <c r="M354" s="513">
        <f>LN('Growth Pattern'!F367/'Growth Pattern'!D367)/2</f>
        <v>0.29365458349104989</v>
      </c>
      <c r="N354" s="523"/>
      <c r="O354" s="528"/>
    </row>
    <row r="355" spans="1:15" x14ac:dyDescent="0.25">
      <c r="A355" s="507">
        <v>3.019136288590186</v>
      </c>
      <c r="B355" s="507">
        <v>0.02</v>
      </c>
      <c r="C355" s="507" t="s">
        <v>2103</v>
      </c>
      <c r="D355" s="507">
        <v>0.52709712767371997</v>
      </c>
      <c r="E355" s="508">
        <f t="shared" si="15"/>
        <v>9.3857450107613649E-2</v>
      </c>
      <c r="F355" s="509">
        <f ca="1">LOOKUP(C355,'Growth Pattern'!B$15:B$376,'Growth Pattern'!D$15:D$368)-(LOOKUP(C355,'Growth Pattern'!B$15:B$376,'Growth Pattern'!H$15:H$368)*LOOKUP(C355,'Growth Pattern'!B$15:B$376,'Growth Pattern'!I$15:I$368)/100)</f>
        <v>20.999155000000002</v>
      </c>
      <c r="G355" s="509">
        <f ca="1">LOOKUP(C355,'Growth Pattern'!B$15:B$376,'Growth Pattern'!E$15:E$368)-(LOOKUP(C355,'Growth Pattern'!B$15:B$376,'Growth Pattern'!H$15:H$368)*LOOKUP(C355,'Growth Pattern'!B$15:B$376,'Growth Pattern'!I$15:I$368)/100)</f>
        <v>16.929155000000002</v>
      </c>
      <c r="H355" s="509">
        <f ca="1">LOOKUP(C355,'Growth Pattern'!B$15:B$376,'Growth Pattern'!F$15:F$368)-(LOOKUP(C355,'Growth Pattern'!B$15:B$376,'Growth Pattern'!I$15:I$368)*LOOKUP(C355,'Growth Pattern'!B$15:B$376,'Growth Pattern'!H$15:H$368)/100)</f>
        <v>20.279155000000003</v>
      </c>
      <c r="I355" s="509">
        <f ca="1">LOOKUP(C355,'Growth Pattern'!B$15:B$376,'Growth Pattern'!G$15:G$368)-(LOOKUP(C355,'Growth Pattern'!B$15:B$376,'Growth Pattern'!H$15:H$368)*LOOKUP(C355,'Growth Pattern'!B$15:B$376,'Growth Pattern'!I$15:I$368)/100)</f>
        <v>31.049155000000013</v>
      </c>
      <c r="J355" s="510">
        <f t="shared" ca="1" si="16"/>
        <v>1765.3472953492433</v>
      </c>
      <c r="K355" s="511">
        <f ca="1">LOOKUP(C355,'Growth Pattern'!B$15:B$376,'Growth Pattern'!H$15:H$368)</f>
        <v>48.35</v>
      </c>
      <c r="L355" s="512">
        <f t="shared" ca="1" si="17"/>
        <v>-0.97261162144843871</v>
      </c>
      <c r="M355" s="513" t="e">
        <f>LN('Growth Pattern'!F368/'Growth Pattern'!D368)/2</f>
        <v>#DIV/0!</v>
      </c>
      <c r="N355" s="523"/>
      <c r="O355" s="528"/>
    </row>
    <row r="356" spans="1:15" x14ac:dyDescent="0.25">
      <c r="A356" s="507">
        <v>1.5430868875573336</v>
      </c>
      <c r="B356" s="507">
        <v>0.34</v>
      </c>
      <c r="C356" s="507" t="s">
        <v>3422</v>
      </c>
      <c r="D356" s="507">
        <v>0.51153646671495479</v>
      </c>
      <c r="E356" s="508">
        <f t="shared" si="15"/>
        <v>9.2503672604201073E-2</v>
      </c>
      <c r="F356" s="509">
        <f ca="1">LOOKUP(C356,'Growth Pattern'!B$15:B$376,'Growth Pattern'!D$15:D$368)-(LOOKUP(C356,'Growth Pattern'!B$15:B$376,'Growth Pattern'!H$15:H$368)*LOOKUP(C356,'Growth Pattern'!B$15:B$376,'Growth Pattern'!I$15:I$368)/100)</f>
        <v>18.75</v>
      </c>
      <c r="G356" s="509">
        <f ca="1">LOOKUP(C356,'Growth Pattern'!B$15:B$376,'Growth Pattern'!E$15:E$368)-(LOOKUP(C356,'Growth Pattern'!B$15:B$376,'Growth Pattern'!H$15:H$368)*LOOKUP(C356,'Growth Pattern'!B$15:B$376,'Growth Pattern'!I$15:I$368)/100)</f>
        <v>21.71</v>
      </c>
      <c r="H356" s="509">
        <f ca="1">LOOKUP(C356,'Growth Pattern'!B$15:B$376,'Growth Pattern'!F$15:F$368)-(LOOKUP(C356,'Growth Pattern'!B$15:B$376,'Growth Pattern'!I$15:I$368)*LOOKUP(C356,'Growth Pattern'!B$15:B$376,'Growth Pattern'!H$15:H$368)/100)</f>
        <v>24.21</v>
      </c>
      <c r="I356" s="509">
        <f ca="1">LOOKUP(C356,'Growth Pattern'!B$15:B$376,'Growth Pattern'!G$15:G$368)-(LOOKUP(C356,'Growth Pattern'!B$15:B$376,'Growth Pattern'!H$15:H$368)*LOOKUP(C356,'Growth Pattern'!B$15:B$376,'Growth Pattern'!I$15:I$368)/100)</f>
        <v>24.21</v>
      </c>
      <c r="J356" s="510">
        <f t="shared" ca="1" si="16"/>
        <v>1543.775728525688</v>
      </c>
      <c r="K356" s="511">
        <f ca="1">LOOKUP(C356,'Growth Pattern'!B$15:B$376,'Growth Pattern'!H$15:H$368)</f>
        <v>447.35</v>
      </c>
      <c r="L356" s="512">
        <f t="shared" ca="1" si="17"/>
        <v>-0.71022345297058076</v>
      </c>
      <c r="M356" s="513">
        <f>LN('Growth Pattern'!F369/'Growth Pattern'!D369)/2</f>
        <v>0.13371131457756255</v>
      </c>
      <c r="N356" s="523"/>
      <c r="O356" s="528"/>
    </row>
    <row r="357" spans="1:15" x14ac:dyDescent="0.25">
      <c r="A357" s="507">
        <v>3.4023647046438112</v>
      </c>
      <c r="B357" s="507">
        <v>0.02</v>
      </c>
      <c r="C357" s="507" t="s">
        <v>1397</v>
      </c>
      <c r="D357" s="507">
        <v>0.31922676335671807</v>
      </c>
      <c r="E357" s="508">
        <f t="shared" si="15"/>
        <v>7.5772728412034474E-2</v>
      </c>
      <c r="F357" s="509">
        <f ca="1">LOOKUP(C357,'Growth Pattern'!B$15:B$376,'Growth Pattern'!D$15:D$368)-(LOOKUP(C357,'Growth Pattern'!B$15:B$376,'Growth Pattern'!H$15:H$368)*LOOKUP(C357,'Growth Pattern'!B$15:B$376,'Growth Pattern'!I$15:I$368)/100)</f>
        <v>0</v>
      </c>
      <c r="G357" s="509">
        <f ca="1">LOOKUP(C357,'Growth Pattern'!B$15:B$376,'Growth Pattern'!E$15:E$368)-(LOOKUP(C357,'Growth Pattern'!B$15:B$376,'Growth Pattern'!H$15:H$368)*LOOKUP(C357,'Growth Pattern'!B$15:B$376,'Growth Pattern'!I$15:I$368)/100)</f>
        <v>0</v>
      </c>
      <c r="H357" s="509">
        <f ca="1">LOOKUP(C357,'Growth Pattern'!B$15:B$376,'Growth Pattern'!F$15:F$368)-(LOOKUP(C357,'Growth Pattern'!B$15:B$376,'Growth Pattern'!I$15:I$368)*LOOKUP(C357,'Growth Pattern'!B$15:B$376,'Growth Pattern'!H$15:H$368)/100)</f>
        <v>0</v>
      </c>
      <c r="I357" s="509">
        <f ca="1">LOOKUP(C357,'Growth Pattern'!B$15:B$376,'Growth Pattern'!G$15:G$368)-(LOOKUP(C357,'Growth Pattern'!B$15:B$376,'Growth Pattern'!H$15:H$368)*LOOKUP(C357,'Growth Pattern'!B$15:B$376,'Growth Pattern'!I$15:I$368)/100)</f>
        <v>0</v>
      </c>
      <c r="J357" s="510">
        <f t="shared" ca="1" si="16"/>
        <v>0</v>
      </c>
      <c r="K357" s="511">
        <f ca="1">LOOKUP(C357,'Growth Pattern'!B$15:B$376,'Growth Pattern'!H$15:H$368)</f>
        <v>356.75</v>
      </c>
      <c r="L357" s="512" t="e">
        <f t="shared" ca="1" si="17"/>
        <v>#DIV/0!</v>
      </c>
      <c r="M357" s="513">
        <f>LN('Growth Pattern'!F370/'Growth Pattern'!D370)/2</f>
        <v>-1.6637394442436105E-2</v>
      </c>
      <c r="N357" s="523"/>
      <c r="O357" s="528"/>
    </row>
    <row r="358" spans="1:15" x14ac:dyDescent="0.25">
      <c r="A358" s="507">
        <v>3.3494829360279668</v>
      </c>
      <c r="B358" s="507">
        <v>6.83122950489225E-2</v>
      </c>
      <c r="C358" s="507" t="s">
        <v>953</v>
      </c>
      <c r="D358" s="507">
        <v>0.87506144926311902</v>
      </c>
      <c r="E358" s="508">
        <f t="shared" si="15"/>
        <v>0.12413034608589137</v>
      </c>
      <c r="F358" s="509">
        <f ca="1">LOOKUP(C358,'Growth Pattern'!B$15:B$376,'Growth Pattern'!D$15:D$368)-(LOOKUP(C358,'Growth Pattern'!B$15:B$376,'Growth Pattern'!H$15:H$368)*LOOKUP(C358,'Growth Pattern'!B$15:B$376,'Growth Pattern'!I$15:I$368)/100)</f>
        <v>0</v>
      </c>
      <c r="G358" s="509">
        <f ca="1">LOOKUP(C358,'Growth Pattern'!B$15:B$376,'Growth Pattern'!E$15:E$368)-(LOOKUP(C358,'Growth Pattern'!B$15:B$376,'Growth Pattern'!H$15:H$368)*LOOKUP(C358,'Growth Pattern'!B$15:B$376,'Growth Pattern'!I$15:I$368)/100)</f>
        <v>0</v>
      </c>
      <c r="H358" s="509">
        <f ca="1">LOOKUP(C358,'Growth Pattern'!B$15:B$376,'Growth Pattern'!F$15:F$368)-(LOOKUP(C358,'Growth Pattern'!B$15:B$376,'Growth Pattern'!I$15:I$368)*LOOKUP(C358,'Growth Pattern'!B$15:B$376,'Growth Pattern'!H$15:H$368)/100)</f>
        <v>0</v>
      </c>
      <c r="I358" s="509">
        <f ca="1">LOOKUP(C358,'Growth Pattern'!B$15:B$376,'Growth Pattern'!G$15:G$368)-(LOOKUP(C358,'Growth Pattern'!B$15:B$376,'Growth Pattern'!H$15:H$368)*LOOKUP(C358,'Growth Pattern'!B$15:B$376,'Growth Pattern'!I$15:I$368)/100)</f>
        <v>0</v>
      </c>
      <c r="J358" s="510">
        <f t="shared" ca="1" si="16"/>
        <v>0</v>
      </c>
      <c r="K358" s="511">
        <f ca="1">LOOKUP(C358,'Growth Pattern'!B$15:B$376,'Growth Pattern'!H$15:H$368)</f>
        <v>22.35</v>
      </c>
      <c r="L358" s="512" t="e">
        <f t="shared" ca="1" si="17"/>
        <v>#DIV/0!</v>
      </c>
      <c r="M358" s="513">
        <f>LN('Growth Pattern'!F371/'Growth Pattern'!D371)/2</f>
        <v>0.12778600926677369</v>
      </c>
      <c r="N358" s="523"/>
      <c r="O358" s="528"/>
    </row>
    <row r="359" spans="1:15" x14ac:dyDescent="0.25">
      <c r="A359" s="516">
        <v>2.5226305296016713</v>
      </c>
      <c r="B359" s="516"/>
      <c r="C359" s="516" t="s">
        <v>106</v>
      </c>
      <c r="D359" s="507">
        <v>0.47643457594219779</v>
      </c>
      <c r="E359" s="508">
        <f t="shared" si="15"/>
        <v>8.9449808106971215E-2</v>
      </c>
      <c r="F359" s="509">
        <f ca="1">LOOKUP(C359,'Growth Pattern'!B$15:B$376,'Growth Pattern'!D$15:D$368)-(LOOKUP(C359,'Growth Pattern'!B$15:B$376,'Growth Pattern'!H$15:H$368)*LOOKUP(C359,'Growth Pattern'!B$15:B$376,'Growth Pattern'!I$15:I$368)/100)</f>
        <v>14.87</v>
      </c>
      <c r="G359" s="509">
        <f ca="1">LOOKUP(C359,'Growth Pattern'!B$15:B$376,'Growth Pattern'!E$15:E$368)-(LOOKUP(C359,'Growth Pattern'!B$15:B$376,'Growth Pattern'!H$15:H$368)*LOOKUP(C359,'Growth Pattern'!B$15:B$376,'Growth Pattern'!I$15:I$368)/100)</f>
        <v>20.2</v>
      </c>
      <c r="H359" s="509">
        <f ca="1">LOOKUP(C359,'Growth Pattern'!B$15:B$376,'Growth Pattern'!F$15:F$368)-(LOOKUP(C359,'Growth Pattern'!B$15:B$376,'Growth Pattern'!I$15:I$368)*LOOKUP(C359,'Growth Pattern'!B$15:B$376,'Growth Pattern'!H$15:H$368)/100)</f>
        <v>26.66</v>
      </c>
      <c r="I359" s="509">
        <f ca="1">LOOKUP(C359,'Growth Pattern'!B$15:B$376,'Growth Pattern'!G$15:G$368)-(LOOKUP(C359,'Growth Pattern'!B$15:B$376,'Growth Pattern'!H$15:H$368)*LOOKUP(C359,'Growth Pattern'!B$15:B$376,'Growth Pattern'!I$15:I$368)/100)</f>
        <v>34.249999999999993</v>
      </c>
      <c r="J359" s="510">
        <f t="shared" ca="1" si="16"/>
        <v>2858.8269121679518</v>
      </c>
      <c r="K359" s="511">
        <f ca="1">LOOKUP(C359,'Growth Pattern'!B$15:B$376,'Growth Pattern'!H$15:H$368)</f>
        <v>280.5</v>
      </c>
      <c r="L359" s="512">
        <f t="shared" ca="1" si="17"/>
        <v>-0.90188283214834897</v>
      </c>
      <c r="M359" s="513" t="e">
        <f>LN('Growth Pattern'!F372/'Growth Pattern'!D372)/2</f>
        <v>#DIV/0!</v>
      </c>
      <c r="N359" s="523"/>
      <c r="O359" s="528"/>
    </row>
    <row r="360" spans="1:15" x14ac:dyDescent="0.25">
      <c r="A360" s="516">
        <v>1.86929554609085</v>
      </c>
      <c r="B360" s="516">
        <v>0.45</v>
      </c>
      <c r="C360" s="516" t="s">
        <v>1398</v>
      </c>
      <c r="D360" s="507">
        <v>0.67152477794359855</v>
      </c>
      <c r="E360" s="508">
        <f t="shared" si="15"/>
        <v>0.10642265568109308</v>
      </c>
      <c r="F360" s="509">
        <f ca="1">LOOKUP(C360,'Growth Pattern'!B$15:B$376,'Growth Pattern'!D$15:D$368)-(LOOKUP(C360,'Growth Pattern'!B$15:B$376,'Growth Pattern'!H$15:H$368)*LOOKUP(C360,'Growth Pattern'!B$15:B$376,'Growth Pattern'!I$15:I$368)/100)</f>
        <v>0</v>
      </c>
      <c r="G360" s="509">
        <f ca="1">LOOKUP(C360,'Growth Pattern'!B$15:B$376,'Growth Pattern'!E$15:E$368)-(LOOKUP(C360,'Growth Pattern'!B$15:B$376,'Growth Pattern'!H$15:H$368)*LOOKUP(C360,'Growth Pattern'!B$15:B$376,'Growth Pattern'!I$15:I$368)/100)</f>
        <v>5.2</v>
      </c>
      <c r="H360" s="509">
        <f ca="1">LOOKUP(C360,'Growth Pattern'!B$15:B$376,'Growth Pattern'!F$15:F$368)-(LOOKUP(C360,'Growth Pattern'!B$15:B$376,'Growth Pattern'!I$15:I$368)*LOOKUP(C360,'Growth Pattern'!B$15:B$376,'Growth Pattern'!H$15:H$368)/100)</f>
        <v>6.42</v>
      </c>
      <c r="I360" s="509">
        <f ca="1">LOOKUP(C360,'Growth Pattern'!B$15:B$376,'Growth Pattern'!G$15:G$368)-(LOOKUP(C360,'Growth Pattern'!B$15:B$376,'Growth Pattern'!H$15:H$368)*LOOKUP(C360,'Growth Pattern'!B$15:B$376,'Growth Pattern'!I$15:I$368)/100)</f>
        <v>6.42</v>
      </c>
      <c r="J360" s="510">
        <f t="shared" ca="1" si="16"/>
        <v>189.33302031766786</v>
      </c>
      <c r="K360" s="511">
        <f ca="1">LOOKUP(C360,'Growth Pattern'!B$15:B$376,'Growth Pattern'!H$15:H$368)</f>
        <v>132.75</v>
      </c>
      <c r="L360" s="512">
        <f t="shared" ca="1" si="17"/>
        <v>-0.29885447463274711</v>
      </c>
      <c r="M360" s="513" t="e">
        <f>LN('Growth Pattern'!F373/'Growth Pattern'!D373)/2</f>
        <v>#DIV/0!</v>
      </c>
      <c r="N360" s="523"/>
      <c r="O360" s="528"/>
    </row>
    <row r="361" spans="1:15" x14ac:dyDescent="0.25">
      <c r="A361" s="516">
        <v>3.8979639849030794</v>
      </c>
      <c r="B361" s="516">
        <v>0.02</v>
      </c>
      <c r="C361" s="516" t="s">
        <v>2108</v>
      </c>
      <c r="D361" s="507">
        <v>0.44132404860132751</v>
      </c>
      <c r="E361" s="508" t="e">
        <f>$O$12+#REF!*($P$13-$O$12)</f>
        <v>#REF!</v>
      </c>
      <c r="F361" s="509" t="e">
        <f>LOOKUP(#REF!,'Growth Pattern'!B$15:B$376,'Growth Pattern'!D$15:D$368)-(LOOKUP(#REF!,'Growth Pattern'!B$15:B$376,'Growth Pattern'!H$15:H$368)*LOOKUP(#REF!,'Growth Pattern'!B$15:B$376,'Growth Pattern'!I$15:I$368)/100)</f>
        <v>#REF!</v>
      </c>
      <c r="G361" s="509" t="e">
        <f>LOOKUP(#REF!,'Growth Pattern'!B$15:B$376,'Growth Pattern'!E$15:E$368)-(LOOKUP(#REF!,'Growth Pattern'!B$15:B$376,'Growth Pattern'!H$15:H$368)*LOOKUP(#REF!,'Growth Pattern'!B$15:B$376,'Growth Pattern'!I$15:I$368)/100)</f>
        <v>#REF!</v>
      </c>
      <c r="H361" s="509" t="e">
        <f>LOOKUP(#REF!,'Growth Pattern'!B$15:B$376,'Growth Pattern'!F$15:F$368)-(LOOKUP(#REF!,'Growth Pattern'!B$15:B$376,'Growth Pattern'!I$15:I$368)*LOOKUP(#REF!,'Growth Pattern'!B$15:B$376,'Growth Pattern'!H$15:H$368)/100)</f>
        <v>#REF!</v>
      </c>
      <c r="I361" s="509" t="e">
        <f>LOOKUP(#REF!,'Growth Pattern'!B$15:B$376,'Growth Pattern'!G$15:G$368)-(LOOKUP(#REF!,'Growth Pattern'!B$15:B$376,'Growth Pattern'!H$15:H$368)*LOOKUP(#REF!,'Growth Pattern'!B$15:B$376,'Growth Pattern'!I$15:I$368)/100)</f>
        <v>#REF!</v>
      </c>
      <c r="J361" s="510" t="e">
        <f t="shared" si="16"/>
        <v>#REF!</v>
      </c>
      <c r="K361" s="511" t="e">
        <f>LOOKUP(#REF!,'Growth Pattern'!B$15:B$376,'Growth Pattern'!H$15:H$368)</f>
        <v>#REF!</v>
      </c>
      <c r="L361" s="512" t="e">
        <f t="shared" si="17"/>
        <v>#REF!</v>
      </c>
      <c r="M361" s="513">
        <f>LN('Growth Pattern'!F374/'Growth Pattern'!D374)/2</f>
        <v>0.29190927713924947</v>
      </c>
      <c r="N361" s="523"/>
      <c r="O361" s="528"/>
    </row>
    <row r="362" spans="1:15" x14ac:dyDescent="0.25">
      <c r="E362" s="508" t="e">
        <f>$O$12+#REF!*($P$13-$O$12)</f>
        <v>#REF!</v>
      </c>
      <c r="F362" s="509" t="e">
        <f>LOOKUP(#REF!,'Growth Pattern'!B$15:B$376,'Growth Pattern'!D$15:D$368)-(LOOKUP(#REF!,'Growth Pattern'!B$15:B$376,'Growth Pattern'!H$15:H$368)*LOOKUP(#REF!,'Growth Pattern'!B$15:B$376,'Growth Pattern'!I$15:I$368)/100)</f>
        <v>#REF!</v>
      </c>
      <c r="G362" s="509" t="e">
        <f>LOOKUP(#REF!,'Growth Pattern'!B$15:B$376,'Growth Pattern'!E$15:E$368)-(LOOKUP(#REF!,'Growth Pattern'!B$15:B$376,'Growth Pattern'!H$15:H$368)*LOOKUP(#REF!,'Growth Pattern'!B$15:B$376,'Growth Pattern'!I$15:I$368)/100)</f>
        <v>#REF!</v>
      </c>
      <c r="H362" s="509" t="e">
        <f>LOOKUP(#REF!,'Growth Pattern'!B$15:B$376,'Growth Pattern'!F$15:F$368)-(LOOKUP(#REF!,'Growth Pattern'!B$15:B$376,'Growth Pattern'!I$15:I$368)*LOOKUP(#REF!,'Growth Pattern'!B$15:B$376,'Growth Pattern'!H$15:H$368)/100)</f>
        <v>#REF!</v>
      </c>
      <c r="I362" s="509" t="e">
        <f>LOOKUP(#REF!,'Growth Pattern'!B$15:B$376,'Growth Pattern'!G$15:G$368)-(LOOKUP(#REF!,'Growth Pattern'!B$15:B$376,'Growth Pattern'!H$15:H$368)*LOOKUP(#REF!,'Growth Pattern'!B$15:B$376,'Growth Pattern'!I$15:I$368)/100)</f>
        <v>#REF!</v>
      </c>
      <c r="J362" s="510" t="e">
        <f>F362+G362/((1+E362)*(1+$O$15))+H362/((1+E362)^2)*((1+$O$15)^2)+(I362/(E362-$P$16))/((1+E362)^3)*((1+$O$15)^3)</f>
        <v>#REF!</v>
      </c>
      <c r="K362" s="511" t="e">
        <f>LOOKUP(#REF!,'Growth Pattern'!B$15:B$376,'Growth Pattern'!H$15:H$368)</f>
        <v>#REF!</v>
      </c>
      <c r="L362" s="512" t="e">
        <f t="shared" si="17"/>
        <v>#REF!</v>
      </c>
      <c r="M362" s="513" t="e">
        <f>LN('Growth Pattern'!F375/'Growth Pattern'!D375)/2</f>
        <v>#DIV/0!</v>
      </c>
      <c r="N362" s="523"/>
      <c r="O362" s="528"/>
    </row>
    <row r="363" spans="1:15" x14ac:dyDescent="0.25">
      <c r="E363" s="508" t="e">
        <f>$O$12+#REF!*($P$13-$O$12)</f>
        <v>#REF!</v>
      </c>
      <c r="F363" s="509" t="e">
        <f>LOOKUP(#REF!,'Growth Pattern'!B$15:B$376,'Growth Pattern'!D$15:D$368)-(LOOKUP(#REF!,'Growth Pattern'!B$15:B$376,'Growth Pattern'!H$15:H$368)*LOOKUP(#REF!,'Growth Pattern'!B$15:B$376,'Growth Pattern'!I$15:I$368)/100)</f>
        <v>#REF!</v>
      </c>
      <c r="G363" s="509" t="e">
        <f>LOOKUP(#REF!,'Growth Pattern'!B$15:B$376,'Growth Pattern'!E$15:E$368)-(LOOKUP(#REF!,'Growth Pattern'!B$15:B$376,'Growth Pattern'!H$15:H$368)*LOOKUP(#REF!,'Growth Pattern'!B$15:B$376,'Growth Pattern'!I$15:I$368)/100)</f>
        <v>#REF!</v>
      </c>
      <c r="H363" s="509" t="e">
        <f>LOOKUP(#REF!,'Growth Pattern'!B$15:B$376,'Growth Pattern'!F$15:F$368)-(LOOKUP(#REF!,'Growth Pattern'!B$15:B$376,'Growth Pattern'!I$15:I$368)*LOOKUP(#REF!,'Growth Pattern'!B$15:B$376,'Growth Pattern'!H$15:H$368)/100)</f>
        <v>#REF!</v>
      </c>
      <c r="I363" s="509" t="e">
        <f>LOOKUP(#REF!,'Growth Pattern'!B$15:B$376,'Growth Pattern'!G$15:G$368)-(LOOKUP(#REF!,'Growth Pattern'!B$15:B$376,'Growth Pattern'!H$15:H$368)*LOOKUP(#REF!,'Growth Pattern'!B$15:B$376,'Growth Pattern'!I$15:I$368)/100)</f>
        <v>#REF!</v>
      </c>
      <c r="J363" s="510" t="e">
        <f t="shared" si="16"/>
        <v>#REF!</v>
      </c>
      <c r="K363" s="511" t="e">
        <f>LOOKUP(#REF!,'Growth Pattern'!B$15:B$376,'Growth Pattern'!H$15:H$368)</f>
        <v>#REF!</v>
      </c>
      <c r="L363" s="512" t="e">
        <f t="shared" ref="L363:L369" si="18">(K363-J363)/J363</f>
        <v>#REF!</v>
      </c>
      <c r="M363" s="513" t="e">
        <f>LN('Growth Pattern'!F376/'Growth Pattern'!D376)/2</f>
        <v>#REF!</v>
      </c>
      <c r="N363" s="523"/>
      <c r="O363" s="528"/>
    </row>
    <row r="364" spans="1:15" x14ac:dyDescent="0.25">
      <c r="E364" s="508" t="e">
        <f>$O$12+#REF!*($P$13-$O$12)</f>
        <v>#REF!</v>
      </c>
      <c r="F364" s="509" t="e">
        <f>LOOKUP(#REF!,'Growth Pattern'!B$15:B$376,'Growth Pattern'!D$15:D$368)-(LOOKUP(#REF!,'Growth Pattern'!B$15:B$376,'Growth Pattern'!H$15:H$368)*LOOKUP(#REF!,'Growth Pattern'!B$15:B$376,'Growth Pattern'!I$15:I$368)/100)</f>
        <v>#REF!</v>
      </c>
      <c r="G364" s="509" t="e">
        <f>LOOKUP(#REF!,'Growth Pattern'!B$15:B$376,'Growth Pattern'!E$15:E$368)-(LOOKUP(#REF!,'Growth Pattern'!B$15:B$376,'Growth Pattern'!H$15:H$368)*LOOKUP(#REF!,'Growth Pattern'!B$15:B$376,'Growth Pattern'!I$15:I$368)/100)</f>
        <v>#REF!</v>
      </c>
      <c r="H364" s="509" t="e">
        <f>LOOKUP(#REF!,'Growth Pattern'!B$15:B$376,'Growth Pattern'!F$15:F$368)-(LOOKUP(#REF!,'Growth Pattern'!B$15:B$376,'Growth Pattern'!I$15:I$368)*LOOKUP(#REF!,'Growth Pattern'!B$15:B$376,'Growth Pattern'!H$15:H$368)/100)</f>
        <v>#REF!</v>
      </c>
      <c r="I364" s="509" t="e">
        <f>LOOKUP(#REF!,'Growth Pattern'!B$15:B$376,'Growth Pattern'!G$15:G$368)-(LOOKUP(#REF!,'Growth Pattern'!B$15:B$376,'Growth Pattern'!H$15:H$368)*LOOKUP(#REF!,'Growth Pattern'!B$15:B$376,'Growth Pattern'!I$15:I$368)/100)</f>
        <v>#REF!</v>
      </c>
      <c r="J364" s="510" t="e">
        <f t="shared" si="16"/>
        <v>#REF!</v>
      </c>
      <c r="K364" s="511" t="e">
        <f>LOOKUP(#REF!,'Growth Pattern'!B$15:B$376,'Growth Pattern'!H$15:H$368)</f>
        <v>#REF!</v>
      </c>
      <c r="L364" s="512" t="e">
        <f t="shared" si="18"/>
        <v>#REF!</v>
      </c>
      <c r="M364" s="513" t="e">
        <f>LN('Growth Pattern'!F377/'Growth Pattern'!D377)/2</f>
        <v>#REF!</v>
      </c>
      <c r="N364" s="523"/>
      <c r="O364" s="528"/>
    </row>
    <row r="365" spans="1:15" x14ac:dyDescent="0.25">
      <c r="E365" s="508" t="e">
        <f>$O$12+#REF!*($P$13-$O$12)</f>
        <v>#REF!</v>
      </c>
      <c r="F365" s="509" t="e">
        <f>LOOKUP(#REF!,'Growth Pattern'!B$15:B$376,'Growth Pattern'!D$15:D$368)-(LOOKUP(#REF!,'Growth Pattern'!B$15:B$376,'Growth Pattern'!H$15:H$368)*LOOKUP(#REF!,'Growth Pattern'!B$15:B$376,'Growth Pattern'!I$15:I$368)/100)</f>
        <v>#REF!</v>
      </c>
      <c r="G365" s="509" t="e">
        <f>LOOKUP(#REF!,'Growth Pattern'!B$15:B$376,'Growth Pattern'!E$15:E$368)-(LOOKUP(#REF!,'Growth Pattern'!B$15:B$376,'Growth Pattern'!H$15:H$368)*LOOKUP(#REF!,'Growth Pattern'!B$15:B$376,'Growth Pattern'!I$15:I$368)/100)</f>
        <v>#REF!</v>
      </c>
      <c r="H365" s="509" t="e">
        <f>LOOKUP(#REF!,'Growth Pattern'!B$15:B$376,'Growth Pattern'!F$15:F$368)-(LOOKUP(#REF!,'Growth Pattern'!B$15:B$376,'Growth Pattern'!I$15:I$368)*LOOKUP(#REF!,'Growth Pattern'!B$15:B$376,'Growth Pattern'!H$15:H$368)/100)</f>
        <v>#REF!</v>
      </c>
      <c r="I365" s="509" t="e">
        <f>LOOKUP(#REF!,'Growth Pattern'!B$15:B$376,'Growth Pattern'!G$15:G$368)-(LOOKUP(#REF!,'Growth Pattern'!B$15:B$376,'Growth Pattern'!H$15:H$368)*LOOKUP(#REF!,'Growth Pattern'!B$15:B$376,'Growth Pattern'!I$15:I$368)/100)</f>
        <v>#REF!</v>
      </c>
      <c r="J365" s="510" t="e">
        <f t="shared" si="16"/>
        <v>#REF!</v>
      </c>
      <c r="K365" s="511" t="e">
        <f>LOOKUP(#REF!,'Growth Pattern'!B$15:B$376,'Growth Pattern'!H$15:H$368)</f>
        <v>#REF!</v>
      </c>
      <c r="L365" s="512" t="e">
        <f t="shared" si="18"/>
        <v>#REF!</v>
      </c>
      <c r="M365" s="513" t="e">
        <f>LN('Growth Pattern'!F378/'Growth Pattern'!D378)/2</f>
        <v>#REF!</v>
      </c>
      <c r="N365" s="523"/>
      <c r="O365" s="528"/>
    </row>
    <row r="366" spans="1:15" x14ac:dyDescent="0.25">
      <c r="E366" s="508" t="e">
        <f>$O$12+#REF!*($P$13-$O$12)</f>
        <v>#REF!</v>
      </c>
      <c r="F366" s="509" t="e">
        <f>LOOKUP(#REF!,'Growth Pattern'!B$15:B$376,'Growth Pattern'!D$15:D$368)-(LOOKUP(#REF!,'Growth Pattern'!B$15:B$376,'Growth Pattern'!H$15:H$368)*LOOKUP(#REF!,'Growth Pattern'!B$15:B$376,'Growth Pattern'!I$15:I$368)/100)</f>
        <v>#REF!</v>
      </c>
      <c r="G366" s="509" t="e">
        <f>LOOKUP(#REF!,'Growth Pattern'!B$15:B$376,'Growth Pattern'!E$15:E$368)-(LOOKUP(#REF!,'Growth Pattern'!B$15:B$376,'Growth Pattern'!H$15:H$368)*LOOKUP(#REF!,'Growth Pattern'!B$15:B$376,'Growth Pattern'!I$15:I$368)/100)</f>
        <v>#REF!</v>
      </c>
      <c r="H366" s="509" t="e">
        <f>LOOKUP(#REF!,'Growth Pattern'!B$15:B$376,'Growth Pattern'!F$15:F$368)-(LOOKUP(#REF!,'Growth Pattern'!B$15:B$376,'Growth Pattern'!I$15:I$368)*LOOKUP(#REF!,'Growth Pattern'!B$15:B$376,'Growth Pattern'!H$15:H$368)/100)</f>
        <v>#REF!</v>
      </c>
      <c r="I366" s="509" t="e">
        <f>LOOKUP(#REF!,'Growth Pattern'!B$15:B$376,'Growth Pattern'!G$15:G$368)-(LOOKUP(#REF!,'Growth Pattern'!B$15:B$376,'Growth Pattern'!H$15:H$368)*LOOKUP(#REF!,'Growth Pattern'!B$15:B$376,'Growth Pattern'!I$15:I$368)/100)</f>
        <v>#REF!</v>
      </c>
      <c r="J366" s="510" t="e">
        <f t="shared" si="16"/>
        <v>#REF!</v>
      </c>
      <c r="K366" s="511" t="e">
        <f>LOOKUP(#REF!,'Growth Pattern'!B$15:B$376,'Growth Pattern'!H$15:H$368)</f>
        <v>#REF!</v>
      </c>
      <c r="L366" s="512" t="e">
        <f t="shared" si="18"/>
        <v>#REF!</v>
      </c>
      <c r="M366" s="513" t="e">
        <f>LN('Growth Pattern'!F379/'Growth Pattern'!D379)/2</f>
        <v>#REF!</v>
      </c>
      <c r="N366" s="523" t="s">
        <v>2282</v>
      </c>
      <c r="O366" s="528"/>
    </row>
    <row r="367" spans="1:15" x14ac:dyDescent="0.25">
      <c r="E367" s="508" t="e">
        <f>$O$12+#REF!*($P$13-$O$12)</f>
        <v>#REF!</v>
      </c>
      <c r="F367" s="509" t="e">
        <f>LOOKUP(#REF!,'Growth Pattern'!B$15:B$376,'Growth Pattern'!D$15:D$368)-(LOOKUP(#REF!,'Growth Pattern'!B$15:B$376,'Growth Pattern'!H$15:H$368)*LOOKUP(#REF!,'Growth Pattern'!B$15:B$376,'Growth Pattern'!I$15:I$368)/100)</f>
        <v>#REF!</v>
      </c>
      <c r="G367" s="509" t="e">
        <f>LOOKUP(#REF!,'Growth Pattern'!B$15:B$376,'Growth Pattern'!E$15:E$368)-(LOOKUP(#REF!,'Growth Pattern'!B$15:B$376,'Growth Pattern'!H$15:H$368)*LOOKUP(#REF!,'Growth Pattern'!B$15:B$376,'Growth Pattern'!I$15:I$368)/100)</f>
        <v>#REF!</v>
      </c>
      <c r="H367" s="509" t="e">
        <f>LOOKUP(#REF!,'Growth Pattern'!B$15:B$376,'Growth Pattern'!F$15:F$368)-(LOOKUP(#REF!,'Growth Pattern'!B$15:B$376,'Growth Pattern'!I$15:I$368)*LOOKUP(#REF!,'Growth Pattern'!B$15:B$376,'Growth Pattern'!H$15:H$368)/100)</f>
        <v>#REF!</v>
      </c>
      <c r="I367" s="509" t="e">
        <f>LOOKUP(#REF!,'Growth Pattern'!B$15:B$376,'Growth Pattern'!G$15:G$368)-(LOOKUP(#REF!,'Growth Pattern'!B$15:B$376,'Growth Pattern'!H$15:H$368)*LOOKUP(#REF!,'Growth Pattern'!B$15:B$376,'Growth Pattern'!I$15:I$368)/100)</f>
        <v>#REF!</v>
      </c>
      <c r="J367" s="510" t="e">
        <f t="shared" si="16"/>
        <v>#REF!</v>
      </c>
      <c r="K367" s="511" t="e">
        <f>LOOKUP(#REF!,'Growth Pattern'!B$15:B$376,'Growth Pattern'!H$15:H$368)</f>
        <v>#REF!</v>
      </c>
      <c r="L367" s="512" t="e">
        <f t="shared" si="18"/>
        <v>#REF!</v>
      </c>
      <c r="M367" s="513" t="e">
        <f>LN('Growth Pattern'!F380/'Growth Pattern'!D380)/2</f>
        <v>#REF!</v>
      </c>
      <c r="N367" s="523"/>
      <c r="O367" s="528"/>
    </row>
    <row r="368" spans="1:15" x14ac:dyDescent="0.25">
      <c r="E368" s="508" t="e">
        <f>$O$12+#REF!*($P$13-$O$12)</f>
        <v>#REF!</v>
      </c>
      <c r="F368" s="509" t="e">
        <f>LOOKUP(#REF!,'Growth Pattern'!B$15:B$376,'Growth Pattern'!D$15:D$368)-(LOOKUP(#REF!,'Growth Pattern'!B$15:B$376,'Growth Pattern'!H$15:H$368)*LOOKUP(#REF!,'Growth Pattern'!B$15:B$376,'Growth Pattern'!I$15:I$368)/100)</f>
        <v>#REF!</v>
      </c>
      <c r="G368" s="509" t="e">
        <f>LOOKUP(#REF!,'Growth Pattern'!B$15:B$376,'Growth Pattern'!E$15:E$368)-(LOOKUP(#REF!,'Growth Pattern'!B$15:B$376,'Growth Pattern'!H$15:H$368)*LOOKUP(#REF!,'Growth Pattern'!B$15:B$376,'Growth Pattern'!I$15:I$368)/100)</f>
        <v>#REF!</v>
      </c>
      <c r="H368" s="509" t="e">
        <f>LOOKUP(#REF!,'Growth Pattern'!B$15:B$376,'Growth Pattern'!F$15:F$368)-(LOOKUP(#REF!,'Growth Pattern'!B$15:B$376,'Growth Pattern'!I$15:I$368)*LOOKUP(#REF!,'Growth Pattern'!B$15:B$376,'Growth Pattern'!H$15:H$368)/100)</f>
        <v>#REF!</v>
      </c>
      <c r="I368" s="509" t="e">
        <f>LOOKUP(#REF!,'Growth Pattern'!B$15:B$376,'Growth Pattern'!G$15:G$368)-(LOOKUP(#REF!,'Growth Pattern'!B$15:B$376,'Growth Pattern'!H$15:H$368)*LOOKUP(#REF!,'Growth Pattern'!B$15:B$376,'Growth Pattern'!I$15:I$368)/100)</f>
        <v>#REF!</v>
      </c>
      <c r="J368" s="510" t="e">
        <f>F368+G368/((1+E368)*(1+$O$15))+H368/((1+E368)^2)*((1+$O$15)^2)+(I368/(E368-$P$16))/((1+E368)^3)*((1+$O$15)^3)</f>
        <v>#REF!</v>
      </c>
      <c r="K368" s="511" t="e">
        <f>LOOKUP(#REF!,'Growth Pattern'!B$15:B$376,'Growth Pattern'!H$15:H$368)</f>
        <v>#REF!</v>
      </c>
      <c r="L368" s="512" t="e">
        <f t="shared" si="18"/>
        <v>#REF!</v>
      </c>
      <c r="M368" s="513" t="e">
        <f>LN('Growth Pattern'!F381/'Growth Pattern'!D381)/2</f>
        <v>#REF!</v>
      </c>
      <c r="N368" s="523"/>
      <c r="O368" s="528"/>
    </row>
    <row r="369" spans="5:15" x14ac:dyDescent="0.25">
      <c r="E369" s="508">
        <f>$O$12+D361*($P$13-$O$12)</f>
        <v>8.6395192228315501E-2</v>
      </c>
      <c r="F369" s="509" t="e">
        <f ca="1">LOOKUP(C361,'Growth Pattern'!B$15:B$376,'Growth Pattern'!D$15:D$368)-(LOOKUP(C361,'Growth Pattern'!B$15:B$376,'Growth Pattern'!H$15:H$368)*LOOKUP(C361,'Growth Pattern'!B$15:B$376,'Growth Pattern'!I$15:I$368)/100)</f>
        <v>#REF!</v>
      </c>
      <c r="G369" s="509" t="e">
        <f ca="1">LOOKUP(C361,'Growth Pattern'!B$15:B$376,'Growth Pattern'!E$15:E$368)-(LOOKUP(C361,'Growth Pattern'!B$15:B$376,'Growth Pattern'!H$15:H$368)*LOOKUP(C361,'Growth Pattern'!B$15:B$376,'Growth Pattern'!I$15:I$368)/100)</f>
        <v>#REF!</v>
      </c>
      <c r="H369" s="509" t="e">
        <f ca="1">LOOKUP(C361,'Growth Pattern'!B$15:B$376,'Growth Pattern'!F$15:F$368)-(LOOKUP(C361,'Growth Pattern'!B$15:B$376,'Growth Pattern'!I$15:I$368)*LOOKUP(C361,'Growth Pattern'!B$15:B$376,'Growth Pattern'!H$15:H$368)/100)</f>
        <v>#REF!</v>
      </c>
      <c r="I369" s="509" t="e">
        <f ca="1">LOOKUP(C361,'Growth Pattern'!B$15:B$376,'Growth Pattern'!G$15:G$368)-(LOOKUP(C361,'Growth Pattern'!B$15:B$376,'Growth Pattern'!H$15:H$368)*LOOKUP(C361,'Growth Pattern'!B$15:B$376,'Growth Pattern'!I$15:I$368)/100)</f>
        <v>#VALUE!</v>
      </c>
      <c r="J369" s="510" t="e">
        <f ca="1">F369+G369/((1+E369)*(1+$O$15))+H369/((1+E369)^2)*((1+$O$15)^2)+(I369/(E369-$P$16))/((1+E369)^3)*((1+$O$15)^3)</f>
        <v>#REF!</v>
      </c>
      <c r="K369" s="511" t="e">
        <f ca="1">LOOKUP(C361,'Growth Pattern'!B$15:B$376,'Growth Pattern'!H$15:H$368)</f>
        <v>#REF!</v>
      </c>
      <c r="L369" s="512" t="e">
        <f t="shared" ca="1" si="18"/>
        <v>#REF!</v>
      </c>
      <c r="M369" s="513" t="e">
        <f>LN('Growth Pattern'!F382/'Growth Pattern'!D382)/2</f>
        <v>#REF!</v>
      </c>
      <c r="N369" s="523"/>
      <c r="O369" s="528"/>
    </row>
    <row r="370" spans="5:15" x14ac:dyDescent="0.25">
      <c r="O370" s="528"/>
    </row>
  </sheetData>
  <phoneticPr fontId="2" type="noConversion"/>
  <conditionalFormatting sqref="L1:M1">
    <cfRule type="cellIs" dxfId="35" priority="1" stopIfTrue="1" operator="greaterThan">
      <formula>0.5</formula>
    </cfRule>
    <cfRule type="cellIs" dxfId="34" priority="2" stopIfTrue="1" operator="lessThan">
      <formula>-0.1</formula>
    </cfRule>
  </conditionalFormatting>
  <conditionalFormatting sqref="O34 L2:L369">
    <cfRule type="cellIs" dxfId="33" priority="3" stopIfTrue="1" operator="greaterThan">
      <formula>0.3</formula>
    </cfRule>
    <cfRule type="cellIs" dxfId="32" priority="4" stopIfTrue="1" operator="lessThan">
      <formula>-0.15</formula>
    </cfRule>
  </conditionalFormatting>
  <conditionalFormatting sqref="M2:M369">
    <cfRule type="cellIs" dxfId="31" priority="5" stopIfTrue="1" operator="greaterThan">
      <formula>0.2</formula>
    </cfRule>
    <cfRule type="cellIs" dxfId="30" priority="6" stopIfTrue="1" operator="lessThan">
      <formula>0</formula>
    </cfRule>
  </conditionalFormatting>
  <conditionalFormatting sqref="D2:D361">
    <cfRule type="cellIs" dxfId="29" priority="7" stopIfTrue="1" operator="notBetween">
      <formula>0.5</formula>
      <formula>4</formula>
    </cfRule>
  </conditionalFormatting>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58"/>
  <sheetViews>
    <sheetView workbookViewId="0">
      <selection activeCell="B34" sqref="B34"/>
    </sheetView>
  </sheetViews>
  <sheetFormatPr defaultColWidth="20.42578125" defaultRowHeight="12.75" x14ac:dyDescent="0.2"/>
  <cols>
    <col min="1" max="1" width="9.28515625" customWidth="1"/>
    <col min="2" max="2" width="7.42578125" customWidth="1"/>
    <col min="3" max="3" width="12" customWidth="1"/>
    <col min="4" max="4" width="14.42578125" customWidth="1"/>
    <col min="5" max="5" width="15.42578125" style="26" customWidth="1"/>
    <col min="6" max="6" width="15.42578125" customWidth="1"/>
    <col min="7" max="7" width="13.85546875" customWidth="1"/>
    <col min="8" max="8" width="20.42578125" customWidth="1"/>
    <col min="9" max="9" width="13.7109375" customWidth="1"/>
    <col min="10" max="10" width="11.28515625" bestFit="1" customWidth="1"/>
    <col min="11" max="11" width="19" customWidth="1"/>
  </cols>
  <sheetData>
    <row r="1" spans="1:31" ht="13.5" thickBot="1" x14ac:dyDescent="0.25">
      <c r="E1"/>
      <c r="F1" s="26"/>
    </row>
    <row r="2" spans="1:31" ht="24" x14ac:dyDescent="0.2">
      <c r="A2" s="142" t="s">
        <v>3689</v>
      </c>
      <c r="B2" s="142" t="s">
        <v>2119</v>
      </c>
      <c r="C2" s="142" t="s">
        <v>1895</v>
      </c>
      <c r="D2" s="142" t="s">
        <v>2120</v>
      </c>
      <c r="E2" s="21" t="s">
        <v>2911</v>
      </c>
      <c r="F2" s="149" t="s">
        <v>2910</v>
      </c>
      <c r="G2" s="44" t="s">
        <v>5390</v>
      </c>
      <c r="H2" s="55" t="s">
        <v>1965</v>
      </c>
      <c r="I2" s="28" t="s">
        <v>58</v>
      </c>
      <c r="J2" s="28"/>
      <c r="K2" s="28" t="s">
        <v>5142</v>
      </c>
      <c r="L2" s="55" t="s">
        <v>2752</v>
      </c>
      <c r="M2" s="260" t="s">
        <v>4143</v>
      </c>
      <c r="N2" s="155" t="s">
        <v>699</v>
      </c>
    </row>
    <row r="3" spans="1:31" ht="24" x14ac:dyDescent="0.2">
      <c r="A3" t="s">
        <v>551</v>
      </c>
      <c r="B3">
        <v>50</v>
      </c>
      <c r="C3">
        <v>1298</v>
      </c>
      <c r="D3" s="409">
        <v>39471</v>
      </c>
      <c r="E3" s="447">
        <f>LOOKUP(A3,'Company Database'!C$9:C$1248,'Company Database'!G$9:G$1248)</f>
        <v>201.35</v>
      </c>
      <c r="F3" s="448">
        <f>LOOKUP(A3,'Company Database'!C$9:C$1248,'Company Database'!K$9:K$1248)</f>
        <v>40684</v>
      </c>
      <c r="G3" s="156">
        <f t="shared" ref="G3:G31" si="0">LN(E3/C3)/((F3-D3)/365)</f>
        <v>-0.56075049599159021</v>
      </c>
      <c r="H3" s="56">
        <f>(E3-C3)/C3</f>
        <v>-0.84487673343605552</v>
      </c>
      <c r="I3" s="51">
        <f>(E3-C3)*B3</f>
        <v>-54832.500000000007</v>
      </c>
      <c r="J3" s="453">
        <f ca="1">E3/LOOKUP(A3,'Stock price'!C$2:C$361,'Stock price'!J$2:J$369)</f>
        <v>-0.83254050406082092</v>
      </c>
      <c r="K3" s="173" t="str">
        <f>LOOKUP(A3,'Company Database'!C$9:C$1248,'Company Database'!N$9:N$1248)</f>
        <v>Scrip has fallen by -88.0%</v>
      </c>
      <c r="L3" s="198" t="e">
        <f>G3/LOOKUP(A3,'Stock price'!C25:C382,'Stock price'!A25:A382)</f>
        <v>#N/A</v>
      </c>
      <c r="M3" s="311">
        <f>B3*C3</f>
        <v>64900</v>
      </c>
      <c r="N3" s="155" t="s">
        <v>4225</v>
      </c>
      <c r="O3" s="125"/>
      <c r="P3" s="25"/>
      <c r="Q3" s="24"/>
      <c r="R3" s="127"/>
      <c r="S3" s="24"/>
      <c r="T3" s="24"/>
      <c r="U3" s="24"/>
      <c r="X3" s="196" t="s">
        <v>2753</v>
      </c>
    </row>
    <row r="4" spans="1:31" ht="24" x14ac:dyDescent="0.2">
      <c r="A4" t="s">
        <v>4073</v>
      </c>
      <c r="B4">
        <v>10</v>
      </c>
      <c r="C4">
        <v>153</v>
      </c>
      <c r="D4" s="409">
        <v>39633</v>
      </c>
      <c r="E4" s="447">
        <f>LOOKUP(A4,'Company Database'!C$9:C$1248,'Company Database'!G$9:G$1248)</f>
        <v>60.8</v>
      </c>
      <c r="F4" s="448">
        <f>LOOKUP(A4,'Company Database'!C$9:C$1248,'Company Database'!K$9:K$1248)</f>
        <v>40684</v>
      </c>
      <c r="G4" s="156">
        <f t="shared" si="0"/>
        <v>-0.32049435616880556</v>
      </c>
      <c r="H4" s="56">
        <f t="shared" ref="H4:H30" si="1">(E4-C4)/C4</f>
        <v>-0.60261437908496729</v>
      </c>
      <c r="I4" s="51">
        <f t="shared" ref="I4:I30" si="2">(E4-C4)*B4</f>
        <v>-922</v>
      </c>
      <c r="J4" s="453">
        <f ca="1">E4/LOOKUP(A4,'Stock price'!C$2:C$361,'Stock price'!J$2:J$369)</f>
        <v>1.9494269174228702E-2</v>
      </c>
      <c r="K4" s="173" t="str">
        <f>LOOKUP(A4,'Company Database'!C$9:C$1248,'Company Database'!N$9:N$1248)</f>
        <v>Scrip has fallen by -66.0%</v>
      </c>
      <c r="L4" s="198">
        <f>G4/LOOKUP(A4,'Stock price'!C16:C373,'Stock price'!A16:A373)</f>
        <v>-9.6371642399128696E-2</v>
      </c>
      <c r="M4" s="311">
        <f t="shared" ref="M4:M29" si="3">B4*C4</f>
        <v>1530</v>
      </c>
      <c r="N4" s="155" t="s">
        <v>4152</v>
      </c>
      <c r="O4" s="26"/>
      <c r="P4" s="18"/>
      <c r="R4" s="26"/>
      <c r="S4" t="s">
        <v>3571</v>
      </c>
      <c r="W4" s="180" t="s">
        <v>2855</v>
      </c>
    </row>
    <row r="5" spans="1:31" ht="24" x14ac:dyDescent="0.2">
      <c r="A5" t="s">
        <v>4075</v>
      </c>
      <c r="B5">
        <v>50</v>
      </c>
      <c r="C5">
        <v>126</v>
      </c>
      <c r="D5" s="409">
        <v>39735</v>
      </c>
      <c r="E5" s="447">
        <f>LOOKUP(A5,'Company Database'!C$9:C$1248,'Company Database'!G$9:G$1248)</f>
        <v>141.4</v>
      </c>
      <c r="F5" s="448">
        <f>LOOKUP(A5,'Company Database'!C$9:C$1248,'Company Database'!K$9:K$1248)</f>
        <v>40684</v>
      </c>
      <c r="G5" s="156">
        <f t="shared" si="0"/>
        <v>4.4350325581151685E-2</v>
      </c>
      <c r="H5" s="56">
        <f t="shared" si="1"/>
        <v>0.12222222222222227</v>
      </c>
      <c r="I5" s="51">
        <f t="shared" si="2"/>
        <v>770.00000000000023</v>
      </c>
      <c r="J5" s="453">
        <f ca="1">E5/LOOKUP(A5,'Stock price'!C$2:C$361,'Stock price'!J$2:J$369)</f>
        <v>0.2247062175796877</v>
      </c>
      <c r="K5" s="173" t="str">
        <f>LOOKUP(A5,'Company Database'!C$9:C$1248,'Company Database'!N$9:N$1248)</f>
        <v>Scrip has fallen by -57.0%</v>
      </c>
      <c r="L5" s="198">
        <f>G5/LOOKUP(A5,'Stock price'!C2:C361,'Stock price'!A2:A361)</f>
        <v>1.7763626150899929E-2</v>
      </c>
      <c r="M5" s="311">
        <f>B5*C5</f>
        <v>6300</v>
      </c>
      <c r="N5" s="161" t="s">
        <v>3569</v>
      </c>
      <c r="O5" s="26"/>
      <c r="P5" s="18"/>
      <c r="R5" s="26"/>
      <c r="S5" s="161" t="s">
        <v>3570</v>
      </c>
      <c r="V5" s="177"/>
      <c r="W5" s="180" t="s">
        <v>2065</v>
      </c>
    </row>
    <row r="6" spans="1:31" ht="24" x14ac:dyDescent="0.2">
      <c r="A6" t="s">
        <v>2668</v>
      </c>
      <c r="B6">
        <v>20</v>
      </c>
      <c r="C6">
        <v>333</v>
      </c>
      <c r="D6" s="409">
        <v>39485</v>
      </c>
      <c r="E6" s="447">
        <f>LOOKUP(A6,'Company Database'!C$9:C$1248,'Company Database'!G$9:G$1248)</f>
        <v>536</v>
      </c>
      <c r="F6" s="448">
        <f>LOOKUP(A6,'Company Database'!C$9:C$1248,'Company Database'!K$9:K$1248)</f>
        <v>40684</v>
      </c>
      <c r="G6" s="156">
        <f t="shared" si="0"/>
        <v>0.14490155124935838</v>
      </c>
      <c r="H6" s="56">
        <f t="shared" si="1"/>
        <v>0.60960960960960964</v>
      </c>
      <c r="I6" s="51">
        <f t="shared" si="2"/>
        <v>4060</v>
      </c>
      <c r="J6" s="453">
        <f ca="1">E6/LOOKUP(A6,'Stock price'!C$2:C$361,'Stock price'!J$2:J$369)</f>
        <v>1.8554007088752923E-2</v>
      </c>
      <c r="K6" s="173" t="str">
        <f>LOOKUP(A6,'Company Database'!C$9:C$1248,'Company Database'!N$9:N$1248)</f>
        <v>Scrip has fallen by -33.0%</v>
      </c>
      <c r="L6" s="198">
        <f>G6/LOOKUP(A6,'Stock price'!C7:C364,'Stock price'!A7:A364)</f>
        <v>5.6794997741617136E-2</v>
      </c>
      <c r="M6" s="311">
        <f t="shared" si="3"/>
        <v>6660</v>
      </c>
      <c r="N6" t="s">
        <v>3814</v>
      </c>
      <c r="O6" s="26"/>
      <c r="R6" s="26"/>
      <c r="W6" s="171" t="s">
        <v>3144</v>
      </c>
      <c r="X6" s="171" t="s">
        <v>3146</v>
      </c>
      <c r="Y6" s="126"/>
      <c r="Z6" s="180"/>
    </row>
    <row r="7" spans="1:31" ht="24" x14ac:dyDescent="0.2">
      <c r="A7" s="5" t="s">
        <v>1862</v>
      </c>
      <c r="B7">
        <v>50</v>
      </c>
      <c r="C7">
        <v>569</v>
      </c>
      <c r="D7" s="409">
        <v>39471</v>
      </c>
      <c r="E7" s="447">
        <f>LOOKUP(A7,'Company Database'!C$9:C$1248,'Company Database'!G$9:G$1248)</f>
        <v>103.75</v>
      </c>
      <c r="F7" s="448">
        <f>LOOKUP(A7,'Company Database'!C$9:C$1248,'Company Database'!K$9:K$1248)</f>
        <v>40684</v>
      </c>
      <c r="G7" s="156">
        <f t="shared" si="0"/>
        <v>-0.5121122344440775</v>
      </c>
      <c r="H7" s="56">
        <f t="shared" si="1"/>
        <v>-0.81766256590509667</v>
      </c>
      <c r="I7" s="51">
        <f t="shared" si="2"/>
        <v>-23262.5</v>
      </c>
      <c r="J7" s="453">
        <f ca="1">E7/LOOKUP(A7,'Stock price'!C$2:C$361,'Stock price'!J$2:J$369)</f>
        <v>0.51809625530802894</v>
      </c>
      <c r="K7" s="173" t="str">
        <f>LOOKUP(A7,'Company Database'!C$9:C$1248,'Company Database'!N$9:N$1248)</f>
        <v>Scrip has fallen by -83.0%</v>
      </c>
      <c r="L7" s="198">
        <f>G7/LOOKUP(A7,'Stock price'!C10:C367,'Stock price'!A10:A367)</f>
        <v>-0.17999715544019107</v>
      </c>
      <c r="M7" s="311">
        <f t="shared" si="3"/>
        <v>28450</v>
      </c>
      <c r="N7" t="s">
        <v>342</v>
      </c>
      <c r="O7" s="26" t="s">
        <v>908</v>
      </c>
      <c r="P7" s="161" t="s">
        <v>826</v>
      </c>
      <c r="R7" s="26"/>
      <c r="S7" s="161" t="s">
        <v>3567</v>
      </c>
      <c r="W7" s="61"/>
      <c r="X7" t="s">
        <v>3813</v>
      </c>
      <c r="Y7" s="126" t="s">
        <v>3812</v>
      </c>
      <c r="Z7" s="180"/>
    </row>
    <row r="8" spans="1:31" ht="24" x14ac:dyDescent="0.2">
      <c r="A8" t="s">
        <v>1472</v>
      </c>
      <c r="B8">
        <v>10</v>
      </c>
      <c r="C8">
        <v>1785</v>
      </c>
      <c r="D8" s="409">
        <v>39496</v>
      </c>
      <c r="E8" s="447">
        <f>LOOKUP(A8,'Company Database'!C$9:C$1248,'Company Database'!G$9:G$1248)</f>
        <v>2258.25</v>
      </c>
      <c r="F8" s="448">
        <f>LOOKUP(A8,'Company Database'!C$9:C$1248,'Company Database'!K$9:K$1248)</f>
        <v>40684</v>
      </c>
      <c r="G8" s="156">
        <f t="shared" si="0"/>
        <v>7.2253950389661523E-2</v>
      </c>
      <c r="H8" s="56">
        <f t="shared" si="1"/>
        <v>0.26512605042016807</v>
      </c>
      <c r="I8" s="51">
        <f t="shared" si="2"/>
        <v>4732.5</v>
      </c>
      <c r="J8" s="453">
        <f ca="1">E8/LOOKUP(A8,'Stock price'!C$2:C$361,'Stock price'!J$2:J$369)</f>
        <v>-9.2559701177215875E-2</v>
      </c>
      <c r="K8" s="173" t="str">
        <f>LOOKUP(A8,'Company Database'!C$9:C$1248,'Company Database'!N$9:N$1248)</f>
        <v>Scrip has fallen by -11.0%</v>
      </c>
      <c r="L8" s="198">
        <f>G8/LOOKUP(A8,'Stock price'!C18:C375,'Stock price'!A18:A375)</f>
        <v>5.5032776889837827E-2</v>
      </c>
      <c r="M8" s="311">
        <f t="shared" si="3"/>
        <v>17850</v>
      </c>
      <c r="N8" t="s">
        <v>1586</v>
      </c>
      <c r="O8" s="26"/>
      <c r="P8" s="18"/>
      <c r="R8" s="26"/>
      <c r="X8" s="161" t="s">
        <v>3145</v>
      </c>
      <c r="Y8" s="26"/>
      <c r="Z8" s="180"/>
    </row>
    <row r="9" spans="1:31" ht="24" x14ac:dyDescent="0.2">
      <c r="A9" t="s">
        <v>4204</v>
      </c>
      <c r="B9">
        <v>450</v>
      </c>
      <c r="C9">
        <v>45</v>
      </c>
      <c r="D9" s="409">
        <v>40133</v>
      </c>
      <c r="E9" s="447">
        <f>LOOKUP(A9,'Company Database'!C$9:C$1248,'Company Database'!G$9:G$1248)</f>
        <v>20.5</v>
      </c>
      <c r="F9" s="448">
        <f>LOOKUP(A9,'Company Database'!C$9:C$1248,'Company Database'!K$9:K$1248)</f>
        <v>40684</v>
      </c>
      <c r="G9" s="156">
        <f t="shared" si="0"/>
        <v>-0.52082890258343817</v>
      </c>
      <c r="H9" s="56">
        <f t="shared" si="1"/>
        <v>-0.5444444444444444</v>
      </c>
      <c r="I9" s="51">
        <f t="shared" si="2"/>
        <v>-11025</v>
      </c>
      <c r="J9" s="453">
        <f ca="1">E9/LOOKUP(A9,'Stock price'!C$2:C$361,'Stock price'!J$2:J$369)</f>
        <v>-0.48519927780842004</v>
      </c>
      <c r="K9" s="173" t="str">
        <f>LOOKUP(A9,'Company Database'!C$9:C$1248,'Company Database'!N$9:N$1248)</f>
        <v>Scrip has fallen by -35.0%</v>
      </c>
      <c r="L9" s="198">
        <f>G9/LOOKUP(A9,'Stock price'!C17:C374,'Stock price'!A17:A374)</f>
        <v>-0.23592073376434713</v>
      </c>
      <c r="M9" s="311">
        <f t="shared" si="3"/>
        <v>20250</v>
      </c>
      <c r="N9" t="s">
        <v>1587</v>
      </c>
      <c r="O9" t="s">
        <v>4238</v>
      </c>
      <c r="P9" s="18"/>
      <c r="Q9" t="s">
        <v>4239</v>
      </c>
      <c r="R9" s="26"/>
      <c r="S9" s="161"/>
      <c r="T9" s="161"/>
      <c r="W9" s="85" t="s">
        <v>4707</v>
      </c>
    </row>
    <row r="10" spans="1:31" ht="24" x14ac:dyDescent="0.2">
      <c r="A10" t="s">
        <v>1380</v>
      </c>
      <c r="B10">
        <v>50</v>
      </c>
      <c r="C10">
        <v>1181.8800000000001</v>
      </c>
      <c r="D10" s="409">
        <v>38538</v>
      </c>
      <c r="E10" s="447">
        <f>LOOKUP(A10,'Company Database'!C$9:C$1248,'Company Database'!G$9:G$1248)</f>
        <v>2849.85</v>
      </c>
      <c r="F10" s="448">
        <f>LOOKUP(A10,'Company Database'!C$9:C$1248,'Company Database'!K$9:K$1248)</f>
        <v>40684</v>
      </c>
      <c r="G10" s="156">
        <f t="shared" si="0"/>
        <v>0.14970102011654346</v>
      </c>
      <c r="H10" s="56">
        <f t="shared" si="1"/>
        <v>1.4112854096862624</v>
      </c>
      <c r="I10" s="51">
        <f t="shared" si="2"/>
        <v>83398.499999999985</v>
      </c>
      <c r="J10" s="453">
        <f ca="1">E10/LOOKUP(A10,'Stock price'!C$2:C$361,'Stock price'!J$2:J$369)</f>
        <v>-2.993998588863913E-2</v>
      </c>
      <c r="K10" s="173" t="str">
        <f>LOOKUP(A10,'Company Database'!C$9:C$1248,'Company Database'!N$9:N$1248)</f>
        <v>Scrip has fallen by -17.0%</v>
      </c>
      <c r="L10" s="198">
        <f>G10/LOOKUP(A10,'Stock price'!C20:C377,'Stock price'!A20:A377)</f>
        <v>0.10100266397942537</v>
      </c>
      <c r="M10" s="311">
        <f t="shared" si="3"/>
        <v>59094.000000000007</v>
      </c>
      <c r="N10" t="s">
        <v>2645</v>
      </c>
      <c r="O10" s="161" t="s">
        <v>698</v>
      </c>
      <c r="P10" s="18"/>
      <c r="R10" s="26"/>
    </row>
    <row r="11" spans="1:31" ht="24" x14ac:dyDescent="0.2">
      <c r="A11" t="s">
        <v>1871</v>
      </c>
      <c r="B11">
        <v>50</v>
      </c>
      <c r="C11">
        <v>108</v>
      </c>
      <c r="D11" s="409">
        <v>39590</v>
      </c>
      <c r="E11" s="447">
        <f>LOOKUP(A11,'Company Database'!C$9:C$1248,'Company Database'!G$9:G$1248)</f>
        <v>43.95</v>
      </c>
      <c r="F11" s="448">
        <f>LOOKUP(A11,'Company Database'!C$9:C$1248,'Company Database'!K$9:K$1248)</f>
        <v>40684</v>
      </c>
      <c r="G11" s="156">
        <f t="shared" si="0"/>
        <v>-0.29996680995654229</v>
      </c>
      <c r="H11" s="56">
        <f t="shared" si="1"/>
        <v>-0.59305555555555556</v>
      </c>
      <c r="I11" s="51">
        <f t="shared" si="2"/>
        <v>-3202.5</v>
      </c>
      <c r="J11" s="453">
        <f ca="1">E11/LOOKUP(A11,'Stock price'!C$2:C$361,'Stock price'!J$2:J$369)</f>
        <v>-5.0597824457338986E-2</v>
      </c>
      <c r="K11" s="173" t="str">
        <f>LOOKUP(A11,'Company Database'!C$9:C$1248,'Company Database'!N$9:N$1248)</f>
        <v>Scrip has fallen by -60.0%</v>
      </c>
      <c r="L11" s="198">
        <f>G11/LOOKUP(A11,'Stock price'!C21:C378,'Stock price'!A21:A378)</f>
        <v>-0.10302087325420518</v>
      </c>
      <c r="M11" s="311">
        <f t="shared" si="3"/>
        <v>5400</v>
      </c>
      <c r="N11" t="s">
        <v>2666</v>
      </c>
      <c r="O11" s="160" t="s">
        <v>1634</v>
      </c>
      <c r="P11" s="18"/>
      <c r="S11" s="172"/>
      <c r="AA11" s="253"/>
      <c r="AB11" s="253"/>
      <c r="AC11" s="253"/>
      <c r="AD11" s="253"/>
      <c r="AE11" s="253"/>
    </row>
    <row r="12" spans="1:31" ht="24" x14ac:dyDescent="0.2">
      <c r="A12" t="s">
        <v>3822</v>
      </c>
      <c r="B12">
        <v>100</v>
      </c>
      <c r="C12">
        <v>121</v>
      </c>
      <c r="D12" s="409">
        <v>39492</v>
      </c>
      <c r="E12" s="447">
        <f>LOOKUP(A12,'Company Database'!C$9:C$1248,'Company Database'!G$9:G$1248)</f>
        <v>296.8</v>
      </c>
      <c r="F12" s="448">
        <f>LOOKUP(A12,'Company Database'!C$9:C$1248,'Company Database'!K$9:K$1248)</f>
        <v>40684</v>
      </c>
      <c r="G12" s="156">
        <f t="shared" si="0"/>
        <v>0.27475067741545034</v>
      </c>
      <c r="H12" s="56">
        <f t="shared" si="1"/>
        <v>1.4528925619834712</v>
      </c>
      <c r="I12" s="51">
        <f t="shared" si="2"/>
        <v>17580</v>
      </c>
      <c r="J12" s="453">
        <f ca="1">E12/LOOKUP(A12,'Stock price'!C$2:C$361,'Stock price'!J$2:J$369)</f>
        <v>8.5093517642148772E-2</v>
      </c>
      <c r="K12" s="173" t="str">
        <f>LOOKUP(A12,'Company Database'!C$9:C$1248,'Company Database'!N$9:N$1248)</f>
        <v>Scrip has fallen by -77.0%</v>
      </c>
      <c r="L12" s="198">
        <f>G12/LOOKUP(A12,'Stock price'!C28:C385,'Stock price'!A28:A385)</f>
        <v>0.1019743003503024</v>
      </c>
      <c r="M12" s="311">
        <f t="shared" si="3"/>
        <v>12100</v>
      </c>
      <c r="N12" t="s">
        <v>4236</v>
      </c>
      <c r="O12" s="160" t="s">
        <v>343</v>
      </c>
      <c r="P12" s="18"/>
      <c r="R12" s="161" t="s">
        <v>700</v>
      </c>
      <c r="S12" t="s">
        <v>3568</v>
      </c>
      <c r="T12" s="161" t="s">
        <v>4237</v>
      </c>
      <c r="AA12" s="254"/>
      <c r="AB12" s="255"/>
      <c r="AC12" s="256"/>
      <c r="AD12" s="257"/>
      <c r="AE12" s="254"/>
    </row>
    <row r="13" spans="1:31" ht="24" x14ac:dyDescent="0.2">
      <c r="A13" t="s">
        <v>110</v>
      </c>
      <c r="B13">
        <v>5</v>
      </c>
      <c r="C13">
        <v>1050</v>
      </c>
      <c r="D13" s="409">
        <v>39591</v>
      </c>
      <c r="E13" s="447">
        <f>LOOKUP(A13,'Company Database'!C$9:C$1248,'Company Database'!G$9:G$1248)</f>
        <v>918.95</v>
      </c>
      <c r="F13" s="448">
        <f>LOOKUP(A13,'Company Database'!C$9:C$1248,'Company Database'!K$9:K$1248)</f>
        <v>40684</v>
      </c>
      <c r="G13" s="156">
        <f t="shared" si="0"/>
        <v>-4.4519223396735023E-2</v>
      </c>
      <c r="H13" s="56">
        <f t="shared" si="1"/>
        <v>-0.12480952380952377</v>
      </c>
      <c r="I13" s="51">
        <f t="shared" si="2"/>
        <v>-655.24999999999977</v>
      </c>
      <c r="J13" s="453">
        <f ca="1">E13/LOOKUP(A13,'Stock price'!C$2:C$361,'Stock price'!J$2:J$369)</f>
        <v>1.5730409710979509E-2</v>
      </c>
      <c r="K13" s="173" t="str">
        <f>LOOKUP(A13,'Company Database'!C$9:C$1248,'Company Database'!N$9:N$1248)</f>
        <v>Scrip has fallen by -33.0%</v>
      </c>
      <c r="L13" s="198">
        <f>G13/LOOKUP(A13,'Stock price'!C12:C369,'Stock price'!A12:A369)</f>
        <v>-1.5420791712316851E-2</v>
      </c>
      <c r="M13" s="311">
        <f t="shared" si="3"/>
        <v>5250</v>
      </c>
      <c r="N13" s="255"/>
      <c r="O13" s="256"/>
      <c r="P13" s="257"/>
      <c r="Q13" s="254"/>
    </row>
    <row r="14" spans="1:31" ht="24" x14ac:dyDescent="0.2">
      <c r="A14" t="s">
        <v>4835</v>
      </c>
      <c r="B14">
        <v>20</v>
      </c>
      <c r="C14">
        <v>150</v>
      </c>
      <c r="D14" s="409">
        <v>39590</v>
      </c>
      <c r="E14" s="447">
        <f>LOOKUP(A14,'Company Database'!C$9:C$1248,'Company Database'!G$9:G$1248)</f>
        <v>109.7</v>
      </c>
      <c r="F14" s="448">
        <f>LOOKUP(A14,'Company Database'!C$9:C$1248,'Company Database'!K$9:K$1248)</f>
        <v>40684</v>
      </c>
      <c r="G14" s="156">
        <f t="shared" si="0"/>
        <v>-0.10439064285877601</v>
      </c>
      <c r="H14" s="56">
        <f t="shared" si="1"/>
        <v>-0.26866666666666666</v>
      </c>
      <c r="I14" s="51">
        <f t="shared" si="2"/>
        <v>-806</v>
      </c>
      <c r="J14" s="453">
        <f ca="1">E14/LOOKUP(A14,'Stock price'!C$2:C$361,'Stock price'!J$2:J$369)</f>
        <v>-8.6543053001155695E-2</v>
      </c>
      <c r="K14" s="173" t="str">
        <f>LOOKUP(A14,'Company Database'!C$9:C$1248,'Company Database'!N$9:N$1248)</f>
        <v>Scrip has fallen by -43.0%</v>
      </c>
      <c r="L14" s="198">
        <f>G14/LOOKUP(A14,'Stock price'!C13:C370,'Stock price'!A13:A370)</f>
        <v>-5.4506217149527282E-2</v>
      </c>
      <c r="M14" s="311">
        <f t="shared" si="3"/>
        <v>3000</v>
      </c>
      <c r="N14" s="255"/>
      <c r="O14" s="256"/>
      <c r="P14" s="257"/>
      <c r="Q14" s="254"/>
    </row>
    <row r="15" spans="1:31" ht="24" x14ac:dyDescent="0.2">
      <c r="A15" t="s">
        <v>3625</v>
      </c>
      <c r="B15">
        <v>50</v>
      </c>
      <c r="C15">
        <v>141.94999999999999</v>
      </c>
      <c r="D15" s="409">
        <v>39485</v>
      </c>
      <c r="E15" s="447">
        <f>LOOKUP(A15,'Company Database'!C$9:C$1248,'Company Database'!G$9:G$1248)</f>
        <v>118.8</v>
      </c>
      <c r="F15" s="448">
        <f>LOOKUP(A15,'Company Database'!C$9:C$1248,'Company Database'!K$9:K$1248)</f>
        <v>40684</v>
      </c>
      <c r="G15" s="156">
        <f t="shared" si="0"/>
        <v>-5.419701312469475E-2</v>
      </c>
      <c r="H15" s="56">
        <f t="shared" si="1"/>
        <v>-0.16308559351884461</v>
      </c>
      <c r="I15" s="51">
        <f t="shared" si="2"/>
        <v>-1157.4999999999995</v>
      </c>
      <c r="J15" s="453">
        <f ca="1">E15/LOOKUP(A15,'Stock price'!C$2:C$361,'Stock price'!J$2:J$369)</f>
        <v>8.2005060598719148E-2</v>
      </c>
      <c r="K15" s="173" t="str">
        <f>LOOKUP(A15,'Company Database'!C$9:C$1248,'Company Database'!N$9:N$1248)</f>
        <v>Scrip has fallen by -45.0%</v>
      </c>
      <c r="L15" s="198">
        <f>G15/LOOKUP(A15,'Stock price'!C8:C365,'Stock price'!A8:A365)</f>
        <v>-1.3147685569941831E-2</v>
      </c>
      <c r="M15" s="311">
        <f t="shared" si="3"/>
        <v>7097.4999999999991</v>
      </c>
      <c r="N15" s="255"/>
      <c r="O15" s="256"/>
      <c r="P15" s="257"/>
      <c r="Q15" s="254"/>
    </row>
    <row r="16" spans="1:31" ht="24" x14ac:dyDescent="0.2">
      <c r="A16" t="s">
        <v>3412</v>
      </c>
      <c r="B16">
        <v>300</v>
      </c>
      <c r="C16">
        <v>174.66666670000001</v>
      </c>
      <c r="D16" s="409">
        <v>38637</v>
      </c>
      <c r="E16" s="447">
        <f>LOOKUP(A16,'Company Database'!C$9:C$1248,'Company Database'!G$9:G$1248)</f>
        <v>273.95</v>
      </c>
      <c r="F16" s="448">
        <f>LOOKUP(A16,'Company Database'!C$9:C$1248,'Company Database'!K$9:K$1248)</f>
        <v>40684</v>
      </c>
      <c r="G16" s="156">
        <f t="shared" si="0"/>
        <v>8.0251180963037683E-2</v>
      </c>
      <c r="H16" s="56">
        <f t="shared" si="1"/>
        <v>0.56841603023503495</v>
      </c>
      <c r="I16" s="51">
        <f t="shared" si="2"/>
        <v>29784.999989999993</v>
      </c>
      <c r="J16" s="453">
        <f ca="1">E16/LOOKUP(A16,'Stock price'!C$2:C$361,'Stock price'!J$2:J$369)</f>
        <v>-0.21295798157017007</v>
      </c>
      <c r="K16" s="173" t="str">
        <f>LOOKUP(A16,'Company Database'!C$9:C$1248,'Company Database'!N$9:N$1248)</f>
        <v>Scrip has fallen by -81.0%</v>
      </c>
      <c r="L16" s="198">
        <f>G16/LOOKUP(A16,'Stock price'!C14:C371,'Stock price'!A14:A371)</f>
        <v>5.3641628930924432E-2</v>
      </c>
      <c r="M16" s="311">
        <f t="shared" si="3"/>
        <v>52400.000010000003</v>
      </c>
      <c r="N16" s="255"/>
      <c r="O16" s="256"/>
      <c r="P16" s="257"/>
      <c r="Q16" s="254"/>
    </row>
    <row r="17" spans="1:17" ht="24" x14ac:dyDescent="0.2">
      <c r="A17" t="s">
        <v>1811</v>
      </c>
      <c r="B17">
        <v>10</v>
      </c>
      <c r="C17">
        <v>130</v>
      </c>
      <c r="D17" s="409">
        <v>39633</v>
      </c>
      <c r="E17" s="447">
        <f>LOOKUP(A17,'Company Database'!C$9:C$1248,'Company Database'!G$9:G$1248)</f>
        <v>36.049999999999997</v>
      </c>
      <c r="F17" s="448">
        <f>LOOKUP(A17,'Company Database'!C$9:C$1248,'Company Database'!K$9:K$1248)</f>
        <v>40684</v>
      </c>
      <c r="G17" s="156">
        <f t="shared" si="0"/>
        <v>-0.4454415500994176</v>
      </c>
      <c r="H17" s="56">
        <f t="shared" si="1"/>
        <v>-0.72269230769230774</v>
      </c>
      <c r="I17" s="51">
        <f t="shared" si="2"/>
        <v>-939.5</v>
      </c>
      <c r="J17" s="453" t="e">
        <f ca="1">E17/LOOKUP(A17,'Stock price'!C$2:C$361,'Stock price'!J$2:J$369)</f>
        <v>#DIV/0!</v>
      </c>
      <c r="K17" s="173" t="str">
        <f>LOOKUP(A17,'Company Database'!C$9:C$1248,'Company Database'!N$9:N$1248)</f>
        <v>Scrip has fallen by -76.0%</v>
      </c>
      <c r="L17" s="198">
        <f>G17/LOOKUP(A17,'Stock price'!C3:C361,'Stock price'!A3:A361)</f>
        <v>-9.0857932919820278E-2</v>
      </c>
      <c r="M17" s="311">
        <f t="shared" si="3"/>
        <v>1300</v>
      </c>
      <c r="N17" s="255"/>
      <c r="O17" s="256"/>
      <c r="P17" s="257"/>
      <c r="Q17" s="254"/>
    </row>
    <row r="18" spans="1:17" ht="24" x14ac:dyDescent="0.2">
      <c r="A18" t="s">
        <v>471</v>
      </c>
      <c r="B18">
        <v>50</v>
      </c>
      <c r="C18">
        <v>458.8</v>
      </c>
      <c r="D18" s="409">
        <v>39471</v>
      </c>
      <c r="E18" s="447">
        <f>LOOKUP(A18,'Company Database'!C$9:C$1248,'Company Database'!G$9:G$1248)</f>
        <v>56.85</v>
      </c>
      <c r="F18" s="448">
        <f>LOOKUP(A18,'Company Database'!C$9:C$1248,'Company Database'!K$9:K$1248)</f>
        <v>40684</v>
      </c>
      <c r="G18" s="156">
        <f t="shared" si="0"/>
        <v>-0.62835311644387037</v>
      </c>
      <c r="H18" s="56">
        <f t="shared" si="1"/>
        <v>-0.87608979947689625</v>
      </c>
      <c r="I18" s="51">
        <f t="shared" si="2"/>
        <v>-20097.5</v>
      </c>
      <c r="J18" s="453">
        <f ca="1">E18/LOOKUP(A18,'Stock price'!C$2:C$361,'Stock price'!J$2:J$369)</f>
        <v>4.8990327499306208E-2</v>
      </c>
      <c r="K18" s="173" t="str">
        <f>LOOKUP(A18,'Company Database'!C$9:C$1248,'Company Database'!N$9:N$1248)</f>
        <v>Scrip has fallen by -88.0%</v>
      </c>
      <c r="L18" s="198">
        <f>G18/LOOKUP(A18,'Stock price'!C24:C381,'Stock price'!A24:A381)</f>
        <v>-0.2215066574886797</v>
      </c>
      <c r="M18" s="311">
        <f t="shared" si="3"/>
        <v>22940</v>
      </c>
    </row>
    <row r="19" spans="1:17" ht="24" x14ac:dyDescent="0.2">
      <c r="A19" t="s">
        <v>1390</v>
      </c>
      <c r="B19">
        <v>50</v>
      </c>
      <c r="C19">
        <v>295</v>
      </c>
      <c r="D19" s="409">
        <v>39735</v>
      </c>
      <c r="E19" s="447">
        <f>LOOKUP(A19,'Company Database'!C$9:C$1248,'Company Database'!G$9:G$1248)</f>
        <v>83.9</v>
      </c>
      <c r="F19" s="448">
        <f>LOOKUP(A19,'Company Database'!C$9:C$1248,'Company Database'!K$9:K$1248)</f>
        <v>40684</v>
      </c>
      <c r="G19" s="156">
        <f t="shared" si="0"/>
        <v>-0.4835960549487151</v>
      </c>
      <c r="H19" s="56">
        <f t="shared" si="1"/>
        <v>-0.71559322033898298</v>
      </c>
      <c r="I19" s="51">
        <f t="shared" si="2"/>
        <v>-10555</v>
      </c>
      <c r="J19" s="453">
        <f ca="1">E19/LOOKUP(A19,'Stock price'!C$2:C$361,'Stock price'!J$2:J$369)</f>
        <v>-5.3537292622611012E-2</v>
      </c>
      <c r="K19" s="173" t="str">
        <f>LOOKUP(A19,'Company Database'!C$9:C$1248,'Company Database'!N$9:N$1248)</f>
        <v>Scrip has fallen by -76.0%</v>
      </c>
      <c r="L19" s="198">
        <f>G19/LOOKUP(A19,'Stock price'!C26:C383,'Stock price'!A26:A383)</f>
        <v>-0.16711010910788643</v>
      </c>
      <c r="M19" s="311">
        <f t="shared" si="3"/>
        <v>14750</v>
      </c>
    </row>
    <row r="20" spans="1:17" ht="24" x14ac:dyDescent="0.2">
      <c r="A20" t="s">
        <v>1391</v>
      </c>
      <c r="B20">
        <v>40</v>
      </c>
      <c r="C20">
        <v>352.255</v>
      </c>
      <c r="D20" s="409">
        <v>38569</v>
      </c>
      <c r="E20" s="447">
        <f>LOOKUP(A20,'Company Database'!C$9:C$1248,'Company Database'!G$9:G$1248)</f>
        <v>923.2</v>
      </c>
      <c r="F20" s="448">
        <f>LOOKUP(A20,'Company Database'!C$9:C$1248,'Company Database'!K$9:K$1248)</f>
        <v>40684</v>
      </c>
      <c r="G20" s="156">
        <f t="shared" si="0"/>
        <v>0.16627614703226662</v>
      </c>
      <c r="H20" s="56">
        <f t="shared" si="1"/>
        <v>1.6208286610552016</v>
      </c>
      <c r="I20" s="51">
        <f t="shared" si="2"/>
        <v>22837.800000000003</v>
      </c>
      <c r="J20" s="453">
        <f ca="1">E20/LOOKUP(A20,'Stock price'!C$2:C$361,'Stock price'!J$2:J$369)</f>
        <v>-6.6937642727379093E-2</v>
      </c>
      <c r="K20" s="173" t="str">
        <f>LOOKUP(A20,'Company Database'!C$9:C$1248,'Company Database'!N$9:N$1248)</f>
        <v>Scrip has fallen by -65.0%</v>
      </c>
      <c r="L20" s="198">
        <f>G20/LOOKUP(A20,'Stock price'!C15:C372,'Stock price'!A15:A372)</f>
        <v>0.10289440773111044</v>
      </c>
      <c r="M20" s="311">
        <f t="shared" si="3"/>
        <v>14090.2</v>
      </c>
    </row>
    <row r="21" spans="1:17" ht="24" x14ac:dyDescent="0.2">
      <c r="A21" t="s">
        <v>1906</v>
      </c>
      <c r="B21">
        <v>24</v>
      </c>
      <c r="C21">
        <v>270.625</v>
      </c>
      <c r="D21" s="409">
        <v>39489</v>
      </c>
      <c r="E21" s="447">
        <f>LOOKUP(A21,'Company Database'!C$9:C$1248,'Company Database'!G$9:G$1248)</f>
        <v>112.7</v>
      </c>
      <c r="F21" s="448">
        <f>LOOKUP(A21,'Company Database'!C$9:C$1248,'Company Database'!K$9:K$1248)</f>
        <v>40684</v>
      </c>
      <c r="G21" s="156">
        <f t="shared" si="0"/>
        <v>-0.2675662823134089</v>
      </c>
      <c r="H21" s="56">
        <f t="shared" si="1"/>
        <v>-0.58355658198614324</v>
      </c>
      <c r="I21" s="51">
        <f t="shared" si="2"/>
        <v>-3790.2000000000003</v>
      </c>
      <c r="J21" s="453" t="e">
        <f ca="1">E21/LOOKUP(A21,'Stock price'!C$2:C$361,'Stock price'!J$2:J$369)</f>
        <v>#DIV/0!</v>
      </c>
      <c r="K21" s="173" t="str">
        <f>LOOKUP(A21,'Company Database'!C$9:C$1248,'Company Database'!N$9:N$1248)</f>
        <v>Scrip has fallen by -43.0%</v>
      </c>
      <c r="L21" s="198">
        <f>G21/LOOKUP(A21,'Stock price'!C5:C362,'Stock price'!A5:A362)</f>
        <v>-0.31762018141404069</v>
      </c>
      <c r="M21" s="311">
        <f t="shared" si="3"/>
        <v>6495</v>
      </c>
    </row>
    <row r="22" spans="1:17" ht="24" x14ac:dyDescent="0.2">
      <c r="A22" t="s">
        <v>3649</v>
      </c>
      <c r="B22">
        <v>10</v>
      </c>
      <c r="C22">
        <v>270</v>
      </c>
      <c r="D22" s="409">
        <v>39524</v>
      </c>
      <c r="E22" s="447">
        <f>LOOKUP(A22,'Company Database'!C$9:C$1248,'Company Database'!G$9:G$1248)</f>
        <v>135.1</v>
      </c>
      <c r="F22" s="448">
        <f>LOOKUP(A22,'Company Database'!C$9:C$1248,'Company Database'!K$9:K$1248)</f>
        <v>40684</v>
      </c>
      <c r="G22" s="156">
        <f t="shared" si="0"/>
        <v>-0.21786935398427665</v>
      </c>
      <c r="H22" s="56">
        <f t="shared" si="1"/>
        <v>-0.49962962962962965</v>
      </c>
      <c r="I22" s="51">
        <f t="shared" si="2"/>
        <v>-1349</v>
      </c>
      <c r="J22" s="453">
        <f ca="1">E22/LOOKUP(A22,'Stock price'!C$2:C$361,'Stock price'!J$2:J$369)</f>
        <v>9.7514383990776943E-2</v>
      </c>
      <c r="K22" s="173" t="str">
        <f>LOOKUP(A22,'Company Database'!C$9:C$1248,'Company Database'!N$9:N$1248)</f>
        <v>Scrip has fallen by -61.0%</v>
      </c>
      <c r="L22" s="198">
        <f>G22/LOOKUP(A22,'Stock price'!C9:C366,'Stock price'!A9:A366)</f>
        <v>-5.6123957119483946E-2</v>
      </c>
      <c r="M22" s="311">
        <f t="shared" si="3"/>
        <v>2700</v>
      </c>
    </row>
    <row r="23" spans="1:17" ht="24" x14ac:dyDescent="0.2">
      <c r="A23" t="s">
        <v>478</v>
      </c>
      <c r="B23">
        <v>50</v>
      </c>
      <c r="C23">
        <v>130</v>
      </c>
      <c r="D23" s="409">
        <v>39735</v>
      </c>
      <c r="E23" s="447">
        <f>LOOKUP(A23,'Company Database'!C$9:C$1248,'Company Database'!G$9:G$1248)</f>
        <v>117.8</v>
      </c>
      <c r="F23" s="448">
        <f>LOOKUP(A23,'Company Database'!C$9:C$1248,'Company Database'!K$9:K$1248)</f>
        <v>40684</v>
      </c>
      <c r="G23" s="156">
        <f t="shared" si="0"/>
        <v>-3.7902376630036982E-2</v>
      </c>
      <c r="H23" s="56">
        <f t="shared" si="1"/>
        <v>-9.3846153846153871E-2</v>
      </c>
      <c r="I23" s="51">
        <f t="shared" si="2"/>
        <v>-610.00000000000011</v>
      </c>
      <c r="J23" s="453">
        <f ca="1">E23/LOOKUP(A23,'Stock price'!C$2:C$361,'Stock price'!J$2:J$369)</f>
        <v>2.1851946096756926E-2</v>
      </c>
      <c r="K23" s="173" t="str">
        <f>LOOKUP(A23,'Company Database'!C$9:C$1248,'Company Database'!N$9:N$1248)</f>
        <v>Scrip has fallen by -51.0%</v>
      </c>
      <c r="L23" s="198">
        <f>G23/LOOKUP(A23,'Stock price'!C27:C384,'Stock price'!A27:A384)</f>
        <v>-1.2665526243039021E-2</v>
      </c>
      <c r="M23" s="311">
        <f t="shared" si="3"/>
        <v>6500</v>
      </c>
    </row>
    <row r="24" spans="1:17" ht="24" x14ac:dyDescent="0.2">
      <c r="A24" t="s">
        <v>486</v>
      </c>
      <c r="B24">
        <v>50</v>
      </c>
      <c r="C24">
        <v>250</v>
      </c>
      <c r="D24" s="409">
        <v>39735</v>
      </c>
      <c r="E24" s="447">
        <f>LOOKUP(A24,'Company Database'!C$9:C$1248,'Company Database'!G$9:G$1248)</f>
        <v>686.4</v>
      </c>
      <c r="F24" s="448">
        <f>LOOKUP(A24,'Company Database'!C$9:C$1248,'Company Database'!K$9:K$1248)</f>
        <v>40684</v>
      </c>
      <c r="G24" s="156">
        <f t="shared" si="0"/>
        <v>0.38846139627365622</v>
      </c>
      <c r="H24" s="56">
        <f t="shared" si="1"/>
        <v>1.7455999999999998</v>
      </c>
      <c r="I24" s="51">
        <f t="shared" si="2"/>
        <v>21820</v>
      </c>
      <c r="J24" s="453">
        <f ca="1">E24/LOOKUP(A24,'Stock price'!C$2:C$361,'Stock price'!J$2:J$369)</f>
        <v>-3.5258103647222094E-2</v>
      </c>
      <c r="K24" s="173" t="str">
        <f>LOOKUP(A24,'Company Database'!C$9:C$1248,'Company Database'!N$9:N$1248)</f>
        <v>Scrip has fallen by -22.0%</v>
      </c>
      <c r="L24" s="198">
        <f>G24/LOOKUP(A24,'Stock price'!C4:C361,'Stock price'!A4:A361)</f>
        <v>0.14558590817060368</v>
      </c>
      <c r="M24" s="311">
        <f t="shared" si="3"/>
        <v>12500</v>
      </c>
    </row>
    <row r="25" spans="1:17" ht="24" x14ac:dyDescent="0.2">
      <c r="A25" t="s">
        <v>3832</v>
      </c>
      <c r="B25">
        <v>200</v>
      </c>
      <c r="C25">
        <v>196.5</v>
      </c>
      <c r="D25" s="409">
        <v>39471</v>
      </c>
      <c r="E25" s="447">
        <f>LOOKUP(A25,'Company Database'!C$9:C$1248,'Company Database'!G$9:G$1248)</f>
        <v>168.25</v>
      </c>
      <c r="F25" s="448">
        <f>LOOKUP(A25,'Company Database'!C$9:C$1248,'Company Database'!K$9:K$1248)</f>
        <v>40684</v>
      </c>
      <c r="G25" s="156">
        <f t="shared" si="0"/>
        <v>-4.6704191192361716E-2</v>
      </c>
      <c r="H25" s="56">
        <f t="shared" si="1"/>
        <v>-0.14376590330788805</v>
      </c>
      <c r="I25" s="51">
        <f t="shared" si="2"/>
        <v>-5650</v>
      </c>
      <c r="J25" s="453" t="e">
        <f ca="1">E25/LOOKUP(A25,'Stock price'!C$2:C$361,'Stock price'!J$2:J$369)</f>
        <v>#DIV/0!</v>
      </c>
      <c r="K25" s="173" t="str">
        <f>LOOKUP(A25,'Company Database'!C$9:C$1248,'Company Database'!N$9:N$1248)</f>
        <v>Scrip has fallen by -82.0%</v>
      </c>
      <c r="L25" s="198">
        <f>G25/LOOKUP(A25,'Stock price'!C29:C386,'Stock price'!A29:A386)</f>
        <v>-2.0813081997466207E-2</v>
      </c>
      <c r="M25" s="311">
        <f t="shared" si="3"/>
        <v>39300</v>
      </c>
    </row>
    <row r="26" spans="1:17" ht="24" x14ac:dyDescent="0.2">
      <c r="A26" t="s">
        <v>423</v>
      </c>
      <c r="B26">
        <v>50</v>
      </c>
      <c r="C26">
        <v>388</v>
      </c>
      <c r="D26" s="409">
        <v>39471</v>
      </c>
      <c r="E26" s="447">
        <f>LOOKUP(A26,'Company Database'!C$9:C$1248,'Company Database'!G$9:G$1248)</f>
        <v>50.7</v>
      </c>
      <c r="F26" s="448">
        <f>LOOKUP(A26,'Company Database'!C$9:C$1248,'Company Database'!K$9:K$1248)</f>
        <v>40684</v>
      </c>
      <c r="G26" s="156">
        <f t="shared" si="0"/>
        <v>-0.61236932530464938</v>
      </c>
      <c r="H26" s="56">
        <f t="shared" si="1"/>
        <v>-0.86932989690721651</v>
      </c>
      <c r="I26" s="51">
        <f t="shared" si="2"/>
        <v>-16865</v>
      </c>
      <c r="J26" s="453">
        <f ca="1">E26/LOOKUP(A26,'Stock price'!C$2:C$361,'Stock price'!J$2:J$369)</f>
        <v>0.10370672124034276</v>
      </c>
      <c r="K26" s="173" t="str">
        <f>LOOKUP(A26,'Company Database'!C$9:C$1248,'Company Database'!N$9:N$1248)</f>
        <v>Scrip has fallen by -87.0%</v>
      </c>
      <c r="L26" s="198">
        <f>G26/LOOKUP(A26,'Stock price'!C11:C368,'Stock price'!A11:A368)</f>
        <v>-0.21594170278997646</v>
      </c>
      <c r="M26" s="311">
        <f t="shared" si="3"/>
        <v>19400</v>
      </c>
    </row>
    <row r="27" spans="1:17" ht="24" x14ac:dyDescent="0.2">
      <c r="A27" t="s">
        <v>1394</v>
      </c>
      <c r="B27">
        <v>100</v>
      </c>
      <c r="C27">
        <v>77.5</v>
      </c>
      <c r="D27" s="409">
        <v>39496</v>
      </c>
      <c r="E27" s="447">
        <f>LOOKUP(A27,'Company Database'!C$9:C$1248,'Company Database'!G$9:G$1248)</f>
        <v>97.3</v>
      </c>
      <c r="F27" s="448">
        <f>LOOKUP(A27,'Company Database'!C$9:C$1248,'Company Database'!K$9:K$1248)</f>
        <v>40684</v>
      </c>
      <c r="G27" s="156">
        <f t="shared" si="0"/>
        <v>6.9903353774343563E-2</v>
      </c>
      <c r="H27" s="56">
        <f t="shared" si="1"/>
        <v>0.25548387096774189</v>
      </c>
      <c r="I27" s="51">
        <f t="shared" si="2"/>
        <v>1979.9999999999998</v>
      </c>
      <c r="J27" s="453">
        <f ca="1">E27/LOOKUP(A27,'Stock price'!C$2:C$361,'Stock price'!J$2:J$369)</f>
        <v>0.93659536160606482</v>
      </c>
      <c r="K27" s="173" t="str">
        <f>LOOKUP(A27,'Company Database'!C$9:C$1248,'Company Database'!N$9:N$1248)</f>
        <v>Scrip has fallen by -91.0%</v>
      </c>
      <c r="L27" s="198">
        <f>G27/LOOKUP(A27,'Stock price'!C19:C376,'Stock price'!A19:A376)</f>
        <v>2.6256292129634949E-2</v>
      </c>
      <c r="M27" s="311">
        <f t="shared" si="3"/>
        <v>7750</v>
      </c>
    </row>
    <row r="28" spans="1:17" ht="24" x14ac:dyDescent="0.2">
      <c r="A28" t="s">
        <v>4019</v>
      </c>
      <c r="B28">
        <v>400</v>
      </c>
      <c r="C28">
        <v>319.08749999999998</v>
      </c>
      <c r="D28" s="409">
        <v>38569</v>
      </c>
      <c r="E28" s="447">
        <f>LOOKUP(A28,'Company Database'!C$9:C$1248,'Company Database'!G$9:G$1248)</f>
        <v>1175</v>
      </c>
      <c r="F28" s="448">
        <f>LOOKUP(A28,'Company Database'!C$9:C$1248,'Company Database'!K$9:K$1248)</f>
        <v>40684</v>
      </c>
      <c r="G28" s="156">
        <f t="shared" si="0"/>
        <v>0.22496392168230875</v>
      </c>
      <c r="H28" s="56">
        <f t="shared" si="1"/>
        <v>2.6823755239550282</v>
      </c>
      <c r="I28" s="51">
        <f t="shared" si="2"/>
        <v>342365</v>
      </c>
      <c r="J28" s="453">
        <f ca="1">E28/LOOKUP(A28,'Stock price'!C$2:C$361,'Stock price'!J$2:J$369)</f>
        <v>-0.10630840282203133</v>
      </c>
      <c r="K28" s="173" t="str">
        <f>LOOKUP(A28,'Company Database'!C$9:C$1248,'Company Database'!N$9:N$1248)</f>
        <v>Scrip has fallen by -13.0%</v>
      </c>
      <c r="L28" s="198">
        <f>G28/LOOKUP(A28,'Stock price'!C6:C363,'Stock price'!A6:A363)</f>
        <v>0.11568643009214979</v>
      </c>
      <c r="M28" s="311">
        <f t="shared" si="3"/>
        <v>127634.99999999999</v>
      </c>
    </row>
    <row r="29" spans="1:17" ht="24" x14ac:dyDescent="0.2">
      <c r="A29" t="s">
        <v>2319</v>
      </c>
      <c r="B29">
        <v>20</v>
      </c>
      <c r="C29">
        <v>713.9</v>
      </c>
      <c r="D29" s="409">
        <v>39471</v>
      </c>
      <c r="E29" s="447">
        <f>LOOKUP(A29,'Company Database'!C$9:C$1248,'Company Database'!G$9:G$1248)</f>
        <v>579.54999999999995</v>
      </c>
      <c r="F29" s="448">
        <f>LOOKUP(A29,'Company Database'!C$9:C$1248,'Company Database'!K$9:K$1248)</f>
        <v>40684</v>
      </c>
      <c r="G29" s="156">
        <f t="shared" si="0"/>
        <v>-6.2736355320186496E-2</v>
      </c>
      <c r="H29" s="56">
        <f t="shared" si="1"/>
        <v>-0.18819162347667745</v>
      </c>
      <c r="I29" s="51">
        <f t="shared" si="2"/>
        <v>-2687.0000000000005</v>
      </c>
      <c r="J29" s="453">
        <f ca="1">E29/LOOKUP(A29,'Stock price'!C$2:C$361,'Stock price'!J$2:J$369)</f>
        <v>7.7620033433368971E-2</v>
      </c>
      <c r="K29" s="173" t="str">
        <f>LOOKUP(A29,'Company Database'!C$9:C$1248,'Company Database'!N$9:N$1248)</f>
        <v>Scrip has fallen by -36.0%</v>
      </c>
      <c r="L29" s="198">
        <f>G29/LOOKUP(A29,'Stock price'!C22:C379,'Stock price'!A22:A379)</f>
        <v>-3.1464505806006272E-2</v>
      </c>
      <c r="M29" s="311">
        <f t="shared" si="3"/>
        <v>14278</v>
      </c>
    </row>
    <row r="30" spans="1:17" ht="24" x14ac:dyDescent="0.2">
      <c r="A30" t="s">
        <v>1047</v>
      </c>
      <c r="B30">
        <v>5</v>
      </c>
      <c r="C30">
        <v>1600</v>
      </c>
      <c r="D30" s="409">
        <v>40360</v>
      </c>
      <c r="E30" s="447">
        <f>LOOKUP(A30,'Company Database'!C$9:C$1248,'Company Database'!G$9:G$1248)</f>
        <v>1033.9000000000001</v>
      </c>
      <c r="F30" s="448">
        <f>LOOKUP(A30,'Company Database'!C$9:C$1248,'Company Database'!K$9:K$1248)</f>
        <v>40684</v>
      </c>
      <c r="G30" s="156">
        <f t="shared" si="0"/>
        <v>-0.49192263245943568</v>
      </c>
      <c r="H30" s="56">
        <f t="shared" si="1"/>
        <v>-0.35381249999999992</v>
      </c>
      <c r="I30" s="51">
        <f t="shared" si="2"/>
        <v>-2830.4999999999995</v>
      </c>
      <c r="J30" s="453">
        <f ca="1">E30/LOOKUP(A30,'Stock price'!C$2:C$361,'Stock price'!J$2:J$369)</f>
        <v>-0.1523139078579609</v>
      </c>
      <c r="K30" s="173" t="str">
        <f>LOOKUP(A31,'Company Database'!C$9:C$1248,'Company Database'!N$9:N$1248)</f>
        <v>Scrip has fallen by -40.0%</v>
      </c>
      <c r="L30" s="198">
        <f>G30/LOOKUP(A31,'Stock price'!C23:C380,'Stock price'!A23:A380)</f>
        <v>-0.31879127249803568</v>
      </c>
      <c r="M30" s="311">
        <f>B31*C31</f>
        <v>8299.83</v>
      </c>
    </row>
    <row r="31" spans="1:17" x14ac:dyDescent="0.2">
      <c r="A31" t="s">
        <v>3422</v>
      </c>
      <c r="B31">
        <v>33</v>
      </c>
      <c r="C31">
        <v>251.51</v>
      </c>
      <c r="D31" s="409">
        <v>39492</v>
      </c>
      <c r="E31" s="447">
        <f>LOOKUP(A31,'Company Database'!C$9:C$1248,'Company Database'!G$9:G$1248)</f>
        <v>447.35</v>
      </c>
      <c r="F31" s="448">
        <f>LOOKUP(A31,'Company Database'!C$9:C$1248,'Company Database'!K$9:K$1248)</f>
        <v>40684</v>
      </c>
      <c r="G31" s="156">
        <f t="shared" si="0"/>
        <v>0.17633252145276468</v>
      </c>
      <c r="H31" s="56">
        <f>(E31-C31)/C31</f>
        <v>0.7786569122500101</v>
      </c>
      <c r="I31" s="51">
        <f>(E31-C31)*B31</f>
        <v>6462.7200000000012</v>
      </c>
      <c r="J31" s="453">
        <f ca="1">E31/LOOKUP(A31,'Stock price'!C$2:C$361,'Stock price'!J$2:J$369)</f>
        <v>0.28977654702941924</v>
      </c>
      <c r="K31" s="199" t="e">
        <f>SUMPRODUCT(#REF!,L3:L30)/SUM(#REF!)</f>
        <v>#REF!</v>
      </c>
      <c r="L31" s="403">
        <f>SUM(M3:M30)</f>
        <v>588219.53000999999</v>
      </c>
    </row>
    <row r="32" spans="1:17" x14ac:dyDescent="0.2">
      <c r="D32" s="135"/>
      <c r="E32" s="455">
        <f>SUMPRODUCT(B3:B31,E3:E31)</f>
        <v>970774.10000000009</v>
      </c>
      <c r="I32" s="454">
        <f>SUM(I3:I31)</f>
        <v>374554.56998999999</v>
      </c>
    </row>
    <row r="33" spans="1:16" x14ac:dyDescent="0.2">
      <c r="E33" s="161"/>
    </row>
    <row r="34" spans="1:16" x14ac:dyDescent="0.2">
      <c r="E34" s="161"/>
      <c r="K34" s="207"/>
    </row>
    <row r="35" spans="1:16" x14ac:dyDescent="0.2">
      <c r="K35" s="200"/>
      <c r="L35" s="200"/>
      <c r="M35" s="200"/>
    </row>
    <row r="36" spans="1:16" ht="13.5" thickBot="1" x14ac:dyDescent="0.25">
      <c r="K36" s="204"/>
      <c r="L36" s="203"/>
      <c r="M36" s="203"/>
      <c r="N36" s="200"/>
      <c r="O36" s="200"/>
      <c r="P36" s="200"/>
    </row>
    <row r="37" spans="1:16" ht="22.5" x14ac:dyDescent="0.2">
      <c r="A37" s="142"/>
      <c r="B37" s="142"/>
      <c r="C37" s="142"/>
      <c r="D37" s="142"/>
      <c r="E37" s="40" t="s">
        <v>2277</v>
      </c>
      <c r="F37" s="40"/>
      <c r="G37" s="38" t="s">
        <v>1964</v>
      </c>
      <c r="H37" s="38" t="s">
        <v>1966</v>
      </c>
      <c r="I37" s="40" t="s">
        <v>2495</v>
      </c>
      <c r="J37" s="40" t="s">
        <v>4143</v>
      </c>
      <c r="K37" s="204"/>
      <c r="L37" s="203"/>
      <c r="M37" s="203"/>
      <c r="N37" s="205"/>
      <c r="O37" s="205"/>
      <c r="P37" s="205"/>
    </row>
    <row r="38" spans="1:16" x14ac:dyDescent="0.2">
      <c r="A38" s="407" t="s">
        <v>3689</v>
      </c>
      <c r="B38" s="407" t="s">
        <v>2119</v>
      </c>
      <c r="C38" s="407" t="s">
        <v>1895</v>
      </c>
      <c r="D38" s="408" t="s">
        <v>2120</v>
      </c>
      <c r="E38" s="38" t="s">
        <v>2500</v>
      </c>
      <c r="F38" s="38" t="s">
        <v>3416</v>
      </c>
      <c r="G38" s="40" t="s">
        <v>5390</v>
      </c>
      <c r="H38" s="406" t="s">
        <v>1967</v>
      </c>
      <c r="I38" s="406"/>
      <c r="J38" s="40"/>
      <c r="K38" s="204"/>
      <c r="L38" s="203"/>
      <c r="M38" s="203"/>
      <c r="N38" s="205"/>
      <c r="O38" s="205"/>
      <c r="P38" s="205"/>
    </row>
    <row r="39" spans="1:16" x14ac:dyDescent="0.2">
      <c r="A39" s="85" t="s">
        <v>3689</v>
      </c>
      <c r="B39" s="85" t="s">
        <v>2119</v>
      </c>
      <c r="C39" s="410" t="s">
        <v>1895</v>
      </c>
      <c r="D39" s="281" t="s">
        <v>2120</v>
      </c>
      <c r="E39" s="459">
        <f>SUMPRODUCT(B40:B51,E40:E51)</f>
        <v>1265198.2550733001</v>
      </c>
      <c r="F39" s="176"/>
      <c r="G39" s="156"/>
      <c r="H39" s="412">
        <f>I39/J39</f>
        <v>1.1814295843474356</v>
      </c>
      <c r="I39" s="429">
        <f>SUM(I40:I48)</f>
        <v>548183.27959367621</v>
      </c>
      <c r="J39" s="586">
        <f>SUM(J40:J48)</f>
        <v>463999.95975762373</v>
      </c>
      <c r="K39" s="204"/>
      <c r="L39" s="203"/>
      <c r="M39" s="203"/>
      <c r="N39" s="205"/>
      <c r="O39" s="205"/>
      <c r="P39" s="205"/>
    </row>
    <row r="40" spans="1:16" x14ac:dyDescent="0.2">
      <c r="A40" t="s">
        <v>3863</v>
      </c>
      <c r="B40">
        <v>1447.106</v>
      </c>
      <c r="C40">
        <v>20.039997069999998</v>
      </c>
      <c r="D40" s="409">
        <v>40116</v>
      </c>
      <c r="E40" s="175">
        <f>LOOKUP(A40,'Company Database'!C$1253:C$1266,'Company Database'!G$1253:G$1266)</f>
        <v>21.62</v>
      </c>
      <c r="F40" s="176">
        <f>LOOKUP(A40,'Company Database'!C$1253:C$1266,'Company Database'!I$1253:I$1266)</f>
        <v>40684</v>
      </c>
      <c r="G40" s="156">
        <f>LN(E40/C40)/((F40-D40)/365)</f>
        <v>4.8766494724872836E-2</v>
      </c>
      <c r="H40" s="156">
        <f>(E40-C40)/C40</f>
        <v>7.8842473104214023E-2</v>
      </c>
      <c r="I40" s="51">
        <f>(E40-C40)*B40</f>
        <v>2286.4317200205837</v>
      </c>
      <c r="J40" s="586">
        <f>C40*B40</f>
        <v>28999.999999979416</v>
      </c>
      <c r="K40" s="204"/>
      <c r="L40" s="203"/>
      <c r="M40" s="203"/>
      <c r="N40" s="205"/>
      <c r="O40" s="205"/>
      <c r="P40" s="205"/>
    </row>
    <row r="41" spans="1:16" x14ac:dyDescent="0.2">
      <c r="A41" t="s">
        <v>5153</v>
      </c>
      <c r="B41">
        <v>2049.1799999999998</v>
      </c>
      <c r="C41">
        <v>24.4</v>
      </c>
      <c r="D41" s="409">
        <v>40582</v>
      </c>
      <c r="E41" s="175">
        <f>LOOKUP(A41,'Company Database'!C$1253:C$1266,'Company Database'!G$1253:G$1266)</f>
        <v>25.47</v>
      </c>
      <c r="F41" s="176">
        <f>LOOKUP(A41,'Company Database'!C$1253:C$1266,'Company Database'!I$1253:I$1266)</f>
        <v>40684</v>
      </c>
      <c r="G41" s="156">
        <f t="shared" ref="G41:G51" si="4">LN(E41/C41)/((F41-D41)/365)</f>
        <v>0.15357967835937739</v>
      </c>
      <c r="H41" s="156">
        <f t="shared" ref="H41:H51" si="5">(E41-C41)/C41</f>
        <v>4.3852459016393459E-2</v>
      </c>
      <c r="I41" s="51">
        <f t="shared" ref="I41:I51" si="6">(E41-C41)*B41</f>
        <v>2192.6226000000006</v>
      </c>
      <c r="J41" s="586">
        <f t="shared" ref="J41:J51" si="7">C41*B41</f>
        <v>49999.991999999991</v>
      </c>
      <c r="K41" s="204"/>
      <c r="L41" s="203"/>
      <c r="M41" s="203"/>
      <c r="N41" s="205"/>
      <c r="O41" s="205"/>
      <c r="P41" s="205"/>
    </row>
    <row r="42" spans="1:16" x14ac:dyDescent="0.2">
      <c r="A42" t="s">
        <v>2841</v>
      </c>
      <c r="B42">
        <v>1288.4939999999999</v>
      </c>
      <c r="C42">
        <v>7.7610000000000001</v>
      </c>
      <c r="D42" s="409">
        <v>39807</v>
      </c>
      <c r="E42" s="175">
        <f>LOOKUP(A42,'Company Database'!C$1253:C$1266,'Company Database'!G$1253:G$1266)</f>
        <v>16.175000000000001</v>
      </c>
      <c r="F42" s="176">
        <f>LOOKUP(A42,'Company Database'!C$1253:C$1266,'Company Database'!I$1253:I$1266)</f>
        <v>40684</v>
      </c>
      <c r="G42" s="156">
        <f t="shared" si="4"/>
        <v>0.30563262452447132</v>
      </c>
      <c r="H42" s="156">
        <f t="shared" si="5"/>
        <v>1.0841386419275869</v>
      </c>
      <c r="I42" s="51">
        <f t="shared" si="6"/>
        <v>10841.388516000001</v>
      </c>
      <c r="J42" s="586">
        <f t="shared" si="7"/>
        <v>10000.001934</v>
      </c>
      <c r="K42" s="204"/>
      <c r="L42" s="203"/>
      <c r="M42" s="203"/>
      <c r="N42" s="205"/>
      <c r="O42" s="205"/>
      <c r="P42" s="205"/>
    </row>
    <row r="43" spans="1:16" x14ac:dyDescent="0.2">
      <c r="A43" t="s">
        <v>2842</v>
      </c>
      <c r="B43">
        <v>774.59299999999996</v>
      </c>
      <c r="C43">
        <v>12.91</v>
      </c>
      <c r="D43" s="409">
        <v>39807</v>
      </c>
      <c r="E43" s="175">
        <f>LOOKUP(A43,'Company Database'!C$1253:C$1266,'Company Database'!G$1253:G$1266)</f>
        <v>28.652000000000001</v>
      </c>
      <c r="F43" s="176">
        <f>LOOKUP(A43,'Company Database'!C$1253:C$1266,'Company Database'!I$1253:I$1266)</f>
        <v>40684</v>
      </c>
      <c r="G43" s="156">
        <f t="shared" si="4"/>
        <v>0.33179667163190829</v>
      </c>
      <c r="H43" s="156">
        <f t="shared" si="5"/>
        <v>1.2193648334624323</v>
      </c>
      <c r="I43" s="51">
        <f t="shared" si="6"/>
        <v>12193.643006</v>
      </c>
      <c r="J43" s="586">
        <f t="shared" si="7"/>
        <v>9999.9956299999994</v>
      </c>
      <c r="K43" s="204"/>
      <c r="L43" s="203"/>
      <c r="M43" s="203"/>
      <c r="N43" s="205"/>
      <c r="O43" s="205"/>
      <c r="P43" s="205"/>
    </row>
    <row r="44" spans="1:16" x14ac:dyDescent="0.2">
      <c r="A44" s="5" t="s">
        <v>2843</v>
      </c>
      <c r="B44">
        <v>1233.8900000000001</v>
      </c>
      <c r="C44">
        <v>36.47</v>
      </c>
      <c r="D44" s="409">
        <v>40098</v>
      </c>
      <c r="E44" s="175">
        <f>LOOKUP(A44,'Company Database'!C$1253:C$1266,'Company Database'!G$1253:G$1266)</f>
        <v>48.6</v>
      </c>
      <c r="F44" s="176">
        <f>LOOKUP(A44,'Company Database'!C$1253:C$1266,'Company Database'!I$1253:I$1266)</f>
        <v>40684</v>
      </c>
      <c r="G44" s="156">
        <f t="shared" si="4"/>
        <v>0.17884596761320584</v>
      </c>
      <c r="H44" s="156">
        <f t="shared" si="5"/>
        <v>0.33260213874417338</v>
      </c>
      <c r="I44" s="51">
        <f t="shared" si="6"/>
        <v>14967.085700000005</v>
      </c>
      <c r="J44" s="586">
        <f t="shared" si="7"/>
        <v>44999.9683</v>
      </c>
      <c r="K44" s="204"/>
      <c r="L44" s="203"/>
      <c r="M44" s="203"/>
      <c r="N44" s="205"/>
      <c r="O44" s="205"/>
      <c r="P44" s="205"/>
    </row>
    <row r="45" spans="1:16" x14ac:dyDescent="0.2">
      <c r="A45" t="s">
        <v>3868</v>
      </c>
      <c r="B45">
        <v>11149.307839999999</v>
      </c>
      <c r="C45">
        <v>24.21674994</v>
      </c>
      <c r="D45" s="409">
        <v>37803</v>
      </c>
      <c r="E45" s="175">
        <f>LOOKUP(A45,'Company Database'!C$1253:C$1266,'Company Database'!G$1253:G$1266)</f>
        <v>67.86</v>
      </c>
      <c r="F45" s="176">
        <f>LOOKUP(A45,'Company Database'!C$1253:C$1266,'Company Database'!I$1253:I$1266)</f>
        <v>40684</v>
      </c>
      <c r="G45" s="156">
        <f t="shared" si="4"/>
        <v>0.13054384243573572</v>
      </c>
      <c r="H45" s="156">
        <f t="shared" si="5"/>
        <v>1.8021927041461618</v>
      </c>
      <c r="I45" s="51">
        <f t="shared" si="6"/>
        <v>486592.03005703847</v>
      </c>
      <c r="J45" s="586">
        <f t="shared" si="7"/>
        <v>269999.99996536149</v>
      </c>
      <c r="K45" s="204"/>
      <c r="L45" s="203"/>
      <c r="M45" s="203"/>
      <c r="N45" s="205"/>
      <c r="O45" s="205"/>
      <c r="P45" s="205"/>
    </row>
    <row r="46" spans="1:16" x14ac:dyDescent="0.2">
      <c r="A46" t="s">
        <v>2844</v>
      </c>
      <c r="B46">
        <v>633.21600000000001</v>
      </c>
      <c r="C46">
        <v>7.8962000000000003</v>
      </c>
      <c r="D46" s="409">
        <v>39807</v>
      </c>
      <c r="E46" s="175">
        <f>LOOKUP(A46,'Company Database'!C$1253:C$1266,'Company Database'!G$1253:G$1266)</f>
        <v>13.234400000000001</v>
      </c>
      <c r="F46" s="176">
        <f>LOOKUP(A46,'Company Database'!C$1253:C$1266,'Company Database'!I$1253:I$1266)</f>
        <v>40684</v>
      </c>
      <c r="G46" s="156">
        <f t="shared" si="4"/>
        <v>0.21493708354066329</v>
      </c>
      <c r="H46" s="156">
        <f t="shared" si="5"/>
        <v>0.67604670601048611</v>
      </c>
      <c r="I46" s="51">
        <f t="shared" si="6"/>
        <v>3380.2336512000002</v>
      </c>
      <c r="J46" s="586">
        <f t="shared" si="7"/>
        <v>5000.0001792000003</v>
      </c>
      <c r="K46" s="202"/>
      <c r="L46" s="201"/>
      <c r="M46" s="201"/>
      <c r="N46" s="205"/>
      <c r="O46" s="205"/>
      <c r="P46" s="205"/>
    </row>
    <row r="47" spans="1:16" x14ac:dyDescent="0.2">
      <c r="A47" t="s">
        <v>4206</v>
      </c>
      <c r="B47">
        <v>2933.9850000000001</v>
      </c>
      <c r="C47">
        <v>10.225001150000001</v>
      </c>
      <c r="D47" s="409">
        <v>39503</v>
      </c>
      <c r="E47" s="175">
        <f>LOOKUP(A47,'Company Database'!C$1253:C$1266,'Company Database'!G$1253:G$1266)</f>
        <v>10.2645</v>
      </c>
      <c r="F47" s="176">
        <f>LOOKUP(A47,'Company Database'!C$1253:C$1266,'Company Database'!I$1253:I$1266)</f>
        <v>40684</v>
      </c>
      <c r="G47" s="156">
        <f t="shared" si="4"/>
        <v>1.1915892237792246E-3</v>
      </c>
      <c r="H47" s="156">
        <f t="shared" si="5"/>
        <v>3.8629677806930425E-3</v>
      </c>
      <c r="I47" s="51">
        <f t="shared" si="6"/>
        <v>115.88903341724797</v>
      </c>
      <c r="J47" s="586">
        <f t="shared" si="7"/>
        <v>29999.999999082753</v>
      </c>
      <c r="K47" s="202"/>
      <c r="L47" s="201"/>
      <c r="M47" s="201"/>
      <c r="N47" s="205"/>
      <c r="O47" s="206"/>
      <c r="P47" s="206"/>
    </row>
    <row r="48" spans="1:16" x14ac:dyDescent="0.2">
      <c r="A48" t="s">
        <v>369</v>
      </c>
      <c r="B48">
        <v>1395.3489999999999</v>
      </c>
      <c r="C48">
        <v>10.75</v>
      </c>
      <c r="D48" s="409">
        <v>39807</v>
      </c>
      <c r="E48" s="175">
        <f>LOOKUP(A48,'Company Database'!C$1253:C$1266,'Company Database'!G$1253:G$1266)</f>
        <v>21.94</v>
      </c>
      <c r="F48" s="176">
        <f>LOOKUP(A48,'Company Database'!C$1253:C$1266,'Company Database'!I$1253:I$1266)</f>
        <v>40684</v>
      </c>
      <c r="G48" s="156">
        <f t="shared" si="4"/>
        <v>0.29691343283899152</v>
      </c>
      <c r="H48" s="156">
        <f t="shared" si="5"/>
        <v>1.0409302325581395</v>
      </c>
      <c r="I48" s="51">
        <f t="shared" si="6"/>
        <v>15613.955310000001</v>
      </c>
      <c r="J48" s="586">
        <f t="shared" si="7"/>
        <v>15000.001749999999</v>
      </c>
      <c r="N48" s="206"/>
      <c r="O48" s="206"/>
      <c r="P48" s="206"/>
    </row>
    <row r="49" spans="1:10" x14ac:dyDescent="0.2">
      <c r="A49" t="s">
        <v>370</v>
      </c>
      <c r="B49">
        <v>1504.13</v>
      </c>
      <c r="C49">
        <v>29.9176</v>
      </c>
      <c r="D49" s="409">
        <v>40098</v>
      </c>
      <c r="E49" s="175">
        <f>LOOKUP(A49,'Company Database'!C$1253:C$1266,'Company Database'!G$1253:G$1266)</f>
        <v>30.3032</v>
      </c>
      <c r="F49" s="176">
        <f>LOOKUP(A49,'Company Database'!C$1253:C$1266,'Company Database'!I$1253:I$1266)</f>
        <v>40684</v>
      </c>
      <c r="G49" s="156">
        <f t="shared" si="4"/>
        <v>7.9766710800069709E-3</v>
      </c>
      <c r="H49" s="156">
        <f t="shared" si="5"/>
        <v>1.2888734390459133E-2</v>
      </c>
      <c r="I49" s="51">
        <f t="shared" si="6"/>
        <v>579.99252800000033</v>
      </c>
      <c r="J49" s="586">
        <f t="shared" si="7"/>
        <v>44999.959688000003</v>
      </c>
    </row>
    <row r="50" spans="1:10" x14ac:dyDescent="0.2">
      <c r="A50" s="5" t="s">
        <v>371</v>
      </c>
      <c r="B50">
        <v>1490.78</v>
      </c>
      <c r="C50">
        <v>6.7079000000000004</v>
      </c>
      <c r="D50" s="409">
        <v>39807</v>
      </c>
      <c r="E50" s="175">
        <f>LOOKUP(A50,'Company Database'!C$1253:C$1266,'Company Database'!G$1253:G$1266)</f>
        <v>11.822699999999999</v>
      </c>
      <c r="F50" s="176">
        <f>LOOKUP(A50,'Company Database'!C$1253:C$1266,'Company Database'!I$1253:I$1266)</f>
        <v>40684</v>
      </c>
      <c r="G50" s="156">
        <f t="shared" si="4"/>
        <v>0.23587052308357084</v>
      </c>
      <c r="H50" s="156">
        <f t="shared" si="5"/>
        <v>0.76250391329626244</v>
      </c>
      <c r="I50" s="51">
        <f t="shared" si="6"/>
        <v>7625.0415439999979</v>
      </c>
      <c r="J50" s="586">
        <f t="shared" si="7"/>
        <v>10000.003162000001</v>
      </c>
    </row>
    <row r="51" spans="1:10" x14ac:dyDescent="0.2">
      <c r="A51" t="s">
        <v>372</v>
      </c>
      <c r="B51">
        <v>4917.3580000000002</v>
      </c>
      <c r="C51">
        <v>16.649999999999999</v>
      </c>
      <c r="D51" s="409">
        <v>39607</v>
      </c>
      <c r="E51" s="175">
        <f>LOOKUP(A51,'Company Database'!C$1253:C$1266,'Company Database'!G$1253:G$1266)</f>
        <v>38.6</v>
      </c>
      <c r="F51" s="176">
        <f>LOOKUP(A51,'Company Database'!C$1253:C$1266,'Company Database'!I$1253:I$1266)</f>
        <v>40684</v>
      </c>
      <c r="G51" s="156">
        <f t="shared" si="4"/>
        <v>0.28496504356191393</v>
      </c>
      <c r="H51" s="156">
        <f t="shared" si="5"/>
        <v>1.3183183183183187</v>
      </c>
      <c r="I51" s="51">
        <f t="shared" si="6"/>
        <v>107936.00810000002</v>
      </c>
      <c r="J51" s="586">
        <f t="shared" si="7"/>
        <v>81874.010699999999</v>
      </c>
    </row>
    <row r="52" spans="1:10" x14ac:dyDescent="0.2">
      <c r="D52" s="460"/>
      <c r="E52" s="189"/>
      <c r="F52" s="190"/>
      <c r="G52" s="191"/>
      <c r="H52" s="191"/>
      <c r="I52" s="185"/>
      <c r="J52" s="490"/>
    </row>
    <row r="53" spans="1:10" ht="13.5" thickBot="1" x14ac:dyDescent="0.25">
      <c r="D53" s="460"/>
      <c r="F53" s="135">
        <v>38353</v>
      </c>
      <c r="H53" s="259">
        <f ca="1">NOW()</f>
        <v>41607.210752662038</v>
      </c>
    </row>
    <row r="54" spans="1:10" ht="13.5" thickBot="1" x14ac:dyDescent="0.25">
      <c r="C54" s="423" t="s">
        <v>4401</v>
      </c>
      <c r="D54" s="424">
        <f>(I39+I31)/(J39+L31)</f>
        <v>0.52712005906312043</v>
      </c>
      <c r="E54" s="425"/>
      <c r="F54" s="427" t="s">
        <v>409</v>
      </c>
      <c r="G54" s="426">
        <f ca="1">365*((I39+I31)/(J39+L31))/(H53-F53)</f>
        <v>5.9123036638192884E-2</v>
      </c>
      <c r="I54" s="429">
        <f>I39+I31</f>
        <v>554645.99959367618</v>
      </c>
    </row>
    <row r="55" spans="1:10" x14ac:dyDescent="0.2">
      <c r="I55" s="429">
        <f>E39+E32</f>
        <v>2235972.3550733002</v>
      </c>
    </row>
    <row r="56" spans="1:10" x14ac:dyDescent="0.2">
      <c r="C56" s="404" t="s">
        <v>2872</v>
      </c>
    </row>
    <row r="57" spans="1:10" x14ac:dyDescent="0.2">
      <c r="C57" s="404" t="s">
        <v>673</v>
      </c>
    </row>
    <row r="58" spans="1:10" x14ac:dyDescent="0.2">
      <c r="C58" s="404" t="s">
        <v>3239</v>
      </c>
    </row>
  </sheetData>
  <phoneticPr fontId="2" type="noConversion"/>
  <conditionalFormatting sqref="G54 G3:H31 G38:H52">
    <cfRule type="cellIs" dxfId="28" priority="1" stopIfTrue="1" operator="lessThan">
      <formula>0.1</formula>
    </cfRule>
  </conditionalFormatting>
  <conditionalFormatting sqref="K31 L3:L30">
    <cfRule type="cellIs" dxfId="27" priority="2" stopIfTrue="1" operator="greaterThan">
      <formula>0.135/1.9</formula>
    </cfRule>
    <cfRule type="cellIs" dxfId="26" priority="3" stopIfTrue="1" operator="lessThan">
      <formula>0</formula>
    </cfRule>
  </conditionalFormatting>
  <conditionalFormatting sqref="J3:J31">
    <cfRule type="cellIs" dxfId="25" priority="4" stopIfTrue="1" operator="greaterThanOrEqual">
      <formula>0.9</formula>
    </cfRule>
  </conditionalFormatting>
  <pageMargins left="0.75" right="0.75" top="1" bottom="1" header="0.5" footer="0.5"/>
  <pageSetup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4:J87"/>
  <sheetViews>
    <sheetView zoomScale="75" workbookViewId="0">
      <selection activeCell="C19" sqref="C19"/>
    </sheetView>
  </sheetViews>
  <sheetFormatPr defaultRowHeight="12.75" x14ac:dyDescent="0.2"/>
  <cols>
    <col min="1" max="1" width="12" bestFit="1" customWidth="1"/>
    <col min="2" max="2" width="10.28515625" customWidth="1"/>
    <col min="3" max="3" width="25.28515625" bestFit="1" customWidth="1"/>
    <col min="4" max="4" width="16" bestFit="1" customWidth="1"/>
    <col min="5" max="5" width="20" bestFit="1" customWidth="1"/>
    <col min="6" max="6" width="12" bestFit="1" customWidth="1"/>
    <col min="8" max="8" width="21.42578125" bestFit="1" customWidth="1"/>
    <col min="9" max="9" width="10" bestFit="1" customWidth="1"/>
  </cols>
  <sheetData>
    <row r="4" spans="1:10" ht="13.5" thickBot="1" x14ac:dyDescent="0.25">
      <c r="A4" s="85" t="s">
        <v>1375</v>
      </c>
      <c r="B4" s="85">
        <v>20</v>
      </c>
      <c r="C4" s="85">
        <v>685</v>
      </c>
      <c r="D4" s="456">
        <v>39594</v>
      </c>
      <c r="E4" s="457">
        <v>1400</v>
      </c>
      <c r="F4" s="458">
        <v>40430</v>
      </c>
    </row>
    <row r="5" spans="1:10" x14ac:dyDescent="0.2">
      <c r="A5" s="288" t="s">
        <v>1331</v>
      </c>
      <c r="B5" s="289"/>
      <c r="C5" s="290">
        <v>70</v>
      </c>
      <c r="D5" s="291">
        <v>39735</v>
      </c>
      <c r="E5" s="292">
        <f>50*37/C5</f>
        <v>26.428571428571427</v>
      </c>
      <c r="F5" s="293">
        <v>53</v>
      </c>
      <c r="G5" s="294">
        <v>39967</v>
      </c>
      <c r="H5" s="295">
        <f>LN(F5/E5)/((G5-D5)/365)</f>
        <v>1.0947580892160571</v>
      </c>
      <c r="I5" s="296">
        <f>(F5-E5)/E5</f>
        <v>1.0054054054054056</v>
      </c>
      <c r="J5" s="297">
        <f>(F5-E5)*C5</f>
        <v>1860</v>
      </c>
    </row>
    <row r="6" spans="1:10" x14ac:dyDescent="0.2">
      <c r="A6" s="298" t="s">
        <v>2258</v>
      </c>
      <c r="B6" s="16"/>
      <c r="C6" s="8">
        <v>100</v>
      </c>
      <c r="D6" s="123">
        <v>39735</v>
      </c>
      <c r="E6" s="255">
        <v>100</v>
      </c>
      <c r="F6" s="175">
        <v>116.5</v>
      </c>
      <c r="G6" s="176">
        <v>39967</v>
      </c>
      <c r="H6" s="174">
        <f>LN(F6/E6)/((G6-D6)/365)</f>
        <v>0.2402723998338247</v>
      </c>
      <c r="I6" s="102">
        <f>(F6-E6)/E6</f>
        <v>0.16500000000000001</v>
      </c>
      <c r="J6" s="299">
        <f>(F6-E6)*C6</f>
        <v>1650</v>
      </c>
    </row>
    <row r="7" spans="1:10" ht="32.25" customHeight="1" x14ac:dyDescent="0.2">
      <c r="A7" s="300" t="s">
        <v>1464</v>
      </c>
      <c r="B7" s="16" t="s">
        <v>4450</v>
      </c>
      <c r="C7" s="8">
        <v>20</v>
      </c>
      <c r="D7" s="123">
        <v>39591</v>
      </c>
      <c r="E7" s="23">
        <v>100</v>
      </c>
      <c r="F7" s="175">
        <v>125</v>
      </c>
      <c r="G7" s="176">
        <v>39967</v>
      </c>
      <c r="H7" s="174">
        <f>LN(F7/E7)/((G7-D7)/365)</f>
        <v>0.21661541550448554</v>
      </c>
      <c r="I7" s="102">
        <f>(F7-E7)/E7</f>
        <v>0.25</v>
      </c>
      <c r="J7" s="299">
        <f>(F7-E7)*C7</f>
        <v>500</v>
      </c>
    </row>
    <row r="8" spans="1:10" x14ac:dyDescent="0.2">
      <c r="A8" s="217"/>
      <c r="B8" s="61"/>
      <c r="C8" s="61"/>
      <c r="D8" s="61"/>
      <c r="E8" s="61"/>
      <c r="F8" s="61"/>
      <c r="G8" s="61"/>
      <c r="H8" s="61"/>
      <c r="I8" s="61"/>
      <c r="J8" s="218"/>
    </row>
    <row r="9" spans="1:10" x14ac:dyDescent="0.2">
      <c r="A9" s="217"/>
      <c r="B9" s="61"/>
      <c r="C9" s="61"/>
      <c r="D9" s="61"/>
      <c r="E9" s="61"/>
      <c r="F9" s="61"/>
      <c r="G9" s="61"/>
      <c r="H9" s="61"/>
      <c r="I9" s="61"/>
      <c r="J9" s="218"/>
    </row>
    <row r="10" spans="1:10" ht="63.75" x14ac:dyDescent="0.2">
      <c r="A10" s="22" t="s">
        <v>2519</v>
      </c>
      <c r="B10" s="144" t="s">
        <v>4362</v>
      </c>
      <c r="C10" s="32">
        <v>20</v>
      </c>
      <c r="D10" s="124">
        <v>38752</v>
      </c>
      <c r="E10" s="33">
        <v>1</v>
      </c>
      <c r="F10" s="49">
        <v>110</v>
      </c>
      <c r="G10" s="150">
        <v>39589</v>
      </c>
      <c r="H10" s="156">
        <f>LN(F10/E10)/((G10-D10)/365)</f>
        <v>2.0497913184160477</v>
      </c>
      <c r="I10" s="102">
        <f>(F10-E10)/E10</f>
        <v>109</v>
      </c>
      <c r="J10" s="299">
        <f>(F10-E10)*C10</f>
        <v>2180</v>
      </c>
    </row>
    <row r="11" spans="1:10" ht="51.75" thickBot="1" x14ac:dyDescent="0.25">
      <c r="A11" s="278" t="s">
        <v>1390</v>
      </c>
      <c r="B11" s="301" t="s">
        <v>4361</v>
      </c>
      <c r="C11" s="302">
        <v>20</v>
      </c>
      <c r="D11" s="303">
        <v>38750</v>
      </c>
      <c r="E11" s="304">
        <v>1</v>
      </c>
      <c r="F11" s="305">
        <v>590</v>
      </c>
      <c r="G11" s="306" t="s">
        <v>2282</v>
      </c>
      <c r="H11" s="307" t="e">
        <f>LN(F11/E11)/((G11-D11)/365)</f>
        <v>#VALUE!</v>
      </c>
      <c r="I11" s="308">
        <f>(F11-E11)/E11</f>
        <v>589</v>
      </c>
      <c r="J11" s="309">
        <f>(F11-E11)*C11</f>
        <v>11780</v>
      </c>
    </row>
    <row r="12" spans="1:10" x14ac:dyDescent="0.2">
      <c r="A12" s="61"/>
      <c r="B12" s="186"/>
      <c r="C12" s="24"/>
      <c r="D12" s="187"/>
      <c r="E12" s="188"/>
      <c r="F12" s="189"/>
      <c r="G12" s="190"/>
      <c r="H12" s="191"/>
      <c r="I12" s="184"/>
      <c r="J12" s="185"/>
    </row>
    <row r="13" spans="1:10" x14ac:dyDescent="0.2">
      <c r="A13" s="61"/>
      <c r="B13" s="186"/>
      <c r="C13" s="24"/>
      <c r="D13" s="187"/>
      <c r="E13" s="188"/>
      <c r="F13" s="189"/>
      <c r="G13" s="190"/>
      <c r="H13" s="191"/>
      <c r="I13" s="184"/>
      <c r="J13" s="185"/>
    </row>
    <row r="14" spans="1:10" x14ac:dyDescent="0.2">
      <c r="A14" s="61"/>
      <c r="B14" s="186"/>
      <c r="C14" s="24"/>
      <c r="D14" s="187"/>
      <c r="E14" s="188"/>
      <c r="F14" s="189"/>
      <c r="G14" s="190"/>
      <c r="H14" s="191"/>
      <c r="I14" s="184"/>
      <c r="J14" s="185"/>
    </row>
    <row r="15" spans="1:10" x14ac:dyDescent="0.2">
      <c r="A15" s="61"/>
      <c r="B15" s="186"/>
      <c r="C15" s="24"/>
      <c r="D15" s="187"/>
      <c r="E15" s="188"/>
      <c r="F15" s="189"/>
      <c r="G15" s="190"/>
      <c r="H15" s="191"/>
      <c r="I15" s="184"/>
      <c r="J15" s="185"/>
    </row>
    <row r="16" spans="1:10" ht="13.5" thickBot="1" x14ac:dyDescent="0.25">
      <c r="A16" s="34" t="s">
        <v>2278</v>
      </c>
      <c r="C16" s="26"/>
      <c r="D16" s="18"/>
    </row>
    <row r="17" spans="1:8" ht="12.75" customHeight="1" x14ac:dyDescent="0.2">
      <c r="A17" s="41"/>
      <c r="B17" s="42"/>
      <c r="C17" s="592" t="s">
        <v>2496</v>
      </c>
      <c r="D17" s="592"/>
      <c r="E17" s="596" t="s">
        <v>2274</v>
      </c>
    </row>
    <row r="18" spans="1:8" x14ac:dyDescent="0.2">
      <c r="C18" s="40" t="s">
        <v>3416</v>
      </c>
      <c r="D18" s="40" t="s">
        <v>5396</v>
      </c>
      <c r="E18" s="596"/>
    </row>
    <row r="19" spans="1:8" ht="33.75" x14ac:dyDescent="0.2">
      <c r="A19" s="36" t="s">
        <v>5394</v>
      </c>
      <c r="B19" s="36" t="s">
        <v>5395</v>
      </c>
      <c r="C19" s="37">
        <v>38264</v>
      </c>
      <c r="D19" s="12">
        <v>87.9</v>
      </c>
      <c r="E19" s="108" t="e">
        <f>#REF!*(#REF!-D19)</f>
        <v>#REF!</v>
      </c>
      <c r="H19" s="193"/>
    </row>
    <row r="20" spans="1:8" x14ac:dyDescent="0.2">
      <c r="A20" s="36" t="s">
        <v>3410</v>
      </c>
      <c r="B20" s="36"/>
      <c r="C20" s="37"/>
      <c r="D20" s="20"/>
      <c r="E20" s="108" t="e">
        <f>#REF!*(#REF!-D20)</f>
        <v>#REF!</v>
      </c>
      <c r="H20" s="194" t="s">
        <v>3484</v>
      </c>
    </row>
    <row r="21" spans="1:8" ht="33.75" x14ac:dyDescent="0.2">
      <c r="A21" s="36" t="s">
        <v>5394</v>
      </c>
      <c r="B21" s="36" t="s">
        <v>2279</v>
      </c>
      <c r="C21" s="37">
        <v>38257</v>
      </c>
      <c r="D21" s="20">
        <v>21.92</v>
      </c>
      <c r="E21" s="109" t="e">
        <f>#REF!*(#REF!-D21)</f>
        <v>#REF!</v>
      </c>
      <c r="H21" s="194"/>
    </row>
    <row r="22" spans="1:8" ht="33.75" x14ac:dyDescent="0.2">
      <c r="A22" s="36" t="s">
        <v>5394</v>
      </c>
      <c r="B22" s="36" t="s">
        <v>1959</v>
      </c>
      <c r="C22" s="37">
        <v>38257</v>
      </c>
      <c r="D22" s="20">
        <v>11.48</v>
      </c>
      <c r="E22" s="109" t="e">
        <f>#REF!*(#REF!-D22)</f>
        <v>#REF!</v>
      </c>
      <c r="H22" s="194"/>
    </row>
    <row r="23" spans="1:8" x14ac:dyDescent="0.2">
      <c r="A23" s="36" t="s">
        <v>1960</v>
      </c>
      <c r="B23" s="36" t="s">
        <v>1961</v>
      </c>
      <c r="C23" s="37">
        <v>38257</v>
      </c>
      <c r="D23" s="20">
        <v>20.3611</v>
      </c>
      <c r="E23" s="109" t="e">
        <f>#REF!*(#REF!-D23)</f>
        <v>#REF!</v>
      </c>
      <c r="H23" s="194"/>
    </row>
    <row r="24" spans="1:8" x14ac:dyDescent="0.2">
      <c r="A24" s="36" t="s">
        <v>1968</v>
      </c>
      <c r="B24" s="36"/>
      <c r="C24" s="37">
        <v>38078</v>
      </c>
      <c r="D24" s="20" t="e">
        <f>100000/#REF!</f>
        <v>#REF!</v>
      </c>
      <c r="E24" s="109" t="e">
        <f>#REF!*(#REF!-D24)</f>
        <v>#REF!</v>
      </c>
      <c r="H24" s="194"/>
    </row>
    <row r="25" spans="1:8" x14ac:dyDescent="0.2">
      <c r="A25" s="36" t="s">
        <v>1969</v>
      </c>
      <c r="B25" s="36" t="s">
        <v>1970</v>
      </c>
      <c r="C25" s="37">
        <v>38239</v>
      </c>
      <c r="D25" s="20">
        <v>10.225</v>
      </c>
      <c r="E25" s="108" t="e">
        <f>#REF!*(#REF!-D25)</f>
        <v>#REF!</v>
      </c>
      <c r="H25" s="194"/>
    </row>
    <row r="26" spans="1:8" x14ac:dyDescent="0.2">
      <c r="A26" s="36" t="s">
        <v>4018</v>
      </c>
      <c r="B26" s="36"/>
      <c r="C26" s="77">
        <v>38565</v>
      </c>
      <c r="D26" s="78">
        <v>360</v>
      </c>
      <c r="E26" s="108" t="e">
        <f>#REF!*(#REF!-D26)</f>
        <v>#REF!</v>
      </c>
      <c r="H26" s="194"/>
    </row>
    <row r="27" spans="1:8" ht="22.5" x14ac:dyDescent="0.2">
      <c r="A27" s="96" t="s">
        <v>2322</v>
      </c>
      <c r="B27" s="52" t="s">
        <v>4557</v>
      </c>
      <c r="C27" s="53">
        <v>38398</v>
      </c>
      <c r="D27" s="54">
        <v>10</v>
      </c>
      <c r="E27" s="108" t="e">
        <f>#REF!*(#REF!-D27)</f>
        <v>#REF!</v>
      </c>
      <c r="H27" s="194"/>
    </row>
    <row r="28" spans="1:8" ht="33.75" x14ac:dyDescent="0.2">
      <c r="A28" s="35" t="s">
        <v>2323</v>
      </c>
      <c r="B28" s="36" t="s">
        <v>2324</v>
      </c>
      <c r="C28" s="37">
        <v>38440</v>
      </c>
      <c r="D28" s="12">
        <v>10</v>
      </c>
      <c r="E28" s="108" t="e">
        <f>#REF!*(#REF!-D28)</f>
        <v>#REF!</v>
      </c>
      <c r="H28" s="194"/>
    </row>
    <row r="29" spans="1:8" ht="33.75" x14ac:dyDescent="0.2">
      <c r="A29" s="35" t="s">
        <v>2323</v>
      </c>
      <c r="B29" s="36" t="s">
        <v>2325</v>
      </c>
      <c r="C29" s="37">
        <v>38453</v>
      </c>
      <c r="D29" s="12">
        <v>10.130000000000001</v>
      </c>
      <c r="E29" s="108" t="e">
        <f>#REF!*(#REF!-D29)</f>
        <v>#REF!</v>
      </c>
      <c r="H29" s="194"/>
    </row>
    <row r="30" spans="1:8" ht="22.5" x14ac:dyDescent="0.2">
      <c r="A30" s="96" t="s">
        <v>2690</v>
      </c>
      <c r="B30" s="52" t="s">
        <v>1957</v>
      </c>
      <c r="C30" s="53">
        <v>38487</v>
      </c>
      <c r="D30" s="54">
        <v>10.225</v>
      </c>
      <c r="E30" s="108" t="e">
        <f>#REF!*(#REF!-D30)</f>
        <v>#REF!</v>
      </c>
      <c r="H30" s="194"/>
    </row>
    <row r="31" spans="1:8" ht="33.75" x14ac:dyDescent="0.2">
      <c r="A31" s="96" t="s">
        <v>5394</v>
      </c>
      <c r="B31" s="52" t="s">
        <v>1958</v>
      </c>
      <c r="C31" s="53">
        <v>38270</v>
      </c>
      <c r="D31" s="54">
        <v>34.84330674595455</v>
      </c>
      <c r="E31" s="108" t="e">
        <f>#REF!*(#REF!-D31)</f>
        <v>#REF!</v>
      </c>
      <c r="H31" s="194"/>
    </row>
    <row r="32" spans="1:8" x14ac:dyDescent="0.2">
      <c r="A32" s="96" t="s">
        <v>3415</v>
      </c>
      <c r="B32" s="52"/>
      <c r="C32" s="123">
        <v>38388</v>
      </c>
      <c r="D32" s="23">
        <v>160</v>
      </c>
      <c r="E32" s="108" t="e">
        <f>#REF!*(#REF!-D32)</f>
        <v>#REF!</v>
      </c>
      <c r="H32" s="194"/>
    </row>
    <row r="33" spans="1:8" ht="22.5" x14ac:dyDescent="0.2">
      <c r="A33" s="35" t="s">
        <v>4337</v>
      </c>
      <c r="B33" s="119" t="s">
        <v>3785</v>
      </c>
      <c r="C33" s="37">
        <v>38565</v>
      </c>
      <c r="D33" s="64">
        <v>300000</v>
      </c>
      <c r="E33" s="108" t="e">
        <f>#REF!*(#REF!-D33)</f>
        <v>#REF!</v>
      </c>
      <c r="F33" s="43" t="e">
        <f>D33/(#REF!+#REF!+#REF!)</f>
        <v>#REF!</v>
      </c>
      <c r="H33" s="194"/>
    </row>
    <row r="34" spans="1:8" x14ac:dyDescent="0.2">
      <c r="A34" s="22" t="s">
        <v>3414</v>
      </c>
      <c r="B34" s="32"/>
      <c r="C34" s="123">
        <v>38357</v>
      </c>
      <c r="D34" s="23">
        <v>471.94</v>
      </c>
      <c r="E34" s="108" t="e">
        <f>#REF!*(#REF!-D34)</f>
        <v>#REF!</v>
      </c>
      <c r="H34" s="194"/>
    </row>
    <row r="35" spans="1:8" x14ac:dyDescent="0.2">
      <c r="A35" s="31" t="s">
        <v>2498</v>
      </c>
      <c r="B35" s="36"/>
      <c r="C35" s="124">
        <v>38692</v>
      </c>
      <c r="D35" s="33">
        <v>545</v>
      </c>
      <c r="E35" s="108" t="e">
        <f>#REF!*(#REF!-D35)</f>
        <v>#REF!</v>
      </c>
      <c r="H35" s="194"/>
    </row>
    <row r="36" spans="1:8" x14ac:dyDescent="0.2">
      <c r="A36" s="36" t="s">
        <v>3412</v>
      </c>
      <c r="B36" s="1"/>
      <c r="C36" s="123">
        <v>38538</v>
      </c>
      <c r="D36" s="23">
        <v>994</v>
      </c>
      <c r="E36" s="108" t="e">
        <f>#REF!*(#REF!-D36)</f>
        <v>#REF!</v>
      </c>
      <c r="H36" s="194"/>
    </row>
    <row r="37" spans="1:8" x14ac:dyDescent="0.2">
      <c r="A37" s="36" t="s">
        <v>1249</v>
      </c>
      <c r="B37" s="106"/>
      <c r="C37" s="124">
        <v>38777</v>
      </c>
      <c r="D37" s="33">
        <v>62</v>
      </c>
      <c r="E37" s="108" t="e">
        <f>#REF!*(#REF!-D37)</f>
        <v>#REF!</v>
      </c>
      <c r="H37" s="194"/>
    </row>
    <row r="38" spans="1:8" ht="33.75" x14ac:dyDescent="0.2">
      <c r="A38" s="36" t="s">
        <v>5394</v>
      </c>
      <c r="B38" s="106" t="s">
        <v>5395</v>
      </c>
      <c r="C38" s="124">
        <v>38264</v>
      </c>
      <c r="D38" s="107">
        <v>87.9</v>
      </c>
      <c r="E38" s="108" t="e">
        <f>#REF!*(#REF!-D38)</f>
        <v>#REF!</v>
      </c>
      <c r="F38">
        <v>5.267882182248021E-2</v>
      </c>
      <c r="H38" s="194"/>
    </row>
    <row r="39" spans="1:8" ht="33.75" x14ac:dyDescent="0.2">
      <c r="A39" s="36" t="s">
        <v>5394</v>
      </c>
      <c r="B39" s="106" t="s">
        <v>2275</v>
      </c>
      <c r="C39" s="124">
        <v>38575</v>
      </c>
      <c r="D39" s="107">
        <v>15.43</v>
      </c>
      <c r="E39" s="108" t="e">
        <f>#REF!*(#REF!-D39)</f>
        <v>#REF!</v>
      </c>
      <c r="F39">
        <v>4.2870639867426757E-2</v>
      </c>
      <c r="H39" s="194"/>
    </row>
    <row r="40" spans="1:8" ht="33.75" x14ac:dyDescent="0.2">
      <c r="A40" s="36" t="s">
        <v>5394</v>
      </c>
      <c r="B40" s="106" t="s">
        <v>2276</v>
      </c>
      <c r="C40" s="124">
        <v>38413</v>
      </c>
      <c r="D40" s="107">
        <v>10</v>
      </c>
      <c r="E40" s="108" t="e">
        <f>#REF!*(#REF!-D40)</f>
        <v>#REF!</v>
      </c>
      <c r="F40">
        <v>5.5352312070683751E-2</v>
      </c>
      <c r="H40" s="194"/>
    </row>
    <row r="41" spans="1:8" ht="22.5" x14ac:dyDescent="0.2">
      <c r="A41" s="36" t="s">
        <v>1369</v>
      </c>
      <c r="B41" s="106" t="s">
        <v>1370</v>
      </c>
      <c r="C41" s="87">
        <v>37803</v>
      </c>
      <c r="D41" s="128" t="e">
        <f>(833*36)/#REF!</f>
        <v>#REF!</v>
      </c>
      <c r="E41" s="108" t="e">
        <f>#REF!*(#REF!-D41)</f>
        <v>#REF!</v>
      </c>
      <c r="H41" s="194"/>
    </row>
    <row r="42" spans="1:8" ht="33.75" x14ac:dyDescent="0.2">
      <c r="A42" s="119" t="s">
        <v>5394</v>
      </c>
      <c r="B42" s="120" t="s">
        <v>1371</v>
      </c>
      <c r="C42" s="121">
        <v>38413</v>
      </c>
      <c r="D42" s="122">
        <v>10</v>
      </c>
      <c r="E42" s="108" t="e">
        <f>#REF!*(#REF!-D42)</f>
        <v>#REF!</v>
      </c>
      <c r="H42" s="194"/>
    </row>
    <row r="43" spans="1:8" ht="22.5" x14ac:dyDescent="0.2">
      <c r="A43" s="129" t="s">
        <v>4337</v>
      </c>
      <c r="B43" s="130" t="s">
        <v>1963</v>
      </c>
      <c r="C43" s="117">
        <v>38573</v>
      </c>
      <c r="D43" s="104" t="e">
        <f>9000/#REF!</f>
        <v>#REF!</v>
      </c>
      <c r="E43" s="108" t="e">
        <f>#REF!*(#REF!-D43)</f>
        <v>#REF!</v>
      </c>
      <c r="F43" s="43" t="e">
        <f>(#REF!*#REF!)/(#REF!+#REF!+#REF!)</f>
        <v>#REF!</v>
      </c>
      <c r="H43" s="194"/>
    </row>
    <row r="44" spans="1:8" ht="34.5" thickBot="1" x14ac:dyDescent="0.25">
      <c r="A44" s="131" t="s">
        <v>5394</v>
      </c>
      <c r="B44" s="132" t="s">
        <v>1962</v>
      </c>
      <c r="C44" s="118">
        <v>38573</v>
      </c>
      <c r="D44" s="105" t="e">
        <f>9000/#REF!</f>
        <v>#REF!</v>
      </c>
      <c r="E44" s="108" t="e">
        <f>#REF!*(#REF!-D44)</f>
        <v>#REF!</v>
      </c>
      <c r="F44" s="97" t="e">
        <f>(#REF!*#REF!)/(#REF!+#REF!+#REF!)</f>
        <v>#REF!</v>
      </c>
      <c r="H44" s="194"/>
    </row>
    <row r="45" spans="1:8" x14ac:dyDescent="0.2">
      <c r="A45" s="36"/>
      <c r="B45" s="106"/>
      <c r="C45" s="124"/>
      <c r="D45" s="107"/>
      <c r="E45" s="108" t="e">
        <f>#REF!*(#REF!-D45)</f>
        <v>#REF!</v>
      </c>
      <c r="H45" s="194"/>
    </row>
    <row r="46" spans="1:8" x14ac:dyDescent="0.2">
      <c r="A46" s="36"/>
      <c r="B46" s="106"/>
      <c r="C46" s="123"/>
      <c r="D46" s="107"/>
      <c r="E46" s="108" t="e">
        <f>#REF!*(#REF!-D46)</f>
        <v>#REF!</v>
      </c>
      <c r="H46" s="194"/>
    </row>
    <row r="47" spans="1:8" x14ac:dyDescent="0.2">
      <c r="A47" s="36"/>
      <c r="B47" s="106"/>
      <c r="C47" s="123"/>
      <c r="D47" s="107"/>
      <c r="E47" s="108" t="e">
        <f>#REF!*(#REF!-D47)</f>
        <v>#REF!</v>
      </c>
      <c r="H47" s="194"/>
    </row>
    <row r="48" spans="1:8" ht="13.5" thickBot="1" x14ac:dyDescent="0.25">
      <c r="A48" s="45" t="s">
        <v>115</v>
      </c>
      <c r="B48" s="46"/>
      <c r="C48" s="47"/>
      <c r="D48" s="48" t="e">
        <f>SUMPRODUCT(D19:D47,#REF!)</f>
        <v>#REF!</v>
      </c>
      <c r="E48" s="110" t="e">
        <f>SUM(E19:E47)</f>
        <v>#REF!</v>
      </c>
      <c r="H48" s="194"/>
    </row>
    <row r="49" spans="1:10" x14ac:dyDescent="0.2">
      <c r="A49" s="34" t="s">
        <v>2499</v>
      </c>
      <c r="C49" s="26"/>
      <c r="D49" s="18"/>
      <c r="F49" s="26"/>
    </row>
    <row r="50" spans="1:10" ht="21" customHeight="1" x14ac:dyDescent="0.2">
      <c r="A50" s="592"/>
      <c r="B50" s="592"/>
      <c r="C50" s="592" t="s">
        <v>2115</v>
      </c>
      <c r="D50" s="592"/>
      <c r="E50" s="592"/>
      <c r="F50" s="592" t="s">
        <v>2116</v>
      </c>
      <c r="G50" s="592"/>
      <c r="H50" s="593" t="s">
        <v>1964</v>
      </c>
      <c r="I50" s="38" t="s">
        <v>1966</v>
      </c>
      <c r="J50" s="592" t="s">
        <v>2274</v>
      </c>
    </row>
    <row r="51" spans="1:10" x14ac:dyDescent="0.2">
      <c r="A51" s="592"/>
      <c r="B51" s="592"/>
      <c r="C51" s="40" t="s">
        <v>3416</v>
      </c>
      <c r="D51" s="40" t="s">
        <v>2500</v>
      </c>
      <c r="E51" s="592"/>
      <c r="F51" s="40" t="s">
        <v>3416</v>
      </c>
      <c r="G51" s="40" t="s">
        <v>2500</v>
      </c>
      <c r="H51" s="594"/>
      <c r="I51" s="39" t="s">
        <v>1967</v>
      </c>
      <c r="J51" s="592"/>
    </row>
    <row r="52" spans="1:10" x14ac:dyDescent="0.2">
      <c r="A52" s="1" t="s">
        <v>2499</v>
      </c>
      <c r="B52" s="1"/>
      <c r="C52" s="37">
        <v>37327</v>
      </c>
      <c r="D52" s="20">
        <f>224913+9931</f>
        <v>234844</v>
      </c>
      <c r="E52" s="1"/>
      <c r="F52" s="37">
        <v>38898</v>
      </c>
      <c r="G52" s="65">
        <f>D52+8515+193957</f>
        <v>437316</v>
      </c>
      <c r="H52" s="50">
        <f>((G52-D52)/D52)/((F52-C52)/365)</f>
        <v>0.20030979352616765</v>
      </c>
      <c r="I52" s="50">
        <f>(G52-D52)/D52</f>
        <v>0.86215530309482036</v>
      </c>
      <c r="J52" s="29">
        <v>0</v>
      </c>
    </row>
    <row r="53" spans="1:10" x14ac:dyDescent="0.2">
      <c r="A53" s="136"/>
      <c r="B53" s="62"/>
      <c r="C53" s="137"/>
      <c r="D53" s="138"/>
      <c r="E53" s="139"/>
      <c r="H53" s="194"/>
    </row>
    <row r="54" spans="1:10" x14ac:dyDescent="0.2">
      <c r="A54" s="136"/>
      <c r="B54" s="62"/>
      <c r="C54" s="137"/>
      <c r="D54" s="138"/>
      <c r="E54" s="139"/>
      <c r="H54" s="194"/>
    </row>
    <row r="55" spans="1:10" x14ac:dyDescent="0.2">
      <c r="A55" s="85" t="s">
        <v>2501</v>
      </c>
      <c r="H55" s="194"/>
    </row>
    <row r="56" spans="1:10" ht="24" x14ac:dyDescent="0.2">
      <c r="A56" s="9" t="s">
        <v>3416</v>
      </c>
      <c r="B56" s="9" t="s">
        <v>3417</v>
      </c>
      <c r="C56" s="9" t="s">
        <v>3418</v>
      </c>
      <c r="D56" s="9" t="s">
        <v>3419</v>
      </c>
      <c r="E56" s="9" t="s">
        <v>3420</v>
      </c>
      <c r="F56" s="9" t="s">
        <v>3421</v>
      </c>
      <c r="H56" s="194"/>
    </row>
    <row r="57" spans="1:10" ht="25.5" x14ac:dyDescent="0.2">
      <c r="A57" s="10">
        <v>38583</v>
      </c>
      <c r="B57" s="11" t="s">
        <v>3422</v>
      </c>
      <c r="C57" s="11" t="s">
        <v>3423</v>
      </c>
      <c r="D57" s="12">
        <v>85</v>
      </c>
      <c r="E57" s="13">
        <v>2005159</v>
      </c>
      <c r="F57" s="13" t="s">
        <v>4723</v>
      </c>
      <c r="H57" s="194"/>
    </row>
    <row r="58" spans="1:10" ht="25.5" x14ac:dyDescent="0.2">
      <c r="A58" s="10">
        <v>38580</v>
      </c>
      <c r="B58" s="11" t="s">
        <v>4019</v>
      </c>
      <c r="C58" s="11" t="s">
        <v>4724</v>
      </c>
      <c r="D58" s="12">
        <v>50</v>
      </c>
      <c r="E58" s="13">
        <v>2005156</v>
      </c>
      <c r="F58" s="13" t="s">
        <v>4723</v>
      </c>
      <c r="H58" s="194"/>
    </row>
    <row r="59" spans="1:10" ht="25.5" x14ac:dyDescent="0.2">
      <c r="A59" s="10">
        <v>38537</v>
      </c>
      <c r="B59" s="11" t="s">
        <v>4725</v>
      </c>
      <c r="C59" s="11" t="s">
        <v>4724</v>
      </c>
      <c r="D59" s="12">
        <v>50</v>
      </c>
      <c r="E59" s="13">
        <v>2005127</v>
      </c>
      <c r="F59" s="13" t="s">
        <v>4723</v>
      </c>
      <c r="H59" s="194"/>
    </row>
    <row r="60" spans="1:10" ht="25.5" x14ac:dyDescent="0.2">
      <c r="A60" s="10">
        <v>38537</v>
      </c>
      <c r="B60" s="11" t="s">
        <v>3412</v>
      </c>
      <c r="C60" s="11" t="s">
        <v>3423</v>
      </c>
      <c r="D60" s="12">
        <v>52</v>
      </c>
      <c r="E60" s="13">
        <v>2005127</v>
      </c>
      <c r="F60" s="13" t="s">
        <v>4723</v>
      </c>
      <c r="H60" s="194"/>
    </row>
    <row r="61" spans="1:10" ht="25.5" x14ac:dyDescent="0.2">
      <c r="A61" s="10">
        <v>38407</v>
      </c>
      <c r="B61" s="11" t="s">
        <v>4726</v>
      </c>
      <c r="C61" s="11" t="s">
        <v>3423</v>
      </c>
      <c r="D61" s="12">
        <v>40</v>
      </c>
      <c r="E61" s="13">
        <v>200405232</v>
      </c>
      <c r="F61" s="13" t="s">
        <v>4723</v>
      </c>
      <c r="H61" s="194"/>
    </row>
    <row r="62" spans="1:10" ht="25.5" x14ac:dyDescent="0.2">
      <c r="A62" s="10">
        <v>38380</v>
      </c>
      <c r="B62" s="11" t="s">
        <v>4727</v>
      </c>
      <c r="C62" s="11" t="s">
        <v>3423</v>
      </c>
      <c r="D62" s="12">
        <v>100</v>
      </c>
      <c r="E62" s="13">
        <v>200405213</v>
      </c>
      <c r="F62" s="13" t="s">
        <v>4723</v>
      </c>
      <c r="H62" s="194"/>
    </row>
    <row r="63" spans="1:10" ht="25.5" x14ac:dyDescent="0.2">
      <c r="A63" s="10">
        <v>38278</v>
      </c>
      <c r="B63" s="11" t="s">
        <v>4019</v>
      </c>
      <c r="C63" s="11" t="s">
        <v>3423</v>
      </c>
      <c r="D63" s="12">
        <v>50</v>
      </c>
      <c r="E63" s="13">
        <v>2004201</v>
      </c>
      <c r="F63" s="13" t="s">
        <v>4723</v>
      </c>
      <c r="H63" s="194"/>
    </row>
    <row r="64" spans="1:10" ht="25.5" x14ac:dyDescent="0.2">
      <c r="A64" s="10">
        <v>38258</v>
      </c>
      <c r="B64" s="11" t="s">
        <v>3422</v>
      </c>
      <c r="C64" s="11" t="s">
        <v>3423</v>
      </c>
      <c r="D64" s="12">
        <v>50</v>
      </c>
      <c r="E64" s="13">
        <v>2004188</v>
      </c>
      <c r="F64" s="13" t="s">
        <v>4723</v>
      </c>
      <c r="H64" s="194"/>
    </row>
    <row r="65" spans="1:8" ht="25.5" x14ac:dyDescent="0.2">
      <c r="A65" s="10">
        <v>38138</v>
      </c>
      <c r="B65" s="11" t="s">
        <v>4725</v>
      </c>
      <c r="C65" s="11" t="s">
        <v>3423</v>
      </c>
      <c r="D65" s="12">
        <v>50</v>
      </c>
      <c r="E65" s="13">
        <v>2004102</v>
      </c>
      <c r="F65" s="13" t="s">
        <v>4723</v>
      </c>
      <c r="H65" s="194"/>
    </row>
    <row r="66" spans="1:8" x14ac:dyDescent="0.2">
      <c r="A66" s="595" t="s">
        <v>115</v>
      </c>
      <c r="B66" s="595"/>
      <c r="C66" s="595"/>
      <c r="D66" s="595"/>
      <c r="E66" s="148"/>
      <c r="F66" s="148"/>
      <c r="H66" s="194"/>
    </row>
    <row r="67" spans="1:8" x14ac:dyDescent="0.2">
      <c r="H67" s="194"/>
    </row>
    <row r="68" spans="1:8" x14ac:dyDescent="0.2">
      <c r="H68" s="194"/>
    </row>
    <row r="69" spans="1:8" x14ac:dyDescent="0.2">
      <c r="A69" s="85" t="s">
        <v>4337</v>
      </c>
      <c r="H69" s="194"/>
    </row>
    <row r="70" spans="1:8" x14ac:dyDescent="0.2">
      <c r="A70" s="17" t="s">
        <v>4728</v>
      </c>
      <c r="B70" s="17" t="s">
        <v>3148</v>
      </c>
      <c r="C70" s="17" t="s">
        <v>3149</v>
      </c>
      <c r="D70" s="17" t="s">
        <v>3157</v>
      </c>
      <c r="E70" s="17"/>
      <c r="H70" s="194"/>
    </row>
    <row r="71" spans="1:8" x14ac:dyDescent="0.2">
      <c r="A71" s="1" t="s">
        <v>3158</v>
      </c>
      <c r="B71" s="15">
        <v>38449</v>
      </c>
      <c r="C71" s="16" t="s">
        <v>3159</v>
      </c>
      <c r="D71" s="1" t="s">
        <v>3160</v>
      </c>
      <c r="E71" s="1"/>
      <c r="H71" s="194"/>
    </row>
    <row r="72" spans="1:8" ht="25.5" x14ac:dyDescent="0.2">
      <c r="A72" s="1" t="s">
        <v>3161</v>
      </c>
      <c r="B72" s="15">
        <v>38449</v>
      </c>
      <c r="C72" s="16" t="s">
        <v>3162</v>
      </c>
      <c r="D72" s="1" t="s">
        <v>3163</v>
      </c>
      <c r="E72" s="1"/>
      <c r="H72" s="194"/>
    </row>
    <row r="73" spans="1:8" x14ac:dyDescent="0.2">
      <c r="A73" s="1" t="s">
        <v>3164</v>
      </c>
      <c r="B73" s="15">
        <v>38449</v>
      </c>
      <c r="C73" s="16" t="s">
        <v>3165</v>
      </c>
      <c r="D73" s="1"/>
      <c r="E73" s="1"/>
      <c r="H73" s="194"/>
    </row>
    <row r="74" spans="1:8" ht="25.5" x14ac:dyDescent="0.2">
      <c r="A74" s="1" t="s">
        <v>3166</v>
      </c>
      <c r="B74" s="15">
        <v>38449</v>
      </c>
      <c r="C74" s="16" t="s">
        <v>3167</v>
      </c>
      <c r="D74" s="1"/>
      <c r="E74" s="1"/>
      <c r="H74" s="194"/>
    </row>
    <row r="75" spans="1:8" ht="25.5" x14ac:dyDescent="0.2">
      <c r="A75" s="1" t="s">
        <v>3168</v>
      </c>
      <c r="B75" s="15">
        <v>38479</v>
      </c>
      <c r="C75" s="16" t="s">
        <v>4795</v>
      </c>
      <c r="D75" s="1"/>
      <c r="E75" s="1"/>
      <c r="H75" s="194"/>
    </row>
    <row r="76" spans="1:8" ht="25.5" x14ac:dyDescent="0.2">
      <c r="A76" s="1" t="s">
        <v>4796</v>
      </c>
      <c r="B76" s="1" t="s">
        <v>4797</v>
      </c>
      <c r="C76" s="16" t="s">
        <v>2571</v>
      </c>
      <c r="D76" s="1" t="s">
        <v>2572</v>
      </c>
      <c r="E76" s="1"/>
      <c r="H76" s="194"/>
    </row>
    <row r="77" spans="1:8" x14ac:dyDescent="0.2">
      <c r="A77" s="1" t="s">
        <v>2573</v>
      </c>
      <c r="B77" s="1" t="s">
        <v>4797</v>
      </c>
      <c r="C77" s="16" t="s">
        <v>2574</v>
      </c>
      <c r="D77" s="1"/>
      <c r="E77" s="1"/>
      <c r="H77" s="194"/>
    </row>
    <row r="78" spans="1:8" ht="25.5" x14ac:dyDescent="0.2">
      <c r="A78" s="1" t="s">
        <v>2575</v>
      </c>
      <c r="B78" s="1" t="s">
        <v>4797</v>
      </c>
      <c r="C78" s="16" t="s">
        <v>769</v>
      </c>
      <c r="D78" s="1"/>
      <c r="E78" s="1"/>
      <c r="H78" s="194"/>
    </row>
    <row r="79" spans="1:8" ht="25.5" x14ac:dyDescent="0.2">
      <c r="A79" s="1" t="s">
        <v>770</v>
      </c>
      <c r="B79" s="1" t="s">
        <v>771</v>
      </c>
      <c r="C79" s="16" t="s">
        <v>4795</v>
      </c>
      <c r="D79" s="1"/>
      <c r="E79" s="1"/>
      <c r="H79" s="194"/>
    </row>
    <row r="80" spans="1:8" ht="25.5" x14ac:dyDescent="0.2">
      <c r="A80" s="1" t="s">
        <v>3160</v>
      </c>
      <c r="B80" s="1" t="s">
        <v>772</v>
      </c>
      <c r="C80" s="16" t="s">
        <v>773</v>
      </c>
      <c r="D80" s="1" t="s">
        <v>774</v>
      </c>
      <c r="E80" s="1"/>
      <c r="H80" s="194"/>
    </row>
    <row r="81" spans="1:5" ht="25.5" x14ac:dyDescent="0.2">
      <c r="A81" s="1" t="s">
        <v>775</v>
      </c>
      <c r="B81" s="1" t="s">
        <v>772</v>
      </c>
      <c r="C81" s="16" t="s">
        <v>4330</v>
      </c>
      <c r="D81" s="1"/>
      <c r="E81" s="1"/>
    </row>
    <row r="82" spans="1:5" x14ac:dyDescent="0.2">
      <c r="A82" s="1" t="s">
        <v>4331</v>
      </c>
      <c r="B82" s="1" t="s">
        <v>772</v>
      </c>
      <c r="C82" s="16" t="s">
        <v>4332</v>
      </c>
      <c r="D82" s="1"/>
      <c r="E82" s="1"/>
    </row>
    <row r="83" spans="1:5" ht="25.5" x14ac:dyDescent="0.2">
      <c r="A83" s="1" t="s">
        <v>4333</v>
      </c>
      <c r="B83" s="1" t="s">
        <v>4334</v>
      </c>
      <c r="C83" s="16" t="s">
        <v>4795</v>
      </c>
      <c r="D83" s="1"/>
      <c r="E83" s="1"/>
    </row>
    <row r="84" spans="1:5" x14ac:dyDescent="0.2">
      <c r="A84" s="29"/>
      <c r="B84" s="30">
        <v>38637</v>
      </c>
      <c r="C84" s="29" t="s">
        <v>3460</v>
      </c>
      <c r="D84" s="29">
        <v>100</v>
      </c>
      <c r="E84" s="29"/>
    </row>
    <row r="85" spans="1:5" x14ac:dyDescent="0.2">
      <c r="A85" s="1"/>
      <c r="B85" s="30">
        <v>38637</v>
      </c>
      <c r="C85" s="1" t="s">
        <v>3412</v>
      </c>
      <c r="D85" s="1">
        <v>50</v>
      </c>
      <c r="E85" s="1"/>
    </row>
    <row r="86" spans="1:5" x14ac:dyDescent="0.2">
      <c r="A86" s="1"/>
      <c r="B86" s="1"/>
      <c r="C86" s="1"/>
      <c r="D86" s="1"/>
      <c r="E86" s="1"/>
    </row>
    <row r="87" spans="1:5" x14ac:dyDescent="0.2">
      <c r="A87" s="1"/>
      <c r="B87" s="1"/>
      <c r="C87" s="1"/>
      <c r="D87" s="1"/>
      <c r="E87" s="1"/>
    </row>
  </sheetData>
  <mergeCells count="10">
    <mergeCell ref="F50:G50"/>
    <mergeCell ref="H50:H51"/>
    <mergeCell ref="J50:J51"/>
    <mergeCell ref="A66:D66"/>
    <mergeCell ref="E17:E18"/>
    <mergeCell ref="C17:D17"/>
    <mergeCell ref="A50:A51"/>
    <mergeCell ref="B50:B51"/>
    <mergeCell ref="C50:D50"/>
    <mergeCell ref="E50:E51"/>
  </mergeCells>
  <phoneticPr fontId="2" type="noConversion"/>
  <conditionalFormatting sqref="E19:E47 H10:I15 H52:I52 H5:I7">
    <cfRule type="cellIs" dxfId="24" priority="1" stopIfTrue="1" operator="lessThan">
      <formula>0.1</formula>
    </cfRule>
  </conditionalFormatting>
  <hyperlinks>
    <hyperlink ref="E57" r:id="rId1" display="https://secure.icicidirect.com/trading/equity/trading_view_transaction.asp?FML_MTCH_ACCNT=8500359427&amp;FML_XCHNG_CD=NSE&amp;FML_SEG_CD=N&amp;FML_STTLMNT=2005159&amp;check=22120889&amp;x="/>
    <hyperlink ref="F57" r:id="rId2" display="https://secure.icicidirect.com/trading/equity/trading_view_transaction.asp?FML_STCK_CD=WIPRO&amp;FML_MTCH_ACCNT=8500359427&amp;FML_XCHNG_CD=NSE&amp;FML_SEG_CD=N&amp;FML_STTLMNT=2005159&amp;check=22120889&amp;x="/>
    <hyperlink ref="E58" r:id="rId3" display="https://secure.icicidirect.com/trading/equity/trading_view_transaction.asp?FML_MTCH_ACCNT=8500359427&amp;FML_XCHNG_CD=NSE&amp;FML_SEG_CD=N&amp;FML_STTLMNT=2005156&amp;check=22120889&amp;x="/>
    <hyperlink ref="F58" r:id="rId4" display="https://secure.icicidirect.com/trading/equity/trading_view_transaction.asp?FML_STCK_CD=TCS&amp;FML_MTCH_ACCNT=8500359427&amp;FML_XCHNG_CD=NSE&amp;FML_SEG_CD=N&amp;FML_STTLMNT=2005156&amp;check=22120889&amp;x="/>
    <hyperlink ref="E59" r:id="rId5" display="https://secure.icicidirect.com/trading/equity/trading_view_transaction.asp?FML_MTCH_ACCNT=8500359427&amp;FML_XCHNG_CD=NSE&amp;FML_SEG_CD=N&amp;FML_STTLMNT=2005127&amp;check=22120889&amp;x="/>
    <hyperlink ref="F59" r:id="rId6" display="https://secure.icicidirect.com/trading/equity/trading_view_transaction.asp?FML_STCK_CD=POLSOF&amp;FML_MTCH_ACCNT=8500359427&amp;FML_XCHNG_CD=NSE&amp;FML_SEG_CD=N&amp;FML_STTLMNT=2005127&amp;check=22120889&amp;x="/>
    <hyperlink ref="E60" r:id="rId7" display="https://secure.icicidirect.com/trading/equity/trading_view_transaction.asp?FML_MTCH_ACCNT=8500359427&amp;FML_XCHNG_CD=NSE&amp;FML_SEG_CD=N&amp;FML_STTLMNT=2005127&amp;check=22120889&amp;x="/>
    <hyperlink ref="F60" r:id="rId8" display="https://secure.icicidirect.com/trading/equity/trading_view_transaction.asp?FML_STCK_CD=ONGC&amp;FML_MTCH_ACCNT=8500359427&amp;FML_XCHNG_CD=NSE&amp;FML_SEG_CD=N&amp;FML_STTLMNT=2005127&amp;check=22120889&amp;x="/>
    <hyperlink ref="E61" r:id="rId9" display="https://secure.icicidirect.com/trading/equity/trading_view_transaction.asp?FML_MTCH_ACCNT=8500359427&amp;FML_XCHNG_CD=BSE&amp;FML_SEG_CD=N&amp;FML_STTLMNT=200405232&amp;check=22120889&amp;x="/>
    <hyperlink ref="F61" r:id="rId10" display="https://secure.icicidirect.com/trading/equity/trading_view_transaction.asp?FML_STCK_CD=APTECH&amp;FML_MTCH_ACCNT=8500359427&amp;FML_XCHNG_CD=BSE&amp;FML_SEG_CD=N&amp;FML_STTLMNT=200405232&amp;check=22120889&amp;x="/>
    <hyperlink ref="E62" r:id="rId11" display="https://secure.icicidirect.com/trading/equity/trading_view_transaction.asp?FML_MTCH_ACCNT=8500359427&amp;FML_XCHNG_CD=BSE&amp;FML_SEG_CD=N&amp;FML_STTLMNT=200405213&amp;check=22120889&amp;x="/>
    <hyperlink ref="F62" r:id="rId12" display="https://secure.icicidirect.com/trading/equity/trading_view_transaction.asp?FML_STCK_CD=BIOCON&amp;FML_MTCH_ACCNT=8500359427&amp;FML_XCHNG_CD=BSE&amp;FML_SEG_CD=N&amp;FML_STTLMNT=200405213&amp;check=22120889&amp;x="/>
    <hyperlink ref="E63" r:id="rId13" display="https://secure.icicidirect.com/trading/equity/trading_view_transaction.asp?FML_MTCH_ACCNT=8500359427&amp;FML_XCHNG_CD=NSE&amp;FML_SEG_CD=N&amp;FML_STTLMNT=2004201&amp;check=22120889&amp;x="/>
    <hyperlink ref="F63" r:id="rId14" display="https://secure.icicidirect.com/trading/equity/trading_view_transaction.asp?FML_STCK_CD=TCS&amp;FML_MTCH_ACCNT=8500359427&amp;FML_XCHNG_CD=NSE&amp;FML_SEG_CD=N&amp;FML_STTLMNT=2004201&amp;check=22120889&amp;x="/>
    <hyperlink ref="E64" r:id="rId15" display="https://secure.icicidirect.com/trading/equity/trading_view_transaction.asp?FML_MTCH_ACCNT=8500359427&amp;FML_XCHNG_CD=NSE&amp;FML_SEG_CD=N&amp;FML_STTLMNT=2004188&amp;check=22120889&amp;x="/>
    <hyperlink ref="F64" r:id="rId16" display="https://secure.icicidirect.com/trading/equity/trading_view_transaction.asp?FML_STCK_CD=WIPRO&amp;FML_MTCH_ACCNT=8500359427&amp;FML_XCHNG_CD=NSE&amp;FML_SEG_CD=N&amp;FML_STTLMNT=2004188&amp;check=22120889&amp;x="/>
    <hyperlink ref="E65" r:id="rId17" display="https://secure.icicidirect.com/trading/equity/trading_view_transaction.asp?FML_MTCH_ACCNT=8500359427&amp;FML_XCHNG_CD=NSE&amp;FML_SEG_CD=N&amp;FML_STTLMNT=2004102&amp;check=22120889&amp;x="/>
    <hyperlink ref="F65" r:id="rId18" display="https://secure.icicidirect.com/trading/equity/trading_view_transaction.asp?FML_STCK_CD=POLSOF&amp;FML_MTCH_ACCNT=8500359427&amp;FML_XCHNG_CD=NSE&amp;FML_SEG_CD=N&amp;FML_STTLMNT=2004102&amp;check=22120889&amp;x="/>
  </hyperlinks>
  <pageMargins left="0.75" right="0.75" top="1" bottom="1" header="0.5" footer="0.5"/>
  <pageSetup orientation="portrait" r:id="rId19"/>
  <headerFooter alignWithMargins="0"/>
  <drawing r:id="rId20"/>
  <legacyDrawing r:id="rId21"/>
  <controls>
    <mc:AlternateContent xmlns:mc="http://schemas.openxmlformats.org/markup-compatibility/2006">
      <mc:Choice Requires="x14">
        <control shapeId="2067" r:id="rId22" name="Control 19">
          <controlPr defaultSize="0" autoPict="0" r:id="rId23">
            <anchor moveWithCells="1">
              <from>
                <xdr:col>6</xdr:col>
                <xdr:colOff>609600</xdr:colOff>
                <xdr:row>12</xdr:row>
                <xdr:rowOff>104775</xdr:rowOff>
              </from>
              <to>
                <xdr:col>7</xdr:col>
                <xdr:colOff>685800</xdr:colOff>
                <xdr:row>13</xdr:row>
                <xdr:rowOff>114300</xdr:rowOff>
              </to>
            </anchor>
          </controlPr>
        </control>
      </mc:Choice>
      <mc:Fallback>
        <control shapeId="2067" r:id="rId22" name="Control 19"/>
      </mc:Fallback>
    </mc:AlternateContent>
    <mc:AlternateContent xmlns:mc="http://schemas.openxmlformats.org/markup-compatibility/2006">
      <mc:Choice Requires="x14">
        <control shapeId="2066" r:id="rId24" name="Control 18">
          <controlPr defaultSize="0" autoPict="0" r:id="rId25">
            <anchor moveWithCells="1">
              <from>
                <xdr:col>6</xdr:col>
                <xdr:colOff>609600</xdr:colOff>
                <xdr:row>12</xdr:row>
                <xdr:rowOff>104775</xdr:rowOff>
              </from>
              <to>
                <xdr:col>7</xdr:col>
                <xdr:colOff>685800</xdr:colOff>
                <xdr:row>13</xdr:row>
                <xdr:rowOff>114300</xdr:rowOff>
              </to>
            </anchor>
          </controlPr>
        </control>
      </mc:Choice>
      <mc:Fallback>
        <control shapeId="2066" r:id="rId24" name="Control 18"/>
      </mc:Fallback>
    </mc:AlternateContent>
    <mc:AlternateContent xmlns:mc="http://schemas.openxmlformats.org/markup-compatibility/2006">
      <mc:Choice Requires="x14">
        <control shapeId="2065" r:id="rId26" name="Control 17">
          <controlPr defaultSize="0" autoPict="0" r:id="rId27">
            <anchor moveWithCells="1">
              <from>
                <xdr:col>6</xdr:col>
                <xdr:colOff>609600</xdr:colOff>
                <xdr:row>12</xdr:row>
                <xdr:rowOff>104775</xdr:rowOff>
              </from>
              <to>
                <xdr:col>7</xdr:col>
                <xdr:colOff>190500</xdr:colOff>
                <xdr:row>13</xdr:row>
                <xdr:rowOff>133350</xdr:rowOff>
              </to>
            </anchor>
          </controlPr>
        </control>
      </mc:Choice>
      <mc:Fallback>
        <control shapeId="2065" r:id="rId26" name="Control 17"/>
      </mc:Fallback>
    </mc:AlternateContent>
    <mc:AlternateContent xmlns:mc="http://schemas.openxmlformats.org/markup-compatibility/2006">
      <mc:Choice Requires="x14">
        <control shapeId="2064" r:id="rId28" name="Control 16">
          <controlPr defaultSize="0" autoPict="0" r:id="rId29">
            <anchor moveWithCells="1">
              <from>
                <xdr:col>6</xdr:col>
                <xdr:colOff>609600</xdr:colOff>
                <xdr:row>12</xdr:row>
                <xdr:rowOff>104775</xdr:rowOff>
              </from>
              <to>
                <xdr:col>7</xdr:col>
                <xdr:colOff>685800</xdr:colOff>
                <xdr:row>13</xdr:row>
                <xdr:rowOff>114300</xdr:rowOff>
              </to>
            </anchor>
          </controlPr>
        </control>
      </mc:Choice>
      <mc:Fallback>
        <control shapeId="2064" r:id="rId28" name="Control 16"/>
      </mc:Fallback>
    </mc:AlternateContent>
    <mc:AlternateContent xmlns:mc="http://schemas.openxmlformats.org/markup-compatibility/2006">
      <mc:Choice Requires="x14">
        <control shapeId="2063" r:id="rId30" name="Control 15">
          <controlPr defaultSize="0" autoPict="0" r:id="rId31">
            <anchor moveWithCells="1">
              <from>
                <xdr:col>6</xdr:col>
                <xdr:colOff>609600</xdr:colOff>
                <xdr:row>12</xdr:row>
                <xdr:rowOff>104775</xdr:rowOff>
              </from>
              <to>
                <xdr:col>7</xdr:col>
                <xdr:colOff>190500</xdr:colOff>
                <xdr:row>13</xdr:row>
                <xdr:rowOff>133350</xdr:rowOff>
              </to>
            </anchor>
          </controlPr>
        </control>
      </mc:Choice>
      <mc:Fallback>
        <control shapeId="2063" r:id="rId30" name="Control 15"/>
      </mc:Fallback>
    </mc:AlternateContent>
    <mc:AlternateContent xmlns:mc="http://schemas.openxmlformats.org/markup-compatibility/2006">
      <mc:Choice Requires="x14">
        <control shapeId="2062" r:id="rId32" name="Control 14">
          <controlPr defaultSize="0" autoPict="0" r:id="rId33">
            <anchor moveWithCells="1">
              <from>
                <xdr:col>6</xdr:col>
                <xdr:colOff>609600</xdr:colOff>
                <xdr:row>12</xdr:row>
                <xdr:rowOff>104775</xdr:rowOff>
              </from>
              <to>
                <xdr:col>7</xdr:col>
                <xdr:colOff>685800</xdr:colOff>
                <xdr:row>13</xdr:row>
                <xdr:rowOff>114300</xdr:rowOff>
              </to>
            </anchor>
          </controlPr>
        </control>
      </mc:Choice>
      <mc:Fallback>
        <control shapeId="2062" r:id="rId32" name="Control 14"/>
      </mc:Fallback>
    </mc:AlternateContent>
    <mc:AlternateContent xmlns:mc="http://schemas.openxmlformats.org/markup-compatibility/2006">
      <mc:Choice Requires="x14">
        <control shapeId="2061" r:id="rId34" name="Control 13">
          <controlPr defaultSize="0" autoPict="0" r:id="rId31">
            <anchor moveWithCells="1">
              <from>
                <xdr:col>6</xdr:col>
                <xdr:colOff>609600</xdr:colOff>
                <xdr:row>12</xdr:row>
                <xdr:rowOff>104775</xdr:rowOff>
              </from>
              <to>
                <xdr:col>7</xdr:col>
                <xdr:colOff>190500</xdr:colOff>
                <xdr:row>13</xdr:row>
                <xdr:rowOff>133350</xdr:rowOff>
              </to>
            </anchor>
          </controlPr>
        </control>
      </mc:Choice>
      <mc:Fallback>
        <control shapeId="2061" r:id="rId34" name="Control 13"/>
      </mc:Fallback>
    </mc:AlternateContent>
    <mc:AlternateContent xmlns:mc="http://schemas.openxmlformats.org/markup-compatibility/2006">
      <mc:Choice Requires="x14">
        <control shapeId="2060" r:id="rId35" name="Control 12">
          <controlPr defaultSize="0" autoPict="0" r:id="rId36">
            <anchor moveWithCells="1">
              <from>
                <xdr:col>6</xdr:col>
                <xdr:colOff>609600</xdr:colOff>
                <xdr:row>12</xdr:row>
                <xdr:rowOff>104775</xdr:rowOff>
              </from>
              <to>
                <xdr:col>7</xdr:col>
                <xdr:colOff>685800</xdr:colOff>
                <xdr:row>13</xdr:row>
                <xdr:rowOff>114300</xdr:rowOff>
              </to>
            </anchor>
          </controlPr>
        </control>
      </mc:Choice>
      <mc:Fallback>
        <control shapeId="2060" r:id="rId35" name="Control 12"/>
      </mc:Fallback>
    </mc:AlternateContent>
    <mc:AlternateContent xmlns:mc="http://schemas.openxmlformats.org/markup-compatibility/2006">
      <mc:Choice Requires="x14">
        <control shapeId="2059" r:id="rId37" name="Control 11">
          <controlPr defaultSize="0" autoPict="0" r:id="rId31">
            <anchor moveWithCells="1">
              <from>
                <xdr:col>6</xdr:col>
                <xdr:colOff>609600</xdr:colOff>
                <xdr:row>12</xdr:row>
                <xdr:rowOff>104775</xdr:rowOff>
              </from>
              <to>
                <xdr:col>7</xdr:col>
                <xdr:colOff>190500</xdr:colOff>
                <xdr:row>13</xdr:row>
                <xdr:rowOff>133350</xdr:rowOff>
              </to>
            </anchor>
          </controlPr>
        </control>
      </mc:Choice>
      <mc:Fallback>
        <control shapeId="2059" r:id="rId37" name="Control 11"/>
      </mc:Fallback>
    </mc:AlternateContent>
    <mc:AlternateContent xmlns:mc="http://schemas.openxmlformats.org/markup-compatibility/2006">
      <mc:Choice Requires="x14">
        <control shapeId="2058" r:id="rId38" name="Control 10">
          <controlPr defaultSize="0" autoPict="0" r:id="rId39">
            <anchor moveWithCells="1">
              <from>
                <xdr:col>6</xdr:col>
                <xdr:colOff>609600</xdr:colOff>
                <xdr:row>12</xdr:row>
                <xdr:rowOff>104775</xdr:rowOff>
              </from>
              <to>
                <xdr:col>7</xdr:col>
                <xdr:colOff>685800</xdr:colOff>
                <xdr:row>13</xdr:row>
                <xdr:rowOff>114300</xdr:rowOff>
              </to>
            </anchor>
          </controlPr>
        </control>
      </mc:Choice>
      <mc:Fallback>
        <control shapeId="2058" r:id="rId38" name="Control 10"/>
      </mc:Fallback>
    </mc:AlternateContent>
    <mc:AlternateContent xmlns:mc="http://schemas.openxmlformats.org/markup-compatibility/2006">
      <mc:Choice Requires="x14">
        <control shapeId="2057" r:id="rId40" name="Control 9">
          <controlPr defaultSize="0" autoPict="0" r:id="rId31">
            <anchor moveWithCells="1">
              <from>
                <xdr:col>6</xdr:col>
                <xdr:colOff>609600</xdr:colOff>
                <xdr:row>12</xdr:row>
                <xdr:rowOff>104775</xdr:rowOff>
              </from>
              <to>
                <xdr:col>7</xdr:col>
                <xdr:colOff>190500</xdr:colOff>
                <xdr:row>13</xdr:row>
                <xdr:rowOff>133350</xdr:rowOff>
              </to>
            </anchor>
          </controlPr>
        </control>
      </mc:Choice>
      <mc:Fallback>
        <control shapeId="2057" r:id="rId40" name="Control 9"/>
      </mc:Fallback>
    </mc:AlternateContent>
    <mc:AlternateContent xmlns:mc="http://schemas.openxmlformats.org/markup-compatibility/2006">
      <mc:Choice Requires="x14">
        <control shapeId="2056" r:id="rId41" name="Control 8">
          <controlPr defaultSize="0" autoPict="0" r:id="rId42">
            <anchor moveWithCells="1">
              <from>
                <xdr:col>6</xdr:col>
                <xdr:colOff>609600</xdr:colOff>
                <xdr:row>12</xdr:row>
                <xdr:rowOff>104775</xdr:rowOff>
              </from>
              <to>
                <xdr:col>7</xdr:col>
                <xdr:colOff>685800</xdr:colOff>
                <xdr:row>13</xdr:row>
                <xdr:rowOff>114300</xdr:rowOff>
              </to>
            </anchor>
          </controlPr>
        </control>
      </mc:Choice>
      <mc:Fallback>
        <control shapeId="2056" r:id="rId41" name="Control 8"/>
      </mc:Fallback>
    </mc:AlternateContent>
    <mc:AlternateContent xmlns:mc="http://schemas.openxmlformats.org/markup-compatibility/2006">
      <mc:Choice Requires="x14">
        <control shapeId="2055" r:id="rId43" name="Control 7">
          <controlPr defaultSize="0" autoPict="0" r:id="rId31">
            <anchor moveWithCells="1">
              <from>
                <xdr:col>6</xdr:col>
                <xdr:colOff>609600</xdr:colOff>
                <xdr:row>12</xdr:row>
                <xdr:rowOff>104775</xdr:rowOff>
              </from>
              <to>
                <xdr:col>7</xdr:col>
                <xdr:colOff>190500</xdr:colOff>
                <xdr:row>13</xdr:row>
                <xdr:rowOff>133350</xdr:rowOff>
              </to>
            </anchor>
          </controlPr>
        </control>
      </mc:Choice>
      <mc:Fallback>
        <control shapeId="2055" r:id="rId43" name="Control 7"/>
      </mc:Fallback>
    </mc:AlternateContent>
    <mc:AlternateContent xmlns:mc="http://schemas.openxmlformats.org/markup-compatibility/2006">
      <mc:Choice Requires="x14">
        <control shapeId="2054" r:id="rId44" name="Control 6">
          <controlPr defaultSize="0" autoPict="0" r:id="rId45">
            <anchor moveWithCells="1">
              <from>
                <xdr:col>6</xdr:col>
                <xdr:colOff>609600</xdr:colOff>
                <xdr:row>12</xdr:row>
                <xdr:rowOff>104775</xdr:rowOff>
              </from>
              <to>
                <xdr:col>7</xdr:col>
                <xdr:colOff>685800</xdr:colOff>
                <xdr:row>13</xdr:row>
                <xdr:rowOff>114300</xdr:rowOff>
              </to>
            </anchor>
          </controlPr>
        </control>
      </mc:Choice>
      <mc:Fallback>
        <control shapeId="2054" r:id="rId44" name="Control 6"/>
      </mc:Fallback>
    </mc:AlternateContent>
    <mc:AlternateContent xmlns:mc="http://schemas.openxmlformats.org/markup-compatibility/2006">
      <mc:Choice Requires="x14">
        <control shapeId="2053" r:id="rId46" name="Control 5">
          <controlPr defaultSize="0" autoPict="0" r:id="rId31">
            <anchor moveWithCells="1">
              <from>
                <xdr:col>6</xdr:col>
                <xdr:colOff>609600</xdr:colOff>
                <xdr:row>12</xdr:row>
                <xdr:rowOff>104775</xdr:rowOff>
              </from>
              <to>
                <xdr:col>7</xdr:col>
                <xdr:colOff>190500</xdr:colOff>
                <xdr:row>13</xdr:row>
                <xdr:rowOff>133350</xdr:rowOff>
              </to>
            </anchor>
          </controlPr>
        </control>
      </mc:Choice>
      <mc:Fallback>
        <control shapeId="2053" r:id="rId46" name="Control 5"/>
      </mc:Fallback>
    </mc:AlternateContent>
    <mc:AlternateContent xmlns:mc="http://schemas.openxmlformats.org/markup-compatibility/2006">
      <mc:Choice Requires="x14">
        <control shapeId="2052" r:id="rId47" name="Control 4">
          <controlPr defaultSize="0" autoPict="0" r:id="rId48">
            <anchor moveWithCells="1">
              <from>
                <xdr:col>6</xdr:col>
                <xdr:colOff>609600</xdr:colOff>
                <xdr:row>12</xdr:row>
                <xdr:rowOff>104775</xdr:rowOff>
              </from>
              <to>
                <xdr:col>7</xdr:col>
                <xdr:colOff>685800</xdr:colOff>
                <xdr:row>13</xdr:row>
                <xdr:rowOff>114300</xdr:rowOff>
              </to>
            </anchor>
          </controlPr>
        </control>
      </mc:Choice>
      <mc:Fallback>
        <control shapeId="2052" r:id="rId47" name="Control 4"/>
      </mc:Fallback>
    </mc:AlternateContent>
    <mc:AlternateContent xmlns:mc="http://schemas.openxmlformats.org/markup-compatibility/2006">
      <mc:Choice Requires="x14">
        <control shapeId="2051" r:id="rId49" name="Control 3">
          <controlPr defaultSize="0" autoPict="0" r:id="rId27">
            <anchor moveWithCells="1">
              <from>
                <xdr:col>6</xdr:col>
                <xdr:colOff>609600</xdr:colOff>
                <xdr:row>12</xdr:row>
                <xdr:rowOff>104775</xdr:rowOff>
              </from>
              <to>
                <xdr:col>7</xdr:col>
                <xdr:colOff>190500</xdr:colOff>
                <xdr:row>13</xdr:row>
                <xdr:rowOff>133350</xdr:rowOff>
              </to>
            </anchor>
          </controlPr>
        </control>
      </mc:Choice>
      <mc:Fallback>
        <control shapeId="2051" r:id="rId49" name="Control 3"/>
      </mc:Fallback>
    </mc:AlternateContent>
    <mc:AlternateContent xmlns:mc="http://schemas.openxmlformats.org/markup-compatibility/2006">
      <mc:Choice Requires="x14">
        <control shapeId="2050" r:id="rId50" name="Control 2">
          <controlPr defaultSize="0" autoPict="0" r:id="rId51">
            <anchor moveWithCells="1">
              <from>
                <xdr:col>6</xdr:col>
                <xdr:colOff>609600</xdr:colOff>
                <xdr:row>12</xdr:row>
                <xdr:rowOff>104775</xdr:rowOff>
              </from>
              <to>
                <xdr:col>7</xdr:col>
                <xdr:colOff>685800</xdr:colOff>
                <xdr:row>13</xdr:row>
                <xdr:rowOff>114300</xdr:rowOff>
              </to>
            </anchor>
          </controlPr>
        </control>
      </mc:Choice>
      <mc:Fallback>
        <control shapeId="2050" r:id="rId50" name="Control 2"/>
      </mc:Fallback>
    </mc:AlternateContent>
    <mc:AlternateContent xmlns:mc="http://schemas.openxmlformats.org/markup-compatibility/2006">
      <mc:Choice Requires="x14">
        <control shapeId="2049" r:id="rId52" name="Control 1">
          <controlPr defaultSize="0" autoPict="0" r:id="rId27">
            <anchor moveWithCells="1">
              <from>
                <xdr:col>6</xdr:col>
                <xdr:colOff>609600</xdr:colOff>
                <xdr:row>12</xdr:row>
                <xdr:rowOff>104775</xdr:rowOff>
              </from>
              <to>
                <xdr:col>7</xdr:col>
                <xdr:colOff>190500</xdr:colOff>
                <xdr:row>13</xdr:row>
                <xdr:rowOff>133350</xdr:rowOff>
              </to>
            </anchor>
          </controlPr>
        </control>
      </mc:Choice>
      <mc:Fallback>
        <control shapeId="2049" r:id="rId52" name="Control 1"/>
      </mc:Fallback>
    </mc:AlternateContent>
  </control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04"/>
  <sheetViews>
    <sheetView zoomScale="70" workbookViewId="0">
      <pane xSplit="2" ySplit="1" topLeftCell="C1259" activePane="bottomRight" state="frozen"/>
      <selection pane="topRight" activeCell="C1" sqref="C1"/>
      <selection pane="bottomLeft" activeCell="A2" sqref="A2"/>
      <selection pane="bottomRight" activeCell="B1280" sqref="B1280"/>
    </sheetView>
  </sheetViews>
  <sheetFormatPr defaultRowHeight="12.75" x14ac:dyDescent="0.2"/>
  <cols>
    <col min="1" max="1" width="15.42578125" customWidth="1"/>
    <col min="2" max="2" width="18.85546875" customWidth="1"/>
    <col min="3" max="3" width="8.42578125" customWidth="1"/>
    <col min="4" max="4" width="10" customWidth="1"/>
    <col min="5" max="5" width="13.140625" style="133" customWidth="1"/>
    <col min="6" max="6" width="11.5703125" customWidth="1"/>
    <col min="7" max="7" width="16" customWidth="1"/>
    <col min="8" max="8" width="13.42578125" customWidth="1"/>
    <col min="9" max="9" width="13" customWidth="1"/>
    <col min="10" max="10" width="17.7109375" bestFit="1" customWidth="1"/>
    <col min="11" max="11" width="17.42578125" bestFit="1" customWidth="1"/>
    <col min="12" max="12" width="10" customWidth="1"/>
    <col min="14" max="14" width="13.5703125" customWidth="1"/>
    <col min="15" max="15" width="7.42578125" customWidth="1"/>
    <col min="16" max="16" width="32.5703125" customWidth="1"/>
    <col min="17" max="17" width="5.42578125" customWidth="1"/>
    <col min="19" max="19" width="10.140625" style="18" customWidth="1"/>
    <col min="20" max="20" width="14.85546875" customWidth="1"/>
    <col min="21" max="21" width="8.7109375" style="70" customWidth="1"/>
    <col min="22" max="22" width="10.42578125" style="208" customWidth="1"/>
    <col min="23" max="23" width="6.28515625" customWidth="1"/>
    <col min="24" max="24" width="14" style="26" customWidth="1"/>
    <col min="25" max="25" width="9.85546875" bestFit="1" customWidth="1"/>
    <col min="26" max="26" width="8.5703125" bestFit="1" customWidth="1"/>
  </cols>
  <sheetData>
    <row r="1" spans="1:26" ht="39.75" x14ac:dyDescent="0.3">
      <c r="A1" s="85" t="s">
        <v>2118</v>
      </c>
      <c r="B1" s="85" t="s">
        <v>3413</v>
      </c>
      <c r="C1" s="85" t="s">
        <v>2934</v>
      </c>
      <c r="D1" s="85" t="s">
        <v>3173</v>
      </c>
      <c r="E1" s="141" t="s">
        <v>5107</v>
      </c>
      <c r="F1" s="85" t="s">
        <v>1465</v>
      </c>
      <c r="G1" s="85" t="s">
        <v>4839</v>
      </c>
      <c r="H1" s="227" t="s">
        <v>2109</v>
      </c>
      <c r="I1" s="85" t="s">
        <v>565</v>
      </c>
      <c r="J1" s="281" t="s">
        <v>566</v>
      </c>
      <c r="K1" s="58" t="s">
        <v>513</v>
      </c>
      <c r="L1" s="58" t="s">
        <v>339</v>
      </c>
      <c r="M1" s="59" t="s">
        <v>3411</v>
      </c>
      <c r="N1" s="4" t="s">
        <v>2929</v>
      </c>
      <c r="O1" s="6" t="s">
        <v>4013</v>
      </c>
      <c r="P1" s="69"/>
      <c r="S1" s="111" t="s">
        <v>3789</v>
      </c>
      <c r="T1" s="18"/>
      <c r="U1" s="18"/>
      <c r="V1" s="18"/>
      <c r="X1" s="70"/>
      <c r="Z1" s="26"/>
    </row>
    <row r="2" spans="1:26" ht="20.25" x14ac:dyDescent="0.3">
      <c r="A2" s="317" t="s">
        <v>2552</v>
      </c>
      <c r="B2" s="317" t="s">
        <v>2553</v>
      </c>
      <c r="C2" s="317">
        <v>0</v>
      </c>
      <c r="D2" s="317">
        <v>0</v>
      </c>
      <c r="E2" s="318">
        <v>0</v>
      </c>
      <c r="F2" s="317">
        <v>0</v>
      </c>
      <c r="G2" s="317">
        <v>0</v>
      </c>
      <c r="H2" s="319">
        <v>1.67</v>
      </c>
      <c r="I2" s="320"/>
      <c r="J2" s="320"/>
      <c r="K2" s="57">
        <f t="shared" ref="K2:K33" si="0">$P$14+C2*($Q$15-$P$14)</f>
        <v>4.2999999999999997E-2</v>
      </c>
      <c r="L2" s="310" t="e">
        <f t="shared" ref="L2:L33" si="1">E2/F2/100</f>
        <v>#DIV/0!</v>
      </c>
      <c r="M2" s="405" t="e">
        <f t="shared" ref="M2:M33" si="2">(D2-G2*H2/100)+(D2-G2*H2/100)*(1+L2)/(1+K2)+(D2-G2*H2/100)*(1+L2)^2/(1+K2)^2+(D2-G2*H2/100)*(1+L2)^3/(1+K2)^3+(D2-G2*H2/100)*(1+L2)^4/(1+K2)^4+((D2-G2*H2/100)*(1+L2)^5/(K2-$T$22-$T$19))/((1+K2)^5)</f>
        <v>#DIV/0!</v>
      </c>
      <c r="N2" s="63" t="e">
        <f t="shared" ref="N2:N33" si="3">(H2-M2)/M2</f>
        <v>#DIV/0!</v>
      </c>
      <c r="O2" s="6"/>
      <c r="P2" s="69"/>
      <c r="S2" s="111"/>
      <c r="T2" s="18"/>
      <c r="U2" s="18"/>
      <c r="V2" s="18"/>
      <c r="X2" s="70"/>
      <c r="Z2" s="26"/>
    </row>
    <row r="3" spans="1:26" ht="20.25" x14ac:dyDescent="0.3">
      <c r="A3" s="317" t="s">
        <v>299</v>
      </c>
      <c r="B3" s="317" t="s">
        <v>300</v>
      </c>
      <c r="C3" s="317">
        <v>1.44</v>
      </c>
      <c r="D3" s="317">
        <v>1.67</v>
      </c>
      <c r="E3" s="318">
        <v>17.02</v>
      </c>
      <c r="F3" s="317">
        <v>1.32</v>
      </c>
      <c r="G3" s="317">
        <v>0</v>
      </c>
      <c r="H3" s="319">
        <v>34.72</v>
      </c>
      <c r="I3" s="320">
        <v>38</v>
      </c>
      <c r="J3" s="320">
        <v>2.1</v>
      </c>
      <c r="K3" s="57">
        <f t="shared" si="0"/>
        <v>0.106792</v>
      </c>
      <c r="L3" s="310">
        <f t="shared" si="1"/>
        <v>0.12893939393939394</v>
      </c>
      <c r="M3" s="405">
        <f t="shared" si="2"/>
        <v>34.737788229259721</v>
      </c>
      <c r="N3" s="63">
        <f t="shared" si="3"/>
        <v>-5.1207144053974976E-4</v>
      </c>
      <c r="O3" s="6"/>
      <c r="P3" s="69"/>
      <c r="S3" s="111"/>
      <c r="T3" s="18"/>
      <c r="U3" s="18"/>
      <c r="V3" s="18"/>
      <c r="X3" s="70"/>
      <c r="Z3" s="26"/>
    </row>
    <row r="4" spans="1:26" ht="18" x14ac:dyDescent="0.25">
      <c r="A4" s="317" t="s">
        <v>301</v>
      </c>
      <c r="B4" s="317" t="s">
        <v>302</v>
      </c>
      <c r="C4" s="317">
        <v>1.4</v>
      </c>
      <c r="D4" s="317">
        <v>-1.45</v>
      </c>
      <c r="E4" s="318">
        <v>0</v>
      </c>
      <c r="F4" s="317">
        <v>0</v>
      </c>
      <c r="G4" s="317">
        <v>0</v>
      </c>
      <c r="H4" s="319">
        <v>7.33</v>
      </c>
      <c r="I4" s="320">
        <v>9</v>
      </c>
      <c r="J4" s="320">
        <v>3</v>
      </c>
      <c r="K4" s="57">
        <f t="shared" si="0"/>
        <v>0.10502</v>
      </c>
      <c r="L4" s="310" t="e">
        <f t="shared" si="1"/>
        <v>#DIV/0!</v>
      </c>
      <c r="M4" s="405" t="e">
        <f>(D4-G4*H4/100)+(D4-G4*H4/100)*(1+L4)/(1+K4)+(D4-G4*H4/100)*(1+L4)^2/(1+K4)^2+(D4-G4*H4/100)*(1+L4)^3/(1+K4)^3+(D4-G4*H4/100)*(1+L4)^4/(1+K4)^4+((D4-G4*H4/100)*(1+L4)^5/(K4-$T$22-$T$19))/((1+K4)^5)</f>
        <v>#DIV/0!</v>
      </c>
      <c r="N4" s="63" t="e">
        <f t="shared" si="3"/>
        <v>#DIV/0!</v>
      </c>
      <c r="O4" s="5" t="s">
        <v>3657</v>
      </c>
      <c r="P4" s="69"/>
      <c r="S4"/>
      <c r="T4" s="18"/>
      <c r="U4" s="18"/>
      <c r="V4" s="18"/>
      <c r="X4" s="70"/>
      <c r="Z4" s="26"/>
    </row>
    <row r="5" spans="1:26" ht="18" x14ac:dyDescent="0.25">
      <c r="A5" s="317" t="s">
        <v>3313</v>
      </c>
      <c r="B5" s="317" t="s">
        <v>3314</v>
      </c>
      <c r="C5" s="317">
        <v>0.56999999999999995</v>
      </c>
      <c r="D5" s="317">
        <v>2.13</v>
      </c>
      <c r="E5" s="318">
        <v>17.79</v>
      </c>
      <c r="F5" s="317">
        <v>0.51</v>
      </c>
      <c r="G5" s="317">
        <v>0.8</v>
      </c>
      <c r="H5" s="319">
        <v>49.8</v>
      </c>
      <c r="I5" s="320">
        <v>66</v>
      </c>
      <c r="J5" s="320">
        <v>2.1</v>
      </c>
      <c r="K5" s="57">
        <f t="shared" si="0"/>
        <v>6.8251000000000006E-2</v>
      </c>
      <c r="L5" s="310">
        <f t="shared" si="1"/>
        <v>0.3488235294117647</v>
      </c>
      <c r="M5" s="405">
        <f t="shared" si="2"/>
        <v>186.87681541107241</v>
      </c>
      <c r="N5" s="63">
        <f t="shared" si="3"/>
        <v>-0.73351429448080496</v>
      </c>
      <c r="O5" s="5" t="s">
        <v>3658</v>
      </c>
      <c r="P5" s="66"/>
      <c r="Q5" s="6"/>
      <c r="S5"/>
      <c r="T5" s="18"/>
      <c r="U5" s="18"/>
      <c r="V5" s="18"/>
      <c r="X5" s="70"/>
      <c r="Z5" s="26"/>
    </row>
    <row r="6" spans="1:26" ht="18" x14ac:dyDescent="0.25">
      <c r="A6" s="317" t="s">
        <v>1560</v>
      </c>
      <c r="B6" s="317" t="s">
        <v>1561</v>
      </c>
      <c r="C6" s="317">
        <v>3.28</v>
      </c>
      <c r="D6" s="317">
        <v>-7.0000000000000007E-2</v>
      </c>
      <c r="E6" s="318">
        <v>0</v>
      </c>
      <c r="F6" s="317">
        <v>0</v>
      </c>
      <c r="G6" s="317">
        <v>0</v>
      </c>
      <c r="H6" s="319">
        <v>13.14</v>
      </c>
      <c r="I6" s="320"/>
      <c r="J6" s="320"/>
      <c r="K6" s="57">
        <f t="shared" si="0"/>
        <v>0.18830400000000003</v>
      </c>
      <c r="L6" s="310" t="e">
        <f t="shared" si="1"/>
        <v>#DIV/0!</v>
      </c>
      <c r="M6" s="405" t="e">
        <f t="shared" si="2"/>
        <v>#DIV/0!</v>
      </c>
      <c r="N6" s="63" t="e">
        <f t="shared" si="3"/>
        <v>#DIV/0!</v>
      </c>
      <c r="O6" s="5" t="s">
        <v>1488</v>
      </c>
      <c r="P6" s="67"/>
      <c r="Q6" s="5"/>
      <c r="S6"/>
      <c r="T6" s="18"/>
      <c r="U6" s="18"/>
      <c r="V6" s="18"/>
      <c r="X6" s="71"/>
      <c r="Y6" s="14"/>
      <c r="Z6" s="26"/>
    </row>
    <row r="7" spans="1:26" ht="18" x14ac:dyDescent="0.25">
      <c r="A7" s="317" t="s">
        <v>5409</v>
      </c>
      <c r="B7" s="317" t="s">
        <v>5410</v>
      </c>
      <c r="C7" s="317">
        <v>1.17</v>
      </c>
      <c r="D7" s="317">
        <v>1.21</v>
      </c>
      <c r="E7" s="318">
        <v>18.59</v>
      </c>
      <c r="F7" s="317">
        <v>1.38</v>
      </c>
      <c r="G7" s="317">
        <v>0</v>
      </c>
      <c r="H7" s="319">
        <v>38.479999999999997</v>
      </c>
      <c r="I7" s="320">
        <v>45</v>
      </c>
      <c r="J7" s="320">
        <v>1.7</v>
      </c>
      <c r="K7" s="57">
        <f t="shared" si="0"/>
        <v>9.4830999999999999E-2</v>
      </c>
      <c r="L7" s="310">
        <f t="shared" si="1"/>
        <v>0.13471014492753625</v>
      </c>
      <c r="M7" s="405">
        <f t="shared" si="2"/>
        <v>31.103311871241171</v>
      </c>
      <c r="N7" s="63">
        <f t="shared" si="3"/>
        <v>0.23716728814269708</v>
      </c>
      <c r="O7" s="5" t="s">
        <v>919</v>
      </c>
      <c r="P7" s="67"/>
      <c r="Q7" s="5"/>
      <c r="S7"/>
      <c r="T7" s="1"/>
      <c r="U7" s="1"/>
      <c r="V7" s="1"/>
      <c r="W7" s="20"/>
      <c r="X7" s="70"/>
      <c r="Z7" s="26"/>
    </row>
    <row r="8" spans="1:26" ht="18" x14ac:dyDescent="0.25">
      <c r="A8" s="317" t="s">
        <v>5411</v>
      </c>
      <c r="B8" s="317"/>
      <c r="C8" s="317">
        <v>1.89</v>
      </c>
      <c r="D8" s="317">
        <v>-0.05</v>
      </c>
      <c r="E8" s="318">
        <v>73.489999999999995</v>
      </c>
      <c r="F8" s="317">
        <v>4.24</v>
      </c>
      <c r="G8" s="317">
        <v>0</v>
      </c>
      <c r="H8" s="319">
        <v>27.19</v>
      </c>
      <c r="I8" s="320">
        <v>34</v>
      </c>
      <c r="J8" s="320">
        <v>1.5</v>
      </c>
      <c r="K8" s="57">
        <f t="shared" si="0"/>
        <v>0.12672700000000001</v>
      </c>
      <c r="L8" s="310">
        <f t="shared" si="1"/>
        <v>0.17332547169811316</v>
      </c>
      <c r="M8" s="405">
        <f t="shared" si="2"/>
        <v>-0.94644087603521365</v>
      </c>
      <c r="N8" s="63">
        <f t="shared" si="3"/>
        <v>-29.728683099469556</v>
      </c>
      <c r="O8" s="5" t="s">
        <v>1415</v>
      </c>
      <c r="P8" s="67"/>
      <c r="Q8" s="5"/>
      <c r="S8"/>
      <c r="T8" s="18"/>
      <c r="U8" s="18"/>
      <c r="V8" s="18"/>
      <c r="X8" s="70"/>
      <c r="Z8" s="26"/>
    </row>
    <row r="9" spans="1:26" ht="18" x14ac:dyDescent="0.25">
      <c r="A9" s="317" t="s">
        <v>5412</v>
      </c>
      <c r="B9" s="317" t="s">
        <v>5413</v>
      </c>
      <c r="C9" s="317"/>
      <c r="D9" s="317"/>
      <c r="E9" s="318"/>
      <c r="F9" s="317"/>
      <c r="G9" s="317"/>
      <c r="H9" s="319">
        <v>47.87</v>
      </c>
      <c r="I9" s="320"/>
      <c r="J9" s="320"/>
      <c r="K9" s="57">
        <f t="shared" si="0"/>
        <v>4.2999999999999997E-2</v>
      </c>
      <c r="L9" s="310" t="e">
        <f t="shared" si="1"/>
        <v>#DIV/0!</v>
      </c>
      <c r="M9" s="405" t="e">
        <f t="shared" si="2"/>
        <v>#DIV/0!</v>
      </c>
      <c r="N9" s="63" t="e">
        <f t="shared" si="3"/>
        <v>#DIV/0!</v>
      </c>
      <c r="O9" s="5" t="s">
        <v>3790</v>
      </c>
      <c r="P9" s="67"/>
      <c r="Q9" s="5"/>
      <c r="S9"/>
      <c r="T9" s="4"/>
      <c r="U9" s="4"/>
      <c r="V9" s="3"/>
      <c r="W9" s="19"/>
      <c r="X9" s="70"/>
      <c r="Z9" s="26"/>
    </row>
    <row r="10" spans="1:26" ht="18" x14ac:dyDescent="0.25">
      <c r="A10" s="317" t="s">
        <v>5414</v>
      </c>
      <c r="B10" s="317" t="s">
        <v>5415</v>
      </c>
      <c r="C10" s="317"/>
      <c r="D10" s="317"/>
      <c r="E10" s="318"/>
      <c r="F10" s="317"/>
      <c r="G10" s="317"/>
      <c r="H10" s="319">
        <v>134.49</v>
      </c>
      <c r="I10" s="320"/>
      <c r="J10" s="320"/>
      <c r="K10" s="57">
        <f t="shared" si="0"/>
        <v>4.2999999999999997E-2</v>
      </c>
      <c r="L10" s="310" t="e">
        <f t="shared" si="1"/>
        <v>#DIV/0!</v>
      </c>
      <c r="M10" s="405" t="e">
        <f t="shared" si="2"/>
        <v>#DIV/0!</v>
      </c>
      <c r="N10" s="63" t="e">
        <f t="shared" si="3"/>
        <v>#DIV/0!</v>
      </c>
      <c r="O10" s="5" t="s">
        <v>284</v>
      </c>
      <c r="P10" s="67"/>
      <c r="Q10" s="5"/>
      <c r="S10"/>
      <c r="T10" s="18"/>
      <c r="U10" s="18"/>
      <c r="V10" s="18"/>
      <c r="X10" s="70"/>
      <c r="Z10" s="26"/>
    </row>
    <row r="11" spans="1:26" ht="18" x14ac:dyDescent="0.25">
      <c r="A11" s="317" t="s">
        <v>2454</v>
      </c>
      <c r="B11" s="317" t="s">
        <v>2455</v>
      </c>
      <c r="C11" s="317">
        <v>1.5</v>
      </c>
      <c r="D11" s="317">
        <v>2.2599999999999998</v>
      </c>
      <c r="E11" s="318">
        <v>16.59</v>
      </c>
      <c r="F11" s="317">
        <v>1.03</v>
      </c>
      <c r="G11" s="317">
        <v>0</v>
      </c>
      <c r="H11" s="319">
        <v>49.76</v>
      </c>
      <c r="I11" s="320">
        <v>53.5</v>
      </c>
      <c r="J11" s="320">
        <v>1.6</v>
      </c>
      <c r="K11" s="57">
        <f t="shared" si="0"/>
        <v>0.10945000000000001</v>
      </c>
      <c r="L11" s="310">
        <f t="shared" si="1"/>
        <v>0.16106796116504854</v>
      </c>
      <c r="M11" s="405">
        <f t="shared" si="2"/>
        <v>51.026344517335581</v>
      </c>
      <c r="N11" s="63">
        <f t="shared" si="3"/>
        <v>-2.4817464964697937E-2</v>
      </c>
      <c r="O11" s="5" t="s">
        <v>1821</v>
      </c>
      <c r="P11" s="67"/>
      <c r="Q11" s="5"/>
      <c r="S11"/>
      <c r="T11" s="18"/>
      <c r="U11" s="18"/>
      <c r="V11" s="18"/>
      <c r="X11" s="70"/>
      <c r="Z11" s="26"/>
    </row>
    <row r="12" spans="1:26" ht="18" x14ac:dyDescent="0.25">
      <c r="A12" s="317" t="s">
        <v>1555</v>
      </c>
      <c r="B12" s="317" t="s">
        <v>4550</v>
      </c>
      <c r="C12" s="317">
        <v>2.23</v>
      </c>
      <c r="D12" s="317">
        <v>0.72</v>
      </c>
      <c r="E12" s="318">
        <v>11.64</v>
      </c>
      <c r="F12" s="317">
        <v>0.7</v>
      </c>
      <c r="G12" s="317">
        <v>0.7</v>
      </c>
      <c r="H12" s="319">
        <v>17.34</v>
      </c>
      <c r="I12" s="320">
        <v>21</v>
      </c>
      <c r="J12" s="320">
        <v>2.6</v>
      </c>
      <c r="K12" s="57">
        <f t="shared" si="0"/>
        <v>0.141789</v>
      </c>
      <c r="L12" s="310">
        <f t="shared" si="1"/>
        <v>0.16628571428571429</v>
      </c>
      <c r="M12" s="405">
        <f t="shared" si="2"/>
        <v>9.4165707332724935</v>
      </c>
      <c r="N12" s="63">
        <f t="shared" si="3"/>
        <v>0.84143468903503016</v>
      </c>
      <c r="O12" s="113" t="s">
        <v>100</v>
      </c>
      <c r="P12" s="67"/>
      <c r="Q12" s="5"/>
      <c r="S12"/>
      <c r="T12" s="18"/>
      <c r="U12" s="18"/>
      <c r="V12" s="18"/>
      <c r="X12" s="70"/>
      <c r="Z12" s="26"/>
    </row>
    <row r="13" spans="1:26" ht="18" x14ac:dyDescent="0.25">
      <c r="A13" s="317" t="s">
        <v>2064</v>
      </c>
      <c r="B13" s="317" t="s">
        <v>5260</v>
      </c>
      <c r="C13" s="317">
        <v>1.1399999999999999</v>
      </c>
      <c r="D13" s="317">
        <v>20.99</v>
      </c>
      <c r="E13" s="318">
        <v>12.26</v>
      </c>
      <c r="F13" s="317">
        <v>0.7</v>
      </c>
      <c r="G13" s="317">
        <v>0</v>
      </c>
      <c r="H13" s="319">
        <v>349.27</v>
      </c>
      <c r="I13" s="320">
        <v>450</v>
      </c>
      <c r="J13" s="320">
        <v>1.7</v>
      </c>
      <c r="K13" s="57">
        <f t="shared" si="0"/>
        <v>9.3502000000000002E-2</v>
      </c>
      <c r="L13" s="310">
        <f t="shared" si="1"/>
        <v>0.17514285714285716</v>
      </c>
      <c r="M13" s="405">
        <f t="shared" si="2"/>
        <v>645.05615456502005</v>
      </c>
      <c r="N13" s="63">
        <f t="shared" si="3"/>
        <v>-0.45854326398060213</v>
      </c>
      <c r="O13" s="5" t="s">
        <v>918</v>
      </c>
      <c r="P13" s="67"/>
      <c r="Q13" s="5"/>
      <c r="S13"/>
      <c r="T13" s="18"/>
      <c r="U13" s="18"/>
      <c r="V13" s="18"/>
      <c r="X13" s="70"/>
      <c r="Z13" s="26"/>
    </row>
    <row r="14" spans="1:26" ht="18" x14ac:dyDescent="0.25">
      <c r="A14" s="317" t="s">
        <v>3257</v>
      </c>
      <c r="B14" s="317" t="s">
        <v>3258</v>
      </c>
      <c r="C14" s="317">
        <v>2.56</v>
      </c>
      <c r="D14" s="317">
        <v>5.44</v>
      </c>
      <c r="E14" s="318">
        <v>9.25</v>
      </c>
      <c r="F14" s="317">
        <v>0.96</v>
      </c>
      <c r="G14" s="317">
        <v>0</v>
      </c>
      <c r="H14" s="319">
        <v>62.79</v>
      </c>
      <c r="I14" s="320">
        <v>82</v>
      </c>
      <c r="J14" s="320">
        <v>1.8</v>
      </c>
      <c r="K14" s="57">
        <f t="shared" si="0"/>
        <v>0.15640800000000002</v>
      </c>
      <c r="L14" s="310">
        <f t="shared" si="1"/>
        <v>9.6354166666666685E-2</v>
      </c>
      <c r="M14" s="405">
        <f t="shared" si="2"/>
        <v>59.123162700937698</v>
      </c>
      <c r="N14" s="63">
        <f t="shared" si="3"/>
        <v>6.2020317106685242E-2</v>
      </c>
      <c r="O14" s="5" t="s">
        <v>1307</v>
      </c>
      <c r="P14" s="195">
        <f>S36/100</f>
        <v>4.2999999999999997E-2</v>
      </c>
      <c r="Q14" s="7"/>
      <c r="S14"/>
      <c r="T14" s="18"/>
      <c r="U14" s="18"/>
      <c r="V14" s="18"/>
      <c r="X14" s="70"/>
      <c r="Z14" s="26"/>
    </row>
    <row r="15" spans="1:26" ht="18" x14ac:dyDescent="0.25">
      <c r="A15" s="317" t="s">
        <v>4203</v>
      </c>
      <c r="B15" s="317"/>
      <c r="C15" s="317">
        <v>0.8</v>
      </c>
      <c r="D15" s="317">
        <v>0.48</v>
      </c>
      <c r="E15" s="318">
        <v>0</v>
      </c>
      <c r="F15" s="317">
        <v>10.35</v>
      </c>
      <c r="G15" s="317">
        <v>0</v>
      </c>
      <c r="H15" s="319">
        <v>1.45</v>
      </c>
      <c r="I15" s="320">
        <v>6</v>
      </c>
      <c r="J15" s="320">
        <v>3</v>
      </c>
      <c r="K15" s="57">
        <f t="shared" si="0"/>
        <v>7.844000000000001E-2</v>
      </c>
      <c r="L15" s="310">
        <f t="shared" si="1"/>
        <v>0</v>
      </c>
      <c r="M15" s="405">
        <f t="shared" si="2"/>
        <v>9.8286451555639029</v>
      </c>
      <c r="N15" s="63">
        <f t="shared" si="3"/>
        <v>-0.85247203688301154</v>
      </c>
      <c r="O15" s="5" t="s">
        <v>1308</v>
      </c>
      <c r="P15" s="67"/>
      <c r="Q15" s="7">
        <v>8.7300000000000003E-2</v>
      </c>
      <c r="R15" t="s">
        <v>286</v>
      </c>
      <c r="S15"/>
      <c r="T15" s="18"/>
      <c r="U15" s="18"/>
      <c r="V15" s="18"/>
      <c r="X15" s="70"/>
      <c r="Z15" s="26"/>
    </row>
    <row r="16" spans="1:26" ht="18" x14ac:dyDescent="0.25">
      <c r="A16" s="317" t="s">
        <v>1344</v>
      </c>
      <c r="B16" s="317" t="s">
        <v>3457</v>
      </c>
      <c r="C16" s="317">
        <v>1.46</v>
      </c>
      <c r="D16" s="317">
        <v>1.2</v>
      </c>
      <c r="E16" s="318">
        <v>13.85</v>
      </c>
      <c r="F16" s="317">
        <v>1.8</v>
      </c>
      <c r="G16" s="317">
        <v>1.7</v>
      </c>
      <c r="H16" s="319">
        <v>26.03</v>
      </c>
      <c r="I16" s="320">
        <v>31</v>
      </c>
      <c r="J16" s="320">
        <v>1.7</v>
      </c>
      <c r="K16" s="57">
        <f t="shared" si="0"/>
        <v>0.10767800000000001</v>
      </c>
      <c r="L16" s="310">
        <f t="shared" si="1"/>
        <v>7.694444444444444E-2</v>
      </c>
      <c r="M16" s="405">
        <f t="shared" si="2"/>
        <v>12.764025981319113</v>
      </c>
      <c r="N16" s="63">
        <f t="shared" si="3"/>
        <v>1.0393252127578245</v>
      </c>
      <c r="O16" s="5"/>
      <c r="P16" s="67"/>
      <c r="Q16" s="7"/>
      <c r="S16"/>
      <c r="T16" s="18"/>
      <c r="U16" s="18"/>
      <c r="V16" s="18"/>
      <c r="X16" s="70"/>
      <c r="Z16" s="26"/>
    </row>
    <row r="17" spans="1:26" ht="18" x14ac:dyDescent="0.25">
      <c r="A17" s="317" t="s">
        <v>3880</v>
      </c>
      <c r="B17" s="317" t="s">
        <v>3881</v>
      </c>
      <c r="C17" s="317">
        <v>0.77</v>
      </c>
      <c r="D17" s="317">
        <v>2.41</v>
      </c>
      <c r="E17" s="318">
        <v>14.81</v>
      </c>
      <c r="F17" s="317">
        <v>1.33</v>
      </c>
      <c r="G17" s="317">
        <v>1</v>
      </c>
      <c r="H17" s="319">
        <v>41.17</v>
      </c>
      <c r="I17" s="320">
        <v>45</v>
      </c>
      <c r="J17" s="320">
        <v>2</v>
      </c>
      <c r="K17" s="57">
        <f t="shared" si="0"/>
        <v>7.7110999999999999E-2</v>
      </c>
      <c r="L17" s="310">
        <f t="shared" si="1"/>
        <v>0.11135338345864662</v>
      </c>
      <c r="M17" s="405">
        <f t="shared" si="2"/>
        <v>67.488233901403873</v>
      </c>
      <c r="N17" s="63">
        <f t="shared" si="3"/>
        <v>-0.38996773778156918</v>
      </c>
      <c r="O17" s="5"/>
      <c r="P17" s="67"/>
      <c r="Q17" s="7"/>
      <c r="S17"/>
      <c r="T17" s="18"/>
      <c r="U17" s="18"/>
      <c r="V17" s="18"/>
      <c r="X17" s="70"/>
      <c r="Z17" s="26"/>
    </row>
    <row r="18" spans="1:26" ht="18" x14ac:dyDescent="0.25">
      <c r="A18" s="317" t="s">
        <v>1829</v>
      </c>
      <c r="B18" s="317" t="s">
        <v>1830</v>
      </c>
      <c r="C18" s="317">
        <v>3.1</v>
      </c>
      <c r="D18" s="317">
        <v>1.52</v>
      </c>
      <c r="E18" s="318">
        <v>8.1199999999999992</v>
      </c>
      <c r="F18" s="317">
        <v>0.42</v>
      </c>
      <c r="G18" s="317">
        <v>0</v>
      </c>
      <c r="H18" s="319">
        <v>16.73</v>
      </c>
      <c r="I18" s="320">
        <v>26.5</v>
      </c>
      <c r="J18" s="320">
        <v>2</v>
      </c>
      <c r="K18" s="57">
        <f t="shared" si="0"/>
        <v>0.18033000000000005</v>
      </c>
      <c r="L18" s="310">
        <f t="shared" si="1"/>
        <v>0.19333333333333333</v>
      </c>
      <c r="M18" s="405">
        <f t="shared" si="2"/>
        <v>18.893760235614778</v>
      </c>
      <c r="N18" s="63">
        <f t="shared" si="3"/>
        <v>-0.11452247771918291</v>
      </c>
      <c r="O18" s="5" t="s">
        <v>1476</v>
      </c>
      <c r="P18" s="26"/>
      <c r="Q18" s="5"/>
      <c r="S18"/>
      <c r="T18" s="18"/>
      <c r="U18" s="18"/>
      <c r="V18" s="18"/>
      <c r="X18" s="70"/>
      <c r="Z18" s="26"/>
    </row>
    <row r="19" spans="1:26" ht="18" x14ac:dyDescent="0.25">
      <c r="A19" s="317" t="s">
        <v>4558</v>
      </c>
      <c r="B19" s="317" t="s">
        <v>984</v>
      </c>
      <c r="C19" s="317">
        <v>0.32</v>
      </c>
      <c r="D19" s="317">
        <v>2.96</v>
      </c>
      <c r="E19" s="318">
        <v>10.59</v>
      </c>
      <c r="F19" s="317">
        <v>1.27</v>
      </c>
      <c r="G19" s="317">
        <v>3.7</v>
      </c>
      <c r="H19" s="319">
        <v>52.63</v>
      </c>
      <c r="I19" s="320">
        <v>56</v>
      </c>
      <c r="J19" s="320">
        <v>2.4</v>
      </c>
      <c r="K19" s="57">
        <f t="shared" si="0"/>
        <v>5.7175999999999998E-2</v>
      </c>
      <c r="L19" s="310">
        <f t="shared" si="1"/>
        <v>8.3385826771653543E-2</v>
      </c>
      <c r="M19" s="405">
        <f t="shared" si="2"/>
        <v>59.372833421031864</v>
      </c>
      <c r="N19" s="63">
        <f t="shared" si="3"/>
        <v>-0.11356765430438968</v>
      </c>
      <c r="O19" s="5" t="s">
        <v>3176</v>
      </c>
      <c r="P19" s="67" t="s">
        <v>3631</v>
      </c>
      <c r="S19"/>
      <c r="T19" s="7">
        <v>1.6E-2</v>
      </c>
      <c r="U19" s="18"/>
      <c r="V19" s="18"/>
      <c r="X19" s="70"/>
      <c r="Z19" s="26"/>
    </row>
    <row r="20" spans="1:26" ht="18" x14ac:dyDescent="0.25">
      <c r="A20" s="317" t="s">
        <v>5071</v>
      </c>
      <c r="B20" s="317"/>
      <c r="C20" s="317">
        <v>0.64</v>
      </c>
      <c r="D20" s="317">
        <v>9.11</v>
      </c>
      <c r="E20" s="318">
        <v>9.23</v>
      </c>
      <c r="F20" s="317">
        <v>1.22</v>
      </c>
      <c r="G20" s="317">
        <v>2.1</v>
      </c>
      <c r="H20" s="319">
        <v>67.42</v>
      </c>
      <c r="I20" s="320">
        <v>72.38</v>
      </c>
      <c r="J20" s="320">
        <v>1.9</v>
      </c>
      <c r="K20" s="57">
        <f t="shared" si="0"/>
        <v>7.1351999999999999E-2</v>
      </c>
      <c r="L20" s="310">
        <f t="shared" si="1"/>
        <v>7.5655737704918027E-2</v>
      </c>
      <c r="M20" s="405">
        <f t="shared" si="2"/>
        <v>260.83283488589137</v>
      </c>
      <c r="N20" s="63">
        <f t="shared" si="3"/>
        <v>-0.74152027282341659</v>
      </c>
      <c r="O20" s="5"/>
      <c r="P20" s="67"/>
      <c r="S20"/>
      <c r="T20" s="7"/>
      <c r="U20" s="18"/>
      <c r="V20" s="18"/>
      <c r="X20" s="70"/>
      <c r="Z20" s="26"/>
    </row>
    <row r="21" spans="1:26" ht="18" x14ac:dyDescent="0.25">
      <c r="A21" s="317" t="s">
        <v>2456</v>
      </c>
      <c r="B21" s="317" t="s">
        <v>2457</v>
      </c>
      <c r="C21" s="317">
        <v>1.01</v>
      </c>
      <c r="D21" s="317">
        <v>0.37</v>
      </c>
      <c r="E21" s="318">
        <v>9.09</v>
      </c>
      <c r="F21" s="317">
        <v>0.68</v>
      </c>
      <c r="G21" s="317">
        <v>2.6</v>
      </c>
      <c r="H21" s="319">
        <v>7.18</v>
      </c>
      <c r="I21" s="320">
        <v>12</v>
      </c>
      <c r="J21" s="320">
        <v>1</v>
      </c>
      <c r="K21" s="57">
        <f t="shared" si="0"/>
        <v>8.7743000000000002E-2</v>
      </c>
      <c r="L21" s="310">
        <f t="shared" si="1"/>
        <v>0.13367647058823529</v>
      </c>
      <c r="M21" s="405">
        <f t="shared" si="2"/>
        <v>5.3541995582844137</v>
      </c>
      <c r="N21" s="63">
        <f t="shared" si="3"/>
        <v>0.34100343512422365</v>
      </c>
      <c r="O21" s="5"/>
      <c r="P21" s="67"/>
      <c r="S21"/>
      <c r="T21" s="18"/>
      <c r="U21" s="18"/>
      <c r="V21" s="18"/>
      <c r="X21" s="70"/>
      <c r="Z21" s="26"/>
    </row>
    <row r="22" spans="1:26" ht="18" x14ac:dyDescent="0.25">
      <c r="A22" s="317" t="s">
        <v>1466</v>
      </c>
      <c r="B22" s="317"/>
      <c r="C22" s="317">
        <v>1.64</v>
      </c>
      <c r="D22" s="317">
        <v>0.97</v>
      </c>
      <c r="E22" s="318">
        <v>8.1</v>
      </c>
      <c r="F22" s="317">
        <v>0.17</v>
      </c>
      <c r="G22" s="317">
        <v>1.3</v>
      </c>
      <c r="H22" s="319">
        <v>31.44</v>
      </c>
      <c r="I22" s="320">
        <v>40</v>
      </c>
      <c r="J22" s="320">
        <v>2.2999999999999998</v>
      </c>
      <c r="K22" s="57">
        <f t="shared" si="0"/>
        <v>0.115652</v>
      </c>
      <c r="L22" s="310">
        <f t="shared" si="1"/>
        <v>0.47647058823529403</v>
      </c>
      <c r="M22" s="405">
        <f t="shared" si="2"/>
        <v>33.916219397346872</v>
      </c>
      <c r="N22" s="63">
        <f t="shared" si="3"/>
        <v>-7.3009888523736077E-2</v>
      </c>
      <c r="O22" s="5" t="s">
        <v>3630</v>
      </c>
      <c r="P22" s="67"/>
      <c r="Q22" s="5"/>
      <c r="S22"/>
      <c r="T22" s="7">
        <v>0.02</v>
      </c>
      <c r="U22" s="450" t="s">
        <v>32</v>
      </c>
      <c r="V22" s="18"/>
      <c r="X22" s="70"/>
      <c r="Z22" s="26"/>
    </row>
    <row r="23" spans="1:26" ht="18" x14ac:dyDescent="0.25">
      <c r="A23" s="317" t="s">
        <v>2458</v>
      </c>
      <c r="B23" s="317" t="s">
        <v>2459</v>
      </c>
      <c r="C23" s="317">
        <v>1.62</v>
      </c>
      <c r="D23" s="317">
        <v>0.96</v>
      </c>
      <c r="E23" s="318">
        <v>13.46</v>
      </c>
      <c r="F23" s="317">
        <v>1.39</v>
      </c>
      <c r="G23" s="317">
        <v>2</v>
      </c>
      <c r="H23" s="319">
        <v>34.47</v>
      </c>
      <c r="I23" s="320">
        <v>39.5</v>
      </c>
      <c r="J23" s="320">
        <v>2.2999999999999998</v>
      </c>
      <c r="K23" s="57">
        <f t="shared" si="0"/>
        <v>0.11476600000000001</v>
      </c>
      <c r="L23" s="310">
        <f t="shared" si="1"/>
        <v>9.6834532374100737E-2</v>
      </c>
      <c r="M23" s="405">
        <f t="shared" si="2"/>
        <v>4.4781005451604408</v>
      </c>
      <c r="N23" s="63">
        <f t="shared" si="3"/>
        <v>6.697460039670684</v>
      </c>
      <c r="O23" s="5"/>
      <c r="P23" s="67"/>
      <c r="Q23" s="5"/>
      <c r="S23"/>
      <c r="T23" s="7"/>
      <c r="U23" s="18"/>
      <c r="V23" s="18"/>
      <c r="X23" s="70"/>
      <c r="Z23" s="26"/>
    </row>
    <row r="24" spans="1:26" ht="18" x14ac:dyDescent="0.25">
      <c r="A24" s="317" t="s">
        <v>1111</v>
      </c>
      <c r="B24" s="317" t="s">
        <v>1112</v>
      </c>
      <c r="C24" s="317">
        <v>0.74</v>
      </c>
      <c r="D24" s="317">
        <v>-0.27</v>
      </c>
      <c r="E24" s="318">
        <v>0</v>
      </c>
      <c r="F24" s="317">
        <v>0</v>
      </c>
      <c r="G24" s="317">
        <v>0</v>
      </c>
      <c r="H24" s="319">
        <v>4.47</v>
      </c>
      <c r="I24" s="320">
        <v>8</v>
      </c>
      <c r="J24" s="320">
        <v>0</v>
      </c>
      <c r="K24" s="57">
        <f t="shared" si="0"/>
        <v>7.5782000000000002E-2</v>
      </c>
      <c r="L24" s="310" t="e">
        <f t="shared" si="1"/>
        <v>#DIV/0!</v>
      </c>
      <c r="M24" s="405" t="e">
        <f t="shared" si="2"/>
        <v>#DIV/0!</v>
      </c>
      <c r="N24" s="63" t="e">
        <f t="shared" si="3"/>
        <v>#DIV/0!</v>
      </c>
      <c r="O24" s="5"/>
      <c r="P24" s="67"/>
      <c r="Q24" s="5"/>
      <c r="S24"/>
      <c r="T24" s="7"/>
      <c r="U24" s="18"/>
      <c r="V24" s="18"/>
      <c r="X24" s="70"/>
      <c r="Z24" s="26"/>
    </row>
    <row r="25" spans="1:26" ht="18" x14ac:dyDescent="0.25">
      <c r="A25" s="317" t="s">
        <v>2460</v>
      </c>
      <c r="B25" s="317" t="s">
        <v>2461</v>
      </c>
      <c r="C25" s="317">
        <v>1.36</v>
      </c>
      <c r="D25" s="317">
        <v>0.75</v>
      </c>
      <c r="E25" s="318">
        <v>18.47</v>
      </c>
      <c r="F25" s="317">
        <v>1.31</v>
      </c>
      <c r="G25" s="317">
        <v>0</v>
      </c>
      <c r="H25" s="319">
        <v>14.41</v>
      </c>
      <c r="I25" s="320">
        <v>18</v>
      </c>
      <c r="J25" s="320">
        <v>2</v>
      </c>
      <c r="K25" s="57">
        <f t="shared" si="0"/>
        <v>0.10324800000000001</v>
      </c>
      <c r="L25" s="310">
        <f t="shared" si="1"/>
        <v>0.14099236641221372</v>
      </c>
      <c r="M25" s="405">
        <f t="shared" si="2"/>
        <v>17.211141212196328</v>
      </c>
      <c r="N25" s="63">
        <f t="shared" si="3"/>
        <v>-0.16275162568600363</v>
      </c>
      <c r="O25" s="5" t="s">
        <v>3788</v>
      </c>
      <c r="P25" s="68"/>
      <c r="Q25" s="5"/>
      <c r="S25"/>
      <c r="T25" s="18"/>
      <c r="U25" s="18"/>
      <c r="V25" s="18"/>
      <c r="X25" s="70"/>
      <c r="Z25" s="26"/>
    </row>
    <row r="26" spans="1:26" ht="18" x14ac:dyDescent="0.25">
      <c r="A26" s="317" t="s">
        <v>1534</v>
      </c>
      <c r="B26" s="317" t="s">
        <v>4758</v>
      </c>
      <c r="C26" s="317">
        <v>1.51</v>
      </c>
      <c r="D26" s="317">
        <v>1.69</v>
      </c>
      <c r="E26" s="318">
        <v>13.07</v>
      </c>
      <c r="F26" s="317">
        <v>1.06</v>
      </c>
      <c r="G26" s="317">
        <v>0</v>
      </c>
      <c r="H26" s="319">
        <v>33.21</v>
      </c>
      <c r="I26" s="320">
        <v>38</v>
      </c>
      <c r="J26" s="320">
        <v>2.5</v>
      </c>
      <c r="K26" s="57">
        <f t="shared" si="0"/>
        <v>0.109893</v>
      </c>
      <c r="L26" s="310">
        <f t="shared" si="1"/>
        <v>0.12330188679245283</v>
      </c>
      <c r="M26" s="405">
        <f t="shared" si="2"/>
        <v>32.942894786772108</v>
      </c>
      <c r="N26" s="63">
        <f t="shared" si="3"/>
        <v>8.1081281701797046E-3</v>
      </c>
      <c r="O26" s="5" t="s">
        <v>1819</v>
      </c>
      <c r="P26" s="67"/>
      <c r="S26"/>
      <c r="T26" s="18"/>
      <c r="U26" s="18"/>
      <c r="V26" s="18"/>
      <c r="X26" s="70"/>
      <c r="Z26" s="26"/>
    </row>
    <row r="27" spans="1:26" ht="18" x14ac:dyDescent="0.25">
      <c r="A27" s="317" t="s">
        <v>2462</v>
      </c>
      <c r="B27" s="317" t="s">
        <v>2463</v>
      </c>
      <c r="C27" s="317">
        <v>1.04</v>
      </c>
      <c r="D27" s="317">
        <v>2.66</v>
      </c>
      <c r="E27" s="318">
        <v>14.01</v>
      </c>
      <c r="F27" s="317">
        <v>1.65</v>
      </c>
      <c r="G27" s="317">
        <v>2.2000000000000002</v>
      </c>
      <c r="H27" s="319">
        <v>40.76</v>
      </c>
      <c r="I27" s="320">
        <v>44.7</v>
      </c>
      <c r="J27" s="320">
        <v>2.2000000000000002</v>
      </c>
      <c r="K27" s="57">
        <f t="shared" si="0"/>
        <v>8.9072000000000012E-2</v>
      </c>
      <c r="L27" s="310">
        <f t="shared" si="1"/>
        <v>8.490909090909092E-2</v>
      </c>
      <c r="M27" s="405">
        <f t="shared" si="2"/>
        <v>41.343402882504634</v>
      </c>
      <c r="N27" s="63">
        <f t="shared" si="3"/>
        <v>-1.4111148135595672E-2</v>
      </c>
      <c r="O27" s="5" t="s">
        <v>3509</v>
      </c>
      <c r="P27" s="67"/>
      <c r="Q27" s="5"/>
      <c r="S27"/>
      <c r="T27" s="18"/>
      <c r="U27" s="18"/>
      <c r="V27" s="18"/>
      <c r="X27" s="70"/>
      <c r="Z27" s="26"/>
    </row>
    <row r="28" spans="1:26" ht="18" x14ac:dyDescent="0.25">
      <c r="A28" s="321" t="s">
        <v>3882</v>
      </c>
      <c r="B28" s="317" t="s">
        <v>3883</v>
      </c>
      <c r="C28" s="317">
        <v>0.33</v>
      </c>
      <c r="D28" s="317">
        <v>3.03</v>
      </c>
      <c r="E28" s="318">
        <v>9.7899999999999991</v>
      </c>
      <c r="F28" s="317">
        <v>1.35</v>
      </c>
      <c r="G28" s="317">
        <v>1.7</v>
      </c>
      <c r="H28" s="319">
        <v>34.36</v>
      </c>
      <c r="I28" s="320">
        <v>41.5</v>
      </c>
      <c r="J28" s="320">
        <v>1.9</v>
      </c>
      <c r="K28" s="57">
        <f t="shared" si="0"/>
        <v>5.7619000000000004E-2</v>
      </c>
      <c r="L28" s="310">
        <f t="shared" si="1"/>
        <v>7.251851851851851E-2</v>
      </c>
      <c r="M28" s="405">
        <f t="shared" si="2"/>
        <v>133.91140794084112</v>
      </c>
      <c r="N28" s="63">
        <f t="shared" si="3"/>
        <v>-0.74341245060182304</v>
      </c>
      <c r="O28" s="143"/>
      <c r="P28" s="67"/>
      <c r="Q28" s="114">
        <v>0.3</v>
      </c>
      <c r="S28"/>
      <c r="T28" s="18"/>
      <c r="U28" s="18"/>
      <c r="V28" s="18"/>
      <c r="X28" s="70"/>
      <c r="Z28" s="26"/>
    </row>
    <row r="29" spans="1:26" ht="18" x14ac:dyDescent="0.25">
      <c r="A29" s="317" t="s">
        <v>3884</v>
      </c>
      <c r="B29" s="317" t="s">
        <v>3885</v>
      </c>
      <c r="C29" s="317">
        <v>0.62</v>
      </c>
      <c r="D29" s="317">
        <v>2.42</v>
      </c>
      <c r="E29" s="318">
        <v>19.84</v>
      </c>
      <c r="F29" s="317">
        <v>1.94</v>
      </c>
      <c r="G29" s="317">
        <v>2.6</v>
      </c>
      <c r="H29" s="319">
        <v>53.56</v>
      </c>
      <c r="I29" s="320">
        <v>55</v>
      </c>
      <c r="J29" s="320">
        <v>2.2999999999999998</v>
      </c>
      <c r="K29" s="57">
        <f t="shared" si="0"/>
        <v>7.0466000000000001E-2</v>
      </c>
      <c r="L29" s="310">
        <f t="shared" si="1"/>
        <v>0.10226804123711342</v>
      </c>
      <c r="M29" s="405">
        <f t="shared" si="2"/>
        <v>39.96103113897604</v>
      </c>
      <c r="N29" s="63">
        <f t="shared" si="3"/>
        <v>0.3403057547171297</v>
      </c>
      <c r="O29" s="5" t="s">
        <v>4729</v>
      </c>
      <c r="P29" s="67"/>
      <c r="Q29" s="5"/>
      <c r="S29"/>
      <c r="T29" s="18"/>
      <c r="U29" s="18"/>
      <c r="V29" s="18"/>
      <c r="X29" s="70"/>
      <c r="Z29" s="26"/>
    </row>
    <row r="30" spans="1:26" ht="18" x14ac:dyDescent="0.25">
      <c r="A30" s="317" t="s">
        <v>2464</v>
      </c>
      <c r="B30" s="317" t="s">
        <v>2465</v>
      </c>
      <c r="C30" s="317">
        <v>1.1100000000000001</v>
      </c>
      <c r="D30" s="317">
        <v>0.74</v>
      </c>
      <c r="E30" s="318">
        <v>10.57</v>
      </c>
      <c r="F30" s="317">
        <v>0.62</v>
      </c>
      <c r="G30" s="317">
        <v>0</v>
      </c>
      <c r="H30" s="319">
        <v>12.9</v>
      </c>
      <c r="I30" s="320">
        <v>19</v>
      </c>
      <c r="J30" s="320">
        <v>1</v>
      </c>
      <c r="K30" s="57">
        <f t="shared" si="0"/>
        <v>9.2173000000000005E-2</v>
      </c>
      <c r="L30" s="310">
        <f t="shared" si="1"/>
        <v>0.17048387096774195</v>
      </c>
      <c r="M30" s="405">
        <f t="shared" si="2"/>
        <v>22.894070385232126</v>
      </c>
      <c r="N30" s="63">
        <f t="shared" si="3"/>
        <v>-0.43653532190059241</v>
      </c>
      <c r="O30" s="5" t="s">
        <v>1310</v>
      </c>
      <c r="P30" s="27"/>
      <c r="S30"/>
      <c r="U30"/>
      <c r="V30"/>
      <c r="X30"/>
    </row>
    <row r="31" spans="1:26" ht="18" x14ac:dyDescent="0.25">
      <c r="A31" s="317" t="s">
        <v>1535</v>
      </c>
      <c r="B31" s="317" t="s">
        <v>5011</v>
      </c>
      <c r="C31" s="317">
        <v>1.5</v>
      </c>
      <c r="D31" s="317">
        <v>3.48</v>
      </c>
      <c r="E31" s="318">
        <v>11.56</v>
      </c>
      <c r="F31" s="317">
        <v>0.9</v>
      </c>
      <c r="G31" s="317">
        <v>0</v>
      </c>
      <c r="H31" s="319">
        <v>93.53</v>
      </c>
      <c r="I31" s="320">
        <v>103</v>
      </c>
      <c r="J31" s="320">
        <v>2</v>
      </c>
      <c r="K31" s="57">
        <f t="shared" si="0"/>
        <v>0.10945000000000001</v>
      </c>
      <c r="L31" s="310">
        <f t="shared" si="1"/>
        <v>0.12844444444444444</v>
      </c>
      <c r="M31" s="405">
        <f t="shared" si="2"/>
        <v>69.58232556366552</v>
      </c>
      <c r="N31" s="63">
        <f t="shared" si="3"/>
        <v>0.34416317997913354</v>
      </c>
      <c r="O31" s="143"/>
      <c r="P31" s="27"/>
      <c r="S31"/>
      <c r="U31"/>
      <c r="V31"/>
      <c r="X31"/>
    </row>
    <row r="32" spans="1:26" ht="18" x14ac:dyDescent="0.25">
      <c r="A32" s="317" t="s">
        <v>3886</v>
      </c>
      <c r="B32" s="317" t="s">
        <v>3887</v>
      </c>
      <c r="C32" s="317">
        <v>2.0099999999999998</v>
      </c>
      <c r="D32" s="317">
        <v>0.9</v>
      </c>
      <c r="E32" s="318">
        <v>22.23</v>
      </c>
      <c r="F32" s="317">
        <v>1.75</v>
      </c>
      <c r="G32" s="317">
        <v>0</v>
      </c>
      <c r="H32" s="319">
        <v>44.01</v>
      </c>
      <c r="I32" s="320">
        <v>46</v>
      </c>
      <c r="J32" s="320">
        <v>2.2999999999999998</v>
      </c>
      <c r="K32" s="57">
        <f t="shared" si="0"/>
        <v>0.13204299999999999</v>
      </c>
      <c r="L32" s="310">
        <f t="shared" si="1"/>
        <v>0.12702857142857144</v>
      </c>
      <c r="M32" s="405">
        <f t="shared" si="2"/>
        <v>13.625401831589631</v>
      </c>
      <c r="N32" s="63">
        <f t="shared" si="3"/>
        <v>2.2299964833305395</v>
      </c>
      <c r="O32" s="209" t="s">
        <v>3800</v>
      </c>
      <c r="P32" s="210">
        <f>1/(Q15-T22-T19)</f>
        <v>19.49317738791423</v>
      </c>
      <c r="R32" s="210" t="s">
        <v>3413</v>
      </c>
      <c r="S32" s="210" t="s">
        <v>4543</v>
      </c>
      <c r="T32" s="210" t="s">
        <v>2110</v>
      </c>
      <c r="U32" s="210" t="s">
        <v>4544</v>
      </c>
      <c r="V32"/>
      <c r="X32"/>
    </row>
    <row r="33" spans="1:24" ht="18" x14ac:dyDescent="0.25">
      <c r="A33" s="321" t="s">
        <v>2466</v>
      </c>
      <c r="B33" s="317" t="s">
        <v>2467</v>
      </c>
      <c r="C33" s="317">
        <v>1.1200000000000001</v>
      </c>
      <c r="D33" s="317">
        <v>2.0099999999999998</v>
      </c>
      <c r="E33" s="318">
        <v>17.579999999999998</v>
      </c>
      <c r="F33" s="317">
        <v>1.64</v>
      </c>
      <c r="G33" s="317">
        <v>0.9</v>
      </c>
      <c r="H33" s="319">
        <v>41.14</v>
      </c>
      <c r="I33" s="320">
        <v>48</v>
      </c>
      <c r="J33" s="320">
        <v>2</v>
      </c>
      <c r="K33" s="57">
        <f t="shared" si="0"/>
        <v>9.2616000000000004E-2</v>
      </c>
      <c r="L33" s="310">
        <f t="shared" si="1"/>
        <v>0.10719512195121951</v>
      </c>
      <c r="M33" s="405">
        <f t="shared" si="2"/>
        <v>39.367455540198506</v>
      </c>
      <c r="N33" s="63">
        <f t="shared" si="3"/>
        <v>4.5025629304173129E-2</v>
      </c>
      <c r="O33" s="143"/>
      <c r="P33" s="465"/>
      <c r="R33" s="210" t="s">
        <v>4545</v>
      </c>
      <c r="S33" s="210">
        <v>12667.12</v>
      </c>
      <c r="T33" s="463">
        <v>40668.49046296296</v>
      </c>
      <c r="U33" s="210" t="s">
        <v>4546</v>
      </c>
      <c r="V33"/>
      <c r="X33"/>
    </row>
    <row r="34" spans="1:24" ht="18" x14ac:dyDescent="0.25">
      <c r="A34" s="317" t="s">
        <v>3265</v>
      </c>
      <c r="B34" s="317" t="s">
        <v>3266</v>
      </c>
      <c r="C34" s="317">
        <v>3.25</v>
      </c>
      <c r="D34" s="317">
        <v>0.57999999999999996</v>
      </c>
      <c r="E34" s="318">
        <v>5.52</v>
      </c>
      <c r="F34" s="317">
        <v>0.45</v>
      </c>
      <c r="G34" s="317">
        <v>4.2</v>
      </c>
      <c r="H34" s="319">
        <v>5.96</v>
      </c>
      <c r="I34" s="320">
        <v>8</v>
      </c>
      <c r="J34" s="320">
        <v>2</v>
      </c>
      <c r="K34" s="57">
        <f t="shared" ref="K34:K65" si="4">$P$14+C34*($Q$15-$P$14)</f>
        <v>0.186975</v>
      </c>
      <c r="L34" s="310">
        <f t="shared" ref="L34:L65" si="5">E34/F34/100</f>
        <v>0.12266666666666666</v>
      </c>
      <c r="M34" s="405">
        <f t="shared" ref="M34:M65" si="6">(D34-G34*H34/100)+(D34-G34*H34/100)*(1+L34)/(1+K34)+(D34-G34*H34/100)*(1+L34)^2/(1+K34)^2+(D34-G34*H34/100)*(1+L34)^3/(1+K34)^3+(D34-G34*H34/100)*(1+L34)^4/(1+K34)^4+((D34-G34*H34/100)*(1+L34)^5/(K34-$T$22-$T$19))/((1+K34)^5)</f>
        <v>3.1320541514728975</v>
      </c>
      <c r="N34" s="63">
        <f t="shared" ref="N34:N65" si="7">(H34-M34)/M34</f>
        <v>0.90290451945002825</v>
      </c>
      <c r="O34" s="143"/>
      <c r="P34" s="27"/>
      <c r="R34" s="210" t="s">
        <v>4547</v>
      </c>
      <c r="S34" s="210">
        <v>1344</v>
      </c>
      <c r="T34" s="463">
        <v>40668.49046296296</v>
      </c>
      <c r="U34" s="210" t="s">
        <v>4546</v>
      </c>
      <c r="V34"/>
      <c r="X34"/>
    </row>
    <row r="35" spans="1:24" ht="18" x14ac:dyDescent="0.25">
      <c r="A35" s="317" t="s">
        <v>3888</v>
      </c>
      <c r="B35" s="317" t="s">
        <v>3889</v>
      </c>
      <c r="C35" s="317">
        <v>0.6</v>
      </c>
      <c r="D35" s="317">
        <v>0.57999999999999996</v>
      </c>
      <c r="E35" s="318">
        <v>13.19</v>
      </c>
      <c r="F35" s="317">
        <v>-7.2</v>
      </c>
      <c r="G35" s="317">
        <v>5.4</v>
      </c>
      <c r="H35" s="319">
        <v>28.89</v>
      </c>
      <c r="I35" s="320">
        <v>26.25</v>
      </c>
      <c r="J35" s="320">
        <v>3.5</v>
      </c>
      <c r="K35" s="57">
        <f t="shared" si="4"/>
        <v>6.9580000000000003E-2</v>
      </c>
      <c r="L35" s="310">
        <f t="shared" si="5"/>
        <v>-1.8319444444444444E-2</v>
      </c>
      <c r="M35" s="405">
        <f t="shared" si="6"/>
        <v>-23.167270914498648</v>
      </c>
      <c r="N35" s="63">
        <f t="shared" si="7"/>
        <v>-2.2470178341947014</v>
      </c>
      <c r="O35" s="143"/>
      <c r="P35" s="27"/>
      <c r="R35" s="210" t="s">
        <v>4548</v>
      </c>
      <c r="S35" s="210">
        <v>2835.88</v>
      </c>
      <c r="T35" s="463">
        <v>40668.49046296296</v>
      </c>
      <c r="U35" s="210" t="s">
        <v>4546</v>
      </c>
      <c r="V35"/>
      <c r="X35"/>
    </row>
    <row r="36" spans="1:24" ht="18" x14ac:dyDescent="0.25">
      <c r="A36" s="321" t="s">
        <v>2468</v>
      </c>
      <c r="B36" s="317" t="s">
        <v>2469</v>
      </c>
      <c r="C36" s="317">
        <v>1.91</v>
      </c>
      <c r="D36" s="317">
        <v>1.64</v>
      </c>
      <c r="E36" s="318">
        <v>8.33</v>
      </c>
      <c r="F36" s="317">
        <v>0.56999999999999995</v>
      </c>
      <c r="G36" s="317">
        <v>0</v>
      </c>
      <c r="H36" s="319">
        <v>14.74</v>
      </c>
      <c r="I36" s="320">
        <v>19</v>
      </c>
      <c r="J36" s="320">
        <v>2.1</v>
      </c>
      <c r="K36" s="57">
        <f t="shared" si="4"/>
        <v>0.127613</v>
      </c>
      <c r="L36" s="310">
        <f t="shared" si="5"/>
        <v>0.14614035087719299</v>
      </c>
      <c r="M36" s="405">
        <f t="shared" si="6"/>
        <v>27.895095432135697</v>
      </c>
      <c r="N36" s="63">
        <f t="shared" si="7"/>
        <v>-0.47159169840949061</v>
      </c>
      <c r="O36" s="143"/>
      <c r="P36" s="27"/>
      <c r="R36" s="210" t="s">
        <v>4549</v>
      </c>
      <c r="S36" s="210">
        <v>4.3</v>
      </c>
      <c r="T36" s="463">
        <v>40668.49046296296</v>
      </c>
      <c r="U36" s="210" t="s">
        <v>4546</v>
      </c>
      <c r="V36"/>
      <c r="X36"/>
    </row>
    <row r="37" spans="1:24" ht="18" x14ac:dyDescent="0.25">
      <c r="A37" s="317" t="s">
        <v>2470</v>
      </c>
      <c r="B37" s="317" t="s">
        <v>179</v>
      </c>
      <c r="C37" s="317">
        <v>1.79</v>
      </c>
      <c r="D37" s="317">
        <v>0.68</v>
      </c>
      <c r="E37" s="318">
        <v>6.01</v>
      </c>
      <c r="F37" s="317">
        <v>0.87</v>
      </c>
      <c r="G37" s="317">
        <v>0.8</v>
      </c>
      <c r="H37" s="319">
        <v>12.69</v>
      </c>
      <c r="I37" s="320">
        <v>17</v>
      </c>
      <c r="J37" s="320">
        <v>1.4</v>
      </c>
      <c r="K37" s="57">
        <f t="shared" si="4"/>
        <v>0.122297</v>
      </c>
      <c r="L37" s="310">
        <f t="shared" si="5"/>
        <v>6.9080459770114941E-2</v>
      </c>
      <c r="M37" s="405">
        <f t="shared" si="6"/>
        <v>7.8886189568899496</v>
      </c>
      <c r="N37" s="63">
        <f t="shared" si="7"/>
        <v>0.60864659192551129</v>
      </c>
      <c r="O37" s="163" t="s">
        <v>1814</v>
      </c>
      <c r="P37" s="164"/>
      <c r="S37"/>
      <c r="U37"/>
      <c r="V37"/>
      <c r="X37"/>
    </row>
    <row r="38" spans="1:24" ht="18" x14ac:dyDescent="0.25">
      <c r="A38" s="317" t="s">
        <v>3890</v>
      </c>
      <c r="B38" s="317" t="s">
        <v>3891</v>
      </c>
      <c r="C38" s="317">
        <v>0.54</v>
      </c>
      <c r="D38" s="317">
        <v>2.5299999999999998</v>
      </c>
      <c r="E38" s="318">
        <v>11.34</v>
      </c>
      <c r="F38" s="317">
        <v>3.18</v>
      </c>
      <c r="G38" s="317">
        <v>5</v>
      </c>
      <c r="H38" s="319">
        <v>36.75</v>
      </c>
      <c r="I38" s="320">
        <v>39</v>
      </c>
      <c r="J38" s="320">
        <v>2.2999999999999998</v>
      </c>
      <c r="K38" s="57">
        <f t="shared" si="4"/>
        <v>6.6922000000000009E-2</v>
      </c>
      <c r="L38" s="310">
        <f t="shared" si="5"/>
        <v>3.5660377358490564E-2</v>
      </c>
      <c r="M38" s="405">
        <f t="shared" si="6"/>
        <v>22.566266361541899</v>
      </c>
      <c r="N38" s="63">
        <f t="shared" si="7"/>
        <v>0.62853701233583059</v>
      </c>
      <c r="O38" s="165" t="s">
        <v>1815</v>
      </c>
      <c r="P38" s="164">
        <f>COUNT(N4:N117)</f>
        <v>101</v>
      </c>
      <c r="S38"/>
      <c r="U38"/>
      <c r="V38"/>
      <c r="X38"/>
    </row>
    <row r="39" spans="1:24" ht="18" x14ac:dyDescent="0.25">
      <c r="A39" s="317" t="s">
        <v>180</v>
      </c>
      <c r="B39" s="317" t="s">
        <v>181</v>
      </c>
      <c r="C39" s="317">
        <v>1.86</v>
      </c>
      <c r="D39" s="317">
        <v>1.81</v>
      </c>
      <c r="E39" s="318">
        <v>7.28</v>
      </c>
      <c r="F39" s="317">
        <v>0.66</v>
      </c>
      <c r="G39" s="317">
        <v>0</v>
      </c>
      <c r="H39" s="319">
        <v>13.83</v>
      </c>
      <c r="I39" s="320">
        <v>16</v>
      </c>
      <c r="J39" s="320">
        <v>1.7</v>
      </c>
      <c r="K39" s="57">
        <f t="shared" si="4"/>
        <v>0.12539800000000001</v>
      </c>
      <c r="L39" s="310">
        <f t="shared" si="5"/>
        <v>0.11030303030303029</v>
      </c>
      <c r="M39" s="405">
        <f t="shared" si="6"/>
        <v>27.735102465698091</v>
      </c>
      <c r="N39" s="63">
        <f t="shared" si="7"/>
        <v>-0.50135392443188154</v>
      </c>
      <c r="O39" s="166" t="s">
        <v>548</v>
      </c>
      <c r="P39" s="167">
        <f>COUNTIF(N4:N117,"&gt;.3")</f>
        <v>34</v>
      </c>
      <c r="Q39" s="179">
        <f>P39/P38</f>
        <v>0.33663366336633666</v>
      </c>
      <c r="S39"/>
      <c r="U39"/>
      <c r="V39"/>
      <c r="X39"/>
    </row>
    <row r="40" spans="1:24" ht="18" x14ac:dyDescent="0.25">
      <c r="A40" s="317" t="s">
        <v>182</v>
      </c>
      <c r="B40" s="317" t="s">
        <v>183</v>
      </c>
      <c r="C40" s="317">
        <v>1.43</v>
      </c>
      <c r="D40" s="317">
        <v>0.01</v>
      </c>
      <c r="E40" s="318">
        <v>10.64</v>
      </c>
      <c r="F40" s="317">
        <v>1.07</v>
      </c>
      <c r="G40" s="317">
        <v>0</v>
      </c>
      <c r="H40" s="319">
        <v>13.09</v>
      </c>
      <c r="I40" s="320">
        <v>15.5</v>
      </c>
      <c r="J40" s="320">
        <v>1.8</v>
      </c>
      <c r="K40" s="57">
        <f t="shared" si="4"/>
        <v>0.106349</v>
      </c>
      <c r="L40" s="310">
        <f t="shared" si="5"/>
        <v>9.9439252336448597E-2</v>
      </c>
      <c r="M40" s="405">
        <f t="shared" si="6"/>
        <v>0.18714389910172602</v>
      </c>
      <c r="N40" s="63">
        <f t="shared" si="7"/>
        <v>68.94617544483593</v>
      </c>
      <c r="O40" s="1" t="s">
        <v>549</v>
      </c>
      <c r="P40" s="162">
        <f>COUNTIF(N4:N117,"&gt;-.15")-P39</f>
        <v>20</v>
      </c>
      <c r="Q40" s="179">
        <f>P40/P38</f>
        <v>0.19801980198019803</v>
      </c>
      <c r="S40"/>
      <c r="U40"/>
      <c r="V40"/>
      <c r="X40"/>
    </row>
    <row r="41" spans="1:24" ht="18" x14ac:dyDescent="0.25">
      <c r="A41" s="317" t="s">
        <v>5358</v>
      </c>
      <c r="B41" s="317"/>
      <c r="C41" s="317">
        <v>1.28</v>
      </c>
      <c r="D41" s="317">
        <v>4.3600000000000003</v>
      </c>
      <c r="E41" s="318">
        <v>9.2899999999999991</v>
      </c>
      <c r="F41" s="317">
        <v>0.84</v>
      </c>
      <c r="G41" s="317">
        <v>1.4</v>
      </c>
      <c r="H41" s="319">
        <v>41.62</v>
      </c>
      <c r="I41" s="320">
        <v>46.5</v>
      </c>
      <c r="J41" s="320">
        <v>2.2999999999999998</v>
      </c>
      <c r="K41" s="57">
        <f t="shared" si="4"/>
        <v>9.9704000000000015E-2</v>
      </c>
      <c r="L41" s="310">
        <f t="shared" si="5"/>
        <v>0.11059523809523808</v>
      </c>
      <c r="M41" s="405">
        <f t="shared" si="6"/>
        <v>81.554242799396448</v>
      </c>
      <c r="N41" s="63">
        <f t="shared" si="7"/>
        <v>-0.48966480993055078</v>
      </c>
      <c r="O41" s="168" t="s">
        <v>550</v>
      </c>
      <c r="P41" s="169">
        <f>COUNTIF(N4:N117,"&lt;-.15 ")</f>
        <v>47</v>
      </c>
      <c r="Q41" s="179">
        <f>P41/P38</f>
        <v>0.46534653465346537</v>
      </c>
      <c r="S41"/>
      <c r="U41"/>
      <c r="V41"/>
      <c r="X41"/>
    </row>
    <row r="42" spans="1:24" ht="18" x14ac:dyDescent="0.25">
      <c r="A42" s="317" t="s">
        <v>3267</v>
      </c>
      <c r="B42" s="317" t="s">
        <v>3268</v>
      </c>
      <c r="C42" s="317"/>
      <c r="D42" s="317"/>
      <c r="E42" s="318"/>
      <c r="F42" s="317"/>
      <c r="G42" s="317"/>
      <c r="H42" s="319"/>
      <c r="I42" s="320"/>
      <c r="J42" s="320"/>
      <c r="K42" s="57">
        <f t="shared" si="4"/>
        <v>4.2999999999999997E-2</v>
      </c>
      <c r="L42" s="310" t="e">
        <f t="shared" si="5"/>
        <v>#DIV/0!</v>
      </c>
      <c r="M42" s="405" t="e">
        <f t="shared" si="6"/>
        <v>#DIV/0!</v>
      </c>
      <c r="N42" s="63" t="e">
        <f t="shared" si="7"/>
        <v>#DIV/0!</v>
      </c>
      <c r="O42" s="165" t="s">
        <v>3598</v>
      </c>
      <c r="P42" s="181"/>
      <c r="S42"/>
      <c r="U42"/>
      <c r="V42"/>
      <c r="X42"/>
    </row>
    <row r="43" spans="1:24" ht="18" x14ac:dyDescent="0.25">
      <c r="A43" s="321" t="s">
        <v>184</v>
      </c>
      <c r="B43" s="317" t="s">
        <v>185</v>
      </c>
      <c r="C43" s="317">
        <v>1.08</v>
      </c>
      <c r="D43" s="317">
        <v>4.33</v>
      </c>
      <c r="E43" s="318">
        <v>9.91</v>
      </c>
      <c r="F43" s="317">
        <v>1.1299999999999999</v>
      </c>
      <c r="G43" s="317">
        <v>1.8</v>
      </c>
      <c r="H43" s="319">
        <v>35.07</v>
      </c>
      <c r="I43" s="320">
        <v>40</v>
      </c>
      <c r="J43" s="320">
        <v>2</v>
      </c>
      <c r="K43" s="57">
        <f t="shared" si="4"/>
        <v>9.0844000000000008E-2</v>
      </c>
      <c r="L43" s="310">
        <f t="shared" si="5"/>
        <v>8.7699115044247794E-2</v>
      </c>
      <c r="M43" s="405">
        <f t="shared" si="6"/>
        <v>84.861910019099952</v>
      </c>
      <c r="N43" s="63">
        <f t="shared" si="7"/>
        <v>-0.58674038809512108</v>
      </c>
      <c r="O43" s="1"/>
      <c r="P43" s="27"/>
      <c r="S43"/>
      <c r="U43"/>
      <c r="V43"/>
      <c r="X43"/>
    </row>
    <row r="44" spans="1:24" ht="18.75" thickBot="1" x14ac:dyDescent="0.3">
      <c r="A44" s="317" t="s">
        <v>1346</v>
      </c>
      <c r="B44" s="317" t="s">
        <v>5012</v>
      </c>
      <c r="C44" s="317">
        <v>1.9</v>
      </c>
      <c r="D44" s="317">
        <v>4.4400000000000004</v>
      </c>
      <c r="E44" s="318">
        <v>8.33</v>
      </c>
      <c r="F44" s="317">
        <v>0.69</v>
      </c>
      <c r="G44" s="317">
        <v>2.1</v>
      </c>
      <c r="H44" s="319">
        <v>55.48</v>
      </c>
      <c r="I44" s="320">
        <v>66.5</v>
      </c>
      <c r="J44" s="320">
        <v>2</v>
      </c>
      <c r="K44" s="57">
        <f t="shared" si="4"/>
        <v>0.12717000000000001</v>
      </c>
      <c r="L44" s="310">
        <f t="shared" si="5"/>
        <v>0.12072463768115943</v>
      </c>
      <c r="M44" s="405">
        <f t="shared" si="6"/>
        <v>51.094092198677018</v>
      </c>
      <c r="N44" s="63">
        <f t="shared" si="7"/>
        <v>8.583982242542991E-2</v>
      </c>
      <c r="O44" s="106"/>
      <c r="P44" s="182"/>
      <c r="S44"/>
      <c r="U44"/>
      <c r="V44"/>
      <c r="X44"/>
    </row>
    <row r="45" spans="1:24" ht="18" x14ac:dyDescent="0.25">
      <c r="A45" s="317" t="s">
        <v>3892</v>
      </c>
      <c r="B45" s="317" t="s">
        <v>3893</v>
      </c>
      <c r="C45" s="317">
        <v>0.94</v>
      </c>
      <c r="D45" s="317">
        <v>0</v>
      </c>
      <c r="E45" s="318">
        <v>19.53</v>
      </c>
      <c r="F45" s="317">
        <v>1.5</v>
      </c>
      <c r="G45" s="317">
        <v>0.2</v>
      </c>
      <c r="H45" s="319">
        <v>81.650000000000006</v>
      </c>
      <c r="I45" s="320">
        <v>81.5</v>
      </c>
      <c r="J45" s="320">
        <v>2</v>
      </c>
      <c r="K45" s="57">
        <f t="shared" si="4"/>
        <v>8.4641999999999995E-2</v>
      </c>
      <c r="L45" s="310">
        <f t="shared" si="5"/>
        <v>0.13020000000000001</v>
      </c>
      <c r="M45" s="405">
        <f t="shared" si="6"/>
        <v>-5.0120376382322478</v>
      </c>
      <c r="N45" s="63">
        <f t="shared" si="7"/>
        <v>-17.290779497976409</v>
      </c>
      <c r="O45" s="241" t="s">
        <v>5066</v>
      </c>
      <c r="P45" s="242">
        <f>2.5%+2%</f>
        <v>4.4999999999999998E-2</v>
      </c>
      <c r="Q45" s="243"/>
      <c r="R45" s="242">
        <f>2.8%+2%</f>
        <v>4.8000000000000001E-2</v>
      </c>
      <c r="S45" s="243"/>
      <c r="T45" s="244">
        <v>5.7500000000000002E-2</v>
      </c>
      <c r="U45"/>
      <c r="V45"/>
      <c r="X45"/>
    </row>
    <row r="46" spans="1:24" ht="18" x14ac:dyDescent="0.25">
      <c r="A46" s="317" t="s">
        <v>2193</v>
      </c>
      <c r="B46" s="317" t="s">
        <v>782</v>
      </c>
      <c r="C46" s="317">
        <v>2.61</v>
      </c>
      <c r="D46" s="317">
        <v>2.9</v>
      </c>
      <c r="E46" s="318">
        <v>5.09</v>
      </c>
      <c r="F46" s="317">
        <v>0.57999999999999996</v>
      </c>
      <c r="G46" s="317">
        <v>1.1000000000000001</v>
      </c>
      <c r="H46" s="319">
        <v>16.53</v>
      </c>
      <c r="I46" s="320">
        <v>25</v>
      </c>
      <c r="J46" s="320">
        <v>2.1</v>
      </c>
      <c r="K46" s="57">
        <f t="shared" si="4"/>
        <v>0.15862300000000001</v>
      </c>
      <c r="L46" s="310">
        <f t="shared" si="5"/>
        <v>8.7758620689655176E-2</v>
      </c>
      <c r="M46" s="405">
        <f t="shared" si="6"/>
        <v>28.194970235356884</v>
      </c>
      <c r="N46" s="63">
        <f t="shared" si="7"/>
        <v>-0.41372521900125464</v>
      </c>
      <c r="O46" s="245">
        <v>37145</v>
      </c>
      <c r="P46" s="246">
        <v>8000</v>
      </c>
      <c r="Q46" s="247">
        <v>32874</v>
      </c>
      <c r="R46" s="246">
        <v>3000</v>
      </c>
      <c r="S46" s="247">
        <v>34700</v>
      </c>
      <c r="T46" s="248">
        <v>4000</v>
      </c>
      <c r="U46"/>
      <c r="V46"/>
      <c r="X46"/>
    </row>
    <row r="47" spans="1:24" ht="18.75" thickBot="1" x14ac:dyDescent="0.3">
      <c r="A47" s="317" t="s">
        <v>1536</v>
      </c>
      <c r="B47" s="317"/>
      <c r="C47" s="317">
        <v>1.45</v>
      </c>
      <c r="D47" s="317">
        <v>4.5199999999999996</v>
      </c>
      <c r="E47" s="318">
        <v>10.96</v>
      </c>
      <c r="F47" s="317">
        <v>0.72</v>
      </c>
      <c r="G47" s="317">
        <v>0.1</v>
      </c>
      <c r="H47" s="319">
        <v>85.4</v>
      </c>
      <c r="I47" s="320">
        <v>109</v>
      </c>
      <c r="J47" s="320">
        <v>2.1</v>
      </c>
      <c r="K47" s="57">
        <f t="shared" si="4"/>
        <v>0.107235</v>
      </c>
      <c r="L47" s="310">
        <f t="shared" si="5"/>
        <v>0.15222222222222223</v>
      </c>
      <c r="M47" s="405">
        <f t="shared" si="6"/>
        <v>100.01968823065559</v>
      </c>
      <c r="N47" s="63">
        <f t="shared" si="7"/>
        <v>-0.14616810439301803</v>
      </c>
      <c r="O47" s="249">
        <v>39722</v>
      </c>
      <c r="P47" s="250">
        <f>P46*(1+P45)^((O47-O46)/365)</f>
        <v>10915.816714222976</v>
      </c>
      <c r="Q47" s="251">
        <v>39753</v>
      </c>
      <c r="R47" s="250">
        <f>R46*(1+R45)^((Q47-Q46)/365)</f>
        <v>7258.7477129978824</v>
      </c>
      <c r="S47" s="251">
        <v>39753</v>
      </c>
      <c r="T47" s="252">
        <f>T46*(1+T45)^((S47-S46)/365)</f>
        <v>8673.4828885776387</v>
      </c>
      <c r="U47"/>
      <c r="V47"/>
      <c r="X47"/>
    </row>
    <row r="48" spans="1:24" ht="20.25" x14ac:dyDescent="0.3">
      <c r="A48" s="317" t="s">
        <v>4898</v>
      </c>
      <c r="B48" s="317" t="s">
        <v>4899</v>
      </c>
      <c r="C48" s="317">
        <v>2.7</v>
      </c>
      <c r="D48" s="317">
        <v>-0.49</v>
      </c>
      <c r="E48" s="318">
        <v>0</v>
      </c>
      <c r="F48" s="317">
        <v>-0.52</v>
      </c>
      <c r="G48" s="317">
        <v>0</v>
      </c>
      <c r="H48" s="319">
        <v>5.01</v>
      </c>
      <c r="I48" s="320">
        <v>5</v>
      </c>
      <c r="J48" s="320">
        <v>3</v>
      </c>
      <c r="K48" s="57">
        <f t="shared" si="4"/>
        <v>0.16261000000000003</v>
      </c>
      <c r="L48" s="310">
        <f t="shared" si="5"/>
        <v>0</v>
      </c>
      <c r="M48" s="405">
        <f t="shared" si="6"/>
        <v>-3.6760351679834766</v>
      </c>
      <c r="N48" s="63">
        <f t="shared" si="7"/>
        <v>-2.3628814119175803</v>
      </c>
      <c r="O48" s="111" t="s">
        <v>43</v>
      </c>
      <c r="P48" s="26"/>
      <c r="S48"/>
      <c r="U48"/>
      <c r="V48"/>
      <c r="X48"/>
    </row>
    <row r="49" spans="1:26" ht="18" x14ac:dyDescent="0.25">
      <c r="A49" s="317" t="s">
        <v>3269</v>
      </c>
      <c r="B49" s="317" t="s">
        <v>2151</v>
      </c>
      <c r="C49" s="317">
        <v>2.87</v>
      </c>
      <c r="D49" s="317">
        <v>-5.92</v>
      </c>
      <c r="E49" s="318">
        <v>26.24</v>
      </c>
      <c r="F49" s="317">
        <v>0</v>
      </c>
      <c r="G49" s="317">
        <v>4.8</v>
      </c>
      <c r="H49" s="319">
        <v>7.61</v>
      </c>
      <c r="I49" s="320">
        <v>3</v>
      </c>
      <c r="J49" s="320">
        <v>2</v>
      </c>
      <c r="K49" s="57">
        <f t="shared" si="4"/>
        <v>0.17014100000000004</v>
      </c>
      <c r="L49" s="310" t="e">
        <f t="shared" si="5"/>
        <v>#DIV/0!</v>
      </c>
      <c r="M49" s="405" t="e">
        <f t="shared" si="6"/>
        <v>#DIV/0!</v>
      </c>
      <c r="N49" s="63" t="e">
        <f t="shared" si="7"/>
        <v>#DIV/0!</v>
      </c>
      <c r="P49" s="26"/>
      <c r="S49"/>
      <c r="U49"/>
      <c r="V49"/>
      <c r="X49"/>
    </row>
    <row r="50" spans="1:26" ht="18" x14ac:dyDescent="0.25">
      <c r="A50" s="321" t="s">
        <v>186</v>
      </c>
      <c r="B50" s="317" t="s">
        <v>187</v>
      </c>
      <c r="C50" s="317">
        <v>0.92</v>
      </c>
      <c r="D50" s="317">
        <v>0.2</v>
      </c>
      <c r="E50" s="318">
        <v>13.45</v>
      </c>
      <c r="F50" s="317">
        <v>1.56</v>
      </c>
      <c r="G50" s="317">
        <v>0</v>
      </c>
      <c r="H50" s="319">
        <v>2.56</v>
      </c>
      <c r="I50" s="320">
        <v>3</v>
      </c>
      <c r="J50" s="320">
        <v>2</v>
      </c>
      <c r="K50" s="57">
        <f t="shared" si="4"/>
        <v>8.3755999999999997E-2</v>
      </c>
      <c r="L50" s="310">
        <f t="shared" si="5"/>
        <v>8.6217948717948703E-2</v>
      </c>
      <c r="M50" s="405">
        <f t="shared" si="6"/>
        <v>5.2402942585355961</v>
      </c>
      <c r="N50" s="63">
        <f t="shared" si="7"/>
        <v>-0.5114778152333388</v>
      </c>
      <c r="O50" s="196" t="s">
        <v>42</v>
      </c>
      <c r="P50" s="26"/>
      <c r="S50"/>
      <c r="U50"/>
      <c r="V50"/>
      <c r="X50"/>
    </row>
    <row r="51" spans="1:26" ht="18" x14ac:dyDescent="0.25">
      <c r="A51" s="317" t="s">
        <v>797</v>
      </c>
      <c r="B51" s="317" t="s">
        <v>1872</v>
      </c>
      <c r="C51" s="317">
        <v>2.33</v>
      </c>
      <c r="D51" s="317">
        <v>3.38</v>
      </c>
      <c r="E51" s="318">
        <v>5.77</v>
      </c>
      <c r="F51" s="317">
        <v>0</v>
      </c>
      <c r="G51" s="317">
        <v>10</v>
      </c>
      <c r="H51" s="319">
        <v>28.85</v>
      </c>
      <c r="I51" s="320">
        <v>37</v>
      </c>
      <c r="J51" s="320">
        <v>2</v>
      </c>
      <c r="K51" s="57">
        <f t="shared" si="4"/>
        <v>0.14621900000000002</v>
      </c>
      <c r="L51" s="310" t="e">
        <f t="shared" si="5"/>
        <v>#DIV/0!</v>
      </c>
      <c r="M51" s="405" t="e">
        <f t="shared" si="6"/>
        <v>#DIV/0!</v>
      </c>
      <c r="N51" s="63" t="e">
        <f t="shared" si="7"/>
        <v>#DIV/0!</v>
      </c>
      <c r="P51" s="26"/>
      <c r="S51"/>
      <c r="U51"/>
      <c r="V51"/>
      <c r="X51"/>
    </row>
    <row r="52" spans="1:26" ht="18" x14ac:dyDescent="0.25">
      <c r="A52" s="317" t="s">
        <v>2128</v>
      </c>
      <c r="B52" s="317"/>
      <c r="C52" s="317">
        <v>3.95</v>
      </c>
      <c r="D52" s="317">
        <v>11.2</v>
      </c>
      <c r="E52" s="318">
        <v>13.5</v>
      </c>
      <c r="F52" s="317">
        <v>2.16</v>
      </c>
      <c r="G52" s="317">
        <v>0</v>
      </c>
      <c r="H52" s="319">
        <v>31.72</v>
      </c>
      <c r="I52" s="320">
        <v>41</v>
      </c>
      <c r="J52" s="320">
        <v>3.1</v>
      </c>
      <c r="K52" s="57">
        <f t="shared" si="4"/>
        <v>0.21798500000000004</v>
      </c>
      <c r="L52" s="310">
        <f t="shared" si="5"/>
        <v>6.25E-2</v>
      </c>
      <c r="M52" s="405">
        <f t="shared" si="6"/>
        <v>74.503793385226459</v>
      </c>
      <c r="N52" s="63">
        <f t="shared" si="7"/>
        <v>-0.57424986623177987</v>
      </c>
      <c r="O52" t="s">
        <v>44</v>
      </c>
      <c r="P52" s="26"/>
      <c r="S52"/>
      <c r="U52"/>
      <c r="V52"/>
      <c r="X52"/>
    </row>
    <row r="53" spans="1:26" ht="18" x14ac:dyDescent="0.25">
      <c r="A53" s="321" t="s">
        <v>188</v>
      </c>
      <c r="B53" s="317" t="s">
        <v>189</v>
      </c>
      <c r="C53" s="317">
        <v>1.98</v>
      </c>
      <c r="D53" s="317">
        <v>0.92</v>
      </c>
      <c r="E53" s="318">
        <v>14.58</v>
      </c>
      <c r="F53" s="317">
        <v>1.27</v>
      </c>
      <c r="G53" s="317">
        <v>0</v>
      </c>
      <c r="H53" s="319">
        <v>24.79</v>
      </c>
      <c r="I53" s="320">
        <v>29</v>
      </c>
      <c r="J53" s="320">
        <v>1.5</v>
      </c>
      <c r="K53" s="57">
        <f t="shared" si="4"/>
        <v>0.130714</v>
      </c>
      <c r="L53" s="310">
        <f t="shared" si="5"/>
        <v>0.1148031496062992</v>
      </c>
      <c r="M53" s="405">
        <f t="shared" si="6"/>
        <v>13.52135411903018</v>
      </c>
      <c r="N53" s="63">
        <f t="shared" si="7"/>
        <v>0.833396254677639</v>
      </c>
      <c r="O53" t="s">
        <v>4790</v>
      </c>
      <c r="P53" s="26"/>
      <c r="S53"/>
      <c r="U53"/>
      <c r="V53"/>
      <c r="X53"/>
    </row>
    <row r="54" spans="1:26" ht="18" x14ac:dyDescent="0.25">
      <c r="A54" s="317" t="s">
        <v>190</v>
      </c>
      <c r="B54" s="317" t="s">
        <v>191</v>
      </c>
      <c r="C54" s="317">
        <v>1.97</v>
      </c>
      <c r="D54" s="317">
        <v>1.21</v>
      </c>
      <c r="E54" s="318">
        <v>12.8</v>
      </c>
      <c r="F54" s="317">
        <v>0.28000000000000003</v>
      </c>
      <c r="G54" s="317">
        <v>1.9</v>
      </c>
      <c r="H54" s="319">
        <v>25.98</v>
      </c>
      <c r="I54" s="320">
        <v>31</v>
      </c>
      <c r="J54" s="320">
        <v>2</v>
      </c>
      <c r="K54" s="57">
        <f t="shared" si="4"/>
        <v>0.13027100000000003</v>
      </c>
      <c r="L54" s="310">
        <f t="shared" si="5"/>
        <v>0.45714285714285713</v>
      </c>
      <c r="M54" s="405">
        <f t="shared" si="6"/>
        <v>33.406647301366114</v>
      </c>
      <c r="N54" s="63">
        <f t="shared" si="7"/>
        <v>-0.22231046517087669</v>
      </c>
      <c r="O54" t="s">
        <v>117</v>
      </c>
      <c r="P54" s="26"/>
      <c r="S54"/>
      <c r="U54"/>
      <c r="V54"/>
      <c r="X54"/>
    </row>
    <row r="55" spans="1:26" ht="18" x14ac:dyDescent="0.25">
      <c r="A55" s="317" t="s">
        <v>192</v>
      </c>
      <c r="B55" s="317" t="s">
        <v>193</v>
      </c>
      <c r="C55" s="317">
        <v>1.08</v>
      </c>
      <c r="D55" s="317">
        <v>1.47</v>
      </c>
      <c r="E55" s="318">
        <v>11.73</v>
      </c>
      <c r="F55" s="317">
        <v>1.24</v>
      </c>
      <c r="G55" s="317">
        <v>1.2</v>
      </c>
      <c r="H55" s="319">
        <v>25.45</v>
      </c>
      <c r="I55" s="320">
        <v>35</v>
      </c>
      <c r="J55" s="320">
        <v>1.5</v>
      </c>
      <c r="K55" s="57">
        <f t="shared" si="4"/>
        <v>9.0844000000000008E-2</v>
      </c>
      <c r="L55" s="310">
        <f t="shared" si="5"/>
        <v>9.4596774193548394E-2</v>
      </c>
      <c r="M55" s="405">
        <f t="shared" si="6"/>
        <v>27.465764553577635</v>
      </c>
      <c r="N55" s="63">
        <f t="shared" si="7"/>
        <v>-7.3391896651756106E-2</v>
      </c>
      <c r="O55" t="s">
        <v>4502</v>
      </c>
      <c r="P55" s="26"/>
      <c r="S55"/>
      <c r="U55"/>
      <c r="V55"/>
      <c r="X55"/>
    </row>
    <row r="56" spans="1:26" ht="18" x14ac:dyDescent="0.25">
      <c r="A56" s="317" t="s">
        <v>194</v>
      </c>
      <c r="B56" s="317" t="s">
        <v>195</v>
      </c>
      <c r="C56" s="317">
        <v>1.53</v>
      </c>
      <c r="D56" s="317">
        <v>3.5</v>
      </c>
      <c r="E56" s="318">
        <v>14.34</v>
      </c>
      <c r="F56" s="317">
        <v>1</v>
      </c>
      <c r="G56" s="317">
        <v>0</v>
      </c>
      <c r="H56" s="319">
        <v>64.400000000000006</v>
      </c>
      <c r="I56" s="320">
        <v>70</v>
      </c>
      <c r="J56" s="320">
        <v>1.7</v>
      </c>
      <c r="K56" s="57">
        <f t="shared" si="4"/>
        <v>0.110779</v>
      </c>
      <c r="L56" s="310">
        <f t="shared" si="5"/>
        <v>0.1434</v>
      </c>
      <c r="M56" s="405">
        <f t="shared" si="6"/>
        <v>72.651495693731562</v>
      </c>
      <c r="N56" s="63">
        <f t="shared" si="7"/>
        <v>-0.11357640493069027</v>
      </c>
      <c r="P56" s="26"/>
      <c r="S56"/>
      <c r="U56"/>
      <c r="V56"/>
      <c r="X56"/>
    </row>
    <row r="57" spans="1:26" ht="18" x14ac:dyDescent="0.25">
      <c r="A57" s="317" t="s">
        <v>1113</v>
      </c>
      <c r="B57" s="317" t="s">
        <v>1114</v>
      </c>
      <c r="C57" s="317">
        <v>0.74</v>
      </c>
      <c r="D57" s="317">
        <v>-7.0000000000000007E-2</v>
      </c>
      <c r="E57" s="318">
        <v>9.67</v>
      </c>
      <c r="F57" s="317">
        <v>0</v>
      </c>
      <c r="G57" s="317">
        <v>0</v>
      </c>
      <c r="H57" s="319">
        <v>1.74</v>
      </c>
      <c r="I57" s="320">
        <v>3</v>
      </c>
      <c r="J57" s="320">
        <v>1.7</v>
      </c>
      <c r="K57" s="57">
        <f t="shared" si="4"/>
        <v>7.5782000000000002E-2</v>
      </c>
      <c r="L57" s="310" t="e">
        <f t="shared" si="5"/>
        <v>#DIV/0!</v>
      </c>
      <c r="M57" s="405" t="e">
        <f t="shared" si="6"/>
        <v>#DIV/0!</v>
      </c>
      <c r="N57" s="63" t="e">
        <f t="shared" si="7"/>
        <v>#DIV/0!</v>
      </c>
      <c r="P57" s="26"/>
      <c r="S57"/>
      <c r="U57"/>
      <c r="V57"/>
      <c r="X57"/>
    </row>
    <row r="58" spans="1:26" ht="18" x14ac:dyDescent="0.25">
      <c r="A58" s="317" t="s">
        <v>3894</v>
      </c>
      <c r="B58" s="317" t="s">
        <v>3895</v>
      </c>
      <c r="C58" s="317">
        <v>2.34</v>
      </c>
      <c r="D58" s="317">
        <v>-1</v>
      </c>
      <c r="E58" s="318">
        <v>15.23</v>
      </c>
      <c r="F58" s="317">
        <v>2.37</v>
      </c>
      <c r="G58" s="317">
        <v>1.8</v>
      </c>
      <c r="H58" s="319">
        <v>26.35</v>
      </c>
      <c r="I58" s="320">
        <v>26.21</v>
      </c>
      <c r="J58" s="320">
        <v>3</v>
      </c>
      <c r="K58" s="57">
        <f t="shared" si="4"/>
        <v>0.14666200000000001</v>
      </c>
      <c r="L58" s="310">
        <f t="shared" si="5"/>
        <v>6.4261603375527429E-2</v>
      </c>
      <c r="M58" s="405">
        <f t="shared" si="6"/>
        <v>-15.561463606840064</v>
      </c>
      <c r="N58" s="63">
        <f t="shared" si="7"/>
        <v>-2.693285456029844</v>
      </c>
      <c r="O58" s="196" t="s">
        <v>2257</v>
      </c>
      <c r="P58" s="70"/>
      <c r="Q58" s="208"/>
      <c r="S58" s="26"/>
      <c r="U58"/>
      <c r="V58"/>
      <c r="X58"/>
    </row>
    <row r="59" spans="1:26" ht="18" x14ac:dyDescent="0.25">
      <c r="A59" s="317" t="s">
        <v>3739</v>
      </c>
      <c r="B59" s="317" t="s">
        <v>3740</v>
      </c>
      <c r="C59" s="317">
        <v>2.89</v>
      </c>
      <c r="D59" s="317">
        <v>3.1</v>
      </c>
      <c r="E59" s="318">
        <v>22.8</v>
      </c>
      <c r="F59" s="317">
        <v>0.22</v>
      </c>
      <c r="G59" s="317">
        <v>0.3</v>
      </c>
      <c r="H59" s="319">
        <v>39.68</v>
      </c>
      <c r="I59" s="320">
        <v>29.64</v>
      </c>
      <c r="J59" s="320">
        <v>2.8</v>
      </c>
      <c r="K59" s="57">
        <f t="shared" si="4"/>
        <v>0.17102700000000004</v>
      </c>
      <c r="L59" s="310">
        <f t="shared" si="5"/>
        <v>1.0363636363636364</v>
      </c>
      <c r="M59" s="405">
        <f t="shared" si="6"/>
        <v>411.17054556036965</v>
      </c>
      <c r="N59" s="63">
        <f t="shared" si="7"/>
        <v>-0.90349503283139709</v>
      </c>
      <c r="O59" t="s">
        <v>2950</v>
      </c>
      <c r="Q59" s="18"/>
      <c r="S59" s="70"/>
      <c r="T59" s="208"/>
      <c r="U59"/>
      <c r="V59" s="211"/>
      <c r="W59" s="212"/>
      <c r="X59" s="212"/>
      <c r="Y59" s="212"/>
      <c r="Z59" s="212"/>
    </row>
    <row r="60" spans="1:26" ht="18" x14ac:dyDescent="0.25">
      <c r="A60" s="317" t="s">
        <v>3896</v>
      </c>
      <c r="B60" s="317" t="s">
        <v>3897</v>
      </c>
      <c r="C60" s="317">
        <v>1.53</v>
      </c>
      <c r="D60" s="317">
        <v>2.4500000000000002</v>
      </c>
      <c r="E60" s="318">
        <v>7.23</v>
      </c>
      <c r="F60" s="317">
        <v>0.88</v>
      </c>
      <c r="G60" s="317">
        <v>1.6</v>
      </c>
      <c r="H60" s="319">
        <v>39.14</v>
      </c>
      <c r="I60" s="320">
        <v>45</v>
      </c>
      <c r="J60" s="320">
        <v>2.7</v>
      </c>
      <c r="K60" s="57">
        <f t="shared" si="4"/>
        <v>0.110779</v>
      </c>
      <c r="L60" s="310">
        <f t="shared" si="5"/>
        <v>8.2159090909090918E-2</v>
      </c>
      <c r="M60" s="405">
        <f t="shared" si="6"/>
        <v>30.065359159178833</v>
      </c>
      <c r="N60" s="63">
        <f t="shared" si="7"/>
        <v>0.30183044854964641</v>
      </c>
      <c r="O60" t="s">
        <v>559</v>
      </c>
      <c r="Q60" s="18"/>
      <c r="S60" s="70"/>
      <c r="T60" s="208"/>
      <c r="U60"/>
      <c r="V60" s="213"/>
      <c r="W60" s="140"/>
      <c r="X60" s="140"/>
      <c r="Y60" s="140"/>
      <c r="Z60" s="140"/>
    </row>
    <row r="61" spans="1:26" ht="18" x14ac:dyDescent="0.25">
      <c r="A61" s="317" t="s">
        <v>2578</v>
      </c>
      <c r="B61" s="317" t="s">
        <v>2579</v>
      </c>
      <c r="C61" s="317">
        <v>0.45</v>
      </c>
      <c r="D61" s="317">
        <v>0.9</v>
      </c>
      <c r="E61" s="318">
        <v>19.91</v>
      </c>
      <c r="F61" s="317">
        <v>1.25</v>
      </c>
      <c r="G61" s="317">
        <v>0</v>
      </c>
      <c r="H61" s="319">
        <v>35.64</v>
      </c>
      <c r="I61" s="320">
        <v>45</v>
      </c>
      <c r="J61" s="320">
        <v>2.2999999999999998</v>
      </c>
      <c r="K61" s="57">
        <f t="shared" si="4"/>
        <v>6.2935000000000005E-2</v>
      </c>
      <c r="L61" s="310">
        <f t="shared" si="5"/>
        <v>0.15928</v>
      </c>
      <c r="M61" s="405">
        <f t="shared" si="6"/>
        <v>56.955587463942727</v>
      </c>
      <c r="N61" s="63">
        <f t="shared" si="7"/>
        <v>-0.37424927760489057</v>
      </c>
      <c r="Q61" s="18"/>
      <c r="S61" s="70"/>
      <c r="T61" s="208"/>
      <c r="U61"/>
      <c r="V61" s="213"/>
      <c r="W61" s="214"/>
      <c r="X61" s="215"/>
      <c r="Y61" s="214"/>
      <c r="Z61" s="140"/>
    </row>
    <row r="62" spans="1:26" ht="18" x14ac:dyDescent="0.25">
      <c r="A62" s="317" t="s">
        <v>3898</v>
      </c>
      <c r="B62" s="317" t="s">
        <v>3899</v>
      </c>
      <c r="C62" s="317">
        <v>2.71</v>
      </c>
      <c r="D62" s="317">
        <v>-1.17</v>
      </c>
      <c r="E62" s="318">
        <v>9.0399999999999991</v>
      </c>
      <c r="F62" s="317">
        <v>1.38</v>
      </c>
      <c r="G62" s="317">
        <v>1.3</v>
      </c>
      <c r="H62" s="319">
        <v>15.29</v>
      </c>
      <c r="I62" s="320">
        <v>20</v>
      </c>
      <c r="J62" s="320">
        <v>2.7</v>
      </c>
      <c r="K62" s="57">
        <f t="shared" si="4"/>
        <v>0.163053</v>
      </c>
      <c r="L62" s="310">
        <f t="shared" si="5"/>
        <v>6.5507246376811587E-2</v>
      </c>
      <c r="M62" s="405">
        <f t="shared" si="6"/>
        <v>-12.740494464250164</v>
      </c>
      <c r="N62" s="63">
        <f t="shared" si="7"/>
        <v>-2.200110407245476</v>
      </c>
      <c r="O62" t="s">
        <v>4012</v>
      </c>
      <c r="Q62" s="18"/>
      <c r="S62" s="70"/>
      <c r="T62" s="208"/>
      <c r="U62"/>
      <c r="V62" s="213"/>
      <c r="W62" s="140"/>
      <c r="X62" s="140"/>
      <c r="Y62" s="140"/>
      <c r="Z62" s="140"/>
    </row>
    <row r="63" spans="1:26" ht="18" x14ac:dyDescent="0.25">
      <c r="A63" s="317" t="s">
        <v>959</v>
      </c>
      <c r="B63" s="317" t="s">
        <v>960</v>
      </c>
      <c r="C63" s="317"/>
      <c r="D63" s="317"/>
      <c r="E63" s="318"/>
      <c r="F63" s="317"/>
      <c r="G63" s="317"/>
      <c r="H63" s="319">
        <v>51.73</v>
      </c>
      <c r="I63" s="320"/>
      <c r="J63" s="320"/>
      <c r="K63" s="57">
        <f t="shared" si="4"/>
        <v>4.2999999999999997E-2</v>
      </c>
      <c r="L63" s="310" t="e">
        <f t="shared" si="5"/>
        <v>#DIV/0!</v>
      </c>
      <c r="M63" s="405" t="e">
        <f t="shared" si="6"/>
        <v>#DIV/0!</v>
      </c>
      <c r="N63" s="63" t="e">
        <f t="shared" si="7"/>
        <v>#DIV/0!</v>
      </c>
      <c r="O63" t="s">
        <v>1550</v>
      </c>
      <c r="Q63" s="18"/>
      <c r="S63" s="70"/>
      <c r="T63" s="208"/>
      <c r="U63"/>
      <c r="V63" s="26"/>
      <c r="X63"/>
    </row>
    <row r="64" spans="1:26" ht="18" x14ac:dyDescent="0.25">
      <c r="A64" s="317" t="s">
        <v>4777</v>
      </c>
      <c r="B64" s="317"/>
      <c r="C64" s="317">
        <v>1.82</v>
      </c>
      <c r="D64" s="317">
        <v>0.95</v>
      </c>
      <c r="E64" s="318">
        <v>24.15</v>
      </c>
      <c r="F64" s="317">
        <v>1.91</v>
      </c>
      <c r="G64" s="317">
        <v>0</v>
      </c>
      <c r="H64" s="319">
        <v>23.67</v>
      </c>
      <c r="I64" s="320">
        <v>26</v>
      </c>
      <c r="J64" s="320">
        <v>2</v>
      </c>
      <c r="K64" s="57">
        <f t="shared" si="4"/>
        <v>0.12362600000000001</v>
      </c>
      <c r="L64" s="310">
        <f t="shared" si="5"/>
        <v>0.12643979057591623</v>
      </c>
      <c r="M64" s="405">
        <f t="shared" si="6"/>
        <v>15.751809354227714</v>
      </c>
      <c r="N64" s="63">
        <f t="shared" si="7"/>
        <v>0.50268451501078393</v>
      </c>
      <c r="O64" t="s">
        <v>2283</v>
      </c>
      <c r="Q64" s="18"/>
      <c r="S64" s="70"/>
      <c r="T64" s="208"/>
      <c r="U64"/>
      <c r="V64" s="26"/>
      <c r="X64"/>
    </row>
    <row r="65" spans="1:24" ht="18" x14ac:dyDescent="0.25">
      <c r="A65" s="317" t="s">
        <v>3900</v>
      </c>
      <c r="B65" s="317" t="s">
        <v>3901</v>
      </c>
      <c r="C65" s="317">
        <v>1.58</v>
      </c>
      <c r="D65" s="317">
        <v>2.4500000000000002</v>
      </c>
      <c r="E65" s="318">
        <v>8.9600000000000009</v>
      </c>
      <c r="F65" s="317">
        <v>1.1100000000000001</v>
      </c>
      <c r="G65" s="317">
        <v>2.5</v>
      </c>
      <c r="H65" s="319">
        <v>33.79</v>
      </c>
      <c r="I65" s="320">
        <v>37.5</v>
      </c>
      <c r="J65" s="320">
        <v>2.2000000000000002</v>
      </c>
      <c r="K65" s="57">
        <f t="shared" si="4"/>
        <v>0.11299400000000001</v>
      </c>
      <c r="L65" s="310">
        <f t="shared" si="5"/>
        <v>8.0720720720720715E-2</v>
      </c>
      <c r="M65" s="405">
        <f t="shared" si="6"/>
        <v>25.570623596700241</v>
      </c>
      <c r="N65" s="63">
        <f t="shared" si="7"/>
        <v>0.32143824620532241</v>
      </c>
      <c r="O65" t="s">
        <v>1599</v>
      </c>
      <c r="Q65" t="s">
        <v>2285</v>
      </c>
      <c r="S65" s="70"/>
      <c r="T65" s="208"/>
      <c r="U65"/>
      <c r="V65" s="26"/>
      <c r="X65"/>
    </row>
    <row r="66" spans="1:24" ht="18" x14ac:dyDescent="0.25">
      <c r="A66" s="317" t="s">
        <v>5123</v>
      </c>
      <c r="B66" s="317"/>
      <c r="C66" s="317">
        <v>1.94</v>
      </c>
      <c r="D66" s="317">
        <v>0.55000000000000004</v>
      </c>
      <c r="E66" s="318">
        <v>2.63</v>
      </c>
      <c r="F66" s="317">
        <v>0.23</v>
      </c>
      <c r="G66" s="317">
        <v>0</v>
      </c>
      <c r="H66" s="319">
        <v>2.21</v>
      </c>
      <c r="I66" s="320">
        <v>6</v>
      </c>
      <c r="J66" s="320">
        <v>1.7</v>
      </c>
      <c r="K66" s="57">
        <f t="shared" ref="K66:K97" si="8">$P$14+C66*($Q$15-$P$14)</f>
        <v>0.128942</v>
      </c>
      <c r="L66" s="310">
        <f t="shared" ref="L66:L97" si="9">E66/F66/100</f>
        <v>0.11434782608695651</v>
      </c>
      <c r="M66" s="405">
        <f t="shared" ref="M66:M97" si="10">(D66-G66*H66/100)+(D66-G66*H66/100)*(1+L66)/(1+K66)+(D66-G66*H66/100)*(1+L66)^2/(1+K66)^2+(D66-G66*H66/100)*(1+L66)^3/(1+K66)^3+(D66-G66*H66/100)*(1+L66)^4/(1+K66)^4+((D66-G66*H66/100)*(1+L66)^5/(K66-$T$22-$T$19))/((1+K66)^5)</f>
        <v>8.2247469641778626</v>
      </c>
      <c r="N66" s="63">
        <f t="shared" ref="N66:N97" si="11">(H66-M66)/M66</f>
        <v>-0.73129872449262523</v>
      </c>
      <c r="O66" s="197" t="s">
        <v>3808</v>
      </c>
      <c r="Q66" s="18"/>
      <c r="S66" s="70"/>
      <c r="T66" s="208"/>
      <c r="U66"/>
      <c r="V66" s="26"/>
      <c r="X66"/>
    </row>
    <row r="67" spans="1:24" ht="18" x14ac:dyDescent="0.25">
      <c r="A67" s="317" t="s">
        <v>196</v>
      </c>
      <c r="B67" s="317" t="s">
        <v>197</v>
      </c>
      <c r="C67" s="317">
        <v>1.17</v>
      </c>
      <c r="D67" s="317">
        <v>-12.34</v>
      </c>
      <c r="E67" s="318">
        <v>12.43</v>
      </c>
      <c r="F67" s="317">
        <v>1.1599999999999999</v>
      </c>
      <c r="G67" s="317">
        <v>0</v>
      </c>
      <c r="H67" s="319">
        <v>38.03</v>
      </c>
      <c r="I67" s="320">
        <v>45</v>
      </c>
      <c r="J67" s="320">
        <v>1.7</v>
      </c>
      <c r="K67" s="57">
        <f t="shared" si="8"/>
        <v>9.4830999999999999E-2</v>
      </c>
      <c r="L67" s="310">
        <f t="shared" si="9"/>
        <v>0.10715517241379312</v>
      </c>
      <c r="M67" s="405">
        <f t="shared" si="10"/>
        <v>-284.93259710603616</v>
      </c>
      <c r="N67" s="63">
        <f t="shared" si="11"/>
        <v>-1.1334701623691279</v>
      </c>
      <c r="O67" s="14" t="s">
        <v>2536</v>
      </c>
      <c r="Q67" s="18"/>
      <c r="S67" s="70"/>
      <c r="T67" s="208"/>
      <c r="U67"/>
      <c r="V67" s="26"/>
      <c r="X67"/>
    </row>
    <row r="68" spans="1:24" ht="18" x14ac:dyDescent="0.25">
      <c r="A68" s="317" t="s">
        <v>3902</v>
      </c>
      <c r="B68" s="317" t="s">
        <v>3903</v>
      </c>
      <c r="C68" s="317">
        <v>1.03</v>
      </c>
      <c r="D68" s="317">
        <v>2.67</v>
      </c>
      <c r="E68" s="318">
        <v>17.850000000000001</v>
      </c>
      <c r="F68" s="317">
        <v>1.27</v>
      </c>
      <c r="G68" s="317">
        <v>0.5</v>
      </c>
      <c r="H68" s="319">
        <v>48.54</v>
      </c>
      <c r="I68" s="320">
        <v>48</v>
      </c>
      <c r="J68" s="320">
        <v>2.2999999999999998</v>
      </c>
      <c r="K68" s="57">
        <f t="shared" si="8"/>
        <v>8.8629000000000013E-2</v>
      </c>
      <c r="L68" s="310">
        <f t="shared" si="9"/>
        <v>0.14055118110236223</v>
      </c>
      <c r="M68" s="405">
        <f t="shared" si="10"/>
        <v>71.570818581939918</v>
      </c>
      <c r="N68" s="63">
        <f t="shared" si="11"/>
        <v>-0.3217906269378828</v>
      </c>
      <c r="O68" s="197" t="s">
        <v>2537</v>
      </c>
      <c r="Q68" s="18"/>
      <c r="S68" s="70"/>
      <c r="T68" s="208"/>
      <c r="U68"/>
      <c r="V68" s="26"/>
      <c r="X68"/>
    </row>
    <row r="69" spans="1:24" ht="18" x14ac:dyDescent="0.25">
      <c r="A69" s="317" t="s">
        <v>5013</v>
      </c>
      <c r="B69" s="317" t="s">
        <v>5014</v>
      </c>
      <c r="C69" s="317"/>
      <c r="D69" s="317"/>
      <c r="E69" s="318"/>
      <c r="F69" s="317"/>
      <c r="G69" s="317"/>
      <c r="H69" s="319">
        <v>6.55</v>
      </c>
      <c r="I69" s="320">
        <v>4</v>
      </c>
      <c r="J69" s="320">
        <v>3</v>
      </c>
      <c r="K69" s="57">
        <f t="shared" si="8"/>
        <v>4.2999999999999997E-2</v>
      </c>
      <c r="L69" s="310" t="e">
        <f t="shared" si="9"/>
        <v>#DIV/0!</v>
      </c>
      <c r="M69" s="405" t="e">
        <f t="shared" si="10"/>
        <v>#DIV/0!</v>
      </c>
      <c r="N69" s="63" t="e">
        <f t="shared" si="11"/>
        <v>#DIV/0!</v>
      </c>
      <c r="O69" s="197" t="s">
        <v>2131</v>
      </c>
      <c r="Q69" s="18"/>
      <c r="S69" s="70"/>
      <c r="T69" s="208"/>
      <c r="U69"/>
      <c r="V69" s="26"/>
      <c r="X69"/>
    </row>
    <row r="70" spans="1:24" ht="18" x14ac:dyDescent="0.25">
      <c r="A70" s="317" t="s">
        <v>4379</v>
      </c>
      <c r="B70" s="317" t="s">
        <v>4380</v>
      </c>
      <c r="C70" s="317">
        <v>2.08</v>
      </c>
      <c r="D70" s="317">
        <v>2.11</v>
      </c>
      <c r="E70" s="318">
        <v>0</v>
      </c>
      <c r="F70" s="317">
        <v>0.86</v>
      </c>
      <c r="G70" s="317">
        <v>2.5</v>
      </c>
      <c r="H70" s="319">
        <v>23.97</v>
      </c>
      <c r="I70" s="320">
        <v>30</v>
      </c>
      <c r="J70" s="320">
        <v>1</v>
      </c>
      <c r="K70" s="57">
        <f t="shared" si="8"/>
        <v>0.13514400000000001</v>
      </c>
      <c r="L70" s="310">
        <f t="shared" si="9"/>
        <v>0</v>
      </c>
      <c r="M70" s="405">
        <f t="shared" si="10"/>
        <v>14.041663223226594</v>
      </c>
      <c r="N70" s="63">
        <f t="shared" si="11"/>
        <v>0.70706273316331536</v>
      </c>
      <c r="O70" s="197" t="s">
        <v>2284</v>
      </c>
      <c r="Q70" s="18"/>
      <c r="S70" s="70"/>
      <c r="T70" s="208"/>
      <c r="U70"/>
      <c r="V70" s="26"/>
      <c r="X70"/>
    </row>
    <row r="71" spans="1:24" ht="18" x14ac:dyDescent="0.25">
      <c r="A71" s="317" t="s">
        <v>3904</v>
      </c>
      <c r="B71" s="317" t="s">
        <v>3905</v>
      </c>
      <c r="C71" s="317">
        <v>1.21</v>
      </c>
      <c r="D71" s="317">
        <v>1.02</v>
      </c>
      <c r="E71" s="318">
        <v>10.029999999999999</v>
      </c>
      <c r="F71" s="317">
        <v>0.97</v>
      </c>
      <c r="G71" s="317">
        <v>2.1</v>
      </c>
      <c r="H71" s="319">
        <v>15.25</v>
      </c>
      <c r="I71" s="320">
        <v>17.75</v>
      </c>
      <c r="J71" s="320">
        <v>2.4</v>
      </c>
      <c r="K71" s="57">
        <f t="shared" si="8"/>
        <v>9.6602999999999994E-2</v>
      </c>
      <c r="L71" s="310">
        <f t="shared" si="9"/>
        <v>0.10340206185567009</v>
      </c>
      <c r="M71" s="405">
        <f t="shared" si="10"/>
        <v>15.451276125955383</v>
      </c>
      <c r="N71" s="63">
        <f t="shared" si="11"/>
        <v>-1.3026505015807406E-2</v>
      </c>
      <c r="O71" s="197" t="s">
        <v>5391</v>
      </c>
      <c r="Q71" s="18"/>
      <c r="S71" s="70"/>
      <c r="T71" s="208"/>
      <c r="U71"/>
      <c r="V71" s="26"/>
      <c r="X71"/>
    </row>
    <row r="72" spans="1:24" ht="18" x14ac:dyDescent="0.25">
      <c r="A72" s="317" t="s">
        <v>5015</v>
      </c>
      <c r="B72" s="317" t="s">
        <v>5016</v>
      </c>
      <c r="C72" s="317">
        <v>2.31</v>
      </c>
      <c r="D72" s="317">
        <v>0.64</v>
      </c>
      <c r="E72" s="318">
        <v>11.78</v>
      </c>
      <c r="F72" s="317">
        <v>1.42</v>
      </c>
      <c r="G72" s="317">
        <v>0</v>
      </c>
      <c r="H72" s="319">
        <v>8.9499999999999993</v>
      </c>
      <c r="I72" s="320">
        <v>9.1</v>
      </c>
      <c r="J72" s="320">
        <v>2.8</v>
      </c>
      <c r="K72" s="57">
        <f t="shared" si="8"/>
        <v>0.14533300000000002</v>
      </c>
      <c r="L72" s="310">
        <f t="shared" si="9"/>
        <v>8.2957746478873245E-2</v>
      </c>
      <c r="M72" s="405">
        <f t="shared" si="10"/>
        <v>7.2940494795001456</v>
      </c>
      <c r="N72" s="63">
        <f t="shared" si="11"/>
        <v>0.22702759628295452</v>
      </c>
      <c r="O72" s="197" t="s">
        <v>5392</v>
      </c>
      <c r="Q72" s="18"/>
      <c r="S72" s="70"/>
      <c r="T72" s="208"/>
      <c r="U72"/>
      <c r="V72" s="26"/>
      <c r="X72"/>
    </row>
    <row r="73" spans="1:24" ht="18" x14ac:dyDescent="0.25">
      <c r="A73" s="317" t="s">
        <v>2580</v>
      </c>
      <c r="B73" s="317" t="s">
        <v>2581</v>
      </c>
      <c r="C73" s="317">
        <v>0.45</v>
      </c>
      <c r="D73" s="317">
        <v>3.19</v>
      </c>
      <c r="E73" s="318">
        <v>10.35</v>
      </c>
      <c r="F73" s="317">
        <v>0.92</v>
      </c>
      <c r="G73" s="317">
        <v>0</v>
      </c>
      <c r="H73" s="319">
        <v>33.32</v>
      </c>
      <c r="I73" s="320">
        <v>38</v>
      </c>
      <c r="J73" s="320">
        <v>2.8</v>
      </c>
      <c r="K73" s="57">
        <f t="shared" si="8"/>
        <v>6.2935000000000005E-2</v>
      </c>
      <c r="L73" s="310">
        <f t="shared" si="9"/>
        <v>0.1125</v>
      </c>
      <c r="M73" s="405">
        <f t="shared" si="10"/>
        <v>166.25277890068531</v>
      </c>
      <c r="N73" s="63">
        <f t="shared" si="11"/>
        <v>-0.79958229738881892</v>
      </c>
      <c r="Q73" s="18"/>
      <c r="S73" s="70"/>
      <c r="T73" s="208"/>
      <c r="U73"/>
      <c r="V73" s="26"/>
      <c r="X73"/>
    </row>
    <row r="74" spans="1:24" ht="18" x14ac:dyDescent="0.25">
      <c r="A74" s="317" t="s">
        <v>198</v>
      </c>
      <c r="B74" s="317" t="s">
        <v>4409</v>
      </c>
      <c r="C74" s="317">
        <v>2.1</v>
      </c>
      <c r="D74" s="317">
        <v>2.81</v>
      </c>
      <c r="E74" s="318">
        <v>12.56</v>
      </c>
      <c r="F74" s="317">
        <v>0.97</v>
      </c>
      <c r="G74" s="317">
        <v>0</v>
      </c>
      <c r="H74" s="319">
        <v>105.76</v>
      </c>
      <c r="I74" s="320">
        <v>125</v>
      </c>
      <c r="J74" s="320">
        <v>1.9</v>
      </c>
      <c r="K74" s="57">
        <f t="shared" si="8"/>
        <v>0.13603000000000001</v>
      </c>
      <c r="L74" s="310">
        <f t="shared" si="9"/>
        <v>0.12948453608247423</v>
      </c>
      <c r="M74" s="405">
        <f t="shared" si="10"/>
        <v>41.180594902192915</v>
      </c>
      <c r="N74" s="63">
        <f t="shared" si="11"/>
        <v>1.5681999070481658</v>
      </c>
      <c r="Q74" s="18"/>
      <c r="S74" s="70"/>
      <c r="T74" s="208"/>
      <c r="U74"/>
      <c r="V74" s="26"/>
      <c r="X74"/>
    </row>
    <row r="75" spans="1:24" ht="18" x14ac:dyDescent="0.25">
      <c r="A75" s="321" t="s">
        <v>3906</v>
      </c>
      <c r="B75" s="317" t="s">
        <v>921</v>
      </c>
      <c r="C75" s="317">
        <v>0.42</v>
      </c>
      <c r="D75" s="317">
        <v>4.8099999999999996</v>
      </c>
      <c r="E75" s="318">
        <v>10.26</v>
      </c>
      <c r="F75" s="317">
        <v>1.65</v>
      </c>
      <c r="G75" s="317">
        <v>0</v>
      </c>
      <c r="H75" s="319">
        <v>57.54</v>
      </c>
      <c r="I75" s="320">
        <v>65</v>
      </c>
      <c r="J75" s="320">
        <v>1.9</v>
      </c>
      <c r="K75" s="57">
        <f t="shared" si="8"/>
        <v>6.1605999999999994E-2</v>
      </c>
      <c r="L75" s="310">
        <f t="shared" si="9"/>
        <v>6.2181818181818185E-2</v>
      </c>
      <c r="M75" s="405">
        <f t="shared" si="10"/>
        <v>212.43269784105851</v>
      </c>
      <c r="N75" s="63">
        <f t="shared" si="11"/>
        <v>-0.72913774298977629</v>
      </c>
      <c r="Q75" s="18"/>
      <c r="S75" s="70"/>
      <c r="T75" s="208"/>
      <c r="U75"/>
      <c r="V75" s="26"/>
      <c r="X75"/>
    </row>
    <row r="76" spans="1:24" ht="18" x14ac:dyDescent="0.25">
      <c r="A76" s="321" t="s">
        <v>4410</v>
      </c>
      <c r="B76" s="317" t="s">
        <v>4411</v>
      </c>
      <c r="C76" s="317">
        <v>1.1100000000000001</v>
      </c>
      <c r="D76" s="317">
        <v>4.41</v>
      </c>
      <c r="E76" s="318">
        <v>18.61</v>
      </c>
      <c r="F76" s="317">
        <v>3.69</v>
      </c>
      <c r="G76" s="317">
        <v>1.7</v>
      </c>
      <c r="H76" s="319">
        <v>67.38</v>
      </c>
      <c r="I76" s="320">
        <v>87.5</v>
      </c>
      <c r="J76" s="320">
        <v>1</v>
      </c>
      <c r="K76" s="57">
        <f t="shared" si="8"/>
        <v>9.2173000000000005E-2</v>
      </c>
      <c r="L76" s="310">
        <f t="shared" si="9"/>
        <v>5.043360433604336E-2</v>
      </c>
      <c r="M76" s="405">
        <f t="shared" si="10"/>
        <v>62.949652232083082</v>
      </c>
      <c r="N76" s="63">
        <f t="shared" si="11"/>
        <v>7.0379225473447979E-2</v>
      </c>
      <c r="Q76" s="18"/>
      <c r="S76" s="70"/>
      <c r="T76" s="208"/>
      <c r="U76"/>
      <c r="V76" s="26"/>
      <c r="X76"/>
    </row>
    <row r="77" spans="1:24" ht="18" x14ac:dyDescent="0.25">
      <c r="A77" s="317" t="s">
        <v>4412</v>
      </c>
      <c r="B77" s="317" t="s">
        <v>1424</v>
      </c>
      <c r="C77" s="317">
        <v>2.1</v>
      </c>
      <c r="D77" s="317">
        <v>4.32</v>
      </c>
      <c r="E77" s="318">
        <v>9.33</v>
      </c>
      <c r="F77" s="317">
        <v>0.85</v>
      </c>
      <c r="G77" s="317">
        <v>1.5</v>
      </c>
      <c r="H77" s="319">
        <v>60.44</v>
      </c>
      <c r="I77" s="320">
        <v>72</v>
      </c>
      <c r="J77" s="320">
        <v>2.4</v>
      </c>
      <c r="K77" s="57">
        <f t="shared" si="8"/>
        <v>0.13603000000000001</v>
      </c>
      <c r="L77" s="310">
        <f t="shared" si="9"/>
        <v>0.10976470588235294</v>
      </c>
      <c r="M77" s="405">
        <f t="shared" si="10"/>
        <v>46.653101854289432</v>
      </c>
      <c r="N77" s="63">
        <f t="shared" si="11"/>
        <v>0.29551943167189332</v>
      </c>
      <c r="Q77" s="18"/>
      <c r="S77" s="70"/>
      <c r="T77" s="208"/>
      <c r="U77"/>
      <c r="V77" s="26"/>
      <c r="X77"/>
    </row>
    <row r="78" spans="1:24" ht="18" x14ac:dyDescent="0.25">
      <c r="A78" s="321" t="s">
        <v>922</v>
      </c>
      <c r="B78" s="317" t="s">
        <v>923</v>
      </c>
      <c r="C78" s="317">
        <v>0.6</v>
      </c>
      <c r="D78" s="317">
        <v>0.92</v>
      </c>
      <c r="E78" s="318">
        <v>40.82</v>
      </c>
      <c r="F78" s="317">
        <v>2.2200000000000002</v>
      </c>
      <c r="G78" s="317">
        <v>0</v>
      </c>
      <c r="H78" s="319">
        <v>53.07</v>
      </c>
      <c r="I78" s="320">
        <v>60</v>
      </c>
      <c r="J78" s="320">
        <v>1.8</v>
      </c>
      <c r="K78" s="57">
        <f t="shared" si="8"/>
        <v>6.9580000000000003E-2</v>
      </c>
      <c r="L78" s="310">
        <f t="shared" si="9"/>
        <v>0.18387387387387386</v>
      </c>
      <c r="M78" s="405">
        <f t="shared" si="10"/>
        <v>51.21028986146802</v>
      </c>
      <c r="N78" s="63">
        <f t="shared" si="11"/>
        <v>3.6315165244383343E-2</v>
      </c>
      <c r="Q78" s="18"/>
      <c r="S78" s="70"/>
      <c r="T78" s="208"/>
      <c r="U78"/>
      <c r="V78" s="26"/>
      <c r="X78"/>
    </row>
    <row r="79" spans="1:24" ht="18" x14ac:dyDescent="0.25">
      <c r="A79" s="317" t="s">
        <v>2890</v>
      </c>
      <c r="B79" s="317" t="s">
        <v>677</v>
      </c>
      <c r="C79" s="317">
        <v>0.94</v>
      </c>
      <c r="D79" s="317">
        <v>2.31</v>
      </c>
      <c r="E79" s="318">
        <v>52.16</v>
      </c>
      <c r="F79" s="317">
        <v>2.94</v>
      </c>
      <c r="G79" s="317">
        <v>0</v>
      </c>
      <c r="H79" s="319">
        <v>200.3</v>
      </c>
      <c r="I79" s="320">
        <v>205</v>
      </c>
      <c r="J79" s="320">
        <v>2.1</v>
      </c>
      <c r="K79" s="57">
        <f t="shared" si="8"/>
        <v>8.4641999999999995E-2</v>
      </c>
      <c r="L79" s="310">
        <f t="shared" si="9"/>
        <v>0.17741496598639453</v>
      </c>
      <c r="M79" s="405">
        <f t="shared" si="10"/>
        <v>85.286211463432551</v>
      </c>
      <c r="N79" s="63">
        <f t="shared" si="11"/>
        <v>1.3485625233321679</v>
      </c>
      <c r="Q79" s="18"/>
      <c r="S79" s="70"/>
      <c r="T79" s="208"/>
      <c r="U79"/>
      <c r="V79" s="26"/>
      <c r="X79"/>
    </row>
    <row r="80" spans="1:24" ht="18" x14ac:dyDescent="0.25">
      <c r="A80" s="317" t="s">
        <v>924</v>
      </c>
      <c r="B80" s="317" t="s">
        <v>925</v>
      </c>
      <c r="C80" s="317">
        <v>1.33</v>
      </c>
      <c r="D80" s="317">
        <v>1.56</v>
      </c>
      <c r="E80" s="318">
        <v>16.29</v>
      </c>
      <c r="F80" s="317">
        <v>0.93</v>
      </c>
      <c r="G80" s="317">
        <v>0</v>
      </c>
      <c r="H80" s="319">
        <v>34.86</v>
      </c>
      <c r="I80" s="320">
        <v>32</v>
      </c>
      <c r="J80" s="320">
        <v>3.3</v>
      </c>
      <c r="K80" s="57">
        <f t="shared" si="8"/>
        <v>0.10191900000000001</v>
      </c>
      <c r="L80" s="310">
        <f t="shared" si="9"/>
        <v>0.17516129032258065</v>
      </c>
      <c r="M80" s="405">
        <f t="shared" si="10"/>
        <v>41.555873535306887</v>
      </c>
      <c r="N80" s="63">
        <f t="shared" si="11"/>
        <v>-0.16112941362231045</v>
      </c>
      <c r="Q80" s="18"/>
      <c r="S80" s="70"/>
      <c r="T80" s="208"/>
      <c r="U80"/>
      <c r="V80" s="26"/>
      <c r="X80"/>
    </row>
    <row r="81" spans="1:24" ht="18" x14ac:dyDescent="0.25">
      <c r="A81" s="317" t="s">
        <v>926</v>
      </c>
      <c r="B81" s="317" t="s">
        <v>927</v>
      </c>
      <c r="C81" s="317">
        <v>1.76</v>
      </c>
      <c r="D81" s="317">
        <v>1.67</v>
      </c>
      <c r="E81" s="318">
        <v>16.489999999999998</v>
      </c>
      <c r="F81" s="317">
        <v>1.29</v>
      </c>
      <c r="G81" s="317">
        <v>1</v>
      </c>
      <c r="H81" s="319">
        <v>74.2</v>
      </c>
      <c r="I81" s="320">
        <v>75</v>
      </c>
      <c r="J81" s="320">
        <v>2.1</v>
      </c>
      <c r="K81" s="57">
        <f t="shared" si="8"/>
        <v>0.12096800000000001</v>
      </c>
      <c r="L81" s="310">
        <f t="shared" si="9"/>
        <v>0.12782945736434106</v>
      </c>
      <c r="M81" s="405">
        <f t="shared" si="10"/>
        <v>15.957288696580463</v>
      </c>
      <c r="N81" s="63">
        <f t="shared" si="11"/>
        <v>3.6499127396185136</v>
      </c>
      <c r="Q81" s="18"/>
      <c r="S81" s="70"/>
      <c r="T81" s="208"/>
      <c r="U81"/>
      <c r="V81" s="26"/>
      <c r="X81"/>
    </row>
    <row r="82" spans="1:24" ht="18" x14ac:dyDescent="0.25">
      <c r="A82" s="317" t="s">
        <v>3245</v>
      </c>
      <c r="B82" s="317" t="s">
        <v>4176</v>
      </c>
      <c r="C82" s="317">
        <v>2.0099999999999998</v>
      </c>
      <c r="D82" s="317">
        <v>1.24</v>
      </c>
      <c r="E82" s="318">
        <v>13.93</v>
      </c>
      <c r="F82" s="317">
        <v>1.1599999999999999</v>
      </c>
      <c r="G82" s="317">
        <v>0</v>
      </c>
      <c r="H82" s="319">
        <v>29.95</v>
      </c>
      <c r="I82" s="320">
        <v>33</v>
      </c>
      <c r="J82" s="320">
        <v>2.2000000000000002</v>
      </c>
      <c r="K82" s="57">
        <f t="shared" si="8"/>
        <v>0.13204299999999999</v>
      </c>
      <c r="L82" s="310">
        <f t="shared" si="9"/>
        <v>0.12008620689655172</v>
      </c>
      <c r="M82" s="405">
        <f t="shared" si="10"/>
        <v>18.313708497614094</v>
      </c>
      <c r="N82" s="63">
        <f t="shared" si="11"/>
        <v>0.63538695638307663</v>
      </c>
      <c r="Q82" s="18"/>
      <c r="S82" s="70"/>
      <c r="T82" s="208"/>
      <c r="U82"/>
      <c r="V82" s="26"/>
      <c r="X82"/>
    </row>
    <row r="83" spans="1:24" ht="18" x14ac:dyDescent="0.25">
      <c r="A83" s="317" t="s">
        <v>1425</v>
      </c>
      <c r="B83" s="317" t="s">
        <v>2156</v>
      </c>
      <c r="C83" s="317">
        <v>1.56</v>
      </c>
      <c r="D83" s="317">
        <v>0.8</v>
      </c>
      <c r="E83" s="318">
        <v>8.48</v>
      </c>
      <c r="F83" s="317">
        <v>0.43</v>
      </c>
      <c r="G83" s="317">
        <v>0</v>
      </c>
      <c r="H83" s="319">
        <v>52.59</v>
      </c>
      <c r="I83" s="320">
        <v>72</v>
      </c>
      <c r="J83" s="320">
        <v>2</v>
      </c>
      <c r="K83" s="57">
        <f t="shared" si="8"/>
        <v>0.11210800000000001</v>
      </c>
      <c r="L83" s="310">
        <f t="shared" si="9"/>
        <v>0.19720930232558143</v>
      </c>
      <c r="M83" s="405">
        <f t="shared" si="10"/>
        <v>19.858454474902679</v>
      </c>
      <c r="N83" s="63">
        <f t="shared" si="11"/>
        <v>1.6482423426487591</v>
      </c>
      <c r="Q83" s="18"/>
      <c r="S83" s="70"/>
      <c r="T83" s="208"/>
      <c r="U83"/>
      <c r="V83" s="26"/>
      <c r="X83"/>
    </row>
    <row r="84" spans="1:24" ht="18" x14ac:dyDescent="0.25">
      <c r="A84" s="317" t="s">
        <v>2157</v>
      </c>
      <c r="B84" s="317" t="s">
        <v>2158</v>
      </c>
      <c r="C84" s="317">
        <v>1.3</v>
      </c>
      <c r="D84" s="317">
        <v>0.4</v>
      </c>
      <c r="E84" s="318">
        <v>8.43</v>
      </c>
      <c r="F84" s="317">
        <v>1.44</v>
      </c>
      <c r="G84" s="317">
        <v>0.5</v>
      </c>
      <c r="H84" s="319">
        <v>8.18</v>
      </c>
      <c r="I84" s="320">
        <v>12</v>
      </c>
      <c r="J84" s="320">
        <v>2.2999999999999998</v>
      </c>
      <c r="K84" s="57">
        <f t="shared" si="8"/>
        <v>0.10059000000000001</v>
      </c>
      <c r="L84" s="310">
        <f t="shared" si="9"/>
        <v>5.8541666666666672E-2</v>
      </c>
      <c r="M84" s="405">
        <f t="shared" si="10"/>
        <v>6.2391950754170535</v>
      </c>
      <c r="N84" s="63">
        <f t="shared" si="11"/>
        <v>0.31106655604180078</v>
      </c>
      <c r="Q84" s="18"/>
      <c r="S84" s="70"/>
      <c r="T84" s="208"/>
      <c r="U84"/>
      <c r="V84" s="26"/>
      <c r="X84"/>
    </row>
    <row r="85" spans="1:24" ht="18" x14ac:dyDescent="0.25">
      <c r="A85" s="317" t="s">
        <v>2159</v>
      </c>
      <c r="B85" s="317" t="s">
        <v>2160</v>
      </c>
      <c r="C85" s="317">
        <v>1.38</v>
      </c>
      <c r="D85" s="317">
        <v>0.22</v>
      </c>
      <c r="E85" s="318">
        <v>5.8</v>
      </c>
      <c r="F85" s="317">
        <v>0.9</v>
      </c>
      <c r="G85" s="317">
        <v>0</v>
      </c>
      <c r="H85" s="319">
        <v>1.45</v>
      </c>
      <c r="I85" s="320">
        <v>2.1</v>
      </c>
      <c r="J85" s="320">
        <v>3.5</v>
      </c>
      <c r="K85" s="57">
        <f t="shared" si="8"/>
        <v>0.104134</v>
      </c>
      <c r="L85" s="310">
        <f t="shared" si="9"/>
        <v>6.4444444444444443E-2</v>
      </c>
      <c r="M85" s="405">
        <f t="shared" si="10"/>
        <v>3.7125495470342367</v>
      </c>
      <c r="N85" s="63">
        <f t="shared" si="11"/>
        <v>-0.60943282193813952</v>
      </c>
      <c r="Q85" s="18"/>
      <c r="S85" s="70"/>
      <c r="T85" s="208"/>
      <c r="U85"/>
      <c r="V85" s="26"/>
      <c r="X85"/>
    </row>
    <row r="86" spans="1:24" ht="18" x14ac:dyDescent="0.25">
      <c r="A86" s="317" t="s">
        <v>928</v>
      </c>
      <c r="B86" s="322" t="s">
        <v>929</v>
      </c>
      <c r="C86" s="317">
        <v>0.49</v>
      </c>
      <c r="D86" s="317">
        <v>2.37</v>
      </c>
      <c r="E86" s="318">
        <v>13.45</v>
      </c>
      <c r="F86" s="317">
        <v>1.98</v>
      </c>
      <c r="G86" s="317">
        <v>1.1000000000000001</v>
      </c>
      <c r="H86" s="319">
        <v>52.45</v>
      </c>
      <c r="I86" s="320">
        <v>58</v>
      </c>
      <c r="J86" s="320">
        <v>2.1</v>
      </c>
      <c r="K86" s="57">
        <f t="shared" si="8"/>
        <v>6.4707000000000001E-2</v>
      </c>
      <c r="L86" s="310">
        <f t="shared" si="9"/>
        <v>6.7929292929292923E-2</v>
      </c>
      <c r="M86" s="405">
        <f t="shared" si="10"/>
        <v>72.430963387519483</v>
      </c>
      <c r="N86" s="63">
        <f t="shared" si="11"/>
        <v>-0.27586217900509635</v>
      </c>
      <c r="Q86" s="18"/>
      <c r="S86" s="70"/>
      <c r="T86" s="208"/>
      <c r="U86"/>
      <c r="V86" s="26"/>
      <c r="X86"/>
    </row>
    <row r="87" spans="1:24" ht="18" x14ac:dyDescent="0.25">
      <c r="A87" s="317" t="s">
        <v>5018</v>
      </c>
      <c r="B87" s="317" t="s">
        <v>5019</v>
      </c>
      <c r="C87" s="317">
        <v>1.1499999999999999</v>
      </c>
      <c r="D87" s="317">
        <v>0.42</v>
      </c>
      <c r="E87" s="318">
        <v>9.34</v>
      </c>
      <c r="F87" s="317">
        <v>1.6</v>
      </c>
      <c r="G87" s="317">
        <v>0.5</v>
      </c>
      <c r="H87" s="319">
        <v>124.25</v>
      </c>
      <c r="I87" s="320">
        <v>148</v>
      </c>
      <c r="J87" s="320">
        <v>1.9</v>
      </c>
      <c r="K87" s="57">
        <f t="shared" si="8"/>
        <v>9.3945000000000001E-2</v>
      </c>
      <c r="L87" s="310">
        <f t="shared" si="9"/>
        <v>5.8374999999999996E-2</v>
      </c>
      <c r="M87" s="405">
        <f t="shared" si="10"/>
        <v>-3.8869234420845498</v>
      </c>
      <c r="N87" s="63">
        <f t="shared" si="11"/>
        <v>-32.966155714496125</v>
      </c>
      <c r="Q87" s="18"/>
      <c r="S87" s="70"/>
      <c r="T87" s="208"/>
      <c r="U87"/>
      <c r="V87" s="26"/>
      <c r="X87"/>
    </row>
    <row r="88" spans="1:24" ht="18" x14ac:dyDescent="0.25">
      <c r="A88" s="317" t="s">
        <v>1115</v>
      </c>
      <c r="B88" s="317" t="s">
        <v>1116</v>
      </c>
      <c r="C88" s="317">
        <v>1.1299999999999999</v>
      </c>
      <c r="D88" s="317">
        <v>0.42</v>
      </c>
      <c r="E88" s="318">
        <v>10.43</v>
      </c>
      <c r="F88" s="317">
        <v>1</v>
      </c>
      <c r="G88" s="317">
        <v>0</v>
      </c>
      <c r="H88" s="319">
        <v>5.63</v>
      </c>
      <c r="I88" s="320">
        <v>7</v>
      </c>
      <c r="J88" s="320">
        <v>1.7</v>
      </c>
      <c r="K88" s="57">
        <f t="shared" si="8"/>
        <v>9.3059000000000003E-2</v>
      </c>
      <c r="L88" s="310">
        <f t="shared" si="9"/>
        <v>0.1043</v>
      </c>
      <c r="M88" s="405">
        <f t="shared" si="10"/>
        <v>9.8907982707705955</v>
      </c>
      <c r="N88" s="63">
        <f t="shared" si="11"/>
        <v>-0.43078406354340049</v>
      </c>
      <c r="O88" s="4"/>
      <c r="R88" s="18"/>
      <c r="S88"/>
      <c r="T88" s="70"/>
      <c r="U88" s="208"/>
      <c r="V88" s="26"/>
      <c r="X88"/>
    </row>
    <row r="89" spans="1:24" ht="18" x14ac:dyDescent="0.25">
      <c r="A89" s="317" t="s">
        <v>2161</v>
      </c>
      <c r="B89" s="317" t="s">
        <v>2162</v>
      </c>
      <c r="C89" s="317">
        <v>1.47</v>
      </c>
      <c r="D89" s="317">
        <v>1.52</v>
      </c>
      <c r="E89" s="318">
        <v>18.670000000000002</v>
      </c>
      <c r="F89" s="317">
        <v>1.53</v>
      </c>
      <c r="G89" s="317">
        <v>0.4</v>
      </c>
      <c r="H89" s="319">
        <v>75.61</v>
      </c>
      <c r="I89" s="320">
        <v>93</v>
      </c>
      <c r="J89" s="320">
        <v>2.2000000000000002</v>
      </c>
      <c r="K89" s="57">
        <f t="shared" si="8"/>
        <v>0.10812100000000001</v>
      </c>
      <c r="L89" s="310">
        <f t="shared" si="9"/>
        <v>0.12202614379084968</v>
      </c>
      <c r="M89" s="405">
        <f t="shared" si="10"/>
        <v>24.210838253769598</v>
      </c>
      <c r="N89" s="63">
        <f t="shared" si="11"/>
        <v>2.1229815014037201</v>
      </c>
      <c r="R89" s="18"/>
      <c r="S89"/>
      <c r="T89" s="70"/>
      <c r="U89" s="208"/>
      <c r="V89" s="26"/>
      <c r="X89"/>
    </row>
    <row r="90" spans="1:24" ht="18" x14ac:dyDescent="0.25">
      <c r="A90" s="317" t="s">
        <v>930</v>
      </c>
      <c r="B90" s="317" t="s">
        <v>931</v>
      </c>
      <c r="C90" s="317">
        <v>1.2</v>
      </c>
      <c r="D90" s="317">
        <v>5.04</v>
      </c>
      <c r="E90" s="318">
        <v>14.46</v>
      </c>
      <c r="F90" s="317">
        <v>1.57</v>
      </c>
      <c r="G90" s="317">
        <v>2.4</v>
      </c>
      <c r="H90" s="319">
        <v>92.85</v>
      </c>
      <c r="I90" s="320">
        <v>108</v>
      </c>
      <c r="J90" s="320">
        <v>1.8</v>
      </c>
      <c r="K90" s="57">
        <f t="shared" si="8"/>
        <v>9.6159999999999995E-2</v>
      </c>
      <c r="L90" s="310">
        <f t="shared" si="9"/>
        <v>9.2101910828025491E-2</v>
      </c>
      <c r="M90" s="405">
        <f t="shared" si="10"/>
        <v>59.830956409234986</v>
      </c>
      <c r="N90" s="63">
        <f t="shared" si="11"/>
        <v>0.55187223424809695</v>
      </c>
      <c r="R90" s="18"/>
      <c r="S90"/>
      <c r="T90" s="70"/>
      <c r="U90" s="208"/>
      <c r="V90" s="26"/>
      <c r="X90"/>
    </row>
    <row r="91" spans="1:24" ht="18" x14ac:dyDescent="0.25">
      <c r="A91" s="317" t="s">
        <v>932</v>
      </c>
      <c r="B91" s="317" t="s">
        <v>933</v>
      </c>
      <c r="C91" s="317">
        <v>1.24</v>
      </c>
      <c r="D91" s="317">
        <v>2.98</v>
      </c>
      <c r="E91" s="318">
        <v>16.059999999999999</v>
      </c>
      <c r="F91" s="317">
        <v>1.5</v>
      </c>
      <c r="G91" s="317">
        <v>0.1</v>
      </c>
      <c r="H91" s="319">
        <v>55.26</v>
      </c>
      <c r="I91" s="320">
        <v>63</v>
      </c>
      <c r="J91" s="320">
        <v>2.1</v>
      </c>
      <c r="K91" s="57">
        <f t="shared" si="8"/>
        <v>9.7932000000000005E-2</v>
      </c>
      <c r="L91" s="310">
        <f t="shared" si="9"/>
        <v>0.10706666666666666</v>
      </c>
      <c r="M91" s="405">
        <f t="shared" si="10"/>
        <v>64.091584836766344</v>
      </c>
      <c r="N91" s="63">
        <f t="shared" si="11"/>
        <v>-0.13779632473216794</v>
      </c>
      <c r="R91" s="18"/>
      <c r="S91"/>
      <c r="T91" s="70"/>
      <c r="U91" s="208"/>
      <c r="V91" s="26"/>
      <c r="X91"/>
    </row>
    <row r="92" spans="1:24" ht="18" x14ac:dyDescent="0.25">
      <c r="A92" s="317" t="s">
        <v>934</v>
      </c>
      <c r="B92" s="317" t="s">
        <v>935</v>
      </c>
      <c r="C92" s="317">
        <v>0.13</v>
      </c>
      <c r="D92" s="317">
        <v>2.66</v>
      </c>
      <c r="E92" s="318">
        <v>12.71</v>
      </c>
      <c r="F92" s="317">
        <v>1.26</v>
      </c>
      <c r="G92" s="317">
        <v>0</v>
      </c>
      <c r="H92" s="319">
        <v>40.15</v>
      </c>
      <c r="I92" s="320">
        <v>46.78</v>
      </c>
      <c r="J92" s="320">
        <v>2.2999999999999998</v>
      </c>
      <c r="K92" s="57">
        <f t="shared" si="8"/>
        <v>4.8758999999999997E-2</v>
      </c>
      <c r="L92" s="310">
        <f t="shared" si="9"/>
        <v>0.10087301587301589</v>
      </c>
      <c r="M92" s="405">
        <f t="shared" si="10"/>
        <v>280.37753434205683</v>
      </c>
      <c r="N92" s="63">
        <f t="shared" si="11"/>
        <v>-0.85680022440379422</v>
      </c>
      <c r="R92" s="18"/>
      <c r="S92"/>
      <c r="T92" s="70"/>
      <c r="U92" s="208"/>
      <c r="V92" s="26"/>
      <c r="X92"/>
    </row>
    <row r="93" spans="1:24" ht="18" x14ac:dyDescent="0.25">
      <c r="A93" s="317" t="s">
        <v>1101</v>
      </c>
      <c r="B93" s="317"/>
      <c r="C93" s="317">
        <v>2.96</v>
      </c>
      <c r="D93" s="317">
        <v>0.37</v>
      </c>
      <c r="E93" s="318">
        <v>5.51</v>
      </c>
      <c r="F93" s="317">
        <v>0.75</v>
      </c>
      <c r="G93" s="317">
        <v>0</v>
      </c>
      <c r="H93" s="319">
        <v>3.91</v>
      </c>
      <c r="I93" s="320">
        <v>15</v>
      </c>
      <c r="J93" s="320">
        <v>3</v>
      </c>
      <c r="K93" s="57">
        <f t="shared" si="8"/>
        <v>0.174128</v>
      </c>
      <c r="L93" s="310">
        <f t="shared" si="9"/>
        <v>7.3466666666666666E-2</v>
      </c>
      <c r="M93" s="405">
        <f t="shared" si="10"/>
        <v>3.2699783286104354</v>
      </c>
      <c r="N93" s="63">
        <f t="shared" si="11"/>
        <v>0.19572657891636228</v>
      </c>
      <c r="R93" s="18"/>
      <c r="S93"/>
      <c r="T93" s="70"/>
      <c r="U93" s="208"/>
      <c r="V93" s="26"/>
      <c r="X93"/>
    </row>
    <row r="94" spans="1:24" ht="18" x14ac:dyDescent="0.25">
      <c r="A94" s="317" t="s">
        <v>2163</v>
      </c>
      <c r="B94" s="317" t="s">
        <v>2164</v>
      </c>
      <c r="C94" s="317">
        <v>1.62</v>
      </c>
      <c r="D94" s="317">
        <v>1.64</v>
      </c>
      <c r="E94" s="318">
        <v>16.39</v>
      </c>
      <c r="F94" s="317">
        <v>1.1599999999999999</v>
      </c>
      <c r="G94" s="317">
        <v>1</v>
      </c>
      <c r="H94" s="319">
        <v>38.85</v>
      </c>
      <c r="I94" s="320">
        <v>45</v>
      </c>
      <c r="J94" s="320">
        <v>2.2999999999999998</v>
      </c>
      <c r="K94" s="57">
        <f t="shared" si="8"/>
        <v>0.11476600000000001</v>
      </c>
      <c r="L94" s="310">
        <f t="shared" si="9"/>
        <v>0.14129310344827586</v>
      </c>
      <c r="M94" s="405">
        <f t="shared" si="10"/>
        <v>24.433916040981487</v>
      </c>
      <c r="N94" s="63">
        <f t="shared" si="11"/>
        <v>0.59000300790259386</v>
      </c>
      <c r="R94" s="18"/>
      <c r="S94"/>
      <c r="T94" s="70"/>
      <c r="U94" s="208"/>
      <c r="V94" s="26"/>
      <c r="X94"/>
    </row>
    <row r="95" spans="1:24" ht="18" x14ac:dyDescent="0.25">
      <c r="A95" s="317" t="s">
        <v>2165</v>
      </c>
      <c r="B95" s="317" t="s">
        <v>2166</v>
      </c>
      <c r="C95" s="317">
        <v>2.02</v>
      </c>
      <c r="D95" s="317">
        <v>3.91</v>
      </c>
      <c r="E95" s="318">
        <v>10.43</v>
      </c>
      <c r="F95" s="317">
        <v>1.36</v>
      </c>
      <c r="G95" s="317">
        <v>8.1</v>
      </c>
      <c r="H95" s="319">
        <v>16.899999999999999</v>
      </c>
      <c r="I95" s="320">
        <v>18.25</v>
      </c>
      <c r="J95" s="320">
        <v>1.9</v>
      </c>
      <c r="K95" s="57">
        <f t="shared" si="8"/>
        <v>0.13248599999999999</v>
      </c>
      <c r="L95" s="310">
        <f t="shared" si="9"/>
        <v>7.6691176470588221E-2</v>
      </c>
      <c r="M95" s="405">
        <f t="shared" si="10"/>
        <v>31.971070485897158</v>
      </c>
      <c r="N95" s="63">
        <f t="shared" si="11"/>
        <v>-0.47139711798343437</v>
      </c>
      <c r="R95" s="18"/>
      <c r="S95"/>
      <c r="T95" s="70"/>
      <c r="U95" s="208"/>
      <c r="V95" s="26"/>
      <c r="X95"/>
    </row>
    <row r="96" spans="1:24" ht="18" x14ac:dyDescent="0.25">
      <c r="A96" s="317" t="s">
        <v>936</v>
      </c>
      <c r="B96" s="317" t="s">
        <v>1637</v>
      </c>
      <c r="C96" s="317">
        <v>1.18</v>
      </c>
      <c r="D96" s="317">
        <v>2.66</v>
      </c>
      <c r="E96" s="318">
        <v>17.579999999999998</v>
      </c>
      <c r="F96" s="317">
        <v>1.57</v>
      </c>
      <c r="G96" s="317">
        <v>1.7</v>
      </c>
      <c r="H96" s="319">
        <v>67.489999999999995</v>
      </c>
      <c r="I96" s="320">
        <v>75</v>
      </c>
      <c r="J96" s="320">
        <v>2.2000000000000002</v>
      </c>
      <c r="K96" s="57">
        <f t="shared" si="8"/>
        <v>9.5273999999999998E-2</v>
      </c>
      <c r="L96" s="310">
        <f t="shared" si="9"/>
        <v>0.11197452229299362</v>
      </c>
      <c r="M96" s="405">
        <f t="shared" si="10"/>
        <v>35.323361739880923</v>
      </c>
      <c r="N96" s="63">
        <f t="shared" si="11"/>
        <v>0.91063354889583359</v>
      </c>
      <c r="R96" s="18"/>
      <c r="S96"/>
      <c r="T96" s="70"/>
      <c r="U96" s="208"/>
      <c r="V96"/>
      <c r="X96"/>
    </row>
    <row r="97" spans="1:24" ht="18" x14ac:dyDescent="0.25">
      <c r="A97" s="317" t="s">
        <v>5020</v>
      </c>
      <c r="B97" s="317" t="s">
        <v>5021</v>
      </c>
      <c r="C97" s="317">
        <v>0.75</v>
      </c>
      <c r="D97" s="317">
        <v>7.13</v>
      </c>
      <c r="E97" s="318">
        <v>8.83</v>
      </c>
      <c r="F97" s="317">
        <v>1.03</v>
      </c>
      <c r="G97" s="317">
        <v>4.4000000000000004</v>
      </c>
      <c r="H97" s="319">
        <v>73.45</v>
      </c>
      <c r="I97" s="320">
        <v>72</v>
      </c>
      <c r="J97" s="320">
        <v>3.1</v>
      </c>
      <c r="K97" s="57">
        <f t="shared" si="8"/>
        <v>7.6225000000000001E-2</v>
      </c>
      <c r="L97" s="310">
        <f t="shared" si="9"/>
        <v>8.5728155339805823E-2</v>
      </c>
      <c r="M97" s="405">
        <f t="shared" si="10"/>
        <v>121.10299137698962</v>
      </c>
      <c r="N97" s="63">
        <f t="shared" si="11"/>
        <v>-0.39349144752871895</v>
      </c>
      <c r="R97" s="18"/>
      <c r="S97"/>
      <c r="T97" s="70"/>
      <c r="U97" s="208"/>
      <c r="V97"/>
      <c r="X97"/>
    </row>
    <row r="98" spans="1:24" ht="18" x14ac:dyDescent="0.25">
      <c r="A98" s="317" t="s">
        <v>4939</v>
      </c>
      <c r="B98" s="317" t="s">
        <v>4940</v>
      </c>
      <c r="C98" s="317">
        <v>1.39</v>
      </c>
      <c r="D98" s="317">
        <v>0.5</v>
      </c>
      <c r="E98" s="318">
        <v>12.02</v>
      </c>
      <c r="F98" s="317">
        <v>1.89</v>
      </c>
      <c r="G98" s="317">
        <v>0</v>
      </c>
      <c r="H98" s="319">
        <v>11.3</v>
      </c>
      <c r="I98" s="320">
        <v>13</v>
      </c>
      <c r="J98" s="320">
        <v>2.8</v>
      </c>
      <c r="K98" s="57">
        <f t="shared" ref="K98:K130" si="12">$P$14+C98*($Q$15-$P$14)</f>
        <v>0.104577</v>
      </c>
      <c r="L98" s="310">
        <f t="shared" ref="L98:L130" si="13">E98/F98/100</f>
        <v>6.3597883597883598E-2</v>
      </c>
      <c r="M98" s="405">
        <f t="shared" ref="M98:M129" si="14">(D98-G98*H98/100)+(D98-G98*H98/100)*(1+L98)/(1+K98)+(D98-G98*H98/100)*(1+L98)^2/(1+K98)^2+(D98-G98*H98/100)*(1+L98)^3/(1+K98)^3+(D98-G98*H98/100)*(1+L98)^4/(1+K98)^4+((D98-G98*H98/100)*(1+L98)^5/(K98-$T$22-$T$19))/((1+K98)^5)</f>
        <v>8.3565582644494896</v>
      </c>
      <c r="N98" s="63">
        <f t="shared" ref="N98:N129" si="15">(H98-M98)/M98</f>
        <v>0.35223134242628512</v>
      </c>
      <c r="R98" s="18"/>
      <c r="S98"/>
      <c r="T98" s="70"/>
      <c r="U98" s="208"/>
      <c r="V98"/>
      <c r="X98"/>
    </row>
    <row r="99" spans="1:24" ht="18" x14ac:dyDescent="0.25">
      <c r="A99" s="317" t="s">
        <v>4879</v>
      </c>
      <c r="B99" s="317" t="s">
        <v>4880</v>
      </c>
      <c r="C99" s="317">
        <v>1.73</v>
      </c>
      <c r="D99" s="317">
        <v>1.02</v>
      </c>
      <c r="E99" s="318">
        <v>21.45</v>
      </c>
      <c r="F99" s="317">
        <v>1.9</v>
      </c>
      <c r="G99" s="317">
        <v>0</v>
      </c>
      <c r="H99" s="319">
        <v>32.18</v>
      </c>
      <c r="I99" s="320">
        <v>38.5</v>
      </c>
      <c r="J99" s="320">
        <v>2</v>
      </c>
      <c r="K99" s="57">
        <f t="shared" si="12"/>
        <v>0.11963900000000001</v>
      </c>
      <c r="L99" s="310">
        <f t="shared" si="13"/>
        <v>0.11289473684210526</v>
      </c>
      <c r="M99" s="405">
        <f t="shared" si="14"/>
        <v>16.87129691928461</v>
      </c>
      <c r="N99" s="63">
        <f t="shared" si="15"/>
        <v>0.90738152223596336</v>
      </c>
      <c r="R99" s="18"/>
      <c r="S99"/>
      <c r="T99" s="70"/>
      <c r="U99" s="208"/>
      <c r="V99"/>
      <c r="X99"/>
    </row>
    <row r="100" spans="1:24" ht="18" x14ac:dyDescent="0.25">
      <c r="A100" s="317" t="s">
        <v>2152</v>
      </c>
      <c r="B100" s="317" t="s">
        <v>5205</v>
      </c>
      <c r="C100" s="317">
        <v>1.72</v>
      </c>
      <c r="D100" s="317">
        <v>-0.06</v>
      </c>
      <c r="E100" s="318">
        <v>48.11</v>
      </c>
      <c r="F100" s="317">
        <v>1.98</v>
      </c>
      <c r="G100" s="317">
        <v>0</v>
      </c>
      <c r="H100" s="319">
        <v>32.72</v>
      </c>
      <c r="I100" s="320">
        <v>33.5</v>
      </c>
      <c r="J100" s="320">
        <v>2.4</v>
      </c>
      <c r="K100" s="57">
        <f t="shared" si="12"/>
        <v>0.11919600000000001</v>
      </c>
      <c r="L100" s="310">
        <f t="shared" si="13"/>
        <v>0.24297979797979799</v>
      </c>
      <c r="M100" s="405">
        <f t="shared" si="14"/>
        <v>-1.592650865807471</v>
      </c>
      <c r="N100" s="63">
        <f t="shared" si="15"/>
        <v>-21.544364557520911</v>
      </c>
      <c r="R100" s="18"/>
      <c r="S100"/>
      <c r="T100" s="70"/>
      <c r="U100" s="208"/>
      <c r="V100"/>
      <c r="X100"/>
    </row>
    <row r="101" spans="1:24" ht="18" x14ac:dyDescent="0.25">
      <c r="A101" s="317" t="s">
        <v>2167</v>
      </c>
      <c r="B101" s="317" t="s">
        <v>2168</v>
      </c>
      <c r="C101" s="317">
        <v>1.72</v>
      </c>
      <c r="D101" s="317">
        <v>4.47</v>
      </c>
      <c r="E101" s="318">
        <v>7.85</v>
      </c>
      <c r="F101" s="317">
        <v>0.55000000000000004</v>
      </c>
      <c r="G101" s="317">
        <v>0</v>
      </c>
      <c r="H101" s="319">
        <v>45.47</v>
      </c>
      <c r="I101" s="320">
        <v>53</v>
      </c>
      <c r="J101" s="320">
        <v>1.7</v>
      </c>
      <c r="K101" s="57">
        <f t="shared" si="12"/>
        <v>0.11919600000000001</v>
      </c>
      <c r="L101" s="310">
        <f t="shared" si="13"/>
        <v>0.1427272727272727</v>
      </c>
      <c r="M101" s="405">
        <f t="shared" si="14"/>
        <v>82.929150824528477</v>
      </c>
      <c r="N101" s="63">
        <f t="shared" si="15"/>
        <v>-0.45170064388804704</v>
      </c>
      <c r="R101" s="18"/>
      <c r="S101"/>
      <c r="T101" s="70"/>
      <c r="U101" s="208"/>
      <c r="V101"/>
      <c r="X101"/>
    </row>
    <row r="102" spans="1:24" ht="18" x14ac:dyDescent="0.25">
      <c r="A102" s="317" t="s">
        <v>2169</v>
      </c>
      <c r="B102" s="317" t="s">
        <v>2170</v>
      </c>
      <c r="C102" s="317">
        <v>1.94</v>
      </c>
      <c r="D102" s="317">
        <v>-0.18</v>
      </c>
      <c r="E102" s="318">
        <v>20.6</v>
      </c>
      <c r="F102" s="317">
        <v>1.81</v>
      </c>
      <c r="G102" s="317">
        <v>0</v>
      </c>
      <c r="H102" s="319">
        <v>10.92</v>
      </c>
      <c r="I102" s="320">
        <v>11</v>
      </c>
      <c r="J102" s="320">
        <v>1.3</v>
      </c>
      <c r="K102" s="57">
        <f t="shared" si="12"/>
        <v>0.128942</v>
      </c>
      <c r="L102" s="310">
        <f t="shared" si="13"/>
        <v>0.11381215469613259</v>
      </c>
      <c r="M102" s="405">
        <f t="shared" si="14"/>
        <v>-2.6865460650617421</v>
      </c>
      <c r="N102" s="63">
        <f t="shared" si="15"/>
        <v>-5.0646985890223464</v>
      </c>
      <c r="R102" s="18"/>
      <c r="S102"/>
      <c r="T102" s="70"/>
      <c r="U102" s="208"/>
      <c r="V102"/>
      <c r="X102"/>
    </row>
    <row r="103" spans="1:24" ht="18" x14ac:dyDescent="0.25">
      <c r="A103" s="317" t="s">
        <v>2171</v>
      </c>
      <c r="B103" s="317" t="s">
        <v>2172</v>
      </c>
      <c r="C103" s="317">
        <v>3.09</v>
      </c>
      <c r="D103" s="317">
        <v>4.17</v>
      </c>
      <c r="E103" s="318">
        <v>12.39</v>
      </c>
      <c r="F103" s="317">
        <v>1.27</v>
      </c>
      <c r="G103" s="317">
        <v>1</v>
      </c>
      <c r="H103" s="319">
        <v>60.34</v>
      </c>
      <c r="I103" s="320">
        <v>70</v>
      </c>
      <c r="J103" s="320">
        <v>2</v>
      </c>
      <c r="K103" s="57">
        <f t="shared" si="12"/>
        <v>0.17988700000000002</v>
      </c>
      <c r="L103" s="310">
        <f t="shared" si="13"/>
        <v>9.7559055118110236E-2</v>
      </c>
      <c r="M103" s="405">
        <f t="shared" si="14"/>
        <v>32.777184218773719</v>
      </c>
      <c r="N103" s="63">
        <f t="shared" si="15"/>
        <v>0.84091469228278581</v>
      </c>
      <c r="R103" s="18"/>
      <c r="S103"/>
      <c r="T103" s="70"/>
      <c r="U103" s="208"/>
      <c r="V103"/>
      <c r="X103"/>
    </row>
    <row r="104" spans="1:24" ht="18" x14ac:dyDescent="0.25">
      <c r="A104" s="317" t="s">
        <v>3713</v>
      </c>
      <c r="B104" s="317" t="s">
        <v>3110</v>
      </c>
      <c r="C104" s="317">
        <v>1.48</v>
      </c>
      <c r="D104" s="317">
        <v>2.21</v>
      </c>
      <c r="E104" s="318">
        <v>12.03</v>
      </c>
      <c r="F104" s="317">
        <v>0.96</v>
      </c>
      <c r="G104" s="317">
        <v>0</v>
      </c>
      <c r="H104" s="319">
        <v>31.05</v>
      </c>
      <c r="I104" s="320">
        <v>34.5</v>
      </c>
      <c r="J104" s="320">
        <v>1.6</v>
      </c>
      <c r="K104" s="57">
        <f t="shared" si="12"/>
        <v>0.10856400000000001</v>
      </c>
      <c r="L104" s="310">
        <f t="shared" si="13"/>
        <v>0.12531249999999999</v>
      </c>
      <c r="M104" s="405">
        <f t="shared" si="14"/>
        <v>44.21610617247434</v>
      </c>
      <c r="N104" s="63">
        <f t="shared" si="15"/>
        <v>-0.29776720096331272</v>
      </c>
      <c r="R104" s="18"/>
      <c r="S104"/>
      <c r="T104" s="70"/>
      <c r="U104" s="208"/>
      <c r="V104"/>
      <c r="X104"/>
    </row>
    <row r="105" spans="1:24" ht="18" x14ac:dyDescent="0.25">
      <c r="A105" s="317" t="s">
        <v>4451</v>
      </c>
      <c r="B105" s="317" t="s">
        <v>4452</v>
      </c>
      <c r="C105" s="317">
        <v>1.3</v>
      </c>
      <c r="D105" s="317">
        <v>-0.28999999999999998</v>
      </c>
      <c r="E105" s="318">
        <v>0</v>
      </c>
      <c r="F105" s="317">
        <v>0</v>
      </c>
      <c r="G105" s="317">
        <v>0</v>
      </c>
      <c r="H105" s="319">
        <v>1.04</v>
      </c>
      <c r="I105" s="320"/>
      <c r="J105" s="320"/>
      <c r="K105" s="57">
        <f t="shared" si="12"/>
        <v>0.10059000000000001</v>
      </c>
      <c r="L105" s="310" t="e">
        <f t="shared" si="13"/>
        <v>#DIV/0!</v>
      </c>
      <c r="M105" s="405" t="e">
        <f t="shared" si="14"/>
        <v>#DIV/0!</v>
      </c>
      <c r="N105" s="63" t="e">
        <f t="shared" si="15"/>
        <v>#DIV/0!</v>
      </c>
      <c r="R105" s="18"/>
      <c r="S105"/>
      <c r="T105" s="70"/>
      <c r="U105" s="208"/>
      <c r="V105"/>
      <c r="X105"/>
    </row>
    <row r="106" spans="1:24" ht="18" x14ac:dyDescent="0.25">
      <c r="A106" s="317" t="s">
        <v>5017</v>
      </c>
      <c r="B106" s="317" t="s">
        <v>1109</v>
      </c>
      <c r="C106" s="317">
        <v>1.71</v>
      </c>
      <c r="D106" s="317">
        <v>0.55000000000000004</v>
      </c>
      <c r="E106" s="318">
        <v>9.2799999999999994</v>
      </c>
      <c r="F106" s="317">
        <v>0.56999999999999995</v>
      </c>
      <c r="G106" s="317">
        <v>0</v>
      </c>
      <c r="H106" s="319">
        <v>5.94</v>
      </c>
      <c r="I106" s="320">
        <v>6.08</v>
      </c>
      <c r="J106" s="320">
        <v>3</v>
      </c>
      <c r="K106" s="57">
        <f t="shared" si="12"/>
        <v>0.11875300000000001</v>
      </c>
      <c r="L106" s="310">
        <f t="shared" si="13"/>
        <v>0.16280701754385965</v>
      </c>
      <c r="M106" s="405">
        <f t="shared" si="14"/>
        <v>11.037336764963193</v>
      </c>
      <c r="N106" s="63">
        <f t="shared" si="15"/>
        <v>-0.46182669547096955</v>
      </c>
      <c r="R106" s="18"/>
      <c r="S106"/>
      <c r="T106" s="70"/>
      <c r="U106" s="208"/>
      <c r="V106"/>
      <c r="X106"/>
    </row>
    <row r="107" spans="1:24" ht="18" x14ac:dyDescent="0.25">
      <c r="A107" s="317" t="s">
        <v>2582</v>
      </c>
      <c r="B107" s="317" t="s">
        <v>2583</v>
      </c>
      <c r="C107" s="317">
        <v>1.67</v>
      </c>
      <c r="D107" s="317">
        <v>0.77</v>
      </c>
      <c r="E107" s="318">
        <v>17.3</v>
      </c>
      <c r="F107" s="317">
        <v>0.99</v>
      </c>
      <c r="G107" s="317">
        <v>0</v>
      </c>
      <c r="H107" s="319">
        <v>44.8</v>
      </c>
      <c r="I107" s="320">
        <v>45</v>
      </c>
      <c r="J107" s="320">
        <v>2.7</v>
      </c>
      <c r="K107" s="57">
        <f t="shared" si="12"/>
        <v>0.116981</v>
      </c>
      <c r="L107" s="310">
        <f t="shared" si="13"/>
        <v>0.17474747474747473</v>
      </c>
      <c r="M107" s="405">
        <f t="shared" si="14"/>
        <v>16.504274048509959</v>
      </c>
      <c r="N107" s="63">
        <f t="shared" si="15"/>
        <v>1.7144483827838908</v>
      </c>
      <c r="R107" s="18"/>
      <c r="S107"/>
      <c r="T107" s="70"/>
      <c r="U107" s="208"/>
      <c r="V107"/>
      <c r="X107"/>
    </row>
    <row r="108" spans="1:24" ht="18" x14ac:dyDescent="0.25">
      <c r="A108" s="317" t="s">
        <v>1638</v>
      </c>
      <c r="B108" s="317" t="s">
        <v>1639</v>
      </c>
      <c r="C108" s="317">
        <v>1.76</v>
      </c>
      <c r="D108" s="317">
        <v>0.72</v>
      </c>
      <c r="E108" s="318">
        <v>15.18</v>
      </c>
      <c r="F108" s="317">
        <v>0.46</v>
      </c>
      <c r="G108" s="317">
        <v>1</v>
      </c>
      <c r="H108" s="319">
        <v>70.72</v>
      </c>
      <c r="I108" s="320">
        <v>85</v>
      </c>
      <c r="J108" s="320">
        <v>2.2999999999999998</v>
      </c>
      <c r="K108" s="57">
        <f t="shared" si="12"/>
        <v>0.12096800000000001</v>
      </c>
      <c r="L108" s="310">
        <f t="shared" si="13"/>
        <v>0.33</v>
      </c>
      <c r="M108" s="405">
        <f t="shared" si="14"/>
        <v>0.44694861117869633</v>
      </c>
      <c r="N108" s="63">
        <f t="shared" si="15"/>
        <v>157.22848137618476</v>
      </c>
      <c r="R108" s="18"/>
      <c r="S108"/>
      <c r="T108" s="70"/>
      <c r="U108" s="208"/>
      <c r="V108"/>
      <c r="X108"/>
    </row>
    <row r="109" spans="1:24" ht="18" x14ac:dyDescent="0.25">
      <c r="A109" s="317" t="s">
        <v>2173</v>
      </c>
      <c r="B109" s="317" t="s">
        <v>2174</v>
      </c>
      <c r="C109" s="317">
        <v>2.97</v>
      </c>
      <c r="D109" s="317">
        <v>1.01</v>
      </c>
      <c r="E109" s="318">
        <v>0</v>
      </c>
      <c r="F109" s="317">
        <v>0</v>
      </c>
      <c r="G109" s="317">
        <v>1.7</v>
      </c>
      <c r="H109" s="319">
        <v>23.46</v>
      </c>
      <c r="I109" s="320">
        <v>42</v>
      </c>
      <c r="J109" s="320">
        <v>2.2999999999999998</v>
      </c>
      <c r="K109" s="57">
        <f t="shared" si="12"/>
        <v>0.17457100000000003</v>
      </c>
      <c r="L109" s="310" t="e">
        <f t="shared" si="13"/>
        <v>#DIV/0!</v>
      </c>
      <c r="M109" s="405" t="e">
        <f t="shared" si="14"/>
        <v>#DIV/0!</v>
      </c>
      <c r="N109" s="63" t="e">
        <f t="shared" si="15"/>
        <v>#DIV/0!</v>
      </c>
      <c r="R109" s="18"/>
      <c r="S109"/>
      <c r="T109" s="70"/>
      <c r="U109" s="208"/>
      <c r="V109"/>
      <c r="X109"/>
    </row>
    <row r="110" spans="1:24" ht="18" x14ac:dyDescent="0.25">
      <c r="A110" s="317" t="s">
        <v>4177</v>
      </c>
      <c r="B110" s="317" t="s">
        <v>4178</v>
      </c>
      <c r="C110" s="317">
        <v>0.8</v>
      </c>
      <c r="D110" s="317">
        <v>0.9</v>
      </c>
      <c r="E110" s="318">
        <v>15.84</v>
      </c>
      <c r="F110" s="317">
        <v>1.01</v>
      </c>
      <c r="G110" s="317">
        <v>0</v>
      </c>
      <c r="H110" s="319">
        <v>14.26</v>
      </c>
      <c r="I110" s="320">
        <v>18</v>
      </c>
      <c r="J110" s="320">
        <v>1.7</v>
      </c>
      <c r="K110" s="57">
        <f t="shared" si="12"/>
        <v>7.844000000000001E-2</v>
      </c>
      <c r="L110" s="310">
        <f t="shared" si="13"/>
        <v>0.15683168316831683</v>
      </c>
      <c r="M110" s="405">
        <f t="shared" si="14"/>
        <v>35.322344844903206</v>
      </c>
      <c r="N110" s="63">
        <f t="shared" si="15"/>
        <v>-0.59628954242380583</v>
      </c>
      <c r="R110" s="18"/>
      <c r="S110"/>
      <c r="T110" s="70"/>
      <c r="U110" s="208"/>
      <c r="V110"/>
      <c r="X110"/>
    </row>
    <row r="111" spans="1:24" ht="18" x14ac:dyDescent="0.25">
      <c r="A111" s="317" t="s">
        <v>4783</v>
      </c>
      <c r="B111" s="317"/>
      <c r="C111" s="317">
        <v>2.8</v>
      </c>
      <c r="D111" s="317">
        <v>-6.88</v>
      </c>
      <c r="E111" s="318">
        <v>8.14</v>
      </c>
      <c r="F111" s="317">
        <v>-2.04</v>
      </c>
      <c r="G111" s="317">
        <v>0</v>
      </c>
      <c r="H111" s="319"/>
      <c r="I111" s="320">
        <v>17</v>
      </c>
      <c r="J111" s="320">
        <v>2.7</v>
      </c>
      <c r="K111" s="57">
        <f t="shared" si="12"/>
        <v>0.16704000000000002</v>
      </c>
      <c r="L111" s="310">
        <f t="shared" si="13"/>
        <v>-3.9901960784313725E-2</v>
      </c>
      <c r="M111" s="405">
        <f t="shared" si="14"/>
        <v>-43.963425774211721</v>
      </c>
      <c r="N111" s="63">
        <f t="shared" si="15"/>
        <v>-1</v>
      </c>
      <c r="R111" s="18"/>
      <c r="S111"/>
      <c r="T111" s="70"/>
      <c r="U111" s="208"/>
      <c r="V111"/>
      <c r="X111"/>
    </row>
    <row r="112" spans="1:24" ht="18" x14ac:dyDescent="0.25">
      <c r="A112" s="317" t="s">
        <v>5124</v>
      </c>
      <c r="B112" s="317"/>
      <c r="C112" s="317">
        <v>2.8</v>
      </c>
      <c r="D112" s="317">
        <v>-6.88</v>
      </c>
      <c r="E112" s="318">
        <v>8.15</v>
      </c>
      <c r="F112" s="317">
        <v>-2.04</v>
      </c>
      <c r="G112" s="317">
        <v>0</v>
      </c>
      <c r="H112" s="319">
        <v>15.97</v>
      </c>
      <c r="I112" s="320">
        <v>17</v>
      </c>
      <c r="J112" s="320">
        <v>2.7</v>
      </c>
      <c r="K112" s="57">
        <f t="shared" si="12"/>
        <v>0.16704000000000002</v>
      </c>
      <c r="L112" s="310">
        <f t="shared" si="13"/>
        <v>-3.995098039215686E-2</v>
      </c>
      <c r="M112" s="405">
        <f t="shared" si="14"/>
        <v>-43.956380783744628</v>
      </c>
      <c r="N112" s="63">
        <f t="shared" si="15"/>
        <v>-1.3633147159810257</v>
      </c>
      <c r="R112" s="18"/>
      <c r="S112"/>
      <c r="T112" s="70"/>
      <c r="U112" s="208"/>
      <c r="V112"/>
      <c r="X112"/>
    </row>
    <row r="113" spans="1:24" ht="18" x14ac:dyDescent="0.25">
      <c r="A113" s="317" t="s">
        <v>3432</v>
      </c>
      <c r="B113" s="317" t="s">
        <v>3433</v>
      </c>
      <c r="C113" s="317">
        <v>4.33</v>
      </c>
      <c r="D113" s="317">
        <v>0.62</v>
      </c>
      <c r="E113" s="318">
        <v>8.33</v>
      </c>
      <c r="F113" s="317">
        <v>0.9</v>
      </c>
      <c r="G113" s="317">
        <v>0</v>
      </c>
      <c r="H113" s="319">
        <v>7.66</v>
      </c>
      <c r="I113" s="320">
        <v>11</v>
      </c>
      <c r="J113" s="320">
        <v>1.5</v>
      </c>
      <c r="K113" s="57">
        <f t="shared" si="12"/>
        <v>0.234819</v>
      </c>
      <c r="L113" s="310">
        <f t="shared" si="13"/>
        <v>9.2555555555555544E-2</v>
      </c>
      <c r="M113" s="405">
        <f t="shared" si="14"/>
        <v>4.1543278241674138</v>
      </c>
      <c r="N113" s="63">
        <f t="shared" si="15"/>
        <v>0.84386026433413996</v>
      </c>
      <c r="R113" s="18"/>
      <c r="S113"/>
      <c r="T113" s="70"/>
      <c r="U113" s="208"/>
      <c r="V113"/>
      <c r="X113"/>
    </row>
    <row r="114" spans="1:24" ht="18" x14ac:dyDescent="0.25">
      <c r="A114" s="317" t="s">
        <v>2175</v>
      </c>
      <c r="B114" s="317" t="s">
        <v>2176</v>
      </c>
      <c r="C114" s="317">
        <v>1.63</v>
      </c>
      <c r="D114" s="317">
        <v>0.54</v>
      </c>
      <c r="E114" s="318">
        <v>14.07</v>
      </c>
      <c r="F114" s="317">
        <v>1.18</v>
      </c>
      <c r="G114" s="317">
        <v>0.1</v>
      </c>
      <c r="H114" s="319">
        <v>26.59</v>
      </c>
      <c r="I114" s="320">
        <v>33.5</v>
      </c>
      <c r="J114" s="320">
        <v>1.9</v>
      </c>
      <c r="K114" s="57">
        <f t="shared" si="12"/>
        <v>0.11520900000000001</v>
      </c>
      <c r="L114" s="310">
        <f t="shared" si="13"/>
        <v>0.11923728813559324</v>
      </c>
      <c r="M114" s="405">
        <f t="shared" si="14"/>
        <v>9.185288072403047</v>
      </c>
      <c r="N114" s="63">
        <f t="shared" si="15"/>
        <v>1.8948466058336206</v>
      </c>
      <c r="R114" s="18"/>
      <c r="S114"/>
      <c r="T114" s="70"/>
      <c r="U114" s="208"/>
      <c r="V114"/>
      <c r="X114"/>
    </row>
    <row r="115" spans="1:24" ht="18" x14ac:dyDescent="0.25">
      <c r="A115" s="317" t="s">
        <v>2874</v>
      </c>
      <c r="B115" s="317" t="s">
        <v>2875</v>
      </c>
      <c r="C115" s="317">
        <v>0.52</v>
      </c>
      <c r="D115" s="317">
        <v>0.33</v>
      </c>
      <c r="E115" s="318">
        <v>12.7</v>
      </c>
      <c r="F115" s="317">
        <v>1.1399999999999999</v>
      </c>
      <c r="G115" s="317">
        <v>1.4</v>
      </c>
      <c r="H115" s="319">
        <v>11.3</v>
      </c>
      <c r="I115" s="320">
        <v>14</v>
      </c>
      <c r="J115" s="320">
        <v>1.6</v>
      </c>
      <c r="K115" s="57">
        <f t="shared" si="12"/>
        <v>6.6035999999999997E-2</v>
      </c>
      <c r="L115" s="310">
        <f t="shared" si="13"/>
        <v>0.11140350877192982</v>
      </c>
      <c r="M115" s="405">
        <f t="shared" si="14"/>
        <v>7.9802838978469754</v>
      </c>
      <c r="N115" s="63">
        <f t="shared" si="15"/>
        <v>0.41598972475761936</v>
      </c>
      <c r="R115" s="18"/>
      <c r="S115"/>
      <c r="T115" s="70"/>
      <c r="U115" s="208"/>
      <c r="V115"/>
      <c r="X115"/>
    </row>
    <row r="116" spans="1:24" ht="18" x14ac:dyDescent="0.25">
      <c r="A116" s="317" t="s">
        <v>1640</v>
      </c>
      <c r="B116" s="317" t="s">
        <v>1641</v>
      </c>
      <c r="C116" s="317">
        <v>1.32</v>
      </c>
      <c r="D116" s="317">
        <v>1.55</v>
      </c>
      <c r="E116" s="318">
        <v>23.93</v>
      </c>
      <c r="F116" s="317">
        <v>3.39</v>
      </c>
      <c r="G116" s="317">
        <v>2.8</v>
      </c>
      <c r="H116" s="319">
        <v>127.78</v>
      </c>
      <c r="I116" s="320">
        <v>123</v>
      </c>
      <c r="J116" s="320">
        <v>2.5</v>
      </c>
      <c r="K116" s="57">
        <f t="shared" si="12"/>
        <v>0.10147600000000001</v>
      </c>
      <c r="L116" s="310">
        <f t="shared" si="13"/>
        <v>7.0589970501474919E-2</v>
      </c>
      <c r="M116" s="405">
        <f t="shared" si="14"/>
        <v>-36.451635446750899</v>
      </c>
      <c r="N116" s="63">
        <f t="shared" si="15"/>
        <v>-4.5054668585902808</v>
      </c>
      <c r="R116" s="18"/>
      <c r="S116"/>
      <c r="T116" s="70"/>
      <c r="U116" s="208"/>
      <c r="V116"/>
      <c r="X116"/>
    </row>
    <row r="117" spans="1:24" ht="18" x14ac:dyDescent="0.25">
      <c r="A117" s="317" t="s">
        <v>392</v>
      </c>
      <c r="B117" s="317" t="s">
        <v>393</v>
      </c>
      <c r="C117" s="317">
        <v>2.02</v>
      </c>
      <c r="D117" s="317">
        <v>-0.36</v>
      </c>
      <c r="E117" s="318">
        <v>82.8</v>
      </c>
      <c r="F117" s="317">
        <v>-0.17</v>
      </c>
      <c r="G117" s="317">
        <v>0</v>
      </c>
      <c r="H117" s="319">
        <v>4.1399999999999997</v>
      </c>
      <c r="I117" s="320">
        <v>10</v>
      </c>
      <c r="J117" s="320">
        <v>1</v>
      </c>
      <c r="K117" s="57">
        <f t="shared" si="12"/>
        <v>0.13248599999999999</v>
      </c>
      <c r="L117" s="310">
        <f t="shared" si="13"/>
        <v>-4.8705882352941172</v>
      </c>
      <c r="M117" s="405">
        <f t="shared" si="14"/>
        <v>1701.9538794972229</v>
      </c>
      <c r="N117" s="63">
        <f t="shared" si="15"/>
        <v>-0.99756750165214636</v>
      </c>
      <c r="R117" s="18"/>
      <c r="S117"/>
      <c r="T117" s="70"/>
      <c r="U117" s="208"/>
      <c r="V117"/>
      <c r="X117"/>
    </row>
    <row r="118" spans="1:24" ht="18" x14ac:dyDescent="0.25">
      <c r="A118" s="317" t="s">
        <v>1642</v>
      </c>
      <c r="B118" s="317" t="s">
        <v>1643</v>
      </c>
      <c r="C118" s="317">
        <v>1.6</v>
      </c>
      <c r="D118" s="317">
        <v>1.39</v>
      </c>
      <c r="E118" s="318">
        <v>12.85</v>
      </c>
      <c r="F118" s="317">
        <v>1.23</v>
      </c>
      <c r="G118" s="317">
        <v>3.1</v>
      </c>
      <c r="H118" s="319">
        <v>28.78</v>
      </c>
      <c r="I118" s="320">
        <v>30</v>
      </c>
      <c r="J118" s="320">
        <v>2.4</v>
      </c>
      <c r="K118" s="57">
        <f t="shared" si="12"/>
        <v>0.11388000000000001</v>
      </c>
      <c r="L118" s="310">
        <f t="shared" si="13"/>
        <v>0.10447154471544716</v>
      </c>
      <c r="M118" s="405">
        <f t="shared" si="14"/>
        <v>8.5741107592361026</v>
      </c>
      <c r="N118" s="63">
        <f t="shared" si="15"/>
        <v>2.3566163078775193</v>
      </c>
      <c r="R118" s="18"/>
      <c r="S118"/>
      <c r="T118" s="70"/>
      <c r="U118" s="208"/>
      <c r="V118"/>
      <c r="X118"/>
    </row>
    <row r="119" spans="1:24" ht="18" x14ac:dyDescent="0.25">
      <c r="A119" s="317" t="s">
        <v>2177</v>
      </c>
      <c r="B119" s="317" t="s">
        <v>2178</v>
      </c>
      <c r="C119" s="317">
        <v>1.55</v>
      </c>
      <c r="D119" s="317">
        <v>2.97</v>
      </c>
      <c r="E119" s="318">
        <v>11.65</v>
      </c>
      <c r="F119" s="317">
        <v>1.97</v>
      </c>
      <c r="G119" s="317">
        <v>2.4</v>
      </c>
      <c r="H119" s="319">
        <v>41.7</v>
      </c>
      <c r="I119" s="320">
        <v>46.5</v>
      </c>
      <c r="J119" s="320">
        <v>2.2999999999999998</v>
      </c>
      <c r="K119" s="57">
        <f t="shared" si="12"/>
        <v>0.11166500000000001</v>
      </c>
      <c r="L119" s="310">
        <f t="shared" si="13"/>
        <v>5.9137055837563457E-2</v>
      </c>
      <c r="M119" s="405">
        <f t="shared" si="14"/>
        <v>29.389286096854729</v>
      </c>
      <c r="N119" s="63">
        <f t="shared" si="15"/>
        <v>0.41888441463240506</v>
      </c>
      <c r="R119" s="18"/>
      <c r="S119"/>
      <c r="T119" s="70"/>
      <c r="U119" s="208"/>
      <c r="V119"/>
      <c r="X119"/>
    </row>
    <row r="120" spans="1:24" ht="18" x14ac:dyDescent="0.25">
      <c r="A120" s="317" t="s">
        <v>2179</v>
      </c>
      <c r="B120" s="317" t="s">
        <v>2180</v>
      </c>
      <c r="C120" s="317">
        <v>1.98</v>
      </c>
      <c r="D120" s="317">
        <v>0.19</v>
      </c>
      <c r="E120" s="318">
        <v>15.21</v>
      </c>
      <c r="F120" s="317">
        <v>1.02</v>
      </c>
      <c r="G120" s="317">
        <v>0</v>
      </c>
      <c r="H120" s="319">
        <v>45.93</v>
      </c>
      <c r="I120" s="320">
        <v>55</v>
      </c>
      <c r="J120" s="320">
        <v>1.5</v>
      </c>
      <c r="K120" s="57">
        <f t="shared" si="12"/>
        <v>0.130714</v>
      </c>
      <c r="L120" s="310">
        <f t="shared" si="13"/>
        <v>0.14911764705882352</v>
      </c>
      <c r="M120" s="405">
        <f t="shared" si="14"/>
        <v>3.1561255379832804</v>
      </c>
      <c r="N120" s="63">
        <f t="shared" si="15"/>
        <v>13.552653070114765</v>
      </c>
      <c r="R120" s="18"/>
      <c r="S120"/>
      <c r="T120" s="70"/>
      <c r="U120" s="208"/>
      <c r="V120"/>
      <c r="X120"/>
    </row>
    <row r="121" spans="1:24" ht="18" x14ac:dyDescent="0.25">
      <c r="A121" s="317" t="s">
        <v>567</v>
      </c>
      <c r="B121" s="317" t="s">
        <v>4883</v>
      </c>
      <c r="C121" s="317">
        <v>0</v>
      </c>
      <c r="D121" s="317">
        <v>1.6</v>
      </c>
      <c r="E121" s="318">
        <v>6.54</v>
      </c>
      <c r="F121" s="317">
        <v>0.47</v>
      </c>
      <c r="G121" s="317">
        <v>0</v>
      </c>
      <c r="H121" s="319">
        <v>21.98</v>
      </c>
      <c r="I121" s="320">
        <v>25</v>
      </c>
      <c r="J121" s="320">
        <v>1</v>
      </c>
      <c r="K121" s="57">
        <f t="shared" si="12"/>
        <v>4.2999999999999997E-2</v>
      </c>
      <c r="L121" s="310">
        <f t="shared" si="13"/>
        <v>0.13914893617021279</v>
      </c>
      <c r="M121" s="405">
        <f t="shared" si="14"/>
        <v>364.84183891048804</v>
      </c>
      <c r="N121" s="63">
        <f t="shared" si="15"/>
        <v>-0.93975471654885312</v>
      </c>
      <c r="R121" s="18"/>
      <c r="S121"/>
      <c r="T121" s="70"/>
      <c r="U121" s="208"/>
      <c r="V121"/>
      <c r="X121"/>
    </row>
    <row r="122" spans="1:24" ht="18" x14ac:dyDescent="0.25">
      <c r="A122" s="317" t="s">
        <v>2181</v>
      </c>
      <c r="B122" s="317" t="s">
        <v>563</v>
      </c>
      <c r="C122" s="317">
        <v>1.53</v>
      </c>
      <c r="D122" s="317">
        <v>3.05</v>
      </c>
      <c r="E122" s="318">
        <v>11.65</v>
      </c>
      <c r="F122" s="317">
        <v>0.9</v>
      </c>
      <c r="G122" s="317">
        <v>0</v>
      </c>
      <c r="H122" s="319">
        <v>72.930000000000007</v>
      </c>
      <c r="I122" s="320">
        <v>88</v>
      </c>
      <c r="J122" s="320">
        <v>1.9</v>
      </c>
      <c r="K122" s="57">
        <f t="shared" si="12"/>
        <v>0.110779</v>
      </c>
      <c r="L122" s="310">
        <f t="shared" si="13"/>
        <v>0.12944444444444445</v>
      </c>
      <c r="M122" s="405">
        <f t="shared" si="14"/>
        <v>60.102074250726716</v>
      </c>
      <c r="N122" s="63">
        <f t="shared" si="15"/>
        <v>0.21343565774051773</v>
      </c>
      <c r="R122" s="18"/>
      <c r="S122"/>
      <c r="T122" s="70"/>
      <c r="U122" s="208"/>
      <c r="V122"/>
      <c r="X122"/>
    </row>
    <row r="123" spans="1:24" ht="18" x14ac:dyDescent="0.25">
      <c r="A123" s="317" t="s">
        <v>4551</v>
      </c>
      <c r="B123" s="317" t="s">
        <v>3861</v>
      </c>
      <c r="C123" s="317">
        <v>2</v>
      </c>
      <c r="D123" s="317">
        <v>3.59</v>
      </c>
      <c r="E123" s="318">
        <v>11.98</v>
      </c>
      <c r="F123" s="317">
        <v>1.1599999999999999</v>
      </c>
      <c r="G123" s="317">
        <v>1.5</v>
      </c>
      <c r="H123" s="319">
        <v>49.48</v>
      </c>
      <c r="I123" s="320">
        <v>53.5</v>
      </c>
      <c r="J123" s="320">
        <v>2.1</v>
      </c>
      <c r="K123" s="57">
        <f t="shared" si="12"/>
        <v>0.13159999999999999</v>
      </c>
      <c r="L123" s="310">
        <f t="shared" si="13"/>
        <v>0.10327586206896554</v>
      </c>
      <c r="M123" s="405">
        <f t="shared" si="14"/>
        <v>39.786448006854819</v>
      </c>
      <c r="N123" s="63">
        <f t="shared" si="15"/>
        <v>0.24363954257678577</v>
      </c>
      <c r="R123" s="18"/>
      <c r="S123"/>
      <c r="T123" s="70"/>
      <c r="U123" s="208"/>
      <c r="V123"/>
      <c r="X123"/>
    </row>
    <row r="124" spans="1:24" ht="18" x14ac:dyDescent="0.25">
      <c r="A124" s="317" t="s">
        <v>1644</v>
      </c>
      <c r="B124" s="317" t="s">
        <v>1645</v>
      </c>
      <c r="C124" s="317"/>
      <c r="D124" s="317"/>
      <c r="E124" s="318"/>
      <c r="F124" s="317"/>
      <c r="G124" s="317"/>
      <c r="H124" s="319"/>
      <c r="I124" s="320"/>
      <c r="J124" s="320"/>
      <c r="K124" s="57">
        <f t="shared" si="12"/>
        <v>4.2999999999999997E-2</v>
      </c>
      <c r="L124" s="310" t="e">
        <f t="shared" si="13"/>
        <v>#DIV/0!</v>
      </c>
      <c r="M124" s="405" t="e">
        <f t="shared" si="14"/>
        <v>#DIV/0!</v>
      </c>
      <c r="N124" s="63" t="e">
        <f t="shared" si="15"/>
        <v>#DIV/0!</v>
      </c>
      <c r="R124" s="18"/>
      <c r="S124"/>
      <c r="T124" s="70"/>
      <c r="U124" s="208"/>
      <c r="V124"/>
      <c r="X124"/>
    </row>
    <row r="125" spans="1:24" ht="18" x14ac:dyDescent="0.25">
      <c r="A125" s="317" t="s">
        <v>2958</v>
      </c>
      <c r="B125" s="317" t="s">
        <v>2959</v>
      </c>
      <c r="C125" s="317">
        <v>1.35</v>
      </c>
      <c r="D125" s="317">
        <v>2.11</v>
      </c>
      <c r="E125" s="318">
        <v>17.510000000000002</v>
      </c>
      <c r="F125" s="317">
        <v>2.04</v>
      </c>
      <c r="G125" s="317">
        <v>0.9</v>
      </c>
      <c r="H125" s="319">
        <v>57.6</v>
      </c>
      <c r="I125" s="320">
        <v>58.5</v>
      </c>
      <c r="J125" s="320">
        <v>2.6</v>
      </c>
      <c r="K125" s="57">
        <f t="shared" si="12"/>
        <v>0.10280500000000001</v>
      </c>
      <c r="L125" s="310">
        <f t="shared" si="13"/>
        <v>8.5833333333333345E-2</v>
      </c>
      <c r="M125" s="405">
        <f t="shared" si="14"/>
        <v>29.763682627618746</v>
      </c>
      <c r="N125" s="63">
        <f t="shared" si="15"/>
        <v>0.93524439568344875</v>
      </c>
      <c r="R125" s="18"/>
      <c r="S125"/>
      <c r="T125" s="70"/>
      <c r="U125" s="208"/>
      <c r="V125"/>
      <c r="X125"/>
    </row>
    <row r="126" spans="1:24" ht="18" x14ac:dyDescent="0.25">
      <c r="A126" s="317" t="s">
        <v>5125</v>
      </c>
      <c r="B126" s="317"/>
      <c r="C126" s="317">
        <v>2.2999999999999998</v>
      </c>
      <c r="D126" s="317">
        <v>0.83</v>
      </c>
      <c r="E126" s="318">
        <v>11.41</v>
      </c>
      <c r="F126" s="317">
        <v>1.5</v>
      </c>
      <c r="G126" s="317">
        <v>3.2</v>
      </c>
      <c r="H126" s="319">
        <v>12.89</v>
      </c>
      <c r="I126" s="320">
        <v>13.5</v>
      </c>
      <c r="J126" s="320">
        <v>1.4</v>
      </c>
      <c r="K126" s="57">
        <f t="shared" si="12"/>
        <v>0.14489000000000002</v>
      </c>
      <c r="L126" s="310">
        <f t="shared" si="13"/>
        <v>7.6066666666666671E-2</v>
      </c>
      <c r="M126" s="405">
        <f t="shared" si="14"/>
        <v>4.6635843316658949</v>
      </c>
      <c r="N126" s="63">
        <f t="shared" si="15"/>
        <v>1.7639684592978122</v>
      </c>
      <c r="R126" s="18"/>
      <c r="S126"/>
      <c r="T126" s="70"/>
      <c r="U126" s="208"/>
      <c r="V126"/>
      <c r="X126"/>
    </row>
    <row r="127" spans="1:24" ht="18" x14ac:dyDescent="0.25">
      <c r="A127" s="317" t="s">
        <v>5075</v>
      </c>
      <c r="B127" s="317" t="s">
        <v>678</v>
      </c>
      <c r="C127" s="317">
        <v>0.57999999999999996</v>
      </c>
      <c r="D127" s="317">
        <v>5.72</v>
      </c>
      <c r="E127" s="318">
        <v>8.39</v>
      </c>
      <c r="F127" s="317">
        <v>3.12</v>
      </c>
      <c r="G127" s="317">
        <v>7.4</v>
      </c>
      <c r="H127" s="319">
        <v>50.66</v>
      </c>
      <c r="I127" s="320">
        <v>52</v>
      </c>
      <c r="J127" s="320">
        <v>2.9</v>
      </c>
      <c r="K127" s="57">
        <f t="shared" si="12"/>
        <v>6.8694000000000005E-2</v>
      </c>
      <c r="L127" s="310">
        <f t="shared" si="13"/>
        <v>2.6891025641025645E-2</v>
      </c>
      <c r="M127" s="405">
        <f t="shared" si="14"/>
        <v>58.50089441830692</v>
      </c>
      <c r="N127" s="63">
        <f t="shared" si="15"/>
        <v>-0.13403033400209419</v>
      </c>
      <c r="R127" s="18"/>
      <c r="S127"/>
      <c r="T127" s="70"/>
      <c r="U127" s="208"/>
      <c r="V127"/>
      <c r="X127"/>
    </row>
    <row r="128" spans="1:24" ht="18" x14ac:dyDescent="0.25">
      <c r="A128" s="317" t="s">
        <v>1646</v>
      </c>
      <c r="B128" s="317" t="s">
        <v>1647</v>
      </c>
      <c r="C128" s="317">
        <v>0.4</v>
      </c>
      <c r="D128" s="317">
        <v>17</v>
      </c>
      <c r="E128" s="318">
        <v>13.43</v>
      </c>
      <c r="F128" s="317">
        <v>1.1100000000000001</v>
      </c>
      <c r="G128" s="317">
        <v>0</v>
      </c>
      <c r="H128" s="319">
        <v>284.95</v>
      </c>
      <c r="I128" s="320">
        <v>275</v>
      </c>
      <c r="J128" s="320">
        <v>2.7</v>
      </c>
      <c r="K128" s="57">
        <f t="shared" si="12"/>
        <v>6.0719999999999996E-2</v>
      </c>
      <c r="L128" s="310">
        <f t="shared" si="13"/>
        <v>0.12099099099099098</v>
      </c>
      <c r="M128" s="405">
        <f t="shared" si="14"/>
        <v>1001.806564557574</v>
      </c>
      <c r="N128" s="63">
        <f t="shared" si="15"/>
        <v>-0.71556385226339392</v>
      </c>
      <c r="R128" s="18"/>
      <c r="S128"/>
      <c r="T128" s="70"/>
      <c r="U128" s="208"/>
      <c r="V128"/>
      <c r="X128"/>
    </row>
    <row r="129" spans="1:24" ht="18" x14ac:dyDescent="0.25">
      <c r="A129" s="317" t="s">
        <v>3741</v>
      </c>
      <c r="B129" s="317" t="s">
        <v>3742</v>
      </c>
      <c r="C129" s="317">
        <v>2</v>
      </c>
      <c r="D129" s="317">
        <v>1.08</v>
      </c>
      <c r="E129" s="318">
        <v>14.9</v>
      </c>
      <c r="F129" s="317">
        <v>0.79</v>
      </c>
      <c r="G129" s="317">
        <v>1.3</v>
      </c>
      <c r="H129" s="319">
        <v>24.89</v>
      </c>
      <c r="I129" s="320">
        <v>25</v>
      </c>
      <c r="J129" s="320">
        <v>2.7</v>
      </c>
      <c r="K129" s="57">
        <f t="shared" si="12"/>
        <v>0.13159999999999999</v>
      </c>
      <c r="L129" s="310">
        <f t="shared" si="13"/>
        <v>0.18860759493670887</v>
      </c>
      <c r="M129" s="405">
        <f t="shared" si="14"/>
        <v>14.299604551690436</v>
      </c>
      <c r="N129" s="63">
        <f t="shared" si="15"/>
        <v>0.7406075748477684</v>
      </c>
      <c r="V129"/>
      <c r="X129"/>
    </row>
    <row r="130" spans="1:24" ht="18" x14ac:dyDescent="0.25">
      <c r="A130" s="317" t="s">
        <v>3862</v>
      </c>
      <c r="B130" s="317" t="s">
        <v>5261</v>
      </c>
      <c r="C130" s="317">
        <v>1.29</v>
      </c>
      <c r="D130" s="317">
        <v>4.53</v>
      </c>
      <c r="E130" s="318">
        <v>15.1</v>
      </c>
      <c r="F130" s="317">
        <v>1.79</v>
      </c>
      <c r="G130" s="317">
        <v>2.1</v>
      </c>
      <c r="H130" s="319">
        <v>79.13</v>
      </c>
      <c r="I130" s="320">
        <v>89</v>
      </c>
      <c r="J130" s="320">
        <v>2</v>
      </c>
      <c r="K130" s="57">
        <f t="shared" si="12"/>
        <v>0.10014700000000001</v>
      </c>
      <c r="L130" s="310">
        <f t="shared" si="13"/>
        <v>8.4357541899441349E-2</v>
      </c>
      <c r="M130" s="405">
        <f t="shared" ref="M130:M193" si="16">(D130-G130*H130/100)+(D130-G130*H130/100)*(1+L130)/(1+K130)+(D130-G130*H130/100)*(1+L130)^2/(1+K130)^2+(D130-G130*H130/100)*(1+L130)^3/(1+K130)^3+(D130-G130*H130/100)*(1+L130)^4/(1+K130)^4+((D130-G130*H130/100)*(1+L130)^5/(K130-$T$22-$T$19))/((1+K130)^5)</f>
        <v>55.531657399939533</v>
      </c>
      <c r="N130" s="63">
        <f>(H130-M130)/M130</f>
        <v>0.4249529674597135</v>
      </c>
      <c r="V130"/>
      <c r="X130"/>
    </row>
    <row r="131" spans="1:24" ht="18" x14ac:dyDescent="0.25">
      <c r="A131" s="323" t="s">
        <v>5065</v>
      </c>
      <c r="B131" s="317"/>
      <c r="C131" s="317">
        <v>2.4500000000000002</v>
      </c>
      <c r="D131" s="317">
        <v>-0.47</v>
      </c>
      <c r="E131" s="318">
        <v>7.12</v>
      </c>
      <c r="F131" s="317">
        <v>0.92</v>
      </c>
      <c r="G131" s="317">
        <v>0.3</v>
      </c>
      <c r="H131" s="319">
        <v>12.32</v>
      </c>
      <c r="I131" s="320">
        <v>17</v>
      </c>
      <c r="J131" s="320">
        <v>2.2000000000000002</v>
      </c>
      <c r="K131" s="57">
        <f t="shared" ref="K131:K194" si="17">$P$14+C131*($Q$15-$P$14)</f>
        <v>0.15153500000000003</v>
      </c>
      <c r="L131" s="310">
        <f t="shared" ref="L131:L194" si="18">E131/F131/100</f>
        <v>7.7391304347826081E-2</v>
      </c>
      <c r="M131" s="405">
        <f t="shared" si="16"/>
        <v>-5.3746104977066391</v>
      </c>
      <c r="N131" s="63">
        <f t="shared" ref="N131:N194" si="19">(H131-M131)/M131</f>
        <v>-3.2922591330584754</v>
      </c>
      <c r="V131"/>
      <c r="X131"/>
    </row>
    <row r="132" spans="1:24" ht="18" x14ac:dyDescent="0.25">
      <c r="A132" s="323" t="s">
        <v>4938</v>
      </c>
      <c r="B132" s="317" t="s">
        <v>1824</v>
      </c>
      <c r="C132" s="317">
        <v>1.82</v>
      </c>
      <c r="D132" s="317">
        <v>0.67</v>
      </c>
      <c r="E132" s="318">
        <v>15.1</v>
      </c>
      <c r="F132" s="317">
        <v>1.1299999999999999</v>
      </c>
      <c r="G132" s="317">
        <v>3.2</v>
      </c>
      <c r="H132" s="319">
        <v>15.55</v>
      </c>
      <c r="I132" s="320">
        <v>20.5</v>
      </c>
      <c r="J132" s="320">
        <v>1.5</v>
      </c>
      <c r="K132" s="57">
        <f t="shared" si="17"/>
        <v>0.12362600000000001</v>
      </c>
      <c r="L132" s="310">
        <f t="shared" si="18"/>
        <v>0.13362831858407082</v>
      </c>
      <c r="M132" s="405">
        <f t="shared" si="16"/>
        <v>2.9340791072093468</v>
      </c>
      <c r="N132" s="63">
        <f t="shared" si="19"/>
        <v>4.299788939497911</v>
      </c>
      <c r="V132"/>
      <c r="X132"/>
    </row>
    <row r="133" spans="1:24" ht="18" x14ac:dyDescent="0.25">
      <c r="A133" s="323" t="s">
        <v>5229</v>
      </c>
      <c r="B133" s="317" t="s">
        <v>5230</v>
      </c>
      <c r="C133" s="317">
        <v>1.45</v>
      </c>
      <c r="D133" s="317">
        <v>2.33</v>
      </c>
      <c r="E133" s="318">
        <v>23.19</v>
      </c>
      <c r="F133" s="317">
        <v>2.2599999999999998</v>
      </c>
      <c r="G133" s="317">
        <v>1.5</v>
      </c>
      <c r="H133" s="319">
        <v>32.229999999999997</v>
      </c>
      <c r="I133" s="320">
        <v>37</v>
      </c>
      <c r="J133" s="320">
        <v>1.9</v>
      </c>
      <c r="K133" s="57">
        <f t="shared" si="17"/>
        <v>0.107235</v>
      </c>
      <c r="L133" s="310">
        <f t="shared" si="18"/>
        <v>0.10261061946902655</v>
      </c>
      <c r="M133" s="405">
        <f t="shared" si="16"/>
        <v>34.541084630478636</v>
      </c>
      <c r="N133" s="63">
        <f t="shared" si="19"/>
        <v>-6.6908281983692142E-2</v>
      </c>
      <c r="V133"/>
      <c r="X133"/>
    </row>
    <row r="134" spans="1:24" ht="18" x14ac:dyDescent="0.25">
      <c r="A134" s="323" t="s">
        <v>5082</v>
      </c>
      <c r="B134" s="317"/>
      <c r="C134" s="317">
        <v>1.23</v>
      </c>
      <c r="D134" s="317">
        <v>7.16</v>
      </c>
      <c r="E134" s="318">
        <v>10.1</v>
      </c>
      <c r="F134" s="317">
        <v>0.44</v>
      </c>
      <c r="G134" s="317">
        <v>2.1</v>
      </c>
      <c r="H134" s="319">
        <v>98.53</v>
      </c>
      <c r="I134" s="320">
        <v>125</v>
      </c>
      <c r="J134" s="320">
        <v>2.5</v>
      </c>
      <c r="K134" s="57">
        <f t="shared" si="17"/>
        <v>9.7489000000000006E-2</v>
      </c>
      <c r="L134" s="310">
        <f t="shared" si="18"/>
        <v>0.22954545454545452</v>
      </c>
      <c r="M134" s="405">
        <f t="shared" si="16"/>
        <v>178.48482254701517</v>
      </c>
      <c r="N134" s="63">
        <f t="shared" si="19"/>
        <v>-0.44796426612662854</v>
      </c>
      <c r="V134"/>
      <c r="X134"/>
    </row>
    <row r="135" spans="1:24" ht="18" x14ac:dyDescent="0.25">
      <c r="A135" s="323" t="s">
        <v>5126</v>
      </c>
      <c r="B135" s="317"/>
      <c r="C135" s="317"/>
      <c r="D135" s="317"/>
      <c r="E135" s="318"/>
      <c r="F135" s="317"/>
      <c r="G135" s="317"/>
      <c r="H135" s="319"/>
      <c r="I135" s="320"/>
      <c r="J135" s="320"/>
      <c r="K135" s="57">
        <f t="shared" si="17"/>
        <v>4.2999999999999997E-2</v>
      </c>
      <c r="L135" s="310" t="e">
        <f t="shared" si="18"/>
        <v>#DIV/0!</v>
      </c>
      <c r="M135" s="405" t="e">
        <f t="shared" si="16"/>
        <v>#DIV/0!</v>
      </c>
      <c r="N135" s="63" t="e">
        <f t="shared" si="19"/>
        <v>#DIV/0!</v>
      </c>
      <c r="V135"/>
      <c r="X135"/>
    </row>
    <row r="136" spans="1:24" ht="18" x14ac:dyDescent="0.25">
      <c r="A136" s="317" t="s">
        <v>1648</v>
      </c>
      <c r="B136" s="317" t="s">
        <v>1649</v>
      </c>
      <c r="C136" s="317">
        <v>0.5</v>
      </c>
      <c r="D136" s="317">
        <v>2.39</v>
      </c>
      <c r="E136" s="318">
        <v>12.37</v>
      </c>
      <c r="F136" s="317">
        <v>1.4</v>
      </c>
      <c r="G136" s="324">
        <v>2.2000000000000002</v>
      </c>
      <c r="H136" s="319">
        <v>57.63</v>
      </c>
      <c r="I136" s="320">
        <v>60</v>
      </c>
      <c r="J136" s="320">
        <v>2.1</v>
      </c>
      <c r="K136" s="57">
        <f t="shared" si="17"/>
        <v>6.515E-2</v>
      </c>
      <c r="L136" s="310">
        <f t="shared" si="18"/>
        <v>8.8357142857142856E-2</v>
      </c>
      <c r="M136" s="405">
        <f t="shared" si="16"/>
        <v>48.736328801352634</v>
      </c>
      <c r="N136" s="63">
        <f t="shared" si="19"/>
        <v>0.18248545627836729</v>
      </c>
      <c r="V136"/>
      <c r="X136"/>
    </row>
    <row r="137" spans="1:24" ht="18" x14ac:dyDescent="0.25">
      <c r="A137" s="317" t="s">
        <v>2960</v>
      </c>
      <c r="B137" s="317" t="s">
        <v>2961</v>
      </c>
      <c r="C137" s="317">
        <v>1.03</v>
      </c>
      <c r="D137" s="317">
        <v>0.48</v>
      </c>
      <c r="E137" s="318">
        <v>21.43</v>
      </c>
      <c r="F137" s="317">
        <v>1.5</v>
      </c>
      <c r="G137" s="317">
        <v>0</v>
      </c>
      <c r="H137" s="319">
        <v>46.5</v>
      </c>
      <c r="I137" s="320">
        <v>52</v>
      </c>
      <c r="J137" s="320">
        <v>2.5</v>
      </c>
      <c r="K137" s="57">
        <f t="shared" si="17"/>
        <v>8.8629000000000013E-2</v>
      </c>
      <c r="L137" s="310">
        <f t="shared" si="18"/>
        <v>0.14286666666666667</v>
      </c>
      <c r="M137" s="405">
        <f t="shared" si="16"/>
        <v>14.281754728760216</v>
      </c>
      <c r="N137" s="63">
        <f t="shared" si="19"/>
        <v>2.2559024351790287</v>
      </c>
      <c r="X137"/>
    </row>
    <row r="138" spans="1:24" ht="18" x14ac:dyDescent="0.25">
      <c r="A138" s="317" t="s">
        <v>1650</v>
      </c>
      <c r="B138" s="317" t="s">
        <v>1651</v>
      </c>
      <c r="C138" s="317">
        <v>1.25</v>
      </c>
      <c r="D138" s="317">
        <v>3.07</v>
      </c>
      <c r="E138" s="318">
        <v>13.84</v>
      </c>
      <c r="F138" s="317">
        <v>1.17</v>
      </c>
      <c r="G138" s="317">
        <v>0</v>
      </c>
      <c r="H138" s="319">
        <v>56.07</v>
      </c>
      <c r="I138" s="320">
        <v>60</v>
      </c>
      <c r="J138" s="320">
        <v>2.2000000000000002</v>
      </c>
      <c r="K138" s="57">
        <f t="shared" si="17"/>
        <v>9.8375000000000004E-2</v>
      </c>
      <c r="L138" s="310">
        <f t="shared" si="18"/>
        <v>0.11829059829059829</v>
      </c>
      <c r="M138" s="405">
        <f t="shared" si="16"/>
        <v>69.762156710544389</v>
      </c>
      <c r="N138" s="63">
        <f t="shared" si="19"/>
        <v>-0.19626911431874999</v>
      </c>
      <c r="X138"/>
    </row>
    <row r="139" spans="1:24" ht="18" x14ac:dyDescent="0.25">
      <c r="A139" s="317" t="s">
        <v>3531</v>
      </c>
      <c r="B139" s="317" t="s">
        <v>3532</v>
      </c>
      <c r="C139" s="317">
        <v>1.53</v>
      </c>
      <c r="D139" s="317">
        <v>1.69</v>
      </c>
      <c r="E139" s="318">
        <v>9.4700000000000006</v>
      </c>
      <c r="F139" s="317">
        <v>1.17</v>
      </c>
      <c r="G139" s="317">
        <v>0.5</v>
      </c>
      <c r="H139" s="319">
        <v>19.22</v>
      </c>
      <c r="I139" s="320">
        <v>24.2</v>
      </c>
      <c r="J139" s="320">
        <v>2.2999999999999998</v>
      </c>
      <c r="K139" s="57">
        <f t="shared" si="17"/>
        <v>0.110779</v>
      </c>
      <c r="L139" s="310">
        <f t="shared" si="18"/>
        <v>8.0940170940170961E-2</v>
      </c>
      <c r="M139" s="405">
        <f t="shared" si="16"/>
        <v>26.154326279970253</v>
      </c>
      <c r="N139" s="63">
        <f t="shared" si="19"/>
        <v>-0.26513113760765322</v>
      </c>
      <c r="X139"/>
    </row>
    <row r="140" spans="1:24" ht="18" x14ac:dyDescent="0.25">
      <c r="A140" s="317" t="s">
        <v>2962</v>
      </c>
      <c r="B140" s="317" t="s">
        <v>2963</v>
      </c>
      <c r="C140" s="317">
        <v>1.48</v>
      </c>
      <c r="D140" s="317">
        <v>6.13</v>
      </c>
      <c r="E140" s="318">
        <v>8.4</v>
      </c>
      <c r="F140" s="317">
        <v>0.48</v>
      </c>
      <c r="G140" s="317">
        <v>2.2000000000000002</v>
      </c>
      <c r="H140" s="319">
        <v>78.38</v>
      </c>
      <c r="I140" s="320">
        <v>92.63</v>
      </c>
      <c r="J140" s="320">
        <v>2.2999999999999998</v>
      </c>
      <c r="K140" s="57">
        <f t="shared" si="17"/>
        <v>0.10856400000000001</v>
      </c>
      <c r="L140" s="310">
        <f t="shared" si="18"/>
        <v>0.17499999999999999</v>
      </c>
      <c r="M140" s="405">
        <f t="shared" si="16"/>
        <v>106.05344419770347</v>
      </c>
      <c r="N140" s="63">
        <f t="shared" si="19"/>
        <v>-0.26093866547242911</v>
      </c>
      <c r="X140"/>
    </row>
    <row r="141" spans="1:24" ht="18" x14ac:dyDescent="0.25">
      <c r="A141" s="317" t="s">
        <v>2964</v>
      </c>
      <c r="B141" s="317" t="s">
        <v>2965</v>
      </c>
      <c r="C141" s="317">
        <v>1</v>
      </c>
      <c r="D141" s="317">
        <v>2.73</v>
      </c>
      <c r="E141" s="318">
        <v>9.27</v>
      </c>
      <c r="F141" s="317">
        <v>-1.05</v>
      </c>
      <c r="G141" s="317">
        <v>0.7</v>
      </c>
      <c r="H141" s="319">
        <v>34.11</v>
      </c>
      <c r="I141" s="320">
        <v>47</v>
      </c>
      <c r="J141" s="320">
        <v>2</v>
      </c>
      <c r="K141" s="57">
        <f t="shared" si="17"/>
        <v>8.7300000000000003E-2</v>
      </c>
      <c r="L141" s="310">
        <f t="shared" si="18"/>
        <v>-8.8285714285714273E-2</v>
      </c>
      <c r="M141" s="405">
        <f t="shared" si="16"/>
        <v>29.162003831098033</v>
      </c>
      <c r="N141" s="63">
        <f t="shared" si="19"/>
        <v>0.1696727082802684</v>
      </c>
      <c r="X141"/>
    </row>
    <row r="142" spans="1:24" ht="18" x14ac:dyDescent="0.25">
      <c r="A142" s="317" t="s">
        <v>1652</v>
      </c>
      <c r="B142" s="317" t="s">
        <v>1653</v>
      </c>
      <c r="C142" s="317">
        <v>1.0900000000000001</v>
      </c>
      <c r="D142" s="317">
        <v>1.1599999999999999</v>
      </c>
      <c r="E142" s="318">
        <v>10.56</v>
      </c>
      <c r="F142" s="317">
        <v>2.06</v>
      </c>
      <c r="G142" s="317">
        <v>2.4</v>
      </c>
      <c r="H142" s="319">
        <v>26.5</v>
      </c>
      <c r="I142" s="320">
        <v>30</v>
      </c>
      <c r="J142" s="320">
        <v>2.6</v>
      </c>
      <c r="K142" s="57">
        <f t="shared" si="17"/>
        <v>9.1287000000000007E-2</v>
      </c>
      <c r="L142" s="310">
        <f t="shared" si="18"/>
        <v>5.1262135922330102E-2</v>
      </c>
      <c r="M142" s="405">
        <f t="shared" si="16"/>
        <v>10.29737560894988</v>
      </c>
      <c r="N142" s="63">
        <f t="shared" si="19"/>
        <v>1.5734712422228965</v>
      </c>
      <c r="X142"/>
    </row>
    <row r="143" spans="1:24" ht="18" x14ac:dyDescent="0.25">
      <c r="A143" s="317" t="s">
        <v>3533</v>
      </c>
      <c r="B143" s="317" t="s">
        <v>3534</v>
      </c>
      <c r="C143" s="317">
        <v>1.96</v>
      </c>
      <c r="D143" s="317">
        <v>1.73</v>
      </c>
      <c r="E143" s="318">
        <v>9.08</v>
      </c>
      <c r="F143" s="317">
        <v>1.18</v>
      </c>
      <c r="G143" s="317">
        <v>6.5</v>
      </c>
      <c r="H143" s="319">
        <v>12.26</v>
      </c>
      <c r="I143" s="320">
        <v>14.34</v>
      </c>
      <c r="J143" s="320">
        <v>3</v>
      </c>
      <c r="K143" s="57">
        <f t="shared" si="17"/>
        <v>0.129828</v>
      </c>
      <c r="L143" s="310">
        <f t="shared" si="18"/>
        <v>7.6949152542372889E-2</v>
      </c>
      <c r="M143" s="405">
        <f t="shared" si="16"/>
        <v>12.074214080507261</v>
      </c>
      <c r="N143" s="63">
        <f t="shared" si="19"/>
        <v>1.53869989594332E-2</v>
      </c>
      <c r="X143"/>
    </row>
    <row r="144" spans="1:24" ht="18" x14ac:dyDescent="0.25">
      <c r="A144" s="317" t="s">
        <v>1654</v>
      </c>
      <c r="B144" s="317" t="s">
        <v>1655</v>
      </c>
      <c r="C144" s="317">
        <v>1.34</v>
      </c>
      <c r="D144" s="317">
        <v>3.08</v>
      </c>
      <c r="E144" s="318">
        <v>8.44</v>
      </c>
      <c r="F144" s="317">
        <v>0.89</v>
      </c>
      <c r="G144" s="317">
        <v>1.9</v>
      </c>
      <c r="H144" s="319">
        <v>30.99</v>
      </c>
      <c r="I144" s="320">
        <v>36</v>
      </c>
      <c r="J144" s="320">
        <v>2.6</v>
      </c>
      <c r="K144" s="57">
        <f t="shared" si="17"/>
        <v>0.10236200000000001</v>
      </c>
      <c r="L144" s="310">
        <f t="shared" si="18"/>
        <v>9.4831460674157292E-2</v>
      </c>
      <c r="M144" s="405">
        <f t="shared" si="16"/>
        <v>48.561522365366322</v>
      </c>
      <c r="N144" s="63">
        <f t="shared" si="19"/>
        <v>-0.36184043476153849</v>
      </c>
      <c r="X144"/>
    </row>
    <row r="145" spans="1:24" ht="18" x14ac:dyDescent="0.25">
      <c r="A145" s="317" t="s">
        <v>2966</v>
      </c>
      <c r="B145" s="317" t="s">
        <v>2969</v>
      </c>
      <c r="C145" s="317">
        <v>1.22</v>
      </c>
      <c r="D145" s="317">
        <v>1.76</v>
      </c>
      <c r="E145" s="318">
        <v>14.17</v>
      </c>
      <c r="F145" s="317">
        <v>1.4</v>
      </c>
      <c r="G145" s="317">
        <v>1.3</v>
      </c>
      <c r="H145" s="319">
        <v>30.74</v>
      </c>
      <c r="I145" s="320">
        <v>37</v>
      </c>
      <c r="J145" s="320">
        <v>2</v>
      </c>
      <c r="K145" s="57">
        <f t="shared" si="17"/>
        <v>9.7045999999999993E-2</v>
      </c>
      <c r="L145" s="310">
        <f t="shared" si="18"/>
        <v>0.10121428571428571</v>
      </c>
      <c r="M145" s="405">
        <f t="shared" si="16"/>
        <v>29.564877235444708</v>
      </c>
      <c r="N145" s="63">
        <f t="shared" si="19"/>
        <v>3.9747256692358603E-2</v>
      </c>
      <c r="X145"/>
    </row>
    <row r="146" spans="1:24" ht="18" x14ac:dyDescent="0.25">
      <c r="A146" s="317" t="s">
        <v>1656</v>
      </c>
      <c r="B146" s="317" t="s">
        <v>1657</v>
      </c>
      <c r="C146" s="317">
        <v>0.32</v>
      </c>
      <c r="D146" s="317">
        <v>5.57</v>
      </c>
      <c r="E146" s="318">
        <v>15.05</v>
      </c>
      <c r="F146" s="317">
        <v>1.55</v>
      </c>
      <c r="G146" s="317">
        <v>0.7</v>
      </c>
      <c r="H146" s="319">
        <v>106.68</v>
      </c>
      <c r="I146" s="320">
        <v>105</v>
      </c>
      <c r="J146" s="320">
        <v>2.7</v>
      </c>
      <c r="K146" s="57">
        <f t="shared" si="17"/>
        <v>5.7175999999999998E-2</v>
      </c>
      <c r="L146" s="310">
        <f t="shared" si="18"/>
        <v>9.7096774193548382E-2</v>
      </c>
      <c r="M146" s="405">
        <f t="shared" si="16"/>
        <v>300.15440908246762</v>
      </c>
      <c r="N146" s="63">
        <f t="shared" si="19"/>
        <v>-0.64458293207783735</v>
      </c>
      <c r="X146"/>
    </row>
    <row r="147" spans="1:24" ht="18" x14ac:dyDescent="0.25">
      <c r="A147" s="317" t="s">
        <v>4977</v>
      </c>
      <c r="B147" s="317" t="s">
        <v>4978</v>
      </c>
      <c r="C147" s="317">
        <v>2.74</v>
      </c>
      <c r="D147" s="317">
        <v>1.9</v>
      </c>
      <c r="E147" s="318">
        <v>7.64</v>
      </c>
      <c r="F147" s="317">
        <v>0.36</v>
      </c>
      <c r="G147" s="317">
        <v>3.4</v>
      </c>
      <c r="H147" s="319">
        <v>18.27</v>
      </c>
      <c r="I147" s="320">
        <v>32.32</v>
      </c>
      <c r="J147" s="320">
        <v>1</v>
      </c>
      <c r="K147" s="57">
        <f t="shared" si="17"/>
        <v>0.16438200000000003</v>
      </c>
      <c r="L147" s="310">
        <f t="shared" si="18"/>
        <v>0.2122222222222222</v>
      </c>
      <c r="M147" s="405">
        <f t="shared" si="16"/>
        <v>19.124129794257158</v>
      </c>
      <c r="N147" s="63">
        <f t="shared" si="19"/>
        <v>-4.466241358148737E-2</v>
      </c>
      <c r="X147"/>
    </row>
    <row r="148" spans="1:24" ht="18" x14ac:dyDescent="0.25">
      <c r="A148" s="317" t="s">
        <v>2970</v>
      </c>
      <c r="B148" s="317" t="s">
        <v>5331</v>
      </c>
      <c r="C148" s="317">
        <v>2.0099999999999998</v>
      </c>
      <c r="D148" s="317">
        <v>2.27</v>
      </c>
      <c r="E148" s="318">
        <v>13.22</v>
      </c>
      <c r="F148" s="317">
        <v>2.12</v>
      </c>
      <c r="G148" s="317">
        <v>0.5</v>
      </c>
      <c r="H148" s="319">
        <v>37.81</v>
      </c>
      <c r="I148" s="320">
        <v>44.25</v>
      </c>
      <c r="J148" s="320">
        <v>1.2</v>
      </c>
      <c r="K148" s="57">
        <f t="shared" si="17"/>
        <v>0.13204299999999999</v>
      </c>
      <c r="L148" s="310">
        <f t="shared" si="18"/>
        <v>6.2358490566037733E-2</v>
      </c>
      <c r="M148" s="405">
        <f t="shared" si="16"/>
        <v>24.970430514551673</v>
      </c>
      <c r="N148" s="63">
        <f t="shared" si="19"/>
        <v>0.51419095389508762</v>
      </c>
      <c r="X148"/>
    </row>
    <row r="149" spans="1:24" ht="18" x14ac:dyDescent="0.25">
      <c r="A149" s="317" t="s">
        <v>1658</v>
      </c>
      <c r="B149" s="317" t="s">
        <v>1659</v>
      </c>
      <c r="C149" s="317">
        <v>0.61</v>
      </c>
      <c r="D149" s="317">
        <v>5.7</v>
      </c>
      <c r="E149" s="318">
        <v>13.87</v>
      </c>
      <c r="F149" s="317">
        <v>1.53</v>
      </c>
      <c r="G149" s="317">
        <v>1.9</v>
      </c>
      <c r="H149" s="319">
        <v>85.99</v>
      </c>
      <c r="I149" s="320">
        <v>87</v>
      </c>
      <c r="J149" s="320">
        <v>2.5</v>
      </c>
      <c r="K149" s="57">
        <f t="shared" si="17"/>
        <v>7.0023000000000002E-2</v>
      </c>
      <c r="L149" s="310">
        <f t="shared" si="18"/>
        <v>9.0653594771241824E-2</v>
      </c>
      <c r="M149" s="405">
        <f t="shared" si="16"/>
        <v>152.61745382068915</v>
      </c>
      <c r="N149" s="63">
        <f t="shared" si="19"/>
        <v>-0.43656509889733852</v>
      </c>
      <c r="X149"/>
    </row>
    <row r="150" spans="1:24" ht="18" x14ac:dyDescent="0.25">
      <c r="A150" s="317" t="s">
        <v>2971</v>
      </c>
      <c r="B150" s="317"/>
      <c r="C150" s="317"/>
      <c r="D150" s="317"/>
      <c r="E150" s="318"/>
      <c r="F150" s="317"/>
      <c r="G150" s="317"/>
      <c r="H150" s="319"/>
      <c r="I150" s="320"/>
      <c r="J150" s="320"/>
      <c r="K150" s="57">
        <f t="shared" si="17"/>
        <v>4.2999999999999997E-2</v>
      </c>
      <c r="L150" s="310" t="e">
        <f t="shared" si="18"/>
        <v>#DIV/0!</v>
      </c>
      <c r="M150" s="405" t="e">
        <f t="shared" si="16"/>
        <v>#DIV/0!</v>
      </c>
      <c r="N150" s="63" t="e">
        <f t="shared" si="19"/>
        <v>#DIV/0!</v>
      </c>
      <c r="X150"/>
    </row>
    <row r="151" spans="1:24" ht="18" x14ac:dyDescent="0.25">
      <c r="A151" s="317" t="s">
        <v>5332</v>
      </c>
      <c r="B151" s="317" t="s">
        <v>5333</v>
      </c>
      <c r="C151" s="317">
        <v>1.91</v>
      </c>
      <c r="D151" s="317">
        <v>1.42</v>
      </c>
      <c r="E151" s="318">
        <v>14.25</v>
      </c>
      <c r="F151" s="317">
        <v>1.26</v>
      </c>
      <c r="G151" s="317">
        <v>0</v>
      </c>
      <c r="H151" s="319">
        <v>36.630000000000003</v>
      </c>
      <c r="I151" s="320">
        <v>44.5</v>
      </c>
      <c r="J151" s="320">
        <v>1.9</v>
      </c>
      <c r="K151" s="57">
        <f t="shared" si="17"/>
        <v>0.127613</v>
      </c>
      <c r="L151" s="310">
        <f t="shared" si="18"/>
        <v>0.1130952380952381</v>
      </c>
      <c r="M151" s="405">
        <f t="shared" si="16"/>
        <v>21.447070708201792</v>
      </c>
      <c r="N151" s="63">
        <f t="shared" si="19"/>
        <v>0.70792554835900978</v>
      </c>
      <c r="X151"/>
    </row>
    <row r="152" spans="1:24" ht="18" x14ac:dyDescent="0.25">
      <c r="A152" s="317" t="s">
        <v>5334</v>
      </c>
      <c r="B152" s="317" t="s">
        <v>5335</v>
      </c>
      <c r="C152" s="317">
        <v>1.1399999999999999</v>
      </c>
      <c r="D152" s="317">
        <v>0.8</v>
      </c>
      <c r="E152" s="318">
        <v>15.89</v>
      </c>
      <c r="F152" s="317">
        <v>1.19</v>
      </c>
      <c r="G152" s="317">
        <v>0</v>
      </c>
      <c r="H152" s="319">
        <v>20.66</v>
      </c>
      <c r="I152" s="320">
        <v>22</v>
      </c>
      <c r="J152" s="320">
        <v>2.4</v>
      </c>
      <c r="K152" s="57">
        <f t="shared" si="17"/>
        <v>9.3502000000000002E-2</v>
      </c>
      <c r="L152" s="310">
        <f t="shared" si="18"/>
        <v>0.1335294117647059</v>
      </c>
      <c r="M152" s="405">
        <f t="shared" si="16"/>
        <v>20.956011840915863</v>
      </c>
      <c r="N152" s="63">
        <f t="shared" si="19"/>
        <v>-1.4125390039048873E-2</v>
      </c>
      <c r="X152"/>
    </row>
    <row r="153" spans="1:24" ht="18" x14ac:dyDescent="0.25">
      <c r="A153" s="317" t="s">
        <v>795</v>
      </c>
      <c r="B153" s="317" t="s">
        <v>796</v>
      </c>
      <c r="C153" s="317"/>
      <c r="D153" s="317"/>
      <c r="E153" s="318"/>
      <c r="F153" s="317"/>
      <c r="G153" s="317"/>
      <c r="H153" s="319"/>
      <c r="I153" s="320"/>
      <c r="J153" s="320"/>
      <c r="K153" s="57">
        <f t="shared" si="17"/>
        <v>4.2999999999999997E-2</v>
      </c>
      <c r="L153" s="310" t="e">
        <f t="shared" si="18"/>
        <v>#DIV/0!</v>
      </c>
      <c r="M153" s="405" t="e">
        <f t="shared" si="16"/>
        <v>#DIV/0!</v>
      </c>
      <c r="N153" s="63" t="e">
        <f t="shared" si="19"/>
        <v>#DIV/0!</v>
      </c>
      <c r="X153"/>
    </row>
    <row r="154" spans="1:24" ht="18" x14ac:dyDescent="0.25">
      <c r="A154" s="317" t="s">
        <v>1660</v>
      </c>
      <c r="B154" s="317" t="s">
        <v>1661</v>
      </c>
      <c r="C154" s="317">
        <v>1.49</v>
      </c>
      <c r="D154" s="317">
        <v>7.02</v>
      </c>
      <c r="E154" s="318">
        <v>13.15</v>
      </c>
      <c r="F154" s="317">
        <v>1.3</v>
      </c>
      <c r="G154" s="317">
        <v>0.8</v>
      </c>
      <c r="H154" s="319">
        <v>126.37</v>
      </c>
      <c r="I154" s="320">
        <v>148</v>
      </c>
      <c r="J154" s="320">
        <v>2.4</v>
      </c>
      <c r="K154" s="57">
        <f t="shared" si="17"/>
        <v>0.10900700000000001</v>
      </c>
      <c r="L154" s="310">
        <f t="shared" si="18"/>
        <v>0.10115384615384615</v>
      </c>
      <c r="M154" s="405">
        <f t="shared" si="16"/>
        <v>109.05718550583899</v>
      </c>
      <c r="N154" s="63">
        <f t="shared" si="19"/>
        <v>0.1587498743329854</v>
      </c>
      <c r="X154"/>
    </row>
    <row r="155" spans="1:24" ht="18" x14ac:dyDescent="0.25">
      <c r="A155" s="317" t="s">
        <v>5336</v>
      </c>
      <c r="B155" s="317" t="s">
        <v>5337</v>
      </c>
      <c r="C155" s="317"/>
      <c r="D155" s="317"/>
      <c r="E155" s="318"/>
      <c r="F155" s="317"/>
      <c r="G155" s="317"/>
      <c r="H155" s="319"/>
      <c r="I155" s="320"/>
      <c r="J155" s="320"/>
      <c r="K155" s="57">
        <f t="shared" si="17"/>
        <v>4.2999999999999997E-2</v>
      </c>
      <c r="L155" s="310" t="e">
        <f t="shared" si="18"/>
        <v>#DIV/0!</v>
      </c>
      <c r="M155" s="405" t="e">
        <f t="shared" si="16"/>
        <v>#DIV/0!</v>
      </c>
      <c r="N155" s="63" t="e">
        <f t="shared" si="19"/>
        <v>#DIV/0!</v>
      </c>
      <c r="X155"/>
    </row>
    <row r="156" spans="1:24" ht="18" x14ac:dyDescent="0.25">
      <c r="A156" s="317" t="s">
        <v>1662</v>
      </c>
      <c r="B156" s="317" t="s">
        <v>1663</v>
      </c>
      <c r="C156" s="317">
        <v>0.71</v>
      </c>
      <c r="D156" s="317">
        <v>3.26</v>
      </c>
      <c r="E156" s="318">
        <v>19.14</v>
      </c>
      <c r="F156" s="317">
        <v>2.21</v>
      </c>
      <c r="G156" s="317">
        <v>1.8</v>
      </c>
      <c r="H156" s="319">
        <v>70.430000000000007</v>
      </c>
      <c r="I156" s="320">
        <v>73.5</v>
      </c>
      <c r="J156" s="320">
        <v>3</v>
      </c>
      <c r="K156" s="57">
        <f t="shared" si="17"/>
        <v>7.4452999999999991E-2</v>
      </c>
      <c r="L156" s="310">
        <f t="shared" si="18"/>
        <v>8.6606334841628968E-2</v>
      </c>
      <c r="M156" s="405">
        <f t="shared" si="16"/>
        <v>64.996691884635425</v>
      </c>
      <c r="N156" s="63">
        <f t="shared" si="19"/>
        <v>8.359361004108215E-2</v>
      </c>
      <c r="X156"/>
    </row>
    <row r="157" spans="1:24" ht="18" x14ac:dyDescent="0.25">
      <c r="A157" s="317" t="s">
        <v>5338</v>
      </c>
      <c r="B157" s="317" t="s">
        <v>5339</v>
      </c>
      <c r="C157" s="317">
        <v>1.95</v>
      </c>
      <c r="D157" s="317">
        <v>1.31</v>
      </c>
      <c r="E157" s="318">
        <v>12.06</v>
      </c>
      <c r="F157" s="317">
        <v>1.1299999999999999</v>
      </c>
      <c r="G157" s="317">
        <v>0</v>
      </c>
      <c r="H157" s="319">
        <v>44.61</v>
      </c>
      <c r="I157" s="320">
        <v>51</v>
      </c>
      <c r="J157" s="320">
        <v>2</v>
      </c>
      <c r="K157" s="57">
        <f t="shared" si="17"/>
        <v>0.129385</v>
      </c>
      <c r="L157" s="310">
        <f t="shared" si="18"/>
        <v>0.10672566371681418</v>
      </c>
      <c r="M157" s="405">
        <f t="shared" si="16"/>
        <v>18.968441328632025</v>
      </c>
      <c r="N157" s="63">
        <f t="shared" si="19"/>
        <v>1.3518010376879608</v>
      </c>
      <c r="X157"/>
    </row>
    <row r="158" spans="1:24" ht="18" x14ac:dyDescent="0.25">
      <c r="A158" s="317" t="s">
        <v>5340</v>
      </c>
      <c r="B158" s="317" t="s">
        <v>5341</v>
      </c>
      <c r="C158" s="317">
        <v>1.43</v>
      </c>
      <c r="D158" s="317">
        <v>23.23</v>
      </c>
      <c r="E158" s="318">
        <v>15.55</v>
      </c>
      <c r="F158" s="317">
        <v>1.21</v>
      </c>
      <c r="G158" s="317">
        <v>0</v>
      </c>
      <c r="H158" s="319">
        <v>417.99</v>
      </c>
      <c r="I158" s="320">
        <v>500</v>
      </c>
      <c r="J158" s="320">
        <v>2</v>
      </c>
      <c r="K158" s="57">
        <f t="shared" si="17"/>
        <v>0.106349</v>
      </c>
      <c r="L158" s="310">
        <f t="shared" si="18"/>
        <v>0.12851239669421488</v>
      </c>
      <c r="M158" s="405">
        <f t="shared" si="16"/>
        <v>485.53605204107919</v>
      </c>
      <c r="N158" s="63">
        <f t="shared" si="19"/>
        <v>-0.13911645027620809</v>
      </c>
      <c r="X158"/>
    </row>
    <row r="159" spans="1:24" ht="18" x14ac:dyDescent="0.25">
      <c r="A159" s="317" t="s">
        <v>5083</v>
      </c>
      <c r="B159" s="317"/>
      <c r="C159" s="317">
        <v>1.46</v>
      </c>
      <c r="D159" s="317">
        <v>2.06</v>
      </c>
      <c r="E159" s="318">
        <v>13.57</v>
      </c>
      <c r="F159" s="317">
        <v>0.64</v>
      </c>
      <c r="G159" s="317">
        <v>0.8</v>
      </c>
      <c r="H159" s="319">
        <v>71.13</v>
      </c>
      <c r="I159" s="320">
        <v>91</v>
      </c>
      <c r="J159" s="320">
        <v>2</v>
      </c>
      <c r="K159" s="57">
        <f t="shared" si="17"/>
        <v>0.10767800000000001</v>
      </c>
      <c r="L159" s="310">
        <f t="shared" si="18"/>
        <v>0.21203125</v>
      </c>
      <c r="M159" s="405">
        <f t="shared" si="16"/>
        <v>41.625428192730986</v>
      </c>
      <c r="N159" s="63">
        <f t="shared" si="19"/>
        <v>0.70881125043709148</v>
      </c>
      <c r="X159"/>
    </row>
    <row r="160" spans="1:24" ht="18" x14ac:dyDescent="0.25">
      <c r="A160" s="317" t="s">
        <v>711</v>
      </c>
      <c r="B160" s="317" t="s">
        <v>712</v>
      </c>
      <c r="C160" s="317">
        <v>1.43</v>
      </c>
      <c r="D160" s="317">
        <v>6.13</v>
      </c>
      <c r="E160" s="318">
        <v>12.21</v>
      </c>
      <c r="F160" s="317">
        <v>1.17</v>
      </c>
      <c r="G160" s="317">
        <v>1.8</v>
      </c>
      <c r="H160" s="319">
        <v>94.53</v>
      </c>
      <c r="I160" s="320">
        <v>107.95</v>
      </c>
      <c r="J160" s="320">
        <v>2.5</v>
      </c>
      <c r="K160" s="57">
        <f t="shared" si="17"/>
        <v>0.106349</v>
      </c>
      <c r="L160" s="310">
        <f t="shared" si="18"/>
        <v>0.10435897435897439</v>
      </c>
      <c r="M160" s="405">
        <f t="shared" si="16"/>
        <v>84.448534545145336</v>
      </c>
      <c r="N160" s="63">
        <f t="shared" si="19"/>
        <v>0.11937999290520804</v>
      </c>
      <c r="X160"/>
    </row>
    <row r="161" spans="1:24" ht="18" x14ac:dyDescent="0.25">
      <c r="A161" s="317" t="s">
        <v>713</v>
      </c>
      <c r="B161" s="317" t="s">
        <v>714</v>
      </c>
      <c r="C161" s="317">
        <v>2.2599999999999998</v>
      </c>
      <c r="D161" s="317">
        <v>2.34</v>
      </c>
      <c r="E161" s="318">
        <v>14.6</v>
      </c>
      <c r="F161" s="317">
        <v>0.95</v>
      </c>
      <c r="G161" s="317">
        <v>0.4</v>
      </c>
      <c r="H161" s="319">
        <v>45.56</v>
      </c>
      <c r="I161" s="320">
        <v>58</v>
      </c>
      <c r="J161" s="320">
        <v>1.2</v>
      </c>
      <c r="K161" s="57">
        <f t="shared" si="17"/>
        <v>0.143118</v>
      </c>
      <c r="L161" s="310">
        <f t="shared" si="18"/>
        <v>0.15368421052631578</v>
      </c>
      <c r="M161" s="405">
        <f t="shared" si="16"/>
        <v>32.082214865046218</v>
      </c>
      <c r="N161" s="63">
        <f t="shared" si="19"/>
        <v>0.42010145470467247</v>
      </c>
      <c r="X161"/>
    </row>
    <row r="162" spans="1:24" ht="18" x14ac:dyDescent="0.25">
      <c r="A162" s="317" t="s">
        <v>4793</v>
      </c>
      <c r="B162" s="317" t="s">
        <v>4979</v>
      </c>
      <c r="C162" s="317">
        <v>1.47</v>
      </c>
      <c r="D162" s="317">
        <v>1.56</v>
      </c>
      <c r="E162" s="318">
        <v>35.590000000000003</v>
      </c>
      <c r="F162" s="317">
        <v>0.97</v>
      </c>
      <c r="G162" s="317">
        <v>0</v>
      </c>
      <c r="H162" s="319">
        <v>141.30000000000001</v>
      </c>
      <c r="I162" s="320">
        <v>174</v>
      </c>
      <c r="J162" s="320">
        <v>2</v>
      </c>
      <c r="K162" s="57">
        <f t="shared" si="17"/>
        <v>0.10812100000000001</v>
      </c>
      <c r="L162" s="310">
        <f t="shared" si="18"/>
        <v>0.36690721649484537</v>
      </c>
      <c r="M162" s="405">
        <f t="shared" si="16"/>
        <v>74.174291453147575</v>
      </c>
      <c r="N162" s="63">
        <f t="shared" si="19"/>
        <v>0.90497269649353651</v>
      </c>
      <c r="X162"/>
    </row>
    <row r="163" spans="1:24" ht="18" x14ac:dyDescent="0.25">
      <c r="A163" s="317" t="s">
        <v>715</v>
      </c>
      <c r="B163" s="317" t="s">
        <v>716</v>
      </c>
      <c r="C163" s="317">
        <v>1.01</v>
      </c>
      <c r="D163" s="317">
        <v>2.83</v>
      </c>
      <c r="E163" s="318">
        <v>11.39</v>
      </c>
      <c r="F163" s="317">
        <v>1.07</v>
      </c>
      <c r="G163" s="317">
        <v>0</v>
      </c>
      <c r="H163" s="319">
        <v>39.76</v>
      </c>
      <c r="I163" s="320">
        <v>45</v>
      </c>
      <c r="J163" s="320">
        <v>2.5</v>
      </c>
      <c r="K163" s="57">
        <f t="shared" si="17"/>
        <v>8.7743000000000002E-2</v>
      </c>
      <c r="L163" s="310">
        <f t="shared" si="18"/>
        <v>0.10644859813084112</v>
      </c>
      <c r="M163" s="405">
        <f t="shared" si="16"/>
        <v>74.205775995876081</v>
      </c>
      <c r="N163" s="63">
        <f t="shared" si="19"/>
        <v>-0.46419265257451625</v>
      </c>
      <c r="X163"/>
    </row>
    <row r="164" spans="1:24" ht="18" x14ac:dyDescent="0.25">
      <c r="A164" s="317" t="s">
        <v>1664</v>
      </c>
      <c r="B164" s="317" t="s">
        <v>1665</v>
      </c>
      <c r="C164" s="317">
        <v>0.78</v>
      </c>
      <c r="D164" s="317">
        <v>4.3600000000000003</v>
      </c>
      <c r="E164" s="318">
        <v>15.69</v>
      </c>
      <c r="F164" s="317">
        <v>1.89</v>
      </c>
      <c r="G164" s="317">
        <v>0</v>
      </c>
      <c r="H164" s="319">
        <v>96.79</v>
      </c>
      <c r="I164" s="320">
        <v>105</v>
      </c>
      <c r="J164" s="320">
        <v>2.5</v>
      </c>
      <c r="K164" s="57">
        <f t="shared" si="17"/>
        <v>7.7554000000000012E-2</v>
      </c>
      <c r="L164" s="310">
        <f t="shared" si="18"/>
        <v>8.3015873015873029E-2</v>
      </c>
      <c r="M164" s="405">
        <f t="shared" si="16"/>
        <v>129.63210022605759</v>
      </c>
      <c r="N164" s="63">
        <f t="shared" si="19"/>
        <v>-0.25334851606034481</v>
      </c>
      <c r="X164"/>
    </row>
    <row r="165" spans="1:24" ht="18" x14ac:dyDescent="0.25">
      <c r="A165" s="317" t="s">
        <v>717</v>
      </c>
      <c r="B165" s="317" t="s">
        <v>718</v>
      </c>
      <c r="C165" s="317">
        <v>1.2</v>
      </c>
      <c r="D165" s="317">
        <v>6.59</v>
      </c>
      <c r="E165" s="318">
        <v>18.440000000000001</v>
      </c>
      <c r="F165" s="317">
        <v>2.2400000000000002</v>
      </c>
      <c r="G165" s="317">
        <v>0</v>
      </c>
      <c r="H165" s="319">
        <v>123.35</v>
      </c>
      <c r="I165" s="320">
        <v>128.5</v>
      </c>
      <c r="J165" s="320">
        <v>2</v>
      </c>
      <c r="K165" s="57">
        <f t="shared" si="17"/>
        <v>9.6159999999999995E-2</v>
      </c>
      <c r="L165" s="310">
        <f t="shared" si="18"/>
        <v>8.2321428571428573E-2</v>
      </c>
      <c r="M165" s="405">
        <f t="shared" si="16"/>
        <v>134.92753121570286</v>
      </c>
      <c r="N165" s="63">
        <f t="shared" si="19"/>
        <v>-8.5805551405178829E-2</v>
      </c>
      <c r="X165"/>
    </row>
    <row r="166" spans="1:24" ht="18" x14ac:dyDescent="0.25">
      <c r="A166" s="317" t="s">
        <v>719</v>
      </c>
      <c r="B166" s="317" t="s">
        <v>720</v>
      </c>
      <c r="C166" s="317">
        <v>2.0099999999999998</v>
      </c>
      <c r="D166" s="317">
        <v>-1.37</v>
      </c>
      <c r="E166" s="318">
        <v>13.29</v>
      </c>
      <c r="F166" s="317">
        <v>1.76</v>
      </c>
      <c r="G166" s="317">
        <v>0</v>
      </c>
      <c r="H166" s="319">
        <v>6.38</v>
      </c>
      <c r="I166" s="320">
        <v>6.5</v>
      </c>
      <c r="J166" s="320">
        <v>1.5</v>
      </c>
      <c r="K166" s="57">
        <f t="shared" si="17"/>
        <v>0.13204299999999999</v>
      </c>
      <c r="L166" s="310">
        <f t="shared" si="18"/>
        <v>7.5511363636363626E-2</v>
      </c>
      <c r="M166" s="405">
        <f t="shared" si="16"/>
        <v>-17.240347413176629</v>
      </c>
      <c r="N166" s="63">
        <f t="shared" si="19"/>
        <v>-1.3700621482328035</v>
      </c>
      <c r="R166" s="18"/>
      <c r="S166"/>
      <c r="T166" s="70"/>
      <c r="U166" s="208"/>
      <c r="X166"/>
    </row>
    <row r="167" spans="1:24" ht="18" x14ac:dyDescent="0.25">
      <c r="A167" s="317" t="s">
        <v>1666</v>
      </c>
      <c r="B167" s="317" t="s">
        <v>1667</v>
      </c>
      <c r="C167" s="317"/>
      <c r="D167" s="317"/>
      <c r="E167" s="318"/>
      <c r="F167" s="317"/>
      <c r="G167" s="317"/>
      <c r="H167" s="319"/>
      <c r="I167" s="320"/>
      <c r="J167" s="320"/>
      <c r="K167" s="57">
        <f t="shared" si="17"/>
        <v>4.2999999999999997E-2</v>
      </c>
      <c r="L167" s="310" t="e">
        <f t="shared" si="18"/>
        <v>#DIV/0!</v>
      </c>
      <c r="M167" s="405" t="e">
        <f t="shared" si="16"/>
        <v>#DIV/0!</v>
      </c>
      <c r="N167" s="63" t="e">
        <f t="shared" si="19"/>
        <v>#DIV/0!</v>
      </c>
      <c r="R167" s="18"/>
      <c r="S167"/>
      <c r="T167" s="70"/>
      <c r="U167" s="208"/>
      <c r="X167"/>
    </row>
    <row r="168" spans="1:24" ht="18" x14ac:dyDescent="0.25">
      <c r="A168" s="323" t="s">
        <v>1668</v>
      </c>
      <c r="B168" s="317" t="s">
        <v>1669</v>
      </c>
      <c r="C168" s="317">
        <v>0.7</v>
      </c>
      <c r="D168" s="317">
        <v>2.06</v>
      </c>
      <c r="E168" s="318">
        <v>10.09</v>
      </c>
      <c r="F168" s="317">
        <v>1.1000000000000001</v>
      </c>
      <c r="G168" s="317">
        <v>1.8</v>
      </c>
      <c r="H168" s="319">
        <v>28.77</v>
      </c>
      <c r="I168" s="320">
        <v>33.5</v>
      </c>
      <c r="J168" s="320">
        <v>2.2000000000000002</v>
      </c>
      <c r="K168" s="57">
        <f t="shared" si="17"/>
        <v>7.4009999999999992E-2</v>
      </c>
      <c r="L168" s="310">
        <f t="shared" si="18"/>
        <v>9.1727272727272713E-2</v>
      </c>
      <c r="M168" s="405">
        <f t="shared" si="16"/>
        <v>51.999979458297034</v>
      </c>
      <c r="N168" s="63">
        <f t="shared" si="19"/>
        <v>-0.44673055067121753</v>
      </c>
      <c r="R168" s="18"/>
      <c r="S168"/>
      <c r="T168" s="70"/>
      <c r="U168" s="208"/>
      <c r="X168"/>
    </row>
    <row r="169" spans="1:24" ht="18" x14ac:dyDescent="0.25">
      <c r="A169" s="317" t="s">
        <v>5206</v>
      </c>
      <c r="B169" s="317" t="s">
        <v>5207</v>
      </c>
      <c r="C169" s="317">
        <v>3.17</v>
      </c>
      <c r="D169" s="317">
        <v>-0.41</v>
      </c>
      <c r="E169" s="318">
        <v>131.69999999999999</v>
      </c>
      <c r="F169" s="317">
        <v>-43.25</v>
      </c>
      <c r="G169" s="317">
        <v>0</v>
      </c>
      <c r="H169" s="319">
        <v>26.34</v>
      </c>
      <c r="I169" s="320">
        <v>30.5</v>
      </c>
      <c r="J169" s="320">
        <v>1.7</v>
      </c>
      <c r="K169" s="57">
        <f t="shared" si="17"/>
        <v>0.18343100000000001</v>
      </c>
      <c r="L169" s="310">
        <f t="shared" si="18"/>
        <v>-3.0450867052023121E-2</v>
      </c>
      <c r="M169" s="405">
        <f t="shared" si="16"/>
        <v>-2.4576917996224839</v>
      </c>
      <c r="N169" s="63">
        <f t="shared" si="19"/>
        <v>-11.717373107582482</v>
      </c>
      <c r="R169" s="18"/>
      <c r="S169"/>
      <c r="T169" s="70"/>
      <c r="U169" s="208"/>
      <c r="X169"/>
    </row>
    <row r="170" spans="1:24" ht="18" x14ac:dyDescent="0.25">
      <c r="A170" s="317" t="s">
        <v>4892</v>
      </c>
      <c r="B170" s="317" t="s">
        <v>4893</v>
      </c>
      <c r="C170" s="317">
        <v>2.82</v>
      </c>
      <c r="D170" s="317">
        <v>2.74</v>
      </c>
      <c r="E170" s="318">
        <v>9.56</v>
      </c>
      <c r="F170" s="317">
        <v>1.47</v>
      </c>
      <c r="G170" s="317">
        <v>0.8</v>
      </c>
      <c r="H170" s="319">
        <v>25.9</v>
      </c>
      <c r="I170" s="320">
        <v>33</v>
      </c>
      <c r="J170" s="320">
        <v>2</v>
      </c>
      <c r="K170" s="57">
        <f t="shared" si="17"/>
        <v>0.16792600000000002</v>
      </c>
      <c r="L170" s="310">
        <f t="shared" si="18"/>
        <v>6.5034013605442184E-2</v>
      </c>
      <c r="M170" s="405">
        <f t="shared" si="16"/>
        <v>22.727018957356812</v>
      </c>
      <c r="N170" s="63">
        <f t="shared" si="19"/>
        <v>0.13961272477471501</v>
      </c>
      <c r="R170" s="18"/>
      <c r="S170"/>
      <c r="T170" s="70"/>
      <c r="U170" s="208"/>
      <c r="X170"/>
    </row>
    <row r="171" spans="1:24" ht="18" x14ac:dyDescent="0.25">
      <c r="A171" s="317" t="s">
        <v>1670</v>
      </c>
      <c r="B171" s="317" t="s">
        <v>1671</v>
      </c>
      <c r="C171" s="317">
        <v>0.53</v>
      </c>
      <c r="D171" s="317">
        <v>2.5499999999999998</v>
      </c>
      <c r="E171" s="318">
        <v>11.78</v>
      </c>
      <c r="F171" s="317">
        <v>1.4</v>
      </c>
      <c r="G171" s="317">
        <v>0.7</v>
      </c>
      <c r="H171" s="319">
        <v>37.799999999999997</v>
      </c>
      <c r="I171" s="320">
        <v>42</v>
      </c>
      <c r="J171" s="320">
        <v>1.9</v>
      </c>
      <c r="K171" s="57">
        <f t="shared" si="17"/>
        <v>6.6478999999999996E-2</v>
      </c>
      <c r="L171" s="310">
        <f t="shared" si="18"/>
        <v>8.4142857142857144E-2</v>
      </c>
      <c r="M171" s="405">
        <f t="shared" si="16"/>
        <v>93.213370629488566</v>
      </c>
      <c r="N171" s="63">
        <f t="shared" si="19"/>
        <v>-0.59447877761817836</v>
      </c>
      <c r="R171" s="18"/>
      <c r="S171"/>
      <c r="T171" s="70"/>
      <c r="U171" s="208"/>
      <c r="X171"/>
    </row>
    <row r="172" spans="1:24" ht="18" x14ac:dyDescent="0.25">
      <c r="A172" s="317" t="s">
        <v>4164</v>
      </c>
      <c r="B172" s="317" t="s">
        <v>490</v>
      </c>
      <c r="C172" s="317">
        <v>3.5</v>
      </c>
      <c r="D172" s="317">
        <v>-0.49</v>
      </c>
      <c r="E172" s="318">
        <v>15.29</v>
      </c>
      <c r="F172" s="317">
        <v>2.77</v>
      </c>
      <c r="G172" s="317">
        <v>0</v>
      </c>
      <c r="H172" s="319">
        <v>5.35</v>
      </c>
      <c r="I172" s="320">
        <v>7</v>
      </c>
      <c r="J172" s="320">
        <v>2</v>
      </c>
      <c r="K172" s="57">
        <f t="shared" si="17"/>
        <v>0.19805</v>
      </c>
      <c r="L172" s="310">
        <f t="shared" si="18"/>
        <v>5.5198555956678691E-2</v>
      </c>
      <c r="M172" s="405">
        <f t="shared" si="16"/>
        <v>-3.5340182774205386</v>
      </c>
      <c r="N172" s="63">
        <f t="shared" si="19"/>
        <v>-2.5138574789446011</v>
      </c>
      <c r="R172" s="18"/>
      <c r="S172"/>
      <c r="T172" s="70"/>
      <c r="U172" s="208"/>
      <c r="X172"/>
    </row>
    <row r="173" spans="1:24" ht="18" x14ac:dyDescent="0.25">
      <c r="A173" s="317" t="s">
        <v>3535</v>
      </c>
      <c r="B173" s="317" t="s">
        <v>3536</v>
      </c>
      <c r="C173" s="317">
        <v>1.29</v>
      </c>
      <c r="D173" s="317">
        <v>4.1500000000000004</v>
      </c>
      <c r="E173" s="318">
        <v>7.11</v>
      </c>
      <c r="F173" s="317">
        <v>0.57999999999999996</v>
      </c>
      <c r="G173" s="317">
        <v>5.5</v>
      </c>
      <c r="H173" s="319">
        <v>36.81</v>
      </c>
      <c r="I173" s="320">
        <v>52</v>
      </c>
      <c r="J173" s="320">
        <v>2.2999999999999998</v>
      </c>
      <c r="K173" s="57">
        <f t="shared" si="17"/>
        <v>0.10014700000000001</v>
      </c>
      <c r="L173" s="310">
        <f t="shared" si="18"/>
        <v>0.12258620689655174</v>
      </c>
      <c r="M173" s="405">
        <f t="shared" si="16"/>
        <v>47.723539487138176</v>
      </c>
      <c r="N173" s="63">
        <f t="shared" si="19"/>
        <v>-0.22868252448206294</v>
      </c>
      <c r="R173" s="18"/>
      <c r="S173"/>
      <c r="T173" s="70"/>
      <c r="U173" s="208"/>
      <c r="X173"/>
    </row>
    <row r="174" spans="1:24" ht="18" x14ac:dyDescent="0.25">
      <c r="A174" s="317" t="s">
        <v>1672</v>
      </c>
      <c r="B174" s="317" t="s">
        <v>1673</v>
      </c>
      <c r="C174" s="317">
        <v>0.59</v>
      </c>
      <c r="D174" s="317">
        <v>2.4700000000000002</v>
      </c>
      <c r="E174" s="318">
        <v>16.27</v>
      </c>
      <c r="F174" s="317">
        <v>1.27</v>
      </c>
      <c r="G174" s="317">
        <v>0</v>
      </c>
      <c r="H174" s="319">
        <v>52.54</v>
      </c>
      <c r="I174" s="320">
        <v>52</v>
      </c>
      <c r="J174" s="320">
        <v>2.5</v>
      </c>
      <c r="K174" s="57">
        <f t="shared" si="17"/>
        <v>6.9137000000000004E-2</v>
      </c>
      <c r="L174" s="310">
        <f t="shared" si="18"/>
        <v>0.12811023622047243</v>
      </c>
      <c r="M174" s="405">
        <f t="shared" si="16"/>
        <v>111.28296787807304</v>
      </c>
      <c r="N174" s="63">
        <f t="shared" si="19"/>
        <v>-0.52787024823452455</v>
      </c>
      <c r="R174" s="18"/>
      <c r="S174"/>
      <c r="T174" s="70"/>
      <c r="U174" s="208"/>
      <c r="V174"/>
      <c r="X174"/>
    </row>
    <row r="175" spans="1:24" ht="18" x14ac:dyDescent="0.25">
      <c r="A175" s="317" t="s">
        <v>4221</v>
      </c>
      <c r="B175" s="317"/>
      <c r="C175" s="317">
        <v>0.88</v>
      </c>
      <c r="D175" s="317">
        <v>1.77</v>
      </c>
      <c r="E175" s="318">
        <v>18.18</v>
      </c>
      <c r="F175" s="317">
        <v>1.8</v>
      </c>
      <c r="G175" s="317">
        <v>1.5</v>
      </c>
      <c r="H175" s="319">
        <v>36.54</v>
      </c>
      <c r="I175" s="320">
        <v>38</v>
      </c>
      <c r="J175" s="320">
        <v>2.4</v>
      </c>
      <c r="K175" s="57">
        <f t="shared" si="17"/>
        <v>8.1984000000000001E-2</v>
      </c>
      <c r="L175" s="310">
        <f t="shared" si="18"/>
        <v>0.10099999999999999</v>
      </c>
      <c r="M175" s="405">
        <f t="shared" si="16"/>
        <v>35.318932734143104</v>
      </c>
      <c r="N175" s="63">
        <f t="shared" si="19"/>
        <v>3.4572598075039776E-2</v>
      </c>
      <c r="R175" s="18"/>
      <c r="S175"/>
      <c r="T175" s="70"/>
      <c r="U175" s="208"/>
      <c r="V175"/>
      <c r="X175"/>
    </row>
    <row r="176" spans="1:24" ht="18" x14ac:dyDescent="0.25">
      <c r="A176" s="317" t="s">
        <v>721</v>
      </c>
      <c r="B176" s="317" t="s">
        <v>722</v>
      </c>
      <c r="C176" s="317">
        <v>1.46</v>
      </c>
      <c r="D176" s="317">
        <v>1.66</v>
      </c>
      <c r="E176" s="318">
        <v>108</v>
      </c>
      <c r="F176" s="317">
        <v>-1.93</v>
      </c>
      <c r="G176" s="317">
        <v>0</v>
      </c>
      <c r="H176" s="319">
        <v>25.62</v>
      </c>
      <c r="I176" s="320">
        <v>30</v>
      </c>
      <c r="J176" s="320">
        <v>2.2000000000000002</v>
      </c>
      <c r="K176" s="57">
        <f t="shared" si="17"/>
        <v>0.10767800000000001</v>
      </c>
      <c r="L176" s="310">
        <f t="shared" si="18"/>
        <v>-0.55958549222797926</v>
      </c>
      <c r="M176" s="405">
        <f t="shared" si="16"/>
        <v>2.958393671196565</v>
      </c>
      <c r="N176" s="63">
        <f t="shared" si="19"/>
        <v>7.6601050595263152</v>
      </c>
      <c r="R176" s="18"/>
      <c r="S176"/>
      <c r="T176" s="70"/>
      <c r="U176" s="208"/>
      <c r="V176"/>
      <c r="X176"/>
    </row>
    <row r="177" spans="1:24" ht="18" x14ac:dyDescent="0.25">
      <c r="A177" s="317" t="s">
        <v>1674</v>
      </c>
      <c r="B177" s="317" t="s">
        <v>1675</v>
      </c>
      <c r="C177" s="317">
        <v>0.79</v>
      </c>
      <c r="D177" s="317">
        <v>1.85</v>
      </c>
      <c r="E177" s="318">
        <v>12.24</v>
      </c>
      <c r="F177" s="317">
        <v>1.64</v>
      </c>
      <c r="G177" s="317">
        <v>3.1</v>
      </c>
      <c r="H177" s="319">
        <v>31.58</v>
      </c>
      <c r="I177" s="320">
        <v>35</v>
      </c>
      <c r="J177" s="320">
        <v>2.6</v>
      </c>
      <c r="K177" s="57">
        <f t="shared" si="17"/>
        <v>7.7997000000000011E-2</v>
      </c>
      <c r="L177" s="310">
        <f t="shared" si="18"/>
        <v>7.4634146341463425E-2</v>
      </c>
      <c r="M177" s="405">
        <f t="shared" si="16"/>
        <v>24.746580704169823</v>
      </c>
      <c r="N177" s="63">
        <f t="shared" si="19"/>
        <v>0.27613589843055519</v>
      </c>
      <c r="R177" s="18"/>
      <c r="S177"/>
      <c r="T177" s="70"/>
      <c r="U177" s="208"/>
      <c r="V177"/>
      <c r="X177"/>
    </row>
    <row r="178" spans="1:24" ht="18" x14ac:dyDescent="0.25">
      <c r="A178" s="325" t="s">
        <v>4179</v>
      </c>
      <c r="B178" s="317" t="s">
        <v>4912</v>
      </c>
      <c r="C178" s="317">
        <v>0.53</v>
      </c>
      <c r="D178" s="317">
        <v>1.93</v>
      </c>
      <c r="E178" s="318">
        <v>13.75</v>
      </c>
      <c r="F178" s="317">
        <v>-119.09</v>
      </c>
      <c r="G178" s="317">
        <v>4.5999999999999996</v>
      </c>
      <c r="H178" s="319">
        <v>28.6</v>
      </c>
      <c r="I178" s="320">
        <v>28</v>
      </c>
      <c r="J178" s="320">
        <v>2.5</v>
      </c>
      <c r="K178" s="57">
        <f t="shared" si="17"/>
        <v>6.6478999999999996E-2</v>
      </c>
      <c r="L178" s="310">
        <f t="shared" si="18"/>
        <v>-1.1545889663279873E-3</v>
      </c>
      <c r="M178" s="405">
        <f t="shared" si="16"/>
        <v>17.233445798961792</v>
      </c>
      <c r="N178" s="63">
        <f t="shared" si="19"/>
        <v>0.65956363768660664</v>
      </c>
      <c r="R178" s="18"/>
      <c r="S178"/>
      <c r="T178" s="70"/>
      <c r="U178" s="208"/>
      <c r="V178"/>
      <c r="X178"/>
    </row>
    <row r="179" spans="1:24" ht="18" x14ac:dyDescent="0.25">
      <c r="A179" s="317" t="s">
        <v>5208</v>
      </c>
      <c r="B179" s="317" t="s">
        <v>5209</v>
      </c>
      <c r="C179" s="317"/>
      <c r="D179" s="317"/>
      <c r="E179" s="318"/>
      <c r="F179" s="317"/>
      <c r="G179" s="317"/>
      <c r="H179" s="319"/>
      <c r="I179" s="320"/>
      <c r="J179" s="320"/>
      <c r="K179" s="57">
        <f t="shared" si="17"/>
        <v>4.2999999999999997E-2</v>
      </c>
      <c r="L179" s="310" t="e">
        <f t="shared" si="18"/>
        <v>#DIV/0!</v>
      </c>
      <c r="M179" s="405" t="e">
        <f t="shared" si="16"/>
        <v>#DIV/0!</v>
      </c>
      <c r="N179" s="63" t="e">
        <f t="shared" si="19"/>
        <v>#DIV/0!</v>
      </c>
      <c r="R179" s="18"/>
      <c r="S179"/>
      <c r="T179" s="70"/>
      <c r="U179" s="208"/>
      <c r="V179"/>
      <c r="X179"/>
    </row>
    <row r="180" spans="1:24" ht="18" x14ac:dyDescent="0.25">
      <c r="A180" s="317" t="s">
        <v>961</v>
      </c>
      <c r="B180" s="317" t="s">
        <v>962</v>
      </c>
      <c r="C180" s="317"/>
      <c r="D180" s="317"/>
      <c r="E180" s="318"/>
      <c r="F180" s="317"/>
      <c r="G180" s="317"/>
      <c r="H180" s="319"/>
      <c r="I180" s="320"/>
      <c r="J180" s="320"/>
      <c r="K180" s="57">
        <f t="shared" si="17"/>
        <v>4.2999999999999997E-2</v>
      </c>
      <c r="L180" s="310" t="e">
        <f t="shared" si="18"/>
        <v>#DIV/0!</v>
      </c>
      <c r="M180" s="405" t="e">
        <f t="shared" si="16"/>
        <v>#DIV/0!</v>
      </c>
      <c r="N180" s="63" t="e">
        <f t="shared" si="19"/>
        <v>#DIV/0!</v>
      </c>
      <c r="R180" s="18"/>
      <c r="S180"/>
      <c r="T180" s="70"/>
      <c r="U180" s="208"/>
      <c r="V180"/>
      <c r="X180"/>
    </row>
    <row r="181" spans="1:24" ht="18" x14ac:dyDescent="0.25">
      <c r="A181" s="317" t="s">
        <v>1102</v>
      </c>
      <c r="B181" s="317" t="s">
        <v>1103</v>
      </c>
      <c r="C181" s="317">
        <v>1.55</v>
      </c>
      <c r="D181" s="317">
        <v>0.64</v>
      </c>
      <c r="E181" s="318">
        <v>13.2</v>
      </c>
      <c r="F181" s="317">
        <v>0</v>
      </c>
      <c r="G181" s="317">
        <v>0</v>
      </c>
      <c r="H181" s="319">
        <v>14.26</v>
      </c>
      <c r="I181" s="320">
        <v>19</v>
      </c>
      <c r="J181" s="320">
        <v>1</v>
      </c>
      <c r="K181" s="57">
        <f t="shared" si="17"/>
        <v>0.11166500000000001</v>
      </c>
      <c r="L181" s="310" t="e">
        <f t="shared" si="18"/>
        <v>#DIV/0!</v>
      </c>
      <c r="M181" s="405" t="e">
        <f t="shared" si="16"/>
        <v>#DIV/0!</v>
      </c>
      <c r="N181" s="63" t="e">
        <f t="shared" si="19"/>
        <v>#DIV/0!</v>
      </c>
      <c r="R181" s="18"/>
      <c r="S181"/>
      <c r="T181" s="70"/>
      <c r="U181" s="208"/>
      <c r="V181"/>
      <c r="X181"/>
    </row>
    <row r="182" spans="1:24" ht="18" x14ac:dyDescent="0.25">
      <c r="A182" s="317" t="s">
        <v>2576</v>
      </c>
      <c r="B182" s="317" t="s">
        <v>2577</v>
      </c>
      <c r="C182" s="317">
        <v>1.95</v>
      </c>
      <c r="D182" s="317">
        <v>0.4</v>
      </c>
      <c r="E182" s="318">
        <v>22.1</v>
      </c>
      <c r="F182" s="317">
        <v>2.72</v>
      </c>
      <c r="G182" s="317">
        <v>0.6</v>
      </c>
      <c r="H182" s="319">
        <v>24.75</v>
      </c>
      <c r="I182" s="320">
        <v>23.5</v>
      </c>
      <c r="J182" s="320">
        <v>2.7</v>
      </c>
      <c r="K182" s="57">
        <f t="shared" si="17"/>
        <v>0.129385</v>
      </c>
      <c r="L182" s="310">
        <f t="shared" si="18"/>
        <v>8.1250000000000003E-2</v>
      </c>
      <c r="M182" s="405">
        <f t="shared" si="16"/>
        <v>3.3208957485817669</v>
      </c>
      <c r="N182" s="63">
        <f t="shared" si="19"/>
        <v>6.4528084811363984</v>
      </c>
      <c r="R182" s="18"/>
      <c r="S182"/>
      <c r="T182" s="70"/>
      <c r="U182" s="208"/>
      <c r="V182"/>
      <c r="X182"/>
    </row>
    <row r="183" spans="1:24" ht="18" x14ac:dyDescent="0.25">
      <c r="A183" s="317" t="s">
        <v>5070</v>
      </c>
      <c r="B183" s="317"/>
      <c r="C183" s="317">
        <v>1.08</v>
      </c>
      <c r="D183" s="317">
        <v>-0.87</v>
      </c>
      <c r="E183" s="318">
        <v>6.67</v>
      </c>
      <c r="F183" s="317">
        <v>1.37</v>
      </c>
      <c r="G183" s="317">
        <v>3.7</v>
      </c>
      <c r="H183" s="319">
        <v>43.81</v>
      </c>
      <c r="I183" s="320">
        <v>55</v>
      </c>
      <c r="J183" s="320">
        <v>2.1</v>
      </c>
      <c r="K183" s="57">
        <f t="shared" si="17"/>
        <v>9.0844000000000008E-2</v>
      </c>
      <c r="L183" s="310">
        <f t="shared" si="18"/>
        <v>4.8686131386861307E-2</v>
      </c>
      <c r="M183" s="405">
        <f t="shared" si="16"/>
        <v>-48.823926458292249</v>
      </c>
      <c r="N183" s="63">
        <f t="shared" si="19"/>
        <v>-1.8973059558703174</v>
      </c>
      <c r="R183" s="18"/>
      <c r="S183"/>
      <c r="T183" s="70"/>
      <c r="U183" s="208"/>
      <c r="V183"/>
      <c r="X183"/>
    </row>
    <row r="184" spans="1:24" ht="18" x14ac:dyDescent="0.25">
      <c r="A184" s="317" t="s">
        <v>2502</v>
      </c>
      <c r="B184" s="317"/>
      <c r="C184" s="317">
        <v>1.94</v>
      </c>
      <c r="D184" s="317">
        <v>2.74</v>
      </c>
      <c r="E184" s="318">
        <v>16.78</v>
      </c>
      <c r="F184" s="317">
        <v>-13.3</v>
      </c>
      <c r="G184" s="317">
        <v>2.9</v>
      </c>
      <c r="H184" s="319">
        <v>19.3</v>
      </c>
      <c r="I184" s="320">
        <v>19.75</v>
      </c>
      <c r="J184" s="320">
        <v>2.4</v>
      </c>
      <c r="K184" s="57">
        <f t="shared" si="17"/>
        <v>0.128942</v>
      </c>
      <c r="L184" s="310">
        <f t="shared" si="18"/>
        <v>-1.261654135338346E-2</v>
      </c>
      <c r="M184" s="405">
        <f t="shared" si="16"/>
        <v>20.494826185675649</v>
      </c>
      <c r="N184" s="63">
        <f t="shared" si="19"/>
        <v>-5.8298917729331233E-2</v>
      </c>
      <c r="R184" s="18"/>
      <c r="S184"/>
      <c r="T184" s="70"/>
      <c r="U184" s="208"/>
      <c r="V184"/>
      <c r="X184"/>
    </row>
    <row r="185" spans="1:24" ht="18" x14ac:dyDescent="0.25">
      <c r="A185" s="317" t="s">
        <v>723</v>
      </c>
      <c r="B185" s="317" t="s">
        <v>724</v>
      </c>
      <c r="C185" s="317">
        <v>1.83</v>
      </c>
      <c r="D185" s="317">
        <v>-0.06</v>
      </c>
      <c r="E185" s="318">
        <v>8.68</v>
      </c>
      <c r="F185" s="317">
        <v>4.16</v>
      </c>
      <c r="G185" s="317">
        <v>0</v>
      </c>
      <c r="H185" s="319">
        <v>3.13</v>
      </c>
      <c r="I185" s="320">
        <v>4.25</v>
      </c>
      <c r="J185" s="320">
        <v>1.8</v>
      </c>
      <c r="K185" s="57">
        <f t="shared" si="17"/>
        <v>0.12406900000000001</v>
      </c>
      <c r="L185" s="310">
        <f t="shared" si="18"/>
        <v>2.0865384615384612E-2</v>
      </c>
      <c r="M185" s="405">
        <f t="shared" si="16"/>
        <v>-0.67066826011592762</v>
      </c>
      <c r="N185" s="63">
        <f t="shared" si="19"/>
        <v>-5.6669869235484125</v>
      </c>
      <c r="R185" s="18"/>
      <c r="S185"/>
      <c r="T185" s="70"/>
      <c r="U185" s="208"/>
      <c r="V185"/>
      <c r="X185"/>
    </row>
    <row r="186" spans="1:24" ht="18" x14ac:dyDescent="0.25">
      <c r="A186" s="317" t="s">
        <v>4377</v>
      </c>
      <c r="B186" s="322" t="s">
        <v>4378</v>
      </c>
      <c r="C186" s="317">
        <v>2.4900000000000002</v>
      </c>
      <c r="D186" s="317">
        <v>-0.52</v>
      </c>
      <c r="E186" s="318">
        <v>11.65</v>
      </c>
      <c r="F186" s="317">
        <v>-5.03</v>
      </c>
      <c r="G186" s="317">
        <v>0</v>
      </c>
      <c r="H186" s="319">
        <v>3.96</v>
      </c>
      <c r="I186" s="320">
        <v>8.5</v>
      </c>
      <c r="J186" s="320">
        <v>1.9</v>
      </c>
      <c r="K186" s="57">
        <f t="shared" si="17"/>
        <v>0.15330700000000003</v>
      </c>
      <c r="L186" s="310">
        <f t="shared" si="18"/>
        <v>-2.31610337972167E-2</v>
      </c>
      <c r="M186" s="405">
        <f t="shared" si="16"/>
        <v>-3.8493382635503766</v>
      </c>
      <c r="N186" s="63">
        <f t="shared" si="19"/>
        <v>-2.0287482494062643</v>
      </c>
      <c r="R186" s="18"/>
      <c r="S186"/>
      <c r="T186" s="70"/>
      <c r="U186" s="208"/>
      <c r="V186"/>
      <c r="X186"/>
    </row>
    <row r="187" spans="1:24" ht="18" x14ac:dyDescent="0.25">
      <c r="A187" s="317" t="s">
        <v>4913</v>
      </c>
      <c r="B187" s="317" t="s">
        <v>4914</v>
      </c>
      <c r="C187" s="317">
        <v>1.1399999999999999</v>
      </c>
      <c r="D187" s="317">
        <v>1.98</v>
      </c>
      <c r="E187" s="318">
        <v>11.43</v>
      </c>
      <c r="F187" s="317">
        <v>0.79</v>
      </c>
      <c r="G187" s="317">
        <v>1</v>
      </c>
      <c r="H187" s="319">
        <v>34.299999999999997</v>
      </c>
      <c r="I187" s="320">
        <v>49.5</v>
      </c>
      <c r="J187" s="320">
        <v>2.2000000000000002</v>
      </c>
      <c r="K187" s="57">
        <f t="shared" si="17"/>
        <v>9.3502000000000002E-2</v>
      </c>
      <c r="L187" s="310">
        <f t="shared" si="18"/>
        <v>0.14468354430379746</v>
      </c>
      <c r="M187" s="405">
        <f t="shared" si="16"/>
        <v>44.772415216940438</v>
      </c>
      <c r="N187" s="63">
        <f t="shared" si="19"/>
        <v>-0.23390328992075496</v>
      </c>
      <c r="R187" s="18"/>
      <c r="S187"/>
      <c r="T187" s="70"/>
      <c r="U187" s="208"/>
      <c r="V187"/>
      <c r="X187"/>
    </row>
    <row r="188" spans="1:24" ht="18" x14ac:dyDescent="0.25">
      <c r="A188" s="317" t="s">
        <v>3743</v>
      </c>
      <c r="B188" s="317" t="s">
        <v>3744</v>
      </c>
      <c r="C188" s="317">
        <v>2.37</v>
      </c>
      <c r="D188" s="317">
        <v>0.2</v>
      </c>
      <c r="E188" s="318">
        <v>11.82</v>
      </c>
      <c r="F188" s="317">
        <v>2.1</v>
      </c>
      <c r="G188" s="317">
        <v>0.6</v>
      </c>
      <c r="H188" s="319">
        <v>47.74</v>
      </c>
      <c r="I188" s="320">
        <v>62</v>
      </c>
      <c r="J188" s="320">
        <v>2.2000000000000002</v>
      </c>
      <c r="K188" s="57">
        <f t="shared" si="17"/>
        <v>0.14799100000000001</v>
      </c>
      <c r="L188" s="310">
        <f t="shared" si="18"/>
        <v>5.6285714285714279E-2</v>
      </c>
      <c r="M188" s="405">
        <f t="shared" si="16"/>
        <v>-0.8774814888194955</v>
      </c>
      <c r="N188" s="63">
        <f t="shared" si="19"/>
        <v>-55.40570611264539</v>
      </c>
      <c r="R188" s="18"/>
      <c r="S188"/>
      <c r="T188" s="70"/>
      <c r="U188" s="208"/>
      <c r="V188"/>
      <c r="X188"/>
    </row>
    <row r="189" spans="1:24" ht="18" x14ac:dyDescent="0.25">
      <c r="A189" s="317" t="s">
        <v>4915</v>
      </c>
      <c r="B189" s="317" t="s">
        <v>4916</v>
      </c>
      <c r="C189" s="317">
        <v>1.17</v>
      </c>
      <c r="D189" s="317">
        <v>-0.7</v>
      </c>
      <c r="E189" s="318">
        <v>16.87</v>
      </c>
      <c r="F189" s="317">
        <v>2.93</v>
      </c>
      <c r="G189" s="317">
        <v>0</v>
      </c>
      <c r="H189" s="319">
        <v>7.76</v>
      </c>
      <c r="I189" s="320">
        <v>7.7</v>
      </c>
      <c r="J189" s="320">
        <v>2.8</v>
      </c>
      <c r="K189" s="57">
        <f t="shared" si="17"/>
        <v>9.4830999999999999E-2</v>
      </c>
      <c r="L189" s="310">
        <f t="shared" si="18"/>
        <v>5.757679180887372E-2</v>
      </c>
      <c r="M189" s="405">
        <f t="shared" si="16"/>
        <v>-13.277053962207239</v>
      </c>
      <c r="N189" s="63">
        <f t="shared" si="19"/>
        <v>-1.5844670076726826</v>
      </c>
      <c r="R189" s="18"/>
      <c r="S189"/>
      <c r="T189" s="70"/>
      <c r="U189" s="208"/>
      <c r="V189"/>
      <c r="X189"/>
    </row>
    <row r="190" spans="1:24" ht="18" x14ac:dyDescent="0.25">
      <c r="A190" s="317" t="s">
        <v>725</v>
      </c>
      <c r="B190" s="317" t="s">
        <v>726</v>
      </c>
      <c r="C190" s="317">
        <v>1.26</v>
      </c>
      <c r="D190" s="317">
        <v>2.5499999999999998</v>
      </c>
      <c r="E190" s="318">
        <v>10.42</v>
      </c>
      <c r="F190" s="317">
        <v>1.37</v>
      </c>
      <c r="G190" s="317">
        <v>2.2000000000000002</v>
      </c>
      <c r="H190" s="319">
        <v>32.29</v>
      </c>
      <c r="I190" s="320">
        <v>36.72</v>
      </c>
      <c r="J190" s="320">
        <v>2</v>
      </c>
      <c r="K190" s="57">
        <f t="shared" si="17"/>
        <v>9.8818000000000003E-2</v>
      </c>
      <c r="L190" s="310">
        <f t="shared" si="18"/>
        <v>7.6058394160583936E-2</v>
      </c>
      <c r="M190" s="405">
        <f t="shared" si="16"/>
        <v>35.199990724917456</v>
      </c>
      <c r="N190" s="63">
        <f t="shared" si="19"/>
        <v>-8.2670212832116605E-2</v>
      </c>
      <c r="R190" s="18"/>
      <c r="S190"/>
      <c r="T190" s="70"/>
      <c r="U190" s="208"/>
      <c r="V190"/>
      <c r="X190"/>
    </row>
    <row r="191" spans="1:24" ht="18" x14ac:dyDescent="0.25">
      <c r="A191" s="317" t="s">
        <v>727</v>
      </c>
      <c r="B191" s="317" t="s">
        <v>728</v>
      </c>
      <c r="C191" s="317">
        <v>1.85</v>
      </c>
      <c r="D191" s="317">
        <v>3</v>
      </c>
      <c r="E191" s="318">
        <v>0</v>
      </c>
      <c r="F191" s="317">
        <v>1.62</v>
      </c>
      <c r="G191" s="317">
        <v>0.4</v>
      </c>
      <c r="H191" s="319">
        <v>44.65</v>
      </c>
      <c r="I191" s="320">
        <v>40</v>
      </c>
      <c r="J191" s="320">
        <v>3</v>
      </c>
      <c r="K191" s="57">
        <f t="shared" si="17"/>
        <v>0.12495500000000001</v>
      </c>
      <c r="L191" s="310">
        <f t="shared" si="18"/>
        <v>0</v>
      </c>
      <c r="M191" s="405">
        <f t="shared" si="16"/>
        <v>28.906600591321542</v>
      </c>
      <c r="N191" s="63">
        <f t="shared" si="19"/>
        <v>0.54462991450489007</v>
      </c>
      <c r="R191" s="18"/>
      <c r="S191"/>
      <c r="T191" s="70"/>
      <c r="U191" s="208"/>
      <c r="V191"/>
      <c r="X191"/>
    </row>
    <row r="192" spans="1:24" ht="18" x14ac:dyDescent="0.25">
      <c r="A192" s="317" t="s">
        <v>729</v>
      </c>
      <c r="B192" s="317" t="s">
        <v>730</v>
      </c>
      <c r="C192" s="317">
        <v>1.21</v>
      </c>
      <c r="D192" s="317">
        <v>2.85</v>
      </c>
      <c r="E192" s="318">
        <v>10.61</v>
      </c>
      <c r="F192" s="317">
        <v>0.65</v>
      </c>
      <c r="G192" s="317">
        <v>0.5</v>
      </c>
      <c r="H192" s="319">
        <v>62.93</v>
      </c>
      <c r="I192" s="320">
        <v>75.5</v>
      </c>
      <c r="J192" s="320">
        <v>1.9</v>
      </c>
      <c r="K192" s="57">
        <f t="shared" si="17"/>
        <v>9.6602999999999994E-2</v>
      </c>
      <c r="L192" s="310">
        <f t="shared" si="18"/>
        <v>0.16323076923076921</v>
      </c>
      <c r="M192" s="405">
        <f t="shared" si="16"/>
        <v>70.499392322386001</v>
      </c>
      <c r="N192" s="63">
        <f t="shared" si="19"/>
        <v>-0.10736819244869515</v>
      </c>
      <c r="R192" s="18"/>
      <c r="S192"/>
      <c r="T192" s="70"/>
      <c r="U192" s="208"/>
      <c r="V192"/>
      <c r="X192"/>
    </row>
    <row r="193" spans="1:24" ht="18" x14ac:dyDescent="0.25">
      <c r="A193" s="317" t="s">
        <v>4980</v>
      </c>
      <c r="B193" s="317" t="s">
        <v>2691</v>
      </c>
      <c r="C193" s="317">
        <v>2.3199999999999998</v>
      </c>
      <c r="D193" s="317">
        <v>3.88</v>
      </c>
      <c r="E193" s="318">
        <v>13.63</v>
      </c>
      <c r="F193" s="317">
        <v>0.99</v>
      </c>
      <c r="G193" s="317">
        <v>0.1</v>
      </c>
      <c r="H193" s="319">
        <v>91.43</v>
      </c>
      <c r="I193" s="320">
        <v>92</v>
      </c>
      <c r="J193" s="320">
        <v>3</v>
      </c>
      <c r="K193" s="57">
        <f t="shared" si="17"/>
        <v>0.14577600000000002</v>
      </c>
      <c r="L193" s="310">
        <f t="shared" si="18"/>
        <v>0.13767676767676768</v>
      </c>
      <c r="M193" s="405">
        <f t="shared" si="16"/>
        <v>51.986096698126573</v>
      </c>
      <c r="N193" s="63">
        <f t="shared" si="19"/>
        <v>0.75873946703320916</v>
      </c>
      <c r="R193" s="18"/>
      <c r="S193"/>
      <c r="T193" s="70"/>
      <c r="U193" s="208"/>
      <c r="V193"/>
      <c r="X193"/>
    </row>
    <row r="194" spans="1:24" ht="18" x14ac:dyDescent="0.25">
      <c r="A194" s="317" t="s">
        <v>5231</v>
      </c>
      <c r="B194" s="317" t="s">
        <v>5232</v>
      </c>
      <c r="C194" s="317">
        <v>1.57</v>
      </c>
      <c r="D194" s="317">
        <v>3.44</v>
      </c>
      <c r="E194" s="318">
        <v>14.17</v>
      </c>
      <c r="F194" s="317">
        <v>0.97</v>
      </c>
      <c r="G194" s="317">
        <v>0</v>
      </c>
      <c r="H194" s="319">
        <v>75.08</v>
      </c>
      <c r="I194" s="320">
        <v>83</v>
      </c>
      <c r="J194" s="320">
        <v>2.6</v>
      </c>
      <c r="K194" s="57">
        <f t="shared" si="17"/>
        <v>0.11255100000000001</v>
      </c>
      <c r="L194" s="310">
        <f t="shared" si="18"/>
        <v>0.14608247422680412</v>
      </c>
      <c r="M194" s="405">
        <f t="shared" ref="M194:M257" si="20">(D194-G194*H194/100)+(D194-G194*H194/100)*(1+L194)/(1+K194)+(D194-G194*H194/100)*(1+L194)^2/(1+K194)^2+(D194-G194*H194/100)*(1+L194)^3/(1+K194)^3+(D194-G194*H194/100)*(1+L194)^4/(1+K194)^4+((D194-G194*H194/100)*(1+L194)^5/(K194-$T$22-$T$19))/((1+K194)^5)</f>
        <v>70.398460402579417</v>
      </c>
      <c r="N194" s="63">
        <f t="shared" si="19"/>
        <v>6.6500596329078926E-2</v>
      </c>
      <c r="R194" s="18"/>
      <c r="S194"/>
      <c r="T194" s="70"/>
      <c r="U194" s="208"/>
      <c r="V194"/>
      <c r="W194" s="26"/>
      <c r="X194"/>
    </row>
    <row r="195" spans="1:24" ht="18" x14ac:dyDescent="0.25">
      <c r="A195" s="317" t="s">
        <v>1676</v>
      </c>
      <c r="B195" s="317" t="s">
        <v>1677</v>
      </c>
      <c r="C195" s="317">
        <v>1.45</v>
      </c>
      <c r="D195" s="317">
        <v>1.1399999999999999</v>
      </c>
      <c r="E195" s="318">
        <v>21.32</v>
      </c>
      <c r="F195" s="317">
        <v>3.59</v>
      </c>
      <c r="G195" s="317">
        <v>1.9</v>
      </c>
      <c r="H195" s="319">
        <v>104.45</v>
      </c>
      <c r="I195" s="320">
        <v>100</v>
      </c>
      <c r="J195" s="320">
        <v>2.2999999999999998</v>
      </c>
      <c r="K195" s="57">
        <f t="shared" ref="K195:K218" si="21">$P$14+C195*($Q$15-$P$14)</f>
        <v>0.107235</v>
      </c>
      <c r="L195" s="310">
        <f t="shared" ref="L195:L219" si="22">E195/F195/100</f>
        <v>5.938718662952646E-2</v>
      </c>
      <c r="M195" s="405">
        <f t="shared" si="20"/>
        <v>-13.379411532257706</v>
      </c>
      <c r="N195" s="63">
        <f t="shared" ref="N195:N219" si="23">(H195-M195)/M195</f>
        <v>-8.8067708544708037</v>
      </c>
      <c r="R195" s="18"/>
      <c r="S195"/>
      <c r="T195" s="70"/>
      <c r="U195" s="208"/>
      <c r="V195"/>
      <c r="W195" s="26"/>
      <c r="X195"/>
    </row>
    <row r="196" spans="1:24" ht="18" x14ac:dyDescent="0.25">
      <c r="A196" s="317" t="s">
        <v>2584</v>
      </c>
      <c r="B196" s="317" t="s">
        <v>2585</v>
      </c>
      <c r="C196" s="317">
        <v>1.58</v>
      </c>
      <c r="D196" s="317">
        <v>2.17</v>
      </c>
      <c r="E196" s="318">
        <v>15.59</v>
      </c>
      <c r="F196" s="317">
        <v>1.4</v>
      </c>
      <c r="G196" s="317">
        <v>0</v>
      </c>
      <c r="H196" s="319">
        <v>39.130000000000003</v>
      </c>
      <c r="I196" s="320">
        <v>46</v>
      </c>
      <c r="J196" s="320">
        <v>2.2000000000000002</v>
      </c>
      <c r="K196" s="57">
        <f t="shared" si="21"/>
        <v>0.11299400000000001</v>
      </c>
      <c r="L196" s="310">
        <f t="shared" si="22"/>
        <v>0.11135714285714286</v>
      </c>
      <c r="M196" s="405">
        <f t="shared" si="20"/>
        <v>38.795507975120664</v>
      </c>
      <c r="N196" s="63">
        <f t="shared" si="23"/>
        <v>8.6219266698053399E-3</v>
      </c>
      <c r="R196" s="18"/>
      <c r="S196"/>
      <c r="T196" s="70"/>
      <c r="U196" s="208"/>
      <c r="V196"/>
      <c r="W196" s="26"/>
      <c r="X196"/>
    </row>
    <row r="197" spans="1:24" ht="18" x14ac:dyDescent="0.25">
      <c r="A197" s="317" t="s">
        <v>3259</v>
      </c>
      <c r="B197" s="317" t="s">
        <v>3260</v>
      </c>
      <c r="C197" s="317">
        <v>3.8</v>
      </c>
      <c r="D197" s="317">
        <v>0.75</v>
      </c>
      <c r="E197" s="318">
        <v>9.14</v>
      </c>
      <c r="F197" s="317">
        <v>0.5</v>
      </c>
      <c r="G197" s="317">
        <v>0</v>
      </c>
      <c r="H197" s="319">
        <v>8.32</v>
      </c>
      <c r="I197" s="320">
        <v>11</v>
      </c>
      <c r="J197" s="320">
        <v>1.8</v>
      </c>
      <c r="K197" s="57">
        <f t="shared" si="21"/>
        <v>0.21134000000000003</v>
      </c>
      <c r="L197" s="310">
        <f t="shared" si="22"/>
        <v>0.18280000000000002</v>
      </c>
      <c r="M197" s="405">
        <f t="shared" si="20"/>
        <v>7.3741116696118674</v>
      </c>
      <c r="N197" s="63">
        <f t="shared" si="23"/>
        <v>0.12827149530241916</v>
      </c>
      <c r="R197" s="18"/>
      <c r="S197"/>
      <c r="T197" s="70"/>
      <c r="U197" s="208"/>
      <c r="V197"/>
      <c r="W197" s="26"/>
      <c r="X197"/>
    </row>
    <row r="198" spans="1:24" ht="18" x14ac:dyDescent="0.25">
      <c r="A198" s="317" t="s">
        <v>1533</v>
      </c>
      <c r="B198" s="317" t="s">
        <v>1746</v>
      </c>
      <c r="C198" s="317">
        <v>2.62</v>
      </c>
      <c r="D198" s="317">
        <v>0.35</v>
      </c>
      <c r="E198" s="318">
        <v>8.4700000000000006</v>
      </c>
      <c r="F198" s="317">
        <v>5.17</v>
      </c>
      <c r="G198" s="317">
        <v>0</v>
      </c>
      <c r="H198" s="319">
        <v>4.49</v>
      </c>
      <c r="I198" s="320">
        <v>5.75</v>
      </c>
      <c r="J198" s="320">
        <v>2.4</v>
      </c>
      <c r="K198" s="57">
        <f t="shared" si="21"/>
        <v>0.15906600000000001</v>
      </c>
      <c r="L198" s="310">
        <f t="shared" si="22"/>
        <v>1.638297872340426E-2</v>
      </c>
      <c r="M198" s="405">
        <f t="shared" si="20"/>
        <v>2.8436050226638456</v>
      </c>
      <c r="N198" s="63">
        <f t="shared" si="23"/>
        <v>0.5789815970270854</v>
      </c>
      <c r="V198"/>
      <c r="W198" s="26"/>
      <c r="X198"/>
    </row>
    <row r="199" spans="1:24" ht="18" x14ac:dyDescent="0.25">
      <c r="A199" s="317" t="s">
        <v>1678</v>
      </c>
      <c r="B199" s="317" t="s">
        <v>1679</v>
      </c>
      <c r="C199" s="317">
        <v>0.96</v>
      </c>
      <c r="D199" s="317">
        <v>1.43</v>
      </c>
      <c r="E199" s="318">
        <v>11.76</v>
      </c>
      <c r="F199" s="317">
        <v>1.1399999999999999</v>
      </c>
      <c r="G199" s="317">
        <v>0.7</v>
      </c>
      <c r="H199" s="319">
        <v>24.69</v>
      </c>
      <c r="I199" s="320">
        <v>27.5</v>
      </c>
      <c r="J199" s="320">
        <v>2.1</v>
      </c>
      <c r="K199" s="57">
        <f t="shared" si="21"/>
        <v>8.5527999999999993E-2</v>
      </c>
      <c r="L199" s="310">
        <f t="shared" si="22"/>
        <v>0.1031578947368421</v>
      </c>
      <c r="M199" s="405">
        <f t="shared" si="20"/>
        <v>34.005639910062399</v>
      </c>
      <c r="N199" s="63">
        <f t="shared" si="23"/>
        <v>-0.27394396737424326</v>
      </c>
      <c r="V199"/>
      <c r="W199" s="26"/>
      <c r="X199"/>
    </row>
    <row r="200" spans="1:24" ht="18" x14ac:dyDescent="0.25">
      <c r="A200" s="317" t="s">
        <v>731</v>
      </c>
      <c r="B200" s="317" t="s">
        <v>732</v>
      </c>
      <c r="C200" s="317">
        <v>2.27</v>
      </c>
      <c r="D200" s="317">
        <v>1.08</v>
      </c>
      <c r="E200" s="318">
        <v>7.04</v>
      </c>
      <c r="F200" s="317">
        <v>0.46</v>
      </c>
      <c r="G200" s="317">
        <v>0</v>
      </c>
      <c r="H200" s="319">
        <v>8.66</v>
      </c>
      <c r="I200" s="320">
        <v>16</v>
      </c>
      <c r="J200" s="320">
        <v>1.6</v>
      </c>
      <c r="K200" s="57">
        <f t="shared" si="21"/>
        <v>0.14356099999999999</v>
      </c>
      <c r="L200" s="310">
        <f t="shared" si="22"/>
        <v>0.15304347826086956</v>
      </c>
      <c r="M200" s="405">
        <f t="shared" si="20"/>
        <v>15.954370608582058</v>
      </c>
      <c r="N200" s="63">
        <f t="shared" si="23"/>
        <v>-0.45720202868161552</v>
      </c>
      <c r="V200"/>
      <c r="W200" s="26"/>
      <c r="X200"/>
    </row>
    <row r="201" spans="1:24" ht="18" x14ac:dyDescent="0.25">
      <c r="A201" s="317" t="s">
        <v>2256</v>
      </c>
      <c r="B201" s="317"/>
      <c r="C201" s="317">
        <v>1.44</v>
      </c>
      <c r="D201" s="317">
        <v>0.65</v>
      </c>
      <c r="E201" s="318">
        <v>17.43</v>
      </c>
      <c r="F201" s="317">
        <v>0</v>
      </c>
      <c r="G201" s="317">
        <v>1.2</v>
      </c>
      <c r="H201" s="319">
        <v>12.9</v>
      </c>
      <c r="I201" s="320">
        <v>14.5</v>
      </c>
      <c r="J201" s="320">
        <v>2.2000000000000002</v>
      </c>
      <c r="K201" s="57">
        <f t="shared" si="21"/>
        <v>0.106792</v>
      </c>
      <c r="L201" s="310" t="e">
        <f t="shared" si="22"/>
        <v>#DIV/0!</v>
      </c>
      <c r="M201" s="405" t="e">
        <f t="shared" si="20"/>
        <v>#DIV/0!</v>
      </c>
      <c r="N201" s="63" t="e">
        <f t="shared" si="23"/>
        <v>#DIV/0!</v>
      </c>
      <c r="V201"/>
      <c r="W201" s="26"/>
      <c r="X201"/>
    </row>
    <row r="202" spans="1:24" ht="18" x14ac:dyDescent="0.25">
      <c r="A202" s="317" t="s">
        <v>1680</v>
      </c>
      <c r="B202" s="317" t="s">
        <v>1681</v>
      </c>
      <c r="C202" s="317">
        <v>0.78</v>
      </c>
      <c r="D202" s="317">
        <v>1.48</v>
      </c>
      <c r="E202" s="318">
        <v>13.44</v>
      </c>
      <c r="F202" s="317">
        <v>2.0299999999999998</v>
      </c>
      <c r="G202" s="317">
        <v>3.7</v>
      </c>
      <c r="H202" s="319">
        <v>25.42</v>
      </c>
      <c r="I202" s="320">
        <v>25.5</v>
      </c>
      <c r="J202" s="320">
        <v>2.5</v>
      </c>
      <c r="K202" s="57">
        <f t="shared" si="21"/>
        <v>7.7554000000000012E-2</v>
      </c>
      <c r="L202" s="310">
        <f t="shared" si="22"/>
        <v>6.620689655172414E-2</v>
      </c>
      <c r="M202" s="405">
        <f t="shared" si="20"/>
        <v>14.953938860049192</v>
      </c>
      <c r="N202" s="63">
        <f t="shared" si="23"/>
        <v>0.69988658091359757</v>
      </c>
      <c r="V202"/>
      <c r="W202" s="26"/>
      <c r="X202"/>
    </row>
    <row r="203" spans="1:24" ht="18" x14ac:dyDescent="0.25">
      <c r="A203" s="317" t="s">
        <v>5210</v>
      </c>
      <c r="B203" s="317" t="s">
        <v>5211</v>
      </c>
      <c r="C203" s="317">
        <v>1.76</v>
      </c>
      <c r="D203" s="317">
        <v>0.37</v>
      </c>
      <c r="E203" s="318">
        <v>5.9</v>
      </c>
      <c r="F203" s="317">
        <v>0</v>
      </c>
      <c r="G203" s="317">
        <v>0</v>
      </c>
      <c r="H203" s="319">
        <v>6.25</v>
      </c>
      <c r="I203" s="320">
        <v>16</v>
      </c>
      <c r="J203" s="320">
        <v>4</v>
      </c>
      <c r="K203" s="57">
        <f t="shared" si="21"/>
        <v>0.12096800000000001</v>
      </c>
      <c r="L203" s="310" t="e">
        <f t="shared" si="22"/>
        <v>#DIV/0!</v>
      </c>
      <c r="M203" s="405" t="e">
        <f t="shared" si="20"/>
        <v>#DIV/0!</v>
      </c>
      <c r="N203" s="63" t="e">
        <f t="shared" si="23"/>
        <v>#DIV/0!</v>
      </c>
      <c r="V203"/>
      <c r="W203" s="26"/>
      <c r="X203"/>
    </row>
    <row r="204" spans="1:24" ht="18" x14ac:dyDescent="0.25">
      <c r="A204" s="317" t="s">
        <v>1682</v>
      </c>
      <c r="B204" s="317" t="s">
        <v>1683</v>
      </c>
      <c r="C204" s="317">
        <v>0.9</v>
      </c>
      <c r="D204" s="317">
        <v>2.67</v>
      </c>
      <c r="E204" s="318">
        <v>15.02</v>
      </c>
      <c r="F204" s="317">
        <v>1.24</v>
      </c>
      <c r="G204" s="317">
        <v>1.8</v>
      </c>
      <c r="H204" s="319">
        <v>44.9</v>
      </c>
      <c r="I204" s="320">
        <v>47</v>
      </c>
      <c r="J204" s="320">
        <v>2.1</v>
      </c>
      <c r="K204" s="57">
        <f t="shared" si="21"/>
        <v>8.2869999999999999E-2</v>
      </c>
      <c r="L204" s="310">
        <f t="shared" si="22"/>
        <v>0.12112903225806453</v>
      </c>
      <c r="M204" s="405">
        <f t="shared" si="20"/>
        <v>57.244001005766115</v>
      </c>
      <c r="N204" s="63">
        <f t="shared" si="23"/>
        <v>-0.21563833395437754</v>
      </c>
      <c r="V204"/>
      <c r="W204" s="26"/>
      <c r="X204"/>
    </row>
    <row r="205" spans="1:24" ht="18" x14ac:dyDescent="0.25">
      <c r="A205" s="317" t="s">
        <v>733</v>
      </c>
      <c r="B205" s="317" t="s">
        <v>734</v>
      </c>
      <c r="C205" s="317">
        <v>1.17</v>
      </c>
      <c r="D205" s="317">
        <v>2.4500000000000002</v>
      </c>
      <c r="E205" s="318">
        <v>19.39</v>
      </c>
      <c r="F205" s="317">
        <v>4.32</v>
      </c>
      <c r="G205" s="317">
        <v>2.5</v>
      </c>
      <c r="H205" s="319">
        <v>47.32</v>
      </c>
      <c r="I205" s="320">
        <v>50.08</v>
      </c>
      <c r="J205" s="320">
        <v>1</v>
      </c>
      <c r="K205" s="57">
        <f t="shared" si="21"/>
        <v>9.4830999999999999E-2</v>
      </c>
      <c r="L205" s="310">
        <f t="shared" si="22"/>
        <v>4.4884259259259256E-2</v>
      </c>
      <c r="M205" s="405">
        <f t="shared" si="20"/>
        <v>22.834783588532026</v>
      </c>
      <c r="N205" s="63">
        <f t="shared" si="23"/>
        <v>1.0722771388017367</v>
      </c>
      <c r="V205"/>
      <c r="W205" s="26"/>
      <c r="X205"/>
    </row>
    <row r="206" spans="1:24" ht="18" x14ac:dyDescent="0.25">
      <c r="A206" s="317" t="s">
        <v>2503</v>
      </c>
      <c r="B206" s="317"/>
      <c r="C206" s="317">
        <v>1.51</v>
      </c>
      <c r="D206" s="317">
        <v>2.27</v>
      </c>
      <c r="E206" s="318">
        <v>14.26</v>
      </c>
      <c r="F206" s="317">
        <v>1.37</v>
      </c>
      <c r="G206" s="317">
        <v>0</v>
      </c>
      <c r="H206" s="319">
        <v>49.33</v>
      </c>
      <c r="I206" s="320">
        <v>64.5</v>
      </c>
      <c r="J206" s="320">
        <v>2.1</v>
      </c>
      <c r="K206" s="57">
        <f t="shared" si="21"/>
        <v>0.109893</v>
      </c>
      <c r="L206" s="310">
        <f t="shared" si="22"/>
        <v>0.1040875912408759</v>
      </c>
      <c r="M206" s="405">
        <f t="shared" si="20"/>
        <v>41.156917970906328</v>
      </c>
      <c r="N206" s="63">
        <f t="shared" si="23"/>
        <v>0.19858343219167168</v>
      </c>
      <c r="W206" s="26"/>
      <c r="X206"/>
    </row>
    <row r="207" spans="1:24" ht="18" x14ac:dyDescent="0.25">
      <c r="A207" s="317" t="s">
        <v>4749</v>
      </c>
      <c r="B207" s="317" t="s">
        <v>4750</v>
      </c>
      <c r="C207" s="317">
        <v>5.44</v>
      </c>
      <c r="D207" s="317">
        <v>0.48</v>
      </c>
      <c r="E207" s="318">
        <v>11.85</v>
      </c>
      <c r="F207" s="317">
        <v>-0.23</v>
      </c>
      <c r="G207" s="317">
        <v>0</v>
      </c>
      <c r="H207" s="319">
        <v>18.489999999999998</v>
      </c>
      <c r="I207" s="320">
        <v>21</v>
      </c>
      <c r="J207" s="320">
        <v>1.7</v>
      </c>
      <c r="K207" s="57">
        <f t="shared" si="21"/>
        <v>0.28399200000000002</v>
      </c>
      <c r="L207" s="310">
        <f t="shared" si="22"/>
        <v>-0.51521739130434785</v>
      </c>
      <c r="M207" s="405">
        <f t="shared" si="20"/>
        <v>0.78009080502332651</v>
      </c>
      <c r="N207" s="63">
        <f t="shared" si="23"/>
        <v>22.702368853645318</v>
      </c>
      <c r="W207" s="26"/>
      <c r="X207"/>
    </row>
    <row r="208" spans="1:24" ht="18" x14ac:dyDescent="0.25">
      <c r="A208" s="317" t="s">
        <v>5262</v>
      </c>
      <c r="B208" s="317"/>
      <c r="C208" s="317">
        <v>1.89</v>
      </c>
      <c r="D208" s="317">
        <v>4.1500000000000004</v>
      </c>
      <c r="E208" s="318">
        <v>12.69</v>
      </c>
      <c r="F208" s="317">
        <v>0.79</v>
      </c>
      <c r="G208" s="317">
        <v>1.5</v>
      </c>
      <c r="H208" s="319">
        <v>110.68</v>
      </c>
      <c r="I208" s="320">
        <v>130</v>
      </c>
      <c r="J208" s="320">
        <v>2.2000000000000002</v>
      </c>
      <c r="K208" s="57">
        <f t="shared" si="21"/>
        <v>0.12672700000000001</v>
      </c>
      <c r="L208" s="310">
        <f t="shared" si="22"/>
        <v>0.16063291139240504</v>
      </c>
      <c r="M208" s="405">
        <f t="shared" si="20"/>
        <v>45.049088690335225</v>
      </c>
      <c r="N208" s="63">
        <f t="shared" si="23"/>
        <v>1.4568754489310047</v>
      </c>
      <c r="W208" s="26"/>
      <c r="X208"/>
    </row>
    <row r="209" spans="1:24" ht="18" x14ac:dyDescent="0.25">
      <c r="A209" s="317" t="s">
        <v>735</v>
      </c>
      <c r="B209" s="317" t="s">
        <v>736</v>
      </c>
      <c r="C209" s="317">
        <v>1.59</v>
      </c>
      <c r="D209" s="317">
        <v>1.01</v>
      </c>
      <c r="E209" s="318">
        <v>14.14</v>
      </c>
      <c r="F209" s="317">
        <v>1.1100000000000001</v>
      </c>
      <c r="G209" s="317">
        <v>0</v>
      </c>
      <c r="H209" s="319">
        <v>20.22</v>
      </c>
      <c r="I209" s="320">
        <v>24.5</v>
      </c>
      <c r="J209" s="320">
        <v>1.4</v>
      </c>
      <c r="K209" s="57">
        <f t="shared" si="21"/>
        <v>0.11343700000000001</v>
      </c>
      <c r="L209" s="310">
        <f t="shared" si="22"/>
        <v>0.12738738738738736</v>
      </c>
      <c r="M209" s="405">
        <f t="shared" si="20"/>
        <v>19.058810819488727</v>
      </c>
      <c r="N209" s="63">
        <f t="shared" si="23"/>
        <v>6.0926633435276531E-2</v>
      </c>
      <c r="W209" s="26"/>
      <c r="X209"/>
    </row>
    <row r="210" spans="1:24" ht="18" x14ac:dyDescent="0.25">
      <c r="A210" s="317" t="s">
        <v>1684</v>
      </c>
      <c r="B210" s="317" t="s">
        <v>4031</v>
      </c>
      <c r="C210" s="317">
        <v>0.44</v>
      </c>
      <c r="D210" s="317">
        <v>6.76</v>
      </c>
      <c r="E210" s="318">
        <v>11.15</v>
      </c>
      <c r="F210" s="317">
        <v>1.22</v>
      </c>
      <c r="G210" s="317">
        <v>2.4</v>
      </c>
      <c r="H210" s="319">
        <v>64.91</v>
      </c>
      <c r="I210" s="320">
        <v>66</v>
      </c>
      <c r="J210" s="320">
        <v>2.6</v>
      </c>
      <c r="K210" s="57">
        <f t="shared" si="21"/>
        <v>6.2491999999999999E-2</v>
      </c>
      <c r="L210" s="310">
        <f t="shared" si="22"/>
        <v>9.1393442622950835E-2</v>
      </c>
      <c r="M210" s="405">
        <f t="shared" si="20"/>
        <v>252.03260013378582</v>
      </c>
      <c r="N210" s="63">
        <f t="shared" si="23"/>
        <v>-0.74245395252223723</v>
      </c>
      <c r="W210" s="26"/>
      <c r="X210"/>
    </row>
    <row r="211" spans="1:24" ht="18" x14ac:dyDescent="0.25">
      <c r="A211" s="317" t="s">
        <v>737</v>
      </c>
      <c r="B211" s="317" t="s">
        <v>738</v>
      </c>
      <c r="C211" s="317">
        <v>1.56</v>
      </c>
      <c r="D211" s="317">
        <v>2.64</v>
      </c>
      <c r="E211" s="318">
        <v>14.03</v>
      </c>
      <c r="F211" s="317">
        <v>1.2</v>
      </c>
      <c r="G211" s="317">
        <v>1.8</v>
      </c>
      <c r="H211" s="319">
        <v>63.56</v>
      </c>
      <c r="I211" s="320">
        <v>72</v>
      </c>
      <c r="J211" s="320">
        <v>2</v>
      </c>
      <c r="K211" s="57">
        <f t="shared" si="21"/>
        <v>0.11210800000000001</v>
      </c>
      <c r="L211" s="310">
        <f t="shared" si="22"/>
        <v>0.11691666666666667</v>
      </c>
      <c r="M211" s="405">
        <f t="shared" si="20"/>
        <v>27.628418382181351</v>
      </c>
      <c r="N211" s="63">
        <f t="shared" si="23"/>
        <v>1.3005298066932538</v>
      </c>
      <c r="W211" s="26"/>
      <c r="X211"/>
    </row>
    <row r="212" spans="1:24" ht="18" x14ac:dyDescent="0.25">
      <c r="A212" s="317" t="s">
        <v>739</v>
      </c>
      <c r="B212" s="317" t="s">
        <v>740</v>
      </c>
      <c r="C212" s="317">
        <v>0.99</v>
      </c>
      <c r="D212" s="317">
        <v>1.28</v>
      </c>
      <c r="E212" s="318">
        <v>1</v>
      </c>
      <c r="F212" s="317">
        <v>7.0000000000000007E-2</v>
      </c>
      <c r="G212" s="317">
        <v>0</v>
      </c>
      <c r="H212" s="319">
        <v>1.84</v>
      </c>
      <c r="I212" s="320">
        <v>12.5</v>
      </c>
      <c r="J212" s="320">
        <v>1</v>
      </c>
      <c r="K212" s="57">
        <f t="shared" si="21"/>
        <v>8.6857000000000004E-2</v>
      </c>
      <c r="L212" s="310">
        <f t="shared" si="22"/>
        <v>0.14285714285714285</v>
      </c>
      <c r="M212" s="405">
        <f t="shared" si="20"/>
        <v>39.450540978998568</v>
      </c>
      <c r="N212" s="63">
        <f t="shared" si="23"/>
        <v>-0.95335932146077473</v>
      </c>
      <c r="W212" s="26"/>
      <c r="X212"/>
    </row>
    <row r="213" spans="1:24" ht="18" x14ac:dyDescent="0.25">
      <c r="A213" s="317" t="s">
        <v>4032</v>
      </c>
      <c r="B213" s="317" t="s">
        <v>4033</v>
      </c>
      <c r="C213" s="317">
        <v>2.63</v>
      </c>
      <c r="D213" s="317">
        <v>0.75</v>
      </c>
      <c r="E213" s="318">
        <v>16.940000000000001</v>
      </c>
      <c r="F213" s="317">
        <v>1.56</v>
      </c>
      <c r="G213" s="317">
        <v>0</v>
      </c>
      <c r="H213" s="319">
        <v>26.6</v>
      </c>
      <c r="I213" s="320">
        <v>29</v>
      </c>
      <c r="J213" s="320">
        <v>2.5</v>
      </c>
      <c r="K213" s="57">
        <f t="shared" si="21"/>
        <v>0.15950900000000001</v>
      </c>
      <c r="L213" s="310">
        <f t="shared" si="22"/>
        <v>0.10858974358974359</v>
      </c>
      <c r="M213" s="405">
        <f t="shared" si="20"/>
        <v>8.2859581457839084</v>
      </c>
      <c r="N213" s="63">
        <f t="shared" si="23"/>
        <v>2.2102503454636335</v>
      </c>
      <c r="W213" s="26"/>
      <c r="X213"/>
    </row>
    <row r="214" spans="1:24" ht="18" x14ac:dyDescent="0.25">
      <c r="A214" s="317" t="s">
        <v>5212</v>
      </c>
      <c r="B214" s="317" t="s">
        <v>5213</v>
      </c>
      <c r="C214" s="317">
        <v>2.34</v>
      </c>
      <c r="D214" s="317">
        <v>2.12</v>
      </c>
      <c r="E214" s="318">
        <v>13.33</v>
      </c>
      <c r="F214" s="317">
        <v>1.25</v>
      </c>
      <c r="G214" s="317">
        <v>0.5</v>
      </c>
      <c r="H214" s="319">
        <v>37.33</v>
      </c>
      <c r="I214" s="320">
        <v>47</v>
      </c>
      <c r="J214" s="320">
        <v>1.9</v>
      </c>
      <c r="K214" s="57">
        <f t="shared" si="21"/>
        <v>0.14666200000000001</v>
      </c>
      <c r="L214" s="310">
        <f t="shared" si="22"/>
        <v>0.10664</v>
      </c>
      <c r="M214" s="405">
        <f t="shared" si="20"/>
        <v>23.642481025200031</v>
      </c>
      <c r="N214" s="63">
        <f t="shared" si="23"/>
        <v>0.57893750491797902</v>
      </c>
      <c r="W214" s="26"/>
      <c r="X214"/>
    </row>
    <row r="215" spans="1:24" ht="18" x14ac:dyDescent="0.25">
      <c r="A215" s="317" t="s">
        <v>741</v>
      </c>
      <c r="B215" s="317" t="s">
        <v>742</v>
      </c>
      <c r="C215" s="317">
        <v>1.57</v>
      </c>
      <c r="D215" s="317">
        <v>0.46</v>
      </c>
      <c r="E215" s="318">
        <v>20.260000000000002</v>
      </c>
      <c r="F215" s="317">
        <v>1.2</v>
      </c>
      <c r="G215" s="317">
        <v>0</v>
      </c>
      <c r="H215" s="319">
        <v>9.52</v>
      </c>
      <c r="I215" s="320">
        <v>14</v>
      </c>
      <c r="J215" s="320">
        <v>1</v>
      </c>
      <c r="K215" s="57">
        <f t="shared" si="21"/>
        <v>0.11255100000000001</v>
      </c>
      <c r="L215" s="310">
        <f t="shared" si="22"/>
        <v>0.16883333333333336</v>
      </c>
      <c r="M215" s="405">
        <f t="shared" si="20"/>
        <v>10.235558198491704</v>
      </c>
      <c r="N215" s="63">
        <f t="shared" si="23"/>
        <v>-6.9909054749661637E-2</v>
      </c>
      <c r="W215" s="26"/>
      <c r="X215"/>
    </row>
    <row r="216" spans="1:24" ht="18" x14ac:dyDescent="0.25">
      <c r="A216" s="317" t="s">
        <v>1558</v>
      </c>
      <c r="B216" s="317"/>
      <c r="C216" s="317">
        <v>1.86</v>
      </c>
      <c r="D216" s="317">
        <v>-1.1100000000000001</v>
      </c>
      <c r="E216" s="318">
        <v>13.61</v>
      </c>
      <c r="F216" s="317">
        <v>0.56000000000000005</v>
      </c>
      <c r="G216" s="317">
        <v>0</v>
      </c>
      <c r="H216" s="319">
        <v>6.26</v>
      </c>
      <c r="I216" s="320">
        <v>8</v>
      </c>
      <c r="J216" s="320">
        <v>1.6</v>
      </c>
      <c r="K216" s="57">
        <f t="shared" si="21"/>
        <v>0.12539800000000001</v>
      </c>
      <c r="L216" s="310">
        <f t="shared" si="22"/>
        <v>0.24303571428571424</v>
      </c>
      <c r="M216" s="405">
        <f t="shared" si="20"/>
        <v>-27.249894035451902</v>
      </c>
      <c r="N216" s="63">
        <f t="shared" si="23"/>
        <v>-1.2297256639550886</v>
      </c>
      <c r="W216" s="26"/>
      <c r="X216"/>
    </row>
    <row r="217" spans="1:24" ht="18" x14ac:dyDescent="0.25">
      <c r="A217" s="317" t="s">
        <v>4034</v>
      </c>
      <c r="B217" s="317" t="s">
        <v>4035</v>
      </c>
      <c r="C217" s="317">
        <v>2.37</v>
      </c>
      <c r="D217" s="317">
        <v>1.04</v>
      </c>
      <c r="E217" s="318">
        <v>13.63</v>
      </c>
      <c r="F217" s="317">
        <v>0.84</v>
      </c>
      <c r="G217" s="317">
        <v>0.8</v>
      </c>
      <c r="H217" s="319">
        <v>26.86</v>
      </c>
      <c r="I217" s="320">
        <v>28</v>
      </c>
      <c r="J217" s="320">
        <v>2.2000000000000002</v>
      </c>
      <c r="K217" s="57">
        <f t="shared" si="21"/>
        <v>0.14799100000000001</v>
      </c>
      <c r="L217" s="310">
        <f t="shared" si="22"/>
        <v>0.16226190476190477</v>
      </c>
      <c r="M217" s="405">
        <f t="shared" si="20"/>
        <v>12.066667287929382</v>
      </c>
      <c r="N217" s="63">
        <f t="shared" si="23"/>
        <v>1.2259667362229165</v>
      </c>
      <c r="W217" s="26"/>
      <c r="X217"/>
    </row>
    <row r="218" spans="1:24" ht="18" x14ac:dyDescent="0.25">
      <c r="A218" s="317" t="s">
        <v>4036</v>
      </c>
      <c r="B218" s="317" t="s">
        <v>4037</v>
      </c>
      <c r="C218" s="317">
        <v>1.32</v>
      </c>
      <c r="D218" s="317">
        <v>1.79</v>
      </c>
      <c r="E218" s="318">
        <v>11.82</v>
      </c>
      <c r="F218" s="317">
        <v>1.21</v>
      </c>
      <c r="G218" s="317">
        <v>1.8</v>
      </c>
      <c r="H218" s="319">
        <v>27.78</v>
      </c>
      <c r="I218" s="320">
        <v>31.5</v>
      </c>
      <c r="J218" s="320">
        <v>2.2000000000000002</v>
      </c>
      <c r="K218" s="57">
        <f t="shared" si="21"/>
        <v>0.10147600000000001</v>
      </c>
      <c r="L218" s="310">
        <f t="shared" si="22"/>
        <v>9.7685950413223144E-2</v>
      </c>
      <c r="M218" s="405">
        <f t="shared" si="20"/>
        <v>25.770206902852415</v>
      </c>
      <c r="N218" s="63">
        <f t="shared" si="23"/>
        <v>7.7989016724779536E-2</v>
      </c>
      <c r="W218" s="26"/>
      <c r="X218"/>
    </row>
    <row r="219" spans="1:24" ht="18" x14ac:dyDescent="0.25">
      <c r="A219" s="317" t="s">
        <v>743</v>
      </c>
      <c r="B219" s="317" t="s">
        <v>744</v>
      </c>
      <c r="C219" s="317">
        <v>1.56</v>
      </c>
      <c r="D219" s="317">
        <v>1.72</v>
      </c>
      <c r="E219" s="318">
        <v>12.08</v>
      </c>
      <c r="F219" s="317">
        <v>1.45</v>
      </c>
      <c r="G219" s="317">
        <v>1.2</v>
      </c>
      <c r="H219" s="319">
        <v>25.97</v>
      </c>
      <c r="I219" s="320">
        <v>31</v>
      </c>
      <c r="J219" s="320">
        <v>3</v>
      </c>
      <c r="K219" s="57">
        <f>$P$14+C219*($Q$15-$P$14)</f>
        <v>0.11210800000000001</v>
      </c>
      <c r="L219" s="310">
        <f t="shared" si="22"/>
        <v>8.3310344827586216E-2</v>
      </c>
      <c r="M219" s="405">
        <f t="shared" si="20"/>
        <v>22.916225606451214</v>
      </c>
      <c r="N219" s="63">
        <f t="shared" si="23"/>
        <v>0.13325817462231251</v>
      </c>
      <c r="W219" s="26"/>
      <c r="X219"/>
    </row>
    <row r="220" spans="1:24" ht="18" x14ac:dyDescent="0.25">
      <c r="A220" s="317" t="s">
        <v>4784</v>
      </c>
      <c r="B220" s="317"/>
      <c r="C220" s="317">
        <v>1.44</v>
      </c>
      <c r="D220" s="317">
        <v>1.37</v>
      </c>
      <c r="E220" s="318">
        <v>16.5</v>
      </c>
      <c r="F220" s="317">
        <v>0.47</v>
      </c>
      <c r="G220" s="317">
        <v>1.3</v>
      </c>
      <c r="H220" s="319">
        <v>29.04</v>
      </c>
      <c r="I220" s="320">
        <v>40</v>
      </c>
      <c r="J220" s="320">
        <v>2.7</v>
      </c>
      <c r="K220" s="57">
        <f t="shared" ref="K220:K283" si="24">$P$14+C220*($Q$15-$P$14)</f>
        <v>0.106792</v>
      </c>
      <c r="L220" s="310">
        <f t="shared" ref="L220:L283" si="25">E220/F220/100</f>
        <v>0.35106382978723405</v>
      </c>
      <c r="M220" s="405">
        <f t="shared" si="20"/>
        <v>45.692249984400014</v>
      </c>
      <c r="N220" s="63">
        <f t="shared" ref="N220:N283" si="26">(H220-M220)/M220</f>
        <v>-0.36444364175730742</v>
      </c>
      <c r="W220" s="26"/>
      <c r="X220"/>
    </row>
    <row r="221" spans="1:24" ht="18" x14ac:dyDescent="0.25">
      <c r="A221" s="317" t="s">
        <v>4038</v>
      </c>
      <c r="B221" s="317" t="s">
        <v>4039</v>
      </c>
      <c r="C221" s="317">
        <v>1.54</v>
      </c>
      <c r="D221" s="317">
        <v>2.44</v>
      </c>
      <c r="E221" s="318">
        <v>12.8</v>
      </c>
      <c r="F221" s="317">
        <v>1.1499999999999999</v>
      </c>
      <c r="G221" s="317">
        <v>2.6</v>
      </c>
      <c r="H221" s="319">
        <v>40.71</v>
      </c>
      <c r="I221" s="320">
        <v>48.5</v>
      </c>
      <c r="J221" s="320">
        <v>1.9</v>
      </c>
      <c r="K221" s="57">
        <f t="shared" si="24"/>
        <v>0.111222</v>
      </c>
      <c r="L221" s="310">
        <f t="shared" si="25"/>
        <v>0.11130434782608697</v>
      </c>
      <c r="M221" s="405">
        <f t="shared" si="20"/>
        <v>25.2816995398404</v>
      </c>
      <c r="N221" s="63">
        <f t="shared" si="26"/>
        <v>0.61025566876335868</v>
      </c>
      <c r="W221" s="26"/>
      <c r="X221"/>
    </row>
    <row r="222" spans="1:24" ht="18" x14ac:dyDescent="0.25">
      <c r="A222" s="317" t="s">
        <v>745</v>
      </c>
      <c r="B222" s="317" t="s">
        <v>746</v>
      </c>
      <c r="C222" s="317">
        <v>1.08</v>
      </c>
      <c r="D222" s="317">
        <v>2.36</v>
      </c>
      <c r="E222" s="318">
        <v>16.07</v>
      </c>
      <c r="F222" s="317">
        <v>1.32</v>
      </c>
      <c r="G222" s="317">
        <v>0</v>
      </c>
      <c r="H222" s="319">
        <v>48.84</v>
      </c>
      <c r="I222" s="320">
        <v>54</v>
      </c>
      <c r="J222" s="320">
        <v>2</v>
      </c>
      <c r="K222" s="57">
        <f t="shared" si="24"/>
        <v>9.0844000000000008E-2</v>
      </c>
      <c r="L222" s="310">
        <f t="shared" si="25"/>
        <v>0.12174242424242424</v>
      </c>
      <c r="M222" s="405">
        <f t="shared" si="20"/>
        <v>61.968327324340059</v>
      </c>
      <c r="N222" s="63">
        <f t="shared" si="26"/>
        <v>-0.21185544117766564</v>
      </c>
      <c r="W222" s="26"/>
      <c r="X222"/>
    </row>
    <row r="223" spans="1:24" ht="18" x14ac:dyDescent="0.25">
      <c r="A223" s="317" t="s">
        <v>1601</v>
      </c>
      <c r="B223" s="317"/>
      <c r="C223" s="317">
        <v>1.98</v>
      </c>
      <c r="D223" s="317">
        <v>-0.56999999999999995</v>
      </c>
      <c r="E223" s="318">
        <v>18.079999999999998</v>
      </c>
      <c r="F223" s="317">
        <v>2.2400000000000002</v>
      </c>
      <c r="G223" s="317">
        <v>3.5</v>
      </c>
      <c r="H223" s="319">
        <v>14.1</v>
      </c>
      <c r="I223" s="320">
        <v>18</v>
      </c>
      <c r="J223" s="320">
        <v>2.8</v>
      </c>
      <c r="K223" s="57">
        <f t="shared" si="24"/>
        <v>0.130714</v>
      </c>
      <c r="L223" s="310">
        <f t="shared" si="25"/>
        <v>8.0714285714285697E-2</v>
      </c>
      <c r="M223" s="405">
        <f t="shared" si="20"/>
        <v>-13.823561101025721</v>
      </c>
      <c r="N223" s="63">
        <f t="shared" si="26"/>
        <v>-2.0199976617424409</v>
      </c>
      <c r="W223" s="26"/>
      <c r="X223"/>
    </row>
    <row r="224" spans="1:24" ht="18" x14ac:dyDescent="0.25">
      <c r="A224" s="317" t="s">
        <v>568</v>
      </c>
      <c r="B224" s="317" t="s">
        <v>963</v>
      </c>
      <c r="C224" s="317"/>
      <c r="D224" s="317"/>
      <c r="E224" s="318"/>
      <c r="F224" s="317"/>
      <c r="G224" s="317"/>
      <c r="H224" s="319"/>
      <c r="I224" s="320"/>
      <c r="J224" s="320"/>
      <c r="K224" s="57">
        <f t="shared" si="24"/>
        <v>4.2999999999999997E-2</v>
      </c>
      <c r="L224" s="310" t="e">
        <f t="shared" si="25"/>
        <v>#DIV/0!</v>
      </c>
      <c r="M224" s="405" t="e">
        <f t="shared" si="20"/>
        <v>#DIV/0!</v>
      </c>
      <c r="N224" s="63" t="e">
        <f t="shared" si="26"/>
        <v>#DIV/0!</v>
      </c>
      <c r="W224" s="26"/>
      <c r="X224"/>
    </row>
    <row r="225" spans="1:24" ht="18" x14ac:dyDescent="0.25">
      <c r="A225" s="317" t="s">
        <v>3745</v>
      </c>
      <c r="B225" s="317" t="s">
        <v>3746</v>
      </c>
      <c r="C225" s="317">
        <v>2.4500000000000002</v>
      </c>
      <c r="D225" s="317">
        <v>3.18</v>
      </c>
      <c r="E225" s="318">
        <v>9.8699999999999992</v>
      </c>
      <c r="F225" s="317">
        <v>1.61</v>
      </c>
      <c r="G225" s="317">
        <v>0.4</v>
      </c>
      <c r="H225" s="319">
        <v>48.16</v>
      </c>
      <c r="I225" s="320">
        <v>57</v>
      </c>
      <c r="J225" s="320">
        <v>2.2000000000000002</v>
      </c>
      <c r="K225" s="57">
        <f t="shared" si="24"/>
        <v>0.15153500000000003</v>
      </c>
      <c r="L225" s="310">
        <f t="shared" si="25"/>
        <v>6.1304347826086944E-2</v>
      </c>
      <c r="M225" s="405">
        <f t="shared" si="20"/>
        <v>29.966781741081228</v>
      </c>
      <c r="N225" s="63">
        <f t="shared" si="26"/>
        <v>0.60711284969175816</v>
      </c>
      <c r="W225" s="26"/>
      <c r="X225"/>
    </row>
    <row r="226" spans="1:24" ht="18" x14ac:dyDescent="0.25">
      <c r="A226" s="317" t="s">
        <v>747</v>
      </c>
      <c r="B226" s="317" t="s">
        <v>748</v>
      </c>
      <c r="C226" s="317">
        <v>2.12</v>
      </c>
      <c r="D226" s="317">
        <v>3.85</v>
      </c>
      <c r="E226" s="318">
        <v>57.26</v>
      </c>
      <c r="F226" s="317">
        <v>6.4</v>
      </c>
      <c r="G226" s="317">
        <v>0</v>
      </c>
      <c r="H226" s="319">
        <v>22.33</v>
      </c>
      <c r="I226" s="320">
        <v>32.69</v>
      </c>
      <c r="J226" s="320">
        <v>2</v>
      </c>
      <c r="K226" s="57">
        <f t="shared" si="24"/>
        <v>0.13691600000000001</v>
      </c>
      <c r="L226" s="310">
        <f t="shared" si="25"/>
        <v>8.9468749999999986E-2</v>
      </c>
      <c r="M226" s="405">
        <f t="shared" si="20"/>
        <v>48.536036710689267</v>
      </c>
      <c r="N226" s="63">
        <f t="shared" si="26"/>
        <v>-0.53992947275231107</v>
      </c>
      <c r="W226" s="26"/>
      <c r="X226"/>
    </row>
    <row r="227" spans="1:24" ht="18" x14ac:dyDescent="0.25">
      <c r="A227" s="317" t="s">
        <v>749</v>
      </c>
      <c r="B227" s="317" t="s">
        <v>750</v>
      </c>
      <c r="C227" s="317">
        <v>0.97</v>
      </c>
      <c r="D227" s="317">
        <v>2.5499999999999998</v>
      </c>
      <c r="E227" s="318">
        <v>11.65</v>
      </c>
      <c r="F227" s="317">
        <v>1.1499999999999999</v>
      </c>
      <c r="G227" s="317">
        <v>2.1</v>
      </c>
      <c r="H227" s="319">
        <v>38.67</v>
      </c>
      <c r="I227" s="320">
        <v>43.25</v>
      </c>
      <c r="J227" s="320">
        <v>1.6</v>
      </c>
      <c r="K227" s="57">
        <f t="shared" si="24"/>
        <v>8.5970999999999992E-2</v>
      </c>
      <c r="L227" s="310">
        <f t="shared" si="25"/>
        <v>0.10130434782608697</v>
      </c>
      <c r="M227" s="405">
        <f t="shared" si="20"/>
        <v>46.242909621118677</v>
      </c>
      <c r="N227" s="63">
        <f t="shared" si="26"/>
        <v>-0.16376369227554408</v>
      </c>
      <c r="W227" s="26"/>
      <c r="X227"/>
    </row>
    <row r="228" spans="1:24" ht="18" x14ac:dyDescent="0.25">
      <c r="A228" s="317" t="s">
        <v>5214</v>
      </c>
      <c r="B228" s="317" t="s">
        <v>5215</v>
      </c>
      <c r="C228" s="317">
        <v>2.82</v>
      </c>
      <c r="D228" s="317">
        <v>-1.49</v>
      </c>
      <c r="E228" s="318">
        <v>7.34</v>
      </c>
      <c r="F228" s="317">
        <v>0.63</v>
      </c>
      <c r="G228" s="317">
        <v>0</v>
      </c>
      <c r="H228" s="319">
        <v>11.16</v>
      </c>
      <c r="I228" s="320">
        <v>17.3</v>
      </c>
      <c r="J228" s="320">
        <v>2.2999999999999998</v>
      </c>
      <c r="K228" s="57">
        <f t="shared" si="24"/>
        <v>0.16792600000000002</v>
      </c>
      <c r="L228" s="310">
        <f t="shared" si="25"/>
        <v>0.1165079365079365</v>
      </c>
      <c r="M228" s="405">
        <f t="shared" si="20"/>
        <v>-15.839820055802965</v>
      </c>
      <c r="N228" s="63">
        <f t="shared" si="26"/>
        <v>-1.7045534583526722</v>
      </c>
      <c r="W228" s="26"/>
      <c r="X228"/>
    </row>
    <row r="229" spans="1:24" ht="18" x14ac:dyDescent="0.25">
      <c r="A229" s="317" t="s">
        <v>4917</v>
      </c>
      <c r="B229" s="317" t="s">
        <v>4918</v>
      </c>
      <c r="C229" s="317">
        <v>1.1100000000000001</v>
      </c>
      <c r="D229" s="317">
        <v>-4.9000000000000004</v>
      </c>
      <c r="E229" s="318">
        <v>14.29</v>
      </c>
      <c r="F229" s="317">
        <v>3.04</v>
      </c>
      <c r="G229" s="317">
        <v>2.7</v>
      </c>
      <c r="H229" s="319">
        <v>35.869999999999997</v>
      </c>
      <c r="I229" s="320">
        <v>36</v>
      </c>
      <c r="J229" s="320">
        <v>2.5</v>
      </c>
      <c r="K229" s="57">
        <f t="shared" si="24"/>
        <v>9.2173000000000005E-2</v>
      </c>
      <c r="L229" s="310">
        <f t="shared" si="25"/>
        <v>4.7006578947368413E-2</v>
      </c>
      <c r="M229" s="405">
        <f t="shared" si="20"/>
        <v>-111.59794102137909</v>
      </c>
      <c r="N229" s="63">
        <f t="shared" si="26"/>
        <v>-1.3214217007205205</v>
      </c>
      <c r="W229" s="26"/>
      <c r="X229"/>
    </row>
    <row r="230" spans="1:24" ht="18" x14ac:dyDescent="0.25">
      <c r="A230" s="317" t="s">
        <v>1910</v>
      </c>
      <c r="B230" s="317"/>
      <c r="C230" s="317">
        <v>0.63</v>
      </c>
      <c r="D230" s="317">
        <v>1.92</v>
      </c>
      <c r="E230" s="318">
        <v>14.37</v>
      </c>
      <c r="F230" s="317">
        <v>0.73</v>
      </c>
      <c r="G230" s="317">
        <v>0</v>
      </c>
      <c r="H230" s="319">
        <v>58.92</v>
      </c>
      <c r="I230" s="320">
        <v>68</v>
      </c>
      <c r="J230" s="320">
        <v>1.9</v>
      </c>
      <c r="K230" s="57">
        <f t="shared" si="24"/>
        <v>7.0909E-2</v>
      </c>
      <c r="L230" s="310">
        <f t="shared" si="25"/>
        <v>0.19684931506849312</v>
      </c>
      <c r="M230" s="405">
        <f t="shared" si="20"/>
        <v>108.03499212673682</v>
      </c>
      <c r="N230" s="63">
        <f t="shared" si="26"/>
        <v>-0.45462114783254282</v>
      </c>
      <c r="W230" s="26"/>
      <c r="X230"/>
    </row>
    <row r="231" spans="1:24" ht="18" x14ac:dyDescent="0.25">
      <c r="A231" s="317" t="s">
        <v>751</v>
      </c>
      <c r="B231" s="317" t="s">
        <v>752</v>
      </c>
      <c r="C231" s="317">
        <v>1.72</v>
      </c>
      <c r="D231" s="317">
        <v>0.53</v>
      </c>
      <c r="E231" s="318">
        <v>7.56</v>
      </c>
      <c r="F231" s="317">
        <v>0.8</v>
      </c>
      <c r="G231" s="317">
        <v>0</v>
      </c>
      <c r="H231" s="319">
        <v>9</v>
      </c>
      <c r="I231" s="320">
        <v>12.5</v>
      </c>
      <c r="J231" s="320">
        <v>2.2999999999999998</v>
      </c>
      <c r="K231" s="57">
        <f t="shared" si="24"/>
        <v>0.11919600000000001</v>
      </c>
      <c r="L231" s="310">
        <f t="shared" si="25"/>
        <v>9.4499999999999987E-2</v>
      </c>
      <c r="M231" s="405">
        <f t="shared" si="20"/>
        <v>8.2335909636364519</v>
      </c>
      <c r="N231" s="63">
        <f t="shared" si="26"/>
        <v>9.3083205098283814E-2</v>
      </c>
      <c r="W231" s="26"/>
      <c r="X231"/>
    </row>
    <row r="232" spans="1:24" ht="18" x14ac:dyDescent="0.25">
      <c r="A232" s="317" t="s">
        <v>753</v>
      </c>
      <c r="B232" s="317" t="s">
        <v>754</v>
      </c>
      <c r="C232" s="317">
        <v>1.18</v>
      </c>
      <c r="D232" s="317">
        <v>18.600000000000001</v>
      </c>
      <c r="E232" s="318">
        <v>8.99</v>
      </c>
      <c r="F232" s="317">
        <v>0.44</v>
      </c>
      <c r="G232" s="317">
        <v>2.2999999999999998</v>
      </c>
      <c r="H232" s="319">
        <v>234.17</v>
      </c>
      <c r="I232" s="320">
        <v>283.79000000000002</v>
      </c>
      <c r="J232" s="320">
        <v>2</v>
      </c>
      <c r="K232" s="57">
        <f t="shared" si="24"/>
        <v>9.5273999999999998E-2</v>
      </c>
      <c r="L232" s="310">
        <f t="shared" si="25"/>
        <v>0.20431818181818184</v>
      </c>
      <c r="M232" s="405">
        <f t="shared" si="20"/>
        <v>438.91781049229905</v>
      </c>
      <c r="N232" s="63">
        <f t="shared" si="26"/>
        <v>-0.46648325859151124</v>
      </c>
      <c r="W232" s="26"/>
      <c r="X232"/>
    </row>
    <row r="233" spans="1:24" ht="18" x14ac:dyDescent="0.25">
      <c r="A233" s="317" t="s">
        <v>1911</v>
      </c>
      <c r="B233" s="317"/>
      <c r="C233" s="317">
        <v>0.33</v>
      </c>
      <c r="D233" s="317">
        <v>5.27</v>
      </c>
      <c r="E233" s="318">
        <v>13.6</v>
      </c>
      <c r="F233" s="317">
        <v>1.35</v>
      </c>
      <c r="G233" s="317">
        <v>0</v>
      </c>
      <c r="H233" s="319">
        <v>79.83</v>
      </c>
      <c r="I233" s="320">
        <v>73</v>
      </c>
      <c r="J233" s="320">
        <v>3</v>
      </c>
      <c r="K233" s="57">
        <f t="shared" si="24"/>
        <v>5.7619000000000004E-2</v>
      </c>
      <c r="L233" s="310">
        <f t="shared" si="25"/>
        <v>0.10074074074074073</v>
      </c>
      <c r="M233" s="405">
        <f t="shared" si="20"/>
        <v>326.27109281933934</v>
      </c>
      <c r="N233" s="63">
        <f t="shared" si="26"/>
        <v>-0.75532616355870996</v>
      </c>
      <c r="W233" s="26"/>
      <c r="X233"/>
    </row>
    <row r="234" spans="1:24" ht="18" x14ac:dyDescent="0.25">
      <c r="A234" s="317" t="s">
        <v>491</v>
      </c>
      <c r="B234" s="317" t="s">
        <v>4742</v>
      </c>
      <c r="C234" s="317">
        <v>2.35</v>
      </c>
      <c r="D234" s="317">
        <v>-0.42</v>
      </c>
      <c r="E234" s="318">
        <v>0</v>
      </c>
      <c r="F234" s="317">
        <v>0</v>
      </c>
      <c r="G234" s="317">
        <v>0</v>
      </c>
      <c r="H234" s="319">
        <v>2.7</v>
      </c>
      <c r="I234" s="320">
        <v>4</v>
      </c>
      <c r="J234" s="320">
        <v>2</v>
      </c>
      <c r="K234" s="57">
        <f t="shared" si="24"/>
        <v>0.14710500000000001</v>
      </c>
      <c r="L234" s="310" t="e">
        <f t="shared" si="25"/>
        <v>#DIV/0!</v>
      </c>
      <c r="M234" s="405" t="e">
        <f t="shared" si="20"/>
        <v>#DIV/0!</v>
      </c>
      <c r="N234" s="63" t="e">
        <f t="shared" si="26"/>
        <v>#DIV/0!</v>
      </c>
      <c r="W234" s="26"/>
      <c r="X234"/>
    </row>
    <row r="235" spans="1:24" ht="18" x14ac:dyDescent="0.25">
      <c r="A235" s="317" t="s">
        <v>4453</v>
      </c>
      <c r="B235" s="317" t="s">
        <v>4454</v>
      </c>
      <c r="C235" s="317">
        <v>1.1599999999999999</v>
      </c>
      <c r="D235" s="317">
        <v>0.48</v>
      </c>
      <c r="E235" s="318">
        <v>0</v>
      </c>
      <c r="F235" s="317">
        <v>0</v>
      </c>
      <c r="G235" s="317">
        <v>0</v>
      </c>
      <c r="H235" s="319">
        <v>1.26</v>
      </c>
      <c r="I235" s="320">
        <v>9</v>
      </c>
      <c r="J235" s="320">
        <v>1</v>
      </c>
      <c r="K235" s="57">
        <f t="shared" si="24"/>
        <v>9.4388E-2</v>
      </c>
      <c r="L235" s="310" t="e">
        <f t="shared" si="25"/>
        <v>#DIV/0!</v>
      </c>
      <c r="M235" s="405" t="e">
        <f t="shared" si="20"/>
        <v>#DIV/0!</v>
      </c>
      <c r="N235" s="63" t="e">
        <f t="shared" si="26"/>
        <v>#DIV/0!</v>
      </c>
    </row>
    <row r="236" spans="1:24" ht="18" x14ac:dyDescent="0.25">
      <c r="A236" s="317" t="s">
        <v>4040</v>
      </c>
      <c r="B236" s="317" t="s">
        <v>4041</v>
      </c>
      <c r="C236" s="317">
        <v>0.91</v>
      </c>
      <c r="D236" s="317">
        <v>5.34</v>
      </c>
      <c r="E236" s="318">
        <v>10.65</v>
      </c>
      <c r="F236" s="317">
        <v>0.84</v>
      </c>
      <c r="G236" s="317">
        <v>0.3</v>
      </c>
      <c r="H236" s="319">
        <v>132.03</v>
      </c>
      <c r="I236" s="320">
        <v>155</v>
      </c>
      <c r="J236" s="320">
        <v>2.2000000000000002</v>
      </c>
      <c r="K236" s="57">
        <f t="shared" si="24"/>
        <v>8.3312999999999998E-2</v>
      </c>
      <c r="L236" s="310">
        <f t="shared" si="25"/>
        <v>0.12678571428571428</v>
      </c>
      <c r="M236" s="405">
        <f t="shared" si="20"/>
        <v>153.99640839518392</v>
      </c>
      <c r="N236" s="63">
        <f t="shared" si="26"/>
        <v>-0.1426423422734247</v>
      </c>
    </row>
    <row r="237" spans="1:24" ht="18" x14ac:dyDescent="0.25">
      <c r="A237" s="317" t="s">
        <v>4042</v>
      </c>
      <c r="B237" s="317" t="s">
        <v>4043</v>
      </c>
      <c r="C237" s="317">
        <v>0</v>
      </c>
      <c r="D237" s="317">
        <v>0.7</v>
      </c>
      <c r="E237" s="318">
        <v>15.6</v>
      </c>
      <c r="F237" s="317">
        <v>1.37</v>
      </c>
      <c r="G237" s="317">
        <v>0</v>
      </c>
      <c r="H237" s="319">
        <v>29.17</v>
      </c>
      <c r="I237" s="320">
        <v>30</v>
      </c>
      <c r="J237" s="320">
        <v>2.4</v>
      </c>
      <c r="K237" s="57">
        <f t="shared" si="24"/>
        <v>4.2999999999999997E-2</v>
      </c>
      <c r="L237" s="310">
        <f t="shared" si="25"/>
        <v>0.11386861313868613</v>
      </c>
      <c r="M237" s="405">
        <f t="shared" si="20"/>
        <v>142.92378572910781</v>
      </c>
      <c r="N237" s="63">
        <f t="shared" si="26"/>
        <v>-0.79590521024059857</v>
      </c>
    </row>
    <row r="238" spans="1:24" ht="18" x14ac:dyDescent="0.25">
      <c r="A238" s="317" t="s">
        <v>5127</v>
      </c>
      <c r="B238" s="317"/>
      <c r="C238" s="317">
        <v>1.62</v>
      </c>
      <c r="D238" s="317">
        <v>0.52</v>
      </c>
      <c r="E238" s="318">
        <v>11.08</v>
      </c>
      <c r="F238" s="317">
        <v>0.62</v>
      </c>
      <c r="G238" s="317">
        <v>0</v>
      </c>
      <c r="H238" s="319">
        <v>7.2</v>
      </c>
      <c r="I238" s="320">
        <v>8</v>
      </c>
      <c r="J238" s="320">
        <v>2</v>
      </c>
      <c r="K238" s="57">
        <f t="shared" si="24"/>
        <v>0.11476600000000001</v>
      </c>
      <c r="L238" s="310">
        <f t="shared" si="25"/>
        <v>0.17870967741935484</v>
      </c>
      <c r="M238" s="405">
        <f t="shared" si="20"/>
        <v>11.641178001081</v>
      </c>
      <c r="N238" s="63">
        <f t="shared" si="26"/>
        <v>-0.38150589233053495</v>
      </c>
    </row>
    <row r="239" spans="1:24" ht="18" x14ac:dyDescent="0.25">
      <c r="A239" s="317" t="s">
        <v>3427</v>
      </c>
      <c r="B239" s="317" t="s">
        <v>3428</v>
      </c>
      <c r="C239" s="317">
        <v>1.94</v>
      </c>
      <c r="D239" s="317">
        <v>-0.22</v>
      </c>
      <c r="E239" s="318">
        <v>0</v>
      </c>
      <c r="F239" s="317">
        <v>0</v>
      </c>
      <c r="G239" s="317">
        <v>0</v>
      </c>
      <c r="H239" s="319">
        <v>0.44</v>
      </c>
      <c r="I239" s="320">
        <v>1.1000000000000001</v>
      </c>
      <c r="J239" s="320">
        <v>1</v>
      </c>
      <c r="K239" s="57">
        <f t="shared" si="24"/>
        <v>0.128942</v>
      </c>
      <c r="L239" s="310" t="e">
        <f t="shared" si="25"/>
        <v>#DIV/0!</v>
      </c>
      <c r="M239" s="405" t="e">
        <f t="shared" si="20"/>
        <v>#DIV/0!</v>
      </c>
      <c r="N239" s="63" t="e">
        <f t="shared" si="26"/>
        <v>#DIV/0!</v>
      </c>
    </row>
    <row r="240" spans="1:24" ht="18" x14ac:dyDescent="0.25">
      <c r="A240" s="317" t="s">
        <v>5128</v>
      </c>
      <c r="B240" s="317"/>
      <c r="C240" s="317">
        <v>1.38</v>
      </c>
      <c r="D240" s="317">
        <v>1</v>
      </c>
      <c r="E240" s="318">
        <v>3.98</v>
      </c>
      <c r="F240" s="317">
        <v>0.47</v>
      </c>
      <c r="G240" s="317">
        <v>0</v>
      </c>
      <c r="H240" s="319">
        <v>6.92</v>
      </c>
      <c r="I240" s="320">
        <v>6</v>
      </c>
      <c r="J240" s="320">
        <v>3</v>
      </c>
      <c r="K240" s="57">
        <f t="shared" si="24"/>
        <v>0.104134</v>
      </c>
      <c r="L240" s="310">
        <f t="shared" si="25"/>
        <v>8.468085106382979E-2</v>
      </c>
      <c r="M240" s="405">
        <f t="shared" si="20"/>
        <v>18.255687749169347</v>
      </c>
      <c r="N240" s="63">
        <f t="shared" si="26"/>
        <v>-0.6209400546788566</v>
      </c>
    </row>
    <row r="241" spans="1:14" ht="18" x14ac:dyDescent="0.25">
      <c r="A241" s="317" t="s">
        <v>5216</v>
      </c>
      <c r="B241" s="317" t="s">
        <v>4798</v>
      </c>
      <c r="C241" s="317">
        <v>1.96</v>
      </c>
      <c r="D241" s="317">
        <v>2.87</v>
      </c>
      <c r="E241" s="318">
        <v>14.38</v>
      </c>
      <c r="F241" s="317">
        <v>1.1499999999999999</v>
      </c>
      <c r="G241" s="317">
        <v>0</v>
      </c>
      <c r="H241" s="319">
        <v>57.24</v>
      </c>
      <c r="I241" s="320">
        <v>63</v>
      </c>
      <c r="J241" s="320">
        <v>1.5</v>
      </c>
      <c r="K241" s="57">
        <f t="shared" si="24"/>
        <v>0.129828</v>
      </c>
      <c r="L241" s="310">
        <f t="shared" si="25"/>
        <v>0.12504347826086959</v>
      </c>
      <c r="M241" s="405">
        <f t="shared" si="20"/>
        <v>44.174665196259355</v>
      </c>
      <c r="N241" s="63">
        <f t="shared" si="26"/>
        <v>0.29576533847384995</v>
      </c>
    </row>
    <row r="242" spans="1:14" ht="18" x14ac:dyDescent="0.25">
      <c r="A242" s="317" t="s">
        <v>755</v>
      </c>
      <c r="B242" s="317" t="s">
        <v>756</v>
      </c>
      <c r="C242" s="317">
        <v>1.1100000000000001</v>
      </c>
      <c r="D242" s="317">
        <v>1.05</v>
      </c>
      <c r="E242" s="318">
        <v>17.91</v>
      </c>
      <c r="F242" s="317">
        <v>3.33</v>
      </c>
      <c r="G242" s="317">
        <v>1.2</v>
      </c>
      <c r="H242" s="319">
        <v>40.47</v>
      </c>
      <c r="I242" s="320">
        <v>56</v>
      </c>
      <c r="J242" s="320">
        <v>2</v>
      </c>
      <c r="K242" s="57">
        <f t="shared" si="24"/>
        <v>9.2173000000000005E-2</v>
      </c>
      <c r="L242" s="310">
        <f t="shared" si="25"/>
        <v>5.3783783783783783E-2</v>
      </c>
      <c r="M242" s="405">
        <f t="shared" si="20"/>
        <v>11.031243026221556</v>
      </c>
      <c r="N242" s="63">
        <f t="shared" si="26"/>
        <v>2.6686708745153869</v>
      </c>
    </row>
    <row r="243" spans="1:14" ht="18" x14ac:dyDescent="0.25">
      <c r="A243" s="317" t="s">
        <v>4799</v>
      </c>
      <c r="B243" s="317" t="s">
        <v>2133</v>
      </c>
      <c r="C243" s="317">
        <v>3.73</v>
      </c>
      <c r="D243" s="317">
        <v>0.01</v>
      </c>
      <c r="E243" s="318">
        <v>0</v>
      </c>
      <c r="F243" s="317">
        <v>0.64</v>
      </c>
      <c r="G243" s="317">
        <v>0</v>
      </c>
      <c r="H243" s="319">
        <v>2.5299999999999998</v>
      </c>
      <c r="I243" s="320">
        <v>2.5</v>
      </c>
      <c r="J243" s="320">
        <v>3</v>
      </c>
      <c r="K243" s="57">
        <f t="shared" si="24"/>
        <v>0.20823900000000001</v>
      </c>
      <c r="L243" s="310">
        <f t="shared" si="25"/>
        <v>0</v>
      </c>
      <c r="M243" s="405">
        <f t="shared" si="20"/>
        <v>5.8036158589941184E-2</v>
      </c>
      <c r="N243" s="63">
        <f t="shared" si="26"/>
        <v>42.593512414836134</v>
      </c>
    </row>
    <row r="244" spans="1:14" ht="18" x14ac:dyDescent="0.25">
      <c r="A244" s="317" t="s">
        <v>1893</v>
      </c>
      <c r="B244" s="317" t="s">
        <v>4931</v>
      </c>
      <c r="C244" s="317">
        <v>2.54</v>
      </c>
      <c r="D244" s="317">
        <v>-0.63</v>
      </c>
      <c r="E244" s="318">
        <v>24.75</v>
      </c>
      <c r="F244" s="317">
        <v>2.66</v>
      </c>
      <c r="G244" s="317">
        <v>0</v>
      </c>
      <c r="H244" s="319">
        <v>2.97</v>
      </c>
      <c r="I244" s="320">
        <v>4.5</v>
      </c>
      <c r="J244" s="320">
        <v>3</v>
      </c>
      <c r="K244" s="57">
        <f t="shared" si="24"/>
        <v>0.15552199999999999</v>
      </c>
      <c r="L244" s="310">
        <f t="shared" si="25"/>
        <v>9.3045112781954875E-2</v>
      </c>
      <c r="M244" s="405">
        <f t="shared" si="20"/>
        <v>-6.8193094384063047</v>
      </c>
      <c r="N244" s="63">
        <f t="shared" si="26"/>
        <v>-1.4355279705116444</v>
      </c>
    </row>
    <row r="245" spans="1:14" ht="18" x14ac:dyDescent="0.25">
      <c r="A245" s="317" t="s">
        <v>4919</v>
      </c>
      <c r="B245" s="317" t="s">
        <v>4920</v>
      </c>
      <c r="C245" s="317">
        <v>1.31</v>
      </c>
      <c r="D245" s="317">
        <v>2.5099999999999998</v>
      </c>
      <c r="E245" s="318">
        <v>9.4499999999999993</v>
      </c>
      <c r="F245" s="317">
        <v>0.99</v>
      </c>
      <c r="G245" s="317">
        <v>0.9</v>
      </c>
      <c r="H245" s="319">
        <v>30.89</v>
      </c>
      <c r="I245" s="320">
        <v>39</v>
      </c>
      <c r="J245" s="320">
        <v>2.2999999999999998</v>
      </c>
      <c r="K245" s="57">
        <f t="shared" si="24"/>
        <v>0.10103300000000001</v>
      </c>
      <c r="L245" s="310">
        <f t="shared" si="25"/>
        <v>9.5454545454545445E-2</v>
      </c>
      <c r="M245" s="405">
        <f t="shared" si="20"/>
        <v>44.50764039210712</v>
      </c>
      <c r="N245" s="63">
        <f t="shared" si="26"/>
        <v>-0.30596185895583988</v>
      </c>
    </row>
    <row r="246" spans="1:14" ht="18" x14ac:dyDescent="0.25">
      <c r="A246" s="317" t="s">
        <v>3747</v>
      </c>
      <c r="B246" s="317" t="s">
        <v>3748</v>
      </c>
      <c r="C246" s="317">
        <v>0.42</v>
      </c>
      <c r="D246" s="317">
        <v>4.54</v>
      </c>
      <c r="E246" s="318">
        <v>0</v>
      </c>
      <c r="F246" s="317">
        <v>0</v>
      </c>
      <c r="G246" s="317">
        <v>3.6</v>
      </c>
      <c r="H246" s="319">
        <v>45.87</v>
      </c>
      <c r="I246" s="320">
        <v>52</v>
      </c>
      <c r="J246" s="320">
        <v>2.7</v>
      </c>
      <c r="K246" s="57">
        <f t="shared" si="24"/>
        <v>6.1605999999999994E-2</v>
      </c>
      <c r="L246" s="310" t="e">
        <f t="shared" si="25"/>
        <v>#DIV/0!</v>
      </c>
      <c r="M246" s="405" t="e">
        <f t="shared" si="20"/>
        <v>#DIV/0!</v>
      </c>
      <c r="N246" s="63" t="e">
        <f t="shared" si="26"/>
        <v>#DIV/0!</v>
      </c>
    </row>
    <row r="247" spans="1:14" ht="18" x14ac:dyDescent="0.25">
      <c r="A247" s="317" t="s">
        <v>4044</v>
      </c>
      <c r="B247" s="317" t="s">
        <v>4045</v>
      </c>
      <c r="C247" s="317">
        <v>0.75</v>
      </c>
      <c r="D247" s="317">
        <v>2.42</v>
      </c>
      <c r="E247" s="318">
        <v>25</v>
      </c>
      <c r="F247" s="317">
        <v>2.08</v>
      </c>
      <c r="G247" s="317">
        <v>1.4</v>
      </c>
      <c r="H247" s="319">
        <v>79.739999999999995</v>
      </c>
      <c r="I247" s="320">
        <v>82</v>
      </c>
      <c r="J247" s="320">
        <v>2.6</v>
      </c>
      <c r="K247" s="57">
        <f t="shared" si="24"/>
        <v>7.6225000000000001E-2</v>
      </c>
      <c r="L247" s="310">
        <f t="shared" si="25"/>
        <v>0.12019230769230768</v>
      </c>
      <c r="M247" s="405">
        <f t="shared" si="20"/>
        <v>46.665143231733481</v>
      </c>
      <c r="N247" s="63">
        <f t="shared" si="26"/>
        <v>0.70877006857175517</v>
      </c>
    </row>
    <row r="248" spans="1:14" ht="18" x14ac:dyDescent="0.25">
      <c r="A248" s="317" t="s">
        <v>2134</v>
      </c>
      <c r="B248" s="317" t="s">
        <v>2135</v>
      </c>
      <c r="C248" s="317">
        <v>2.54</v>
      </c>
      <c r="D248" s="317">
        <v>-1.65</v>
      </c>
      <c r="E248" s="318">
        <v>0</v>
      </c>
      <c r="F248" s="317">
        <v>-1.97</v>
      </c>
      <c r="G248" s="317">
        <v>0</v>
      </c>
      <c r="H248" s="319">
        <v>6.69</v>
      </c>
      <c r="I248" s="320">
        <v>8.08</v>
      </c>
      <c r="J248" s="320">
        <v>2.2999999999999998</v>
      </c>
      <c r="K248" s="57">
        <f t="shared" si="24"/>
        <v>0.15552199999999999</v>
      </c>
      <c r="L248" s="310">
        <f t="shared" si="25"/>
        <v>0</v>
      </c>
      <c r="M248" s="405">
        <f t="shared" si="20"/>
        <v>-13.009661298579314</v>
      </c>
      <c r="N248" s="63">
        <f t="shared" si="26"/>
        <v>-1.5142332184105796</v>
      </c>
    </row>
    <row r="249" spans="1:14" ht="18" x14ac:dyDescent="0.25">
      <c r="A249" s="317" t="s">
        <v>5129</v>
      </c>
      <c r="B249" s="317"/>
      <c r="C249" s="317">
        <v>1.87</v>
      </c>
      <c r="D249" s="317">
        <v>-0.15</v>
      </c>
      <c r="E249" s="318">
        <v>0</v>
      </c>
      <c r="F249" s="317">
        <v>0</v>
      </c>
      <c r="G249" s="317">
        <v>0</v>
      </c>
      <c r="H249" s="319">
        <v>2.04</v>
      </c>
      <c r="I249" s="320">
        <v>3</v>
      </c>
      <c r="J249" s="320">
        <v>0</v>
      </c>
      <c r="K249" s="57">
        <f t="shared" si="24"/>
        <v>0.12584100000000001</v>
      </c>
      <c r="L249" s="310" t="e">
        <f t="shared" si="25"/>
        <v>#DIV/0!</v>
      </c>
      <c r="M249" s="405" t="e">
        <f t="shared" si="20"/>
        <v>#DIV/0!</v>
      </c>
      <c r="N249" s="63" t="e">
        <f t="shared" si="26"/>
        <v>#DIV/0!</v>
      </c>
    </row>
    <row r="250" spans="1:14" ht="18" x14ac:dyDescent="0.25">
      <c r="A250" s="317" t="s">
        <v>4046</v>
      </c>
      <c r="B250" s="317" t="s">
        <v>4047</v>
      </c>
      <c r="C250" s="317">
        <v>1.53</v>
      </c>
      <c r="D250" s="317">
        <v>4.8899999999999997</v>
      </c>
      <c r="E250" s="318">
        <v>9.08</v>
      </c>
      <c r="F250" s="317">
        <v>1.29</v>
      </c>
      <c r="G250" s="317">
        <v>0.1</v>
      </c>
      <c r="H250" s="319">
        <v>47.51</v>
      </c>
      <c r="I250" s="320">
        <v>49</v>
      </c>
      <c r="J250" s="320">
        <v>2.2999999999999998</v>
      </c>
      <c r="K250" s="57">
        <f t="shared" si="24"/>
        <v>0.110779</v>
      </c>
      <c r="L250" s="310">
        <f t="shared" si="25"/>
        <v>7.0387596899224802E-2</v>
      </c>
      <c r="M250" s="405">
        <f t="shared" si="20"/>
        <v>76.323592594720935</v>
      </c>
      <c r="N250" s="63">
        <f t="shared" si="26"/>
        <v>-0.37751881974059331</v>
      </c>
    </row>
    <row r="251" spans="1:14" ht="18" x14ac:dyDescent="0.25">
      <c r="A251" s="317" t="s">
        <v>757</v>
      </c>
      <c r="B251" s="317" t="s">
        <v>3062</v>
      </c>
      <c r="C251" s="317">
        <v>1.31</v>
      </c>
      <c r="D251" s="317">
        <v>0.65</v>
      </c>
      <c r="E251" s="318">
        <v>6.29</v>
      </c>
      <c r="F251" s="317">
        <v>0.89</v>
      </c>
      <c r="G251" s="317">
        <v>14</v>
      </c>
      <c r="H251" s="319">
        <v>3.96</v>
      </c>
      <c r="I251" s="320">
        <v>4.25</v>
      </c>
      <c r="J251" s="320">
        <v>2.2999999999999998</v>
      </c>
      <c r="K251" s="57">
        <f t="shared" si="24"/>
        <v>0.10103300000000001</v>
      </c>
      <c r="L251" s="310">
        <f t="shared" si="25"/>
        <v>7.0674157303370788E-2</v>
      </c>
      <c r="M251" s="405">
        <f t="shared" si="20"/>
        <v>1.7305870752856345</v>
      </c>
      <c r="N251" s="63">
        <f t="shared" si="26"/>
        <v>1.2882408267994256</v>
      </c>
    </row>
    <row r="252" spans="1:14" ht="18" x14ac:dyDescent="0.25">
      <c r="A252" s="317" t="s">
        <v>4048</v>
      </c>
      <c r="B252" s="317" t="s">
        <v>4049</v>
      </c>
      <c r="C252" s="317">
        <v>0.8</v>
      </c>
      <c r="D252" s="317">
        <v>2.27</v>
      </c>
      <c r="E252" s="318">
        <v>20.34</v>
      </c>
      <c r="F252" s="317">
        <v>2.25</v>
      </c>
      <c r="G252" s="317">
        <v>5.0999999999999996</v>
      </c>
      <c r="H252" s="319">
        <v>31.12</v>
      </c>
      <c r="I252" s="320">
        <v>31</v>
      </c>
      <c r="J252" s="320">
        <v>3.3</v>
      </c>
      <c r="K252" s="57">
        <f t="shared" si="24"/>
        <v>7.844000000000001E-2</v>
      </c>
      <c r="L252" s="310">
        <f t="shared" si="25"/>
        <v>9.0399999999999994E-2</v>
      </c>
      <c r="M252" s="405">
        <f t="shared" si="20"/>
        <v>20.493692290707664</v>
      </c>
      <c r="N252" s="63">
        <f t="shared" si="26"/>
        <v>0.51851601744359965</v>
      </c>
    </row>
    <row r="253" spans="1:14" ht="18" x14ac:dyDescent="0.25">
      <c r="A253" s="317" t="s">
        <v>1589</v>
      </c>
      <c r="B253" s="317"/>
      <c r="C253" s="317">
        <v>1.19</v>
      </c>
      <c r="D253" s="317">
        <v>1.31</v>
      </c>
      <c r="E253" s="318">
        <v>9.6300000000000008</v>
      </c>
      <c r="F253" s="317">
        <v>0.4</v>
      </c>
      <c r="G253" s="317">
        <v>1.6</v>
      </c>
      <c r="H253" s="319">
        <v>14.15</v>
      </c>
      <c r="I253" s="320">
        <v>19.260000000000002</v>
      </c>
      <c r="J253" s="320">
        <v>2.1</v>
      </c>
      <c r="K253" s="57">
        <f t="shared" si="24"/>
        <v>9.5716999999999997E-2</v>
      </c>
      <c r="L253" s="310">
        <f t="shared" si="25"/>
        <v>0.24074999999999999</v>
      </c>
      <c r="M253" s="405">
        <f t="shared" si="20"/>
        <v>40.838209348984563</v>
      </c>
      <c r="N253" s="63">
        <f t="shared" si="26"/>
        <v>-0.65351076294553945</v>
      </c>
    </row>
    <row r="254" spans="1:14" ht="18" x14ac:dyDescent="0.25">
      <c r="A254" s="317" t="s">
        <v>3063</v>
      </c>
      <c r="B254" s="317" t="s">
        <v>3064</v>
      </c>
      <c r="C254" s="317">
        <v>1.75</v>
      </c>
      <c r="D254" s="317">
        <v>0.68</v>
      </c>
      <c r="E254" s="318">
        <v>13.59</v>
      </c>
      <c r="F254" s="317">
        <v>0.83</v>
      </c>
      <c r="G254" s="317">
        <v>0</v>
      </c>
      <c r="H254" s="319">
        <v>18.61</v>
      </c>
      <c r="I254" s="320">
        <v>25</v>
      </c>
      <c r="J254" s="320">
        <v>1.8</v>
      </c>
      <c r="K254" s="57">
        <f t="shared" si="24"/>
        <v>0.12052500000000001</v>
      </c>
      <c r="L254" s="310">
        <f t="shared" si="25"/>
        <v>0.16373493975903614</v>
      </c>
      <c r="M254" s="405">
        <f t="shared" si="20"/>
        <v>13.392981045288394</v>
      </c>
      <c r="N254" s="63">
        <f t="shared" si="26"/>
        <v>0.38953381155922229</v>
      </c>
    </row>
    <row r="255" spans="1:14" ht="18" x14ac:dyDescent="0.25">
      <c r="A255" s="317" t="s">
        <v>3065</v>
      </c>
      <c r="B255" s="317" t="s">
        <v>3066</v>
      </c>
      <c r="C255" s="317">
        <v>1.39</v>
      </c>
      <c r="D255" s="317">
        <v>-0.17</v>
      </c>
      <c r="E255" s="318">
        <v>10.97</v>
      </c>
      <c r="F255" s="317">
        <v>0</v>
      </c>
      <c r="G255" s="317">
        <v>0</v>
      </c>
      <c r="H255" s="319">
        <v>4.28</v>
      </c>
      <c r="I255" s="320">
        <v>8</v>
      </c>
      <c r="J255" s="320">
        <v>1</v>
      </c>
      <c r="K255" s="57">
        <f t="shared" si="24"/>
        <v>0.104577</v>
      </c>
      <c r="L255" s="310" t="e">
        <f t="shared" si="25"/>
        <v>#DIV/0!</v>
      </c>
      <c r="M255" s="405" t="e">
        <f t="shared" si="20"/>
        <v>#DIV/0!</v>
      </c>
      <c r="N255" s="63" t="e">
        <f t="shared" si="26"/>
        <v>#DIV/0!</v>
      </c>
    </row>
    <row r="256" spans="1:14" ht="18" x14ac:dyDescent="0.25">
      <c r="A256" s="317" t="s">
        <v>4974</v>
      </c>
      <c r="B256" s="317" t="s">
        <v>1747</v>
      </c>
      <c r="C256" s="317">
        <v>0.55000000000000004</v>
      </c>
      <c r="D256" s="317">
        <v>4.79</v>
      </c>
      <c r="E256" s="318">
        <v>15.39</v>
      </c>
      <c r="F256" s="317">
        <v>1.83</v>
      </c>
      <c r="G256" s="317">
        <v>2.7</v>
      </c>
      <c r="H256" s="319">
        <v>85.09</v>
      </c>
      <c r="I256" s="320">
        <v>84.5</v>
      </c>
      <c r="J256" s="320">
        <v>2.9</v>
      </c>
      <c r="K256" s="57">
        <f t="shared" si="24"/>
        <v>6.7365000000000008E-2</v>
      </c>
      <c r="L256" s="310">
        <f t="shared" si="25"/>
        <v>8.4098360655737711E-2</v>
      </c>
      <c r="M256" s="405">
        <f t="shared" si="20"/>
        <v>98.757330102952182</v>
      </c>
      <c r="N256" s="63">
        <f t="shared" si="26"/>
        <v>-0.13839307005064141</v>
      </c>
    </row>
    <row r="257" spans="1:24" ht="18" x14ac:dyDescent="0.25">
      <c r="A257" s="317" t="s">
        <v>2504</v>
      </c>
      <c r="B257" s="317"/>
      <c r="C257" s="317">
        <v>2.37</v>
      </c>
      <c r="D257" s="317">
        <v>10.029999999999999</v>
      </c>
      <c r="E257" s="318">
        <v>6.35</v>
      </c>
      <c r="F257" s="317">
        <v>0.72</v>
      </c>
      <c r="G257" s="317">
        <v>0.6</v>
      </c>
      <c r="H257" s="319">
        <v>89.38</v>
      </c>
      <c r="I257" s="320">
        <v>122.5</v>
      </c>
      <c r="J257" s="320">
        <v>1.9</v>
      </c>
      <c r="K257" s="57">
        <f t="shared" si="24"/>
        <v>0.14799100000000001</v>
      </c>
      <c r="L257" s="310">
        <f t="shared" si="25"/>
        <v>8.819444444444445E-2</v>
      </c>
      <c r="M257" s="405">
        <f t="shared" si="20"/>
        <v>107.6518470877683</v>
      </c>
      <c r="N257" s="63">
        <f t="shared" si="26"/>
        <v>-0.16973092038886534</v>
      </c>
    </row>
    <row r="258" spans="1:24" ht="18" x14ac:dyDescent="0.25">
      <c r="A258" s="317" t="s">
        <v>2586</v>
      </c>
      <c r="B258" s="317" t="s">
        <v>2587</v>
      </c>
      <c r="C258" s="317">
        <v>0.54</v>
      </c>
      <c r="D258" s="317">
        <v>4.93</v>
      </c>
      <c r="E258" s="318">
        <v>24.85</v>
      </c>
      <c r="F258" s="317">
        <v>2.16</v>
      </c>
      <c r="G258" s="317">
        <v>0</v>
      </c>
      <c r="H258" s="319">
        <v>100.58</v>
      </c>
      <c r="I258" s="320">
        <v>104</v>
      </c>
      <c r="J258" s="320">
        <v>2.1</v>
      </c>
      <c r="K258" s="57">
        <f t="shared" si="24"/>
        <v>6.6922000000000009E-2</v>
      </c>
      <c r="L258" s="310">
        <f t="shared" si="25"/>
        <v>0.1150462962962963</v>
      </c>
      <c r="M258" s="405">
        <f t="shared" ref="M258:M321" si="27">(D258-G258*H258/100)+(D258-G258*H258/100)*(1+L258)/(1+K258)+(D258-G258*H258/100)*(1+L258)^2/(1+K258)^2+(D258-G258*H258/100)*(1+L258)^3/(1+K258)^3+(D258-G258*H258/100)*(1+L258)^4/(1+K258)^4+((D258-G258*H258/100)*(1+L258)^5/(K258-$T$22-$T$19))/((1+K258)^5)</f>
        <v>225.75986858086659</v>
      </c>
      <c r="N258" s="63">
        <f t="shared" si="26"/>
        <v>-0.55448237708389481</v>
      </c>
    </row>
    <row r="259" spans="1:24" ht="18" x14ac:dyDescent="0.25">
      <c r="A259" s="317" t="s">
        <v>4050</v>
      </c>
      <c r="B259" s="317" t="s">
        <v>4051</v>
      </c>
      <c r="C259" s="317">
        <v>0.4</v>
      </c>
      <c r="D259" s="317">
        <v>4.0599999999999996</v>
      </c>
      <c r="E259" s="318">
        <v>15.49</v>
      </c>
      <c r="F259" s="317">
        <v>1.93</v>
      </c>
      <c r="G259" s="317">
        <v>3.1</v>
      </c>
      <c r="H259" s="319">
        <v>68.17</v>
      </c>
      <c r="I259" s="320">
        <v>66</v>
      </c>
      <c r="J259" s="320">
        <v>3</v>
      </c>
      <c r="K259" s="57">
        <f t="shared" si="24"/>
        <v>6.0719999999999996E-2</v>
      </c>
      <c r="L259" s="310">
        <f t="shared" si="25"/>
        <v>8.0259067357512953E-2</v>
      </c>
      <c r="M259" s="405">
        <f t="shared" si="27"/>
        <v>96.375524723668406</v>
      </c>
      <c r="N259" s="63">
        <f t="shared" si="26"/>
        <v>-0.29266273573648877</v>
      </c>
    </row>
    <row r="260" spans="1:24" ht="18" x14ac:dyDescent="0.25">
      <c r="A260" s="317" t="s">
        <v>4052</v>
      </c>
      <c r="B260" s="317" t="s">
        <v>4053</v>
      </c>
      <c r="C260" s="317">
        <v>1.17</v>
      </c>
      <c r="D260" s="317">
        <v>0.88</v>
      </c>
      <c r="E260" s="318">
        <v>14.06</v>
      </c>
      <c r="F260" s="317">
        <v>1.23</v>
      </c>
      <c r="G260" s="317">
        <v>1.1000000000000001</v>
      </c>
      <c r="H260" s="319">
        <v>37.69</v>
      </c>
      <c r="I260" s="320">
        <v>42.5</v>
      </c>
      <c r="J260" s="320">
        <v>2.5</v>
      </c>
      <c r="K260" s="57">
        <f t="shared" si="24"/>
        <v>9.4830999999999999E-2</v>
      </c>
      <c r="L260" s="310">
        <f t="shared" si="25"/>
        <v>0.1143089430894309</v>
      </c>
      <c r="M260" s="405">
        <f t="shared" si="27"/>
        <v>11.051503377021424</v>
      </c>
      <c r="N260" s="63">
        <f t="shared" si="26"/>
        <v>2.4103957365986997</v>
      </c>
    </row>
    <row r="261" spans="1:24" ht="18" x14ac:dyDescent="0.25">
      <c r="A261" s="317" t="s">
        <v>4054</v>
      </c>
      <c r="B261" s="317" t="s">
        <v>4055</v>
      </c>
      <c r="C261" s="317">
        <v>1.0900000000000001</v>
      </c>
      <c r="D261" s="317">
        <v>1.29</v>
      </c>
      <c r="E261" s="318">
        <v>14.22</v>
      </c>
      <c r="F261" s="317">
        <v>1.22</v>
      </c>
      <c r="G261" s="317">
        <v>1.7</v>
      </c>
      <c r="H261" s="319">
        <v>25.89</v>
      </c>
      <c r="I261" s="320">
        <v>29</v>
      </c>
      <c r="J261" s="320">
        <v>2.1</v>
      </c>
      <c r="K261" s="57">
        <f t="shared" si="24"/>
        <v>9.1287000000000007E-2</v>
      </c>
      <c r="L261" s="310">
        <f t="shared" si="25"/>
        <v>0.11655737704918033</v>
      </c>
      <c r="M261" s="405">
        <f t="shared" si="27"/>
        <v>21.686891515700388</v>
      </c>
      <c r="N261" s="63">
        <f t="shared" si="26"/>
        <v>0.19380871072540481</v>
      </c>
    </row>
    <row r="262" spans="1:24" ht="18" x14ac:dyDescent="0.25">
      <c r="A262" s="317" t="s">
        <v>4056</v>
      </c>
      <c r="B262" s="317" t="s">
        <v>4057</v>
      </c>
      <c r="C262" s="317">
        <v>1.0900000000000001</v>
      </c>
      <c r="D262" s="317">
        <v>14.31</v>
      </c>
      <c r="E262" s="318">
        <v>14.65</v>
      </c>
      <c r="F262" s="317">
        <v>1.35</v>
      </c>
      <c r="G262" s="317">
        <v>1.9</v>
      </c>
      <c r="H262" s="319">
        <v>286.64</v>
      </c>
      <c r="I262" s="320">
        <v>350</v>
      </c>
      <c r="J262" s="320">
        <v>2.2000000000000002</v>
      </c>
      <c r="K262" s="57">
        <f t="shared" si="24"/>
        <v>9.1287000000000007E-2</v>
      </c>
      <c r="L262" s="310">
        <f t="shared" si="25"/>
        <v>0.10851851851851851</v>
      </c>
      <c r="M262" s="405">
        <f t="shared" si="27"/>
        <v>219.1289638625459</v>
      </c>
      <c r="N262" s="63">
        <f t="shared" si="26"/>
        <v>0.30808814566294423</v>
      </c>
    </row>
    <row r="263" spans="1:24" ht="18" x14ac:dyDescent="0.25">
      <c r="A263" s="317" t="s">
        <v>1104</v>
      </c>
      <c r="B263" s="317"/>
      <c r="C263" s="317">
        <v>1.82</v>
      </c>
      <c r="D263" s="317">
        <v>0.73</v>
      </c>
      <c r="E263" s="318">
        <v>3.01</v>
      </c>
      <c r="F263" s="317">
        <v>0.1</v>
      </c>
      <c r="G263" s="317">
        <v>0</v>
      </c>
      <c r="H263" s="319">
        <v>3.49</v>
      </c>
      <c r="I263" s="320">
        <v>9</v>
      </c>
      <c r="J263" s="320">
        <v>1</v>
      </c>
      <c r="K263" s="57">
        <f t="shared" si="24"/>
        <v>0.12362600000000001</v>
      </c>
      <c r="L263" s="310">
        <f t="shared" si="25"/>
        <v>0.30099999999999999</v>
      </c>
      <c r="M263" s="405">
        <f t="shared" si="27"/>
        <v>22.335830928640149</v>
      </c>
      <c r="N263" s="63">
        <f t="shared" si="26"/>
        <v>-0.84374881726361273</v>
      </c>
    </row>
    <row r="264" spans="1:24" ht="18" x14ac:dyDescent="0.25">
      <c r="A264" s="317" t="s">
        <v>2588</v>
      </c>
      <c r="B264" s="317" t="s">
        <v>2589</v>
      </c>
      <c r="C264" s="317">
        <v>0.92</v>
      </c>
      <c r="D264" s="317">
        <v>5.91</v>
      </c>
      <c r="E264" s="318">
        <v>31.62</v>
      </c>
      <c r="F264" s="317">
        <v>1.9</v>
      </c>
      <c r="G264" s="317">
        <v>0</v>
      </c>
      <c r="H264" s="319">
        <v>265.95</v>
      </c>
      <c r="I264" s="320">
        <v>285</v>
      </c>
      <c r="J264" s="320">
        <v>2.7</v>
      </c>
      <c r="K264" s="57">
        <f t="shared" si="24"/>
        <v>8.3755999999999997E-2</v>
      </c>
      <c r="L264" s="310">
        <f t="shared" si="25"/>
        <v>0.16642105263157894</v>
      </c>
      <c r="M264" s="405">
        <f t="shared" si="27"/>
        <v>213.13738714974437</v>
      </c>
      <c r="N264" s="63">
        <f t="shared" si="26"/>
        <v>0.24778671427153676</v>
      </c>
    </row>
    <row r="265" spans="1:24" ht="18" x14ac:dyDescent="0.25">
      <c r="A265" s="317" t="s">
        <v>4058</v>
      </c>
      <c r="B265" s="317" t="s">
        <v>1177</v>
      </c>
      <c r="C265" s="317">
        <v>1.92</v>
      </c>
      <c r="D265" s="317">
        <v>6.29</v>
      </c>
      <c r="E265" s="318">
        <v>12.2</v>
      </c>
      <c r="F265" s="317">
        <v>1.24</v>
      </c>
      <c r="G265" s="317">
        <v>0.9</v>
      </c>
      <c r="H265" s="319">
        <v>116.54</v>
      </c>
      <c r="I265" s="320">
        <v>132.5</v>
      </c>
      <c r="J265" s="320">
        <v>2.2999999999999998</v>
      </c>
      <c r="K265" s="57">
        <f t="shared" si="24"/>
        <v>0.128056</v>
      </c>
      <c r="L265" s="310">
        <f t="shared" si="25"/>
        <v>9.8387096774193536E-2</v>
      </c>
      <c r="M265" s="405">
        <f t="shared" si="27"/>
        <v>74.693768704134726</v>
      </c>
      <c r="N265" s="63">
        <f t="shared" si="26"/>
        <v>0.56023724631729355</v>
      </c>
    </row>
    <row r="266" spans="1:24" ht="18" x14ac:dyDescent="0.25">
      <c r="A266" s="317" t="s">
        <v>1178</v>
      </c>
      <c r="B266" s="317" t="s">
        <v>1179</v>
      </c>
      <c r="C266" s="317">
        <v>0.51</v>
      </c>
      <c r="D266" s="317">
        <v>1.45</v>
      </c>
      <c r="E266" s="318">
        <v>12.88</v>
      </c>
      <c r="F266" s="317">
        <v>2.2799999999999998</v>
      </c>
      <c r="G266" s="317">
        <v>4.2</v>
      </c>
      <c r="H266" s="319">
        <v>19.97</v>
      </c>
      <c r="I266" s="320">
        <v>21</v>
      </c>
      <c r="J266" s="320">
        <v>2.1</v>
      </c>
      <c r="K266" s="57">
        <f t="shared" si="24"/>
        <v>6.5592999999999999E-2</v>
      </c>
      <c r="L266" s="310">
        <f t="shared" si="25"/>
        <v>5.6491228070175446E-2</v>
      </c>
      <c r="M266" s="405">
        <f t="shared" si="27"/>
        <v>22.792887001798466</v>
      </c>
      <c r="N266" s="63">
        <f t="shared" si="26"/>
        <v>-0.1238494711782552</v>
      </c>
    </row>
    <row r="267" spans="1:24" ht="18" x14ac:dyDescent="0.25">
      <c r="A267" s="317" t="s">
        <v>569</v>
      </c>
      <c r="B267" s="317" t="s">
        <v>570</v>
      </c>
      <c r="C267" s="317">
        <v>1.3</v>
      </c>
      <c r="D267" s="317">
        <v>0.66</v>
      </c>
      <c r="E267" s="318">
        <v>0</v>
      </c>
      <c r="F267" s="317">
        <v>0.14000000000000001</v>
      </c>
      <c r="G267" s="317">
        <v>0</v>
      </c>
      <c r="H267" s="319">
        <v>2.62</v>
      </c>
      <c r="I267" s="320">
        <v>9</v>
      </c>
      <c r="J267" s="320">
        <v>1</v>
      </c>
      <c r="K267" s="57">
        <f t="shared" si="24"/>
        <v>0.10059000000000001</v>
      </c>
      <c r="L267" s="310">
        <f t="shared" si="25"/>
        <v>0</v>
      </c>
      <c r="M267" s="405">
        <f t="shared" si="27"/>
        <v>9.0772142383834868</v>
      </c>
      <c r="N267" s="63">
        <f t="shared" si="26"/>
        <v>-0.71136519077392824</v>
      </c>
    </row>
    <row r="268" spans="1:24" ht="18" x14ac:dyDescent="0.25">
      <c r="A268" s="317" t="s">
        <v>1180</v>
      </c>
      <c r="B268" s="317" t="s">
        <v>1181</v>
      </c>
      <c r="C268" s="317">
        <v>0.69</v>
      </c>
      <c r="D268" s="317">
        <v>1.07</v>
      </c>
      <c r="E268" s="318">
        <v>15.44</v>
      </c>
      <c r="F268" s="317">
        <v>3.11</v>
      </c>
      <c r="G268" s="317">
        <v>4.2</v>
      </c>
      <c r="H268" s="319">
        <v>18.53</v>
      </c>
      <c r="I268" s="320">
        <v>19</v>
      </c>
      <c r="J268" s="320">
        <v>2.2000000000000002</v>
      </c>
      <c r="K268" s="57">
        <f t="shared" si="24"/>
        <v>7.3566999999999994E-2</v>
      </c>
      <c r="L268" s="310">
        <f t="shared" si="25"/>
        <v>4.964630225080386E-2</v>
      </c>
      <c r="M268" s="405">
        <f t="shared" si="27"/>
        <v>8.3335164811812739</v>
      </c>
      <c r="N268" s="63">
        <f t="shared" si="26"/>
        <v>1.2235511313674607</v>
      </c>
    </row>
    <row r="269" spans="1:24" ht="18" x14ac:dyDescent="0.25">
      <c r="A269" s="317" t="s">
        <v>2505</v>
      </c>
      <c r="B269" s="317"/>
      <c r="C269" s="317">
        <v>1.64</v>
      </c>
      <c r="D269" s="317">
        <v>1.63</v>
      </c>
      <c r="E269" s="318">
        <v>12.1</v>
      </c>
      <c r="F269" s="317">
        <v>3.73</v>
      </c>
      <c r="G269" s="317">
        <v>0.7</v>
      </c>
      <c r="H269" s="319">
        <v>42.94</v>
      </c>
      <c r="I269" s="320">
        <v>52.5</v>
      </c>
      <c r="J269" s="320">
        <v>2.1</v>
      </c>
      <c r="K269" s="57">
        <f t="shared" si="24"/>
        <v>0.115652</v>
      </c>
      <c r="L269" s="310">
        <f t="shared" si="25"/>
        <v>3.2439678284182302E-2</v>
      </c>
      <c r="M269" s="405">
        <f t="shared" si="27"/>
        <v>17.054566058278596</v>
      </c>
      <c r="N269" s="63">
        <f t="shared" si="26"/>
        <v>1.5178007961777569</v>
      </c>
    </row>
    <row r="270" spans="1:24" ht="18" x14ac:dyDescent="0.25">
      <c r="A270" s="317" t="s">
        <v>3749</v>
      </c>
      <c r="B270" s="317" t="s">
        <v>3750</v>
      </c>
      <c r="C270" s="317">
        <v>1.91</v>
      </c>
      <c r="D270" s="317">
        <v>1.1599999999999999</v>
      </c>
      <c r="E270" s="318">
        <v>16.93</v>
      </c>
      <c r="F270" s="317">
        <v>4.42</v>
      </c>
      <c r="G270" s="317">
        <v>1.9</v>
      </c>
      <c r="H270" s="319">
        <v>30.13</v>
      </c>
      <c r="I270" s="320">
        <v>32</v>
      </c>
      <c r="J270" s="320">
        <v>2.6</v>
      </c>
      <c r="K270" s="57">
        <f t="shared" si="24"/>
        <v>0.127613</v>
      </c>
      <c r="L270" s="310">
        <f t="shared" si="25"/>
        <v>3.830316742081448E-2</v>
      </c>
      <c r="M270" s="405">
        <f t="shared" si="27"/>
        <v>6.7528849732738161</v>
      </c>
      <c r="N270" s="63">
        <f t="shared" si="26"/>
        <v>3.4617967164029597</v>
      </c>
    </row>
    <row r="271" spans="1:24" ht="18" x14ac:dyDescent="0.25">
      <c r="A271" s="317" t="s">
        <v>1182</v>
      </c>
      <c r="B271" s="317" t="s">
        <v>1183</v>
      </c>
      <c r="C271" s="317">
        <v>1.37</v>
      </c>
      <c r="D271" s="317">
        <v>1.6</v>
      </c>
      <c r="E271" s="318">
        <v>11.18</v>
      </c>
      <c r="F271" s="317">
        <v>1.82</v>
      </c>
      <c r="G271" s="317">
        <v>0.7</v>
      </c>
      <c r="H271" s="319">
        <v>49.88</v>
      </c>
      <c r="I271" s="320">
        <v>62</v>
      </c>
      <c r="J271" s="320">
        <v>2</v>
      </c>
      <c r="K271" s="57">
        <f t="shared" si="24"/>
        <v>0.10369100000000001</v>
      </c>
      <c r="L271" s="310">
        <f t="shared" si="25"/>
        <v>6.1428571428571423E-2</v>
      </c>
      <c r="M271" s="405">
        <f t="shared" si="27"/>
        <v>20.994748048064565</v>
      </c>
      <c r="N271" s="63">
        <f t="shared" si="26"/>
        <v>1.375832274138592</v>
      </c>
    </row>
    <row r="272" spans="1:24" ht="18" x14ac:dyDescent="0.25">
      <c r="A272" s="317" t="s">
        <v>1184</v>
      </c>
      <c r="B272" s="317" t="s">
        <v>1185</v>
      </c>
      <c r="C272" s="317">
        <v>1.85</v>
      </c>
      <c r="D272" s="317">
        <v>6.01</v>
      </c>
      <c r="E272" s="318">
        <v>9.36</v>
      </c>
      <c r="F272" s="317">
        <v>1.04</v>
      </c>
      <c r="G272" s="317">
        <v>0.4</v>
      </c>
      <c r="H272" s="319">
        <v>53.55</v>
      </c>
      <c r="I272" s="320">
        <v>59.5</v>
      </c>
      <c r="J272" s="320">
        <v>2.4</v>
      </c>
      <c r="K272" s="57">
        <f t="shared" si="24"/>
        <v>0.12495500000000001</v>
      </c>
      <c r="L272" s="310">
        <f t="shared" si="25"/>
        <v>0.09</v>
      </c>
      <c r="M272" s="405">
        <f t="shared" si="27"/>
        <v>82.874822305136888</v>
      </c>
      <c r="N272" s="63">
        <f t="shared" si="26"/>
        <v>-0.35384476840464041</v>
      </c>
      <c r="W272" s="26"/>
      <c r="X272"/>
    </row>
    <row r="273" spans="1:24" ht="18" x14ac:dyDescent="0.25">
      <c r="A273" s="317" t="s">
        <v>1186</v>
      </c>
      <c r="B273" s="317" t="s">
        <v>1187</v>
      </c>
      <c r="C273" s="317">
        <v>1.1200000000000001</v>
      </c>
      <c r="D273" s="317">
        <v>0.83</v>
      </c>
      <c r="E273" s="318">
        <v>27.62</v>
      </c>
      <c r="F273" s="317">
        <v>2.13</v>
      </c>
      <c r="G273" s="317">
        <v>0.2</v>
      </c>
      <c r="H273" s="319">
        <v>52.48</v>
      </c>
      <c r="I273" s="320">
        <v>62.5</v>
      </c>
      <c r="J273" s="320">
        <v>2.2000000000000002</v>
      </c>
      <c r="K273" s="57">
        <f t="shared" si="24"/>
        <v>9.2616000000000004E-2</v>
      </c>
      <c r="L273" s="310">
        <f t="shared" si="25"/>
        <v>0.12967136150234743</v>
      </c>
      <c r="M273" s="405">
        <f t="shared" si="27"/>
        <v>19.009806697061457</v>
      </c>
      <c r="N273" s="63">
        <f t="shared" si="26"/>
        <v>1.7606803602117835</v>
      </c>
      <c r="W273" s="26"/>
      <c r="X273"/>
    </row>
    <row r="274" spans="1:24" ht="18" x14ac:dyDescent="0.25">
      <c r="A274" s="317" t="s">
        <v>3067</v>
      </c>
      <c r="B274" s="317" t="s">
        <v>3068</v>
      </c>
      <c r="C274" s="317">
        <v>0.84</v>
      </c>
      <c r="D274" s="317">
        <v>0.45</v>
      </c>
      <c r="E274" s="318">
        <v>7.38</v>
      </c>
      <c r="F274" s="317">
        <v>0.55000000000000004</v>
      </c>
      <c r="G274" s="317">
        <v>0</v>
      </c>
      <c r="H274" s="319">
        <v>7.97</v>
      </c>
      <c r="I274" s="320">
        <v>12</v>
      </c>
      <c r="J274" s="320">
        <v>1.9</v>
      </c>
      <c r="K274" s="57">
        <f t="shared" si="24"/>
        <v>8.0212000000000006E-2</v>
      </c>
      <c r="L274" s="310">
        <f t="shared" si="25"/>
        <v>0.13418181818181815</v>
      </c>
      <c r="M274" s="405">
        <f t="shared" si="27"/>
        <v>15.474301371220328</v>
      </c>
      <c r="N274" s="63">
        <f t="shared" si="26"/>
        <v>-0.4849525152183673</v>
      </c>
      <c r="W274" s="26"/>
      <c r="X274"/>
    </row>
    <row r="275" spans="1:24" ht="18" x14ac:dyDescent="0.25">
      <c r="A275" s="317" t="s">
        <v>3006</v>
      </c>
      <c r="B275" s="317" t="s">
        <v>3007</v>
      </c>
      <c r="C275" s="317"/>
      <c r="D275" s="317"/>
      <c r="E275" s="318"/>
      <c r="F275" s="317"/>
      <c r="G275" s="317"/>
      <c r="H275" s="319"/>
      <c r="I275" s="320"/>
      <c r="J275" s="320"/>
      <c r="K275" s="57">
        <f t="shared" si="24"/>
        <v>4.2999999999999997E-2</v>
      </c>
      <c r="L275" s="310" t="e">
        <f t="shared" si="25"/>
        <v>#DIV/0!</v>
      </c>
      <c r="M275" s="405" t="e">
        <f t="shared" si="27"/>
        <v>#DIV/0!</v>
      </c>
      <c r="N275" s="63" t="e">
        <f t="shared" si="26"/>
        <v>#DIV/0!</v>
      </c>
      <c r="W275" s="26"/>
      <c r="X275"/>
    </row>
    <row r="276" spans="1:24" ht="18" x14ac:dyDescent="0.25">
      <c r="A276" s="317" t="s">
        <v>3069</v>
      </c>
      <c r="B276" s="317" t="s">
        <v>3070</v>
      </c>
      <c r="C276" s="317">
        <v>1.64</v>
      </c>
      <c r="D276" s="317">
        <v>2.88</v>
      </c>
      <c r="E276" s="318">
        <v>18.100000000000001</v>
      </c>
      <c r="F276" s="317">
        <v>1.29</v>
      </c>
      <c r="G276" s="317">
        <v>1</v>
      </c>
      <c r="H276" s="319">
        <v>59.55</v>
      </c>
      <c r="I276" s="320">
        <v>65</v>
      </c>
      <c r="J276" s="320">
        <v>1.9</v>
      </c>
      <c r="K276" s="57">
        <f t="shared" si="24"/>
        <v>0.115652</v>
      </c>
      <c r="L276" s="310">
        <f t="shared" si="25"/>
        <v>0.14031007751937985</v>
      </c>
      <c r="M276" s="405">
        <f t="shared" si="27"/>
        <v>43.932481997888424</v>
      </c>
      <c r="N276" s="63">
        <f t="shared" si="26"/>
        <v>0.35548908898118292</v>
      </c>
      <c r="W276" s="26"/>
      <c r="X276"/>
    </row>
    <row r="277" spans="1:24" ht="18" x14ac:dyDescent="0.25">
      <c r="A277" s="317" t="s">
        <v>3071</v>
      </c>
      <c r="B277" s="317" t="s">
        <v>3072</v>
      </c>
      <c r="C277" s="317">
        <v>1.56</v>
      </c>
      <c r="D277" s="317">
        <v>1.02</v>
      </c>
      <c r="E277" s="318">
        <v>13.67</v>
      </c>
      <c r="F277" s="317">
        <v>0.52</v>
      </c>
      <c r="G277" s="317">
        <v>1.7</v>
      </c>
      <c r="H277" s="319">
        <v>14.22</v>
      </c>
      <c r="I277" s="320">
        <v>19</v>
      </c>
      <c r="J277" s="320">
        <v>1.5</v>
      </c>
      <c r="K277" s="57">
        <f t="shared" si="24"/>
        <v>0.11210800000000001</v>
      </c>
      <c r="L277" s="310">
        <f t="shared" si="25"/>
        <v>0.26288461538461538</v>
      </c>
      <c r="M277" s="405">
        <f t="shared" si="27"/>
        <v>24.409265220974127</v>
      </c>
      <c r="N277" s="63">
        <f t="shared" si="26"/>
        <v>-0.41743432785591622</v>
      </c>
      <c r="W277" s="26"/>
      <c r="X277"/>
    </row>
    <row r="278" spans="1:24" ht="18" x14ac:dyDescent="0.25">
      <c r="A278" s="317" t="s">
        <v>1188</v>
      </c>
      <c r="B278" s="317" t="s">
        <v>1189</v>
      </c>
      <c r="C278" s="317">
        <v>1.27</v>
      </c>
      <c r="D278" s="317">
        <v>3.75</v>
      </c>
      <c r="E278" s="318">
        <v>13.74</v>
      </c>
      <c r="F278" s="317">
        <v>1.68</v>
      </c>
      <c r="G278" s="317">
        <v>1.5</v>
      </c>
      <c r="H278" s="319">
        <v>63.46</v>
      </c>
      <c r="I278" s="320">
        <v>73</v>
      </c>
      <c r="J278" s="320">
        <v>2.2000000000000002</v>
      </c>
      <c r="K278" s="57">
        <f t="shared" si="24"/>
        <v>9.9261000000000002E-2</v>
      </c>
      <c r="L278" s="310">
        <f t="shared" si="25"/>
        <v>8.1785714285714295E-2</v>
      </c>
      <c r="M278" s="405">
        <f t="shared" si="27"/>
        <v>54.377983881227486</v>
      </c>
      <c r="N278" s="63">
        <f t="shared" si="26"/>
        <v>0.16701641860443878</v>
      </c>
      <c r="W278" s="26"/>
      <c r="X278"/>
    </row>
    <row r="279" spans="1:24" ht="18" x14ac:dyDescent="0.25">
      <c r="A279" s="317" t="s">
        <v>964</v>
      </c>
      <c r="B279" s="317" t="s">
        <v>965</v>
      </c>
      <c r="C279" s="317"/>
      <c r="D279" s="317"/>
      <c r="E279" s="318"/>
      <c r="F279" s="317"/>
      <c r="G279" s="317"/>
      <c r="H279" s="319"/>
      <c r="I279" s="320"/>
      <c r="J279" s="320"/>
      <c r="K279" s="57">
        <f t="shared" si="24"/>
        <v>4.2999999999999997E-2</v>
      </c>
      <c r="L279" s="310" t="e">
        <f t="shared" si="25"/>
        <v>#DIV/0!</v>
      </c>
      <c r="M279" s="405" t="e">
        <f t="shared" si="27"/>
        <v>#DIV/0!</v>
      </c>
      <c r="N279" s="63" t="e">
        <f t="shared" si="26"/>
        <v>#DIV/0!</v>
      </c>
      <c r="W279" s="26"/>
      <c r="X279"/>
    </row>
    <row r="280" spans="1:24" ht="18" x14ac:dyDescent="0.25">
      <c r="A280" s="317" t="s">
        <v>1190</v>
      </c>
      <c r="B280" s="317" t="s">
        <v>1191</v>
      </c>
      <c r="C280" s="317">
        <v>1.17</v>
      </c>
      <c r="D280" s="317">
        <v>7.62</v>
      </c>
      <c r="E280" s="318">
        <v>8.2200000000000006</v>
      </c>
      <c r="F280" s="317">
        <v>1.81</v>
      </c>
      <c r="G280" s="317">
        <v>3.4</v>
      </c>
      <c r="H280" s="319">
        <v>72.55</v>
      </c>
      <c r="I280" s="320">
        <v>85</v>
      </c>
      <c r="J280" s="320">
        <v>2.5</v>
      </c>
      <c r="K280" s="57">
        <f t="shared" si="24"/>
        <v>9.4830999999999999E-2</v>
      </c>
      <c r="L280" s="310">
        <f t="shared" si="25"/>
        <v>4.5414364640883977E-2</v>
      </c>
      <c r="M280" s="405">
        <f t="shared" si="27"/>
        <v>93.075347696096742</v>
      </c>
      <c r="N280" s="63">
        <f t="shared" si="26"/>
        <v>-0.22052399699987912</v>
      </c>
      <c r="W280" s="26"/>
      <c r="X280"/>
    </row>
    <row r="281" spans="1:24" ht="18" x14ac:dyDescent="0.25">
      <c r="A281" s="317" t="s">
        <v>3073</v>
      </c>
      <c r="B281" s="317" t="s">
        <v>3074</v>
      </c>
      <c r="C281" s="317">
        <v>1.17</v>
      </c>
      <c r="D281" s="317">
        <v>1.55</v>
      </c>
      <c r="E281" s="318">
        <v>12.9</v>
      </c>
      <c r="F281" s="317">
        <v>1.06</v>
      </c>
      <c r="G281" s="317">
        <v>0</v>
      </c>
      <c r="H281" s="319">
        <v>33.549999999999997</v>
      </c>
      <c r="I281" s="320">
        <v>40</v>
      </c>
      <c r="J281" s="320">
        <v>1</v>
      </c>
      <c r="K281" s="57">
        <f t="shared" si="24"/>
        <v>9.4830999999999999E-2</v>
      </c>
      <c r="L281" s="310">
        <f t="shared" si="25"/>
        <v>0.12169811320754716</v>
      </c>
      <c r="M281" s="405">
        <f t="shared" si="27"/>
        <v>37.881806158023593</v>
      </c>
      <c r="N281" s="63">
        <f t="shared" si="26"/>
        <v>-0.11435057082425025</v>
      </c>
      <c r="W281" s="26"/>
      <c r="X281"/>
    </row>
    <row r="282" spans="1:24" ht="18" x14ac:dyDescent="0.25">
      <c r="A282" s="317" t="s">
        <v>1912</v>
      </c>
      <c r="B282" s="317" t="s">
        <v>1913</v>
      </c>
      <c r="C282" s="317">
        <v>0.77</v>
      </c>
      <c r="D282" s="317">
        <v>3.15</v>
      </c>
      <c r="E282" s="318">
        <v>21.11</v>
      </c>
      <c r="F282" s="317">
        <v>1.83</v>
      </c>
      <c r="G282" s="317">
        <v>1.2</v>
      </c>
      <c r="H282" s="319">
        <v>80.650000000000006</v>
      </c>
      <c r="I282" s="320">
        <v>80</v>
      </c>
      <c r="J282" s="320">
        <v>2.2999999999999998</v>
      </c>
      <c r="K282" s="57">
        <f t="shared" si="24"/>
        <v>7.7110999999999999E-2</v>
      </c>
      <c r="L282" s="310">
        <f t="shared" si="25"/>
        <v>0.11535519125683059</v>
      </c>
      <c r="M282" s="405">
        <f t="shared" si="27"/>
        <v>74.911359988073869</v>
      </c>
      <c r="N282" s="63">
        <f t="shared" si="26"/>
        <v>7.6605737939342541E-2</v>
      </c>
      <c r="W282" s="26"/>
      <c r="X282"/>
    </row>
    <row r="283" spans="1:24" ht="18" x14ac:dyDescent="0.25">
      <c r="A283" s="317" t="s">
        <v>3075</v>
      </c>
      <c r="B283" s="317" t="s">
        <v>3076</v>
      </c>
      <c r="C283" s="317">
        <v>2.57</v>
      </c>
      <c r="D283" s="317">
        <v>0.63</v>
      </c>
      <c r="E283" s="318">
        <v>9.3800000000000008</v>
      </c>
      <c r="F283" s="317">
        <v>1.49</v>
      </c>
      <c r="G283" s="317">
        <v>0</v>
      </c>
      <c r="H283" s="319">
        <v>8.44</v>
      </c>
      <c r="I283" s="320">
        <v>10</v>
      </c>
      <c r="J283" s="320">
        <v>2.2999999999999998</v>
      </c>
      <c r="K283" s="57">
        <f t="shared" si="24"/>
        <v>0.15685100000000002</v>
      </c>
      <c r="L283" s="310">
        <f t="shared" si="25"/>
        <v>6.2953020134228196E-2</v>
      </c>
      <c r="M283" s="405">
        <f t="shared" si="27"/>
        <v>6.0925750556052645</v>
      </c>
      <c r="N283" s="63">
        <f t="shared" si="26"/>
        <v>0.38529274124166385</v>
      </c>
      <c r="W283" s="26"/>
      <c r="X283"/>
    </row>
    <row r="284" spans="1:24" ht="18" x14ac:dyDescent="0.25">
      <c r="A284" s="317" t="s">
        <v>3077</v>
      </c>
      <c r="B284" s="317" t="s">
        <v>3078</v>
      </c>
      <c r="C284" s="317">
        <v>1.22</v>
      </c>
      <c r="D284" s="317">
        <v>4.82</v>
      </c>
      <c r="E284" s="318">
        <v>10.06</v>
      </c>
      <c r="F284" s="317">
        <v>1.1100000000000001</v>
      </c>
      <c r="G284" s="317">
        <v>1.9</v>
      </c>
      <c r="H284" s="319">
        <v>61.13</v>
      </c>
      <c r="I284" s="320">
        <v>67</v>
      </c>
      <c r="J284" s="320">
        <v>2</v>
      </c>
      <c r="K284" s="57">
        <f t="shared" ref="K284:K300" si="28">$P$14+C284*($Q$15-$P$14)</f>
        <v>9.7045999999999993E-2</v>
      </c>
      <c r="L284" s="310">
        <f t="shared" ref="L284:L301" si="29">E284/F284/100</f>
        <v>9.0630630630630621E-2</v>
      </c>
      <c r="M284" s="405">
        <f t="shared" si="27"/>
        <v>76.278703697162825</v>
      </c>
      <c r="N284" s="63">
        <f t="shared" ref="N284:N301" si="30">(H284-M284)/M284</f>
        <v>-0.19859676374817939</v>
      </c>
      <c r="W284" s="26"/>
      <c r="X284"/>
    </row>
    <row r="285" spans="1:24" ht="18" x14ac:dyDescent="0.25">
      <c r="A285" s="317" t="s">
        <v>1192</v>
      </c>
      <c r="B285" s="317" t="s">
        <v>1193</v>
      </c>
      <c r="C285" s="317">
        <v>0.25</v>
      </c>
      <c r="D285" s="317">
        <v>2.33</v>
      </c>
      <c r="E285" s="318">
        <v>13.25</v>
      </c>
      <c r="F285" s="317">
        <v>2.33</v>
      </c>
      <c r="G285" s="317">
        <v>3.5</v>
      </c>
      <c r="H285" s="319">
        <v>33.4</v>
      </c>
      <c r="I285" s="320">
        <v>33</v>
      </c>
      <c r="J285" s="320">
        <v>3.2</v>
      </c>
      <c r="K285" s="57">
        <f t="shared" si="28"/>
        <v>5.4074999999999998E-2</v>
      </c>
      <c r="L285" s="310">
        <f t="shared" si="29"/>
        <v>5.6866952789699568E-2</v>
      </c>
      <c r="M285" s="405">
        <f t="shared" si="27"/>
        <v>70.923385447720889</v>
      </c>
      <c r="N285" s="63">
        <f t="shared" si="30"/>
        <v>-0.5290692937293604</v>
      </c>
      <c r="W285" s="26"/>
      <c r="X285"/>
    </row>
    <row r="286" spans="1:24" ht="18" x14ac:dyDescent="0.25">
      <c r="A286" s="317" t="s">
        <v>4921</v>
      </c>
      <c r="B286" s="317" t="s">
        <v>4922</v>
      </c>
      <c r="C286" s="317">
        <v>1.41</v>
      </c>
      <c r="D286" s="317">
        <v>-0.45</v>
      </c>
      <c r="E286" s="318">
        <v>90.58</v>
      </c>
      <c r="F286" s="317">
        <v>10.58</v>
      </c>
      <c r="G286" s="317">
        <v>0</v>
      </c>
      <c r="H286" s="319">
        <v>16.309999999999999</v>
      </c>
      <c r="I286" s="320">
        <v>19</v>
      </c>
      <c r="J286" s="320">
        <v>2.1</v>
      </c>
      <c r="K286" s="57">
        <f t="shared" si="28"/>
        <v>0.105463</v>
      </c>
      <c r="L286" s="310">
        <f t="shared" si="29"/>
        <v>8.5614366729678634E-2</v>
      </c>
      <c r="M286" s="405">
        <f t="shared" si="27"/>
        <v>-8.0878343851880956</v>
      </c>
      <c r="N286" s="63">
        <f t="shared" si="30"/>
        <v>-3.0166090480128798</v>
      </c>
      <c r="W286" s="26"/>
      <c r="X286"/>
    </row>
    <row r="287" spans="1:24" ht="18" x14ac:dyDescent="0.25">
      <c r="A287" s="317" t="s">
        <v>412</v>
      </c>
      <c r="B287" s="317"/>
      <c r="C287" s="317">
        <v>1.23</v>
      </c>
      <c r="D287" s="317">
        <v>0.48</v>
      </c>
      <c r="E287" s="318">
        <v>18.73</v>
      </c>
      <c r="F287" s="317">
        <v>2</v>
      </c>
      <c r="G287" s="317">
        <v>0</v>
      </c>
      <c r="H287" s="319">
        <v>11.24</v>
      </c>
      <c r="I287" s="320">
        <v>14</v>
      </c>
      <c r="J287" s="320">
        <v>1.7</v>
      </c>
      <c r="K287" s="57">
        <f t="shared" si="28"/>
        <v>9.7489000000000006E-2</v>
      </c>
      <c r="L287" s="310">
        <f t="shared" si="29"/>
        <v>9.3649999999999997E-2</v>
      </c>
      <c r="M287" s="405">
        <f t="shared" si="27"/>
        <v>10.053963277585776</v>
      </c>
      <c r="N287" s="63">
        <f t="shared" si="30"/>
        <v>0.11796708319577462</v>
      </c>
      <c r="W287" s="26"/>
      <c r="X287"/>
    </row>
    <row r="288" spans="1:24" ht="18" x14ac:dyDescent="0.25">
      <c r="A288" s="317" t="s">
        <v>3618</v>
      </c>
      <c r="B288" s="317" t="s">
        <v>4370</v>
      </c>
      <c r="C288" s="317">
        <v>2.8</v>
      </c>
      <c r="D288" s="317">
        <v>1.08</v>
      </c>
      <c r="E288" s="318">
        <v>9.19</v>
      </c>
      <c r="F288" s="317">
        <v>0.6</v>
      </c>
      <c r="G288" s="317">
        <v>0</v>
      </c>
      <c r="H288" s="319">
        <v>30.42</v>
      </c>
      <c r="I288" s="320">
        <v>41.5</v>
      </c>
      <c r="J288" s="320">
        <v>1.7</v>
      </c>
      <c r="K288" s="57">
        <f t="shared" si="28"/>
        <v>0.16704000000000002</v>
      </c>
      <c r="L288" s="310">
        <f t="shared" si="29"/>
        <v>0.15316666666666667</v>
      </c>
      <c r="M288" s="405">
        <f t="shared" si="27"/>
        <v>13.036523676885759</v>
      </c>
      <c r="N288" s="63">
        <f t="shared" si="30"/>
        <v>1.3334441568909812</v>
      </c>
      <c r="W288" s="26"/>
      <c r="X288"/>
    </row>
    <row r="289" spans="1:24" ht="18" x14ac:dyDescent="0.25">
      <c r="A289" s="317" t="s">
        <v>3079</v>
      </c>
      <c r="B289" s="317" t="s">
        <v>3080</v>
      </c>
      <c r="C289" s="317">
        <v>1.32</v>
      </c>
      <c r="D289" s="317">
        <v>1.64</v>
      </c>
      <c r="E289" s="318">
        <v>4.22</v>
      </c>
      <c r="F289" s="317">
        <v>1.57</v>
      </c>
      <c r="G289" s="317">
        <v>6</v>
      </c>
      <c r="H289" s="319">
        <v>15.63</v>
      </c>
      <c r="I289" s="320">
        <v>27.5</v>
      </c>
      <c r="J289" s="320">
        <v>1.5</v>
      </c>
      <c r="K289" s="57">
        <f t="shared" si="28"/>
        <v>0.10147600000000001</v>
      </c>
      <c r="L289" s="310">
        <f t="shared" si="29"/>
        <v>2.6878980891719743E-2</v>
      </c>
      <c r="M289" s="405">
        <f t="shared" si="27"/>
        <v>10.619227182226609</v>
      </c>
      <c r="N289" s="63">
        <f t="shared" si="30"/>
        <v>0.4718585196256011</v>
      </c>
      <c r="W289" s="26"/>
      <c r="X289"/>
    </row>
    <row r="290" spans="1:24" ht="18" x14ac:dyDescent="0.25">
      <c r="A290" s="317" t="s">
        <v>3081</v>
      </c>
      <c r="B290" s="317" t="s">
        <v>3082</v>
      </c>
      <c r="C290" s="317">
        <v>2.2200000000000002</v>
      </c>
      <c r="D290" s="317">
        <v>1.25</v>
      </c>
      <c r="E290" s="318">
        <v>8.09</v>
      </c>
      <c r="F290" s="317">
        <v>0.86</v>
      </c>
      <c r="G290" s="317">
        <v>0</v>
      </c>
      <c r="H290" s="319">
        <v>15.38</v>
      </c>
      <c r="I290" s="320">
        <v>18</v>
      </c>
      <c r="J290" s="320">
        <v>1.5</v>
      </c>
      <c r="K290" s="57">
        <f t="shared" si="28"/>
        <v>0.14134600000000003</v>
      </c>
      <c r="L290" s="310">
        <f t="shared" si="29"/>
        <v>9.4069767441860463E-2</v>
      </c>
      <c r="M290" s="405">
        <f t="shared" si="27"/>
        <v>15.356757790103364</v>
      </c>
      <c r="N290" s="63">
        <f t="shared" si="30"/>
        <v>1.5134841751307119E-3</v>
      </c>
      <c r="W290" s="26"/>
      <c r="X290"/>
    </row>
    <row r="291" spans="1:24" ht="18" x14ac:dyDescent="0.25">
      <c r="A291" s="317" t="s">
        <v>1194</v>
      </c>
      <c r="B291" s="317" t="s">
        <v>1195</v>
      </c>
      <c r="C291" s="317">
        <v>1.29</v>
      </c>
      <c r="D291" s="317">
        <v>0.47</v>
      </c>
      <c r="E291" s="318">
        <v>71.53</v>
      </c>
      <c r="F291" s="317">
        <v>4.2699999999999996</v>
      </c>
      <c r="G291" s="317">
        <v>0</v>
      </c>
      <c r="H291" s="319">
        <v>132.33000000000001</v>
      </c>
      <c r="I291" s="320">
        <v>170</v>
      </c>
      <c r="J291" s="320">
        <v>2.2000000000000002</v>
      </c>
      <c r="K291" s="57">
        <f t="shared" si="28"/>
        <v>0.10014700000000001</v>
      </c>
      <c r="L291" s="310">
        <f t="shared" si="29"/>
        <v>0.16751756440281032</v>
      </c>
      <c r="M291" s="405">
        <f t="shared" si="27"/>
        <v>12.518444025579234</v>
      </c>
      <c r="N291" s="63">
        <f t="shared" si="30"/>
        <v>9.5708025477932388</v>
      </c>
      <c r="W291" s="26"/>
      <c r="X291"/>
    </row>
    <row r="292" spans="1:24" ht="18" x14ac:dyDescent="0.25">
      <c r="A292" s="317" t="s">
        <v>3083</v>
      </c>
      <c r="B292" s="317" t="s">
        <v>3084</v>
      </c>
      <c r="C292" s="317">
        <v>0.93</v>
      </c>
      <c r="D292" s="317">
        <v>2.39</v>
      </c>
      <c r="E292" s="318">
        <v>8.84</v>
      </c>
      <c r="F292" s="317">
        <v>0.66</v>
      </c>
      <c r="G292" s="317">
        <v>0</v>
      </c>
      <c r="H292" s="319">
        <v>24.92</v>
      </c>
      <c r="I292" s="320">
        <v>31.5</v>
      </c>
      <c r="J292" s="320">
        <v>2</v>
      </c>
      <c r="K292" s="57">
        <f t="shared" si="28"/>
        <v>8.4198999999999996E-2</v>
      </c>
      <c r="L292" s="310">
        <f t="shared" si="29"/>
        <v>0.13393939393939391</v>
      </c>
      <c r="M292" s="405">
        <f t="shared" si="27"/>
        <v>75.151126478840936</v>
      </c>
      <c r="N292" s="63">
        <f t="shared" si="30"/>
        <v>-0.66840151082743493</v>
      </c>
      <c r="W292" s="26"/>
      <c r="X292"/>
    </row>
    <row r="293" spans="1:24" ht="18" x14ac:dyDescent="0.25">
      <c r="A293" s="317" t="s">
        <v>3085</v>
      </c>
      <c r="B293" s="317" t="s">
        <v>3086</v>
      </c>
      <c r="C293" s="317">
        <v>1.91</v>
      </c>
      <c r="D293" s="317">
        <v>0.76</v>
      </c>
      <c r="E293" s="318">
        <v>15.3</v>
      </c>
      <c r="F293" s="317">
        <v>1.43</v>
      </c>
      <c r="G293" s="317">
        <v>0</v>
      </c>
      <c r="H293" s="319">
        <v>20.81</v>
      </c>
      <c r="I293" s="320">
        <v>25</v>
      </c>
      <c r="J293" s="320">
        <v>1.5</v>
      </c>
      <c r="K293" s="57">
        <f t="shared" si="28"/>
        <v>0.127613</v>
      </c>
      <c r="L293" s="310">
        <f t="shared" si="29"/>
        <v>0.106993006993007</v>
      </c>
      <c r="M293" s="405">
        <f t="shared" si="27"/>
        <v>11.228046338164708</v>
      </c>
      <c r="N293" s="63">
        <f t="shared" si="30"/>
        <v>0.85339455977000533</v>
      </c>
      <c r="W293" s="26"/>
      <c r="X293"/>
    </row>
    <row r="294" spans="1:24" ht="18" x14ac:dyDescent="0.25">
      <c r="A294" s="317" t="s">
        <v>3087</v>
      </c>
      <c r="B294" s="317" t="s">
        <v>3088</v>
      </c>
      <c r="C294" s="317">
        <v>1.05</v>
      </c>
      <c r="D294" s="317">
        <v>0.51</v>
      </c>
      <c r="E294" s="318">
        <v>10.62</v>
      </c>
      <c r="F294" s="317">
        <v>0</v>
      </c>
      <c r="G294" s="317">
        <v>6.3</v>
      </c>
      <c r="H294" s="319">
        <v>12.86</v>
      </c>
      <c r="I294" s="320">
        <v>19</v>
      </c>
      <c r="J294" s="320">
        <v>1</v>
      </c>
      <c r="K294" s="57">
        <f t="shared" si="28"/>
        <v>8.9515000000000011E-2</v>
      </c>
      <c r="L294" s="310" t="e">
        <f t="shared" si="29"/>
        <v>#DIV/0!</v>
      </c>
      <c r="M294" s="405" t="e">
        <f t="shared" si="27"/>
        <v>#DIV/0!</v>
      </c>
      <c r="N294" s="63" t="e">
        <f t="shared" si="30"/>
        <v>#DIV/0!</v>
      </c>
      <c r="W294" s="26"/>
      <c r="X294"/>
    </row>
    <row r="295" spans="1:24" ht="18" x14ac:dyDescent="0.25">
      <c r="A295" s="317" t="s">
        <v>3438</v>
      </c>
      <c r="B295" s="317" t="s">
        <v>3439</v>
      </c>
      <c r="C295" s="317">
        <v>6.27</v>
      </c>
      <c r="D295" s="317">
        <v>-0.21</v>
      </c>
      <c r="E295" s="318">
        <v>0</v>
      </c>
      <c r="F295" s="317">
        <v>0</v>
      </c>
      <c r="G295" s="317">
        <v>0</v>
      </c>
      <c r="H295" s="319">
        <v>0.34</v>
      </c>
      <c r="I295" s="320">
        <v>2</v>
      </c>
      <c r="J295" s="320">
        <v>3</v>
      </c>
      <c r="K295" s="57">
        <f t="shared" si="28"/>
        <v>0.32076100000000002</v>
      </c>
      <c r="L295" s="310" t="e">
        <f t="shared" si="29"/>
        <v>#DIV/0!</v>
      </c>
      <c r="M295" s="405" t="e">
        <f t="shared" si="27"/>
        <v>#DIV/0!</v>
      </c>
      <c r="N295" s="63" t="e">
        <f t="shared" si="30"/>
        <v>#DIV/0!</v>
      </c>
      <c r="W295" s="26"/>
      <c r="X295"/>
    </row>
    <row r="296" spans="1:24" ht="18" x14ac:dyDescent="0.25">
      <c r="A296" s="317" t="s">
        <v>1200</v>
      </c>
      <c r="B296" s="317" t="s">
        <v>1201</v>
      </c>
      <c r="C296" s="317">
        <v>0.71</v>
      </c>
      <c r="D296" s="317">
        <v>3.13</v>
      </c>
      <c r="E296" s="318">
        <v>13.14</v>
      </c>
      <c r="F296" s="317">
        <v>0</v>
      </c>
      <c r="G296" s="317">
        <v>7.1</v>
      </c>
      <c r="H296" s="319">
        <v>39.950000000000003</v>
      </c>
      <c r="I296" s="320">
        <v>45</v>
      </c>
      <c r="J296" s="320">
        <v>2.2999999999999998</v>
      </c>
      <c r="K296" s="57">
        <f>$P$14+C296*($Q$15-$P$14)</f>
        <v>7.4452999999999991E-2</v>
      </c>
      <c r="L296" s="310" t="e">
        <f t="shared" si="29"/>
        <v>#DIV/0!</v>
      </c>
      <c r="M296" s="405" t="e">
        <f t="shared" si="27"/>
        <v>#DIV/0!</v>
      </c>
      <c r="N296" s="63" t="e">
        <f t="shared" si="30"/>
        <v>#DIV/0!</v>
      </c>
      <c r="W296" s="26"/>
      <c r="X296"/>
    </row>
    <row r="297" spans="1:24" ht="18" x14ac:dyDescent="0.25">
      <c r="A297" s="317" t="s">
        <v>1592</v>
      </c>
      <c r="B297" s="317"/>
      <c r="C297" s="317">
        <v>1.7</v>
      </c>
      <c r="D297" s="317">
        <v>1.07</v>
      </c>
      <c r="E297" s="318">
        <v>30.48</v>
      </c>
      <c r="F297" s="317">
        <v>1.35</v>
      </c>
      <c r="G297" s="317">
        <v>0</v>
      </c>
      <c r="H297" s="319">
        <v>47.24</v>
      </c>
      <c r="I297" s="320">
        <v>51</v>
      </c>
      <c r="J297" s="320">
        <v>2.1</v>
      </c>
      <c r="K297" s="57">
        <f t="shared" si="28"/>
        <v>0.11831</v>
      </c>
      <c r="L297" s="310">
        <f t="shared" si="29"/>
        <v>0.22577777777777774</v>
      </c>
      <c r="M297" s="405">
        <f t="shared" si="27"/>
        <v>27.049279562425774</v>
      </c>
      <c r="N297" s="63">
        <f t="shared" si="30"/>
        <v>0.74644207772621096</v>
      </c>
      <c r="W297" s="26"/>
      <c r="X297"/>
    </row>
    <row r="298" spans="1:24" ht="18" x14ac:dyDescent="0.25">
      <c r="A298" s="317" t="s">
        <v>1748</v>
      </c>
      <c r="B298" s="317" t="s">
        <v>3097</v>
      </c>
      <c r="C298" s="317">
        <v>2.2400000000000002</v>
      </c>
      <c r="D298" s="317">
        <v>0.65</v>
      </c>
      <c r="E298" s="318">
        <v>11.07</v>
      </c>
      <c r="F298" s="317">
        <v>0.95</v>
      </c>
      <c r="G298" s="317">
        <v>1.1000000000000001</v>
      </c>
      <c r="H298" s="319">
        <v>10.07</v>
      </c>
      <c r="I298" s="320">
        <v>16</v>
      </c>
      <c r="J298" s="320">
        <v>1.7</v>
      </c>
      <c r="K298" s="57">
        <f t="shared" si="28"/>
        <v>0.14223200000000003</v>
      </c>
      <c r="L298" s="310">
        <f t="shared" si="29"/>
        <v>0.1165263157894737</v>
      </c>
      <c r="M298" s="405">
        <f t="shared" si="27"/>
        <v>7.1074320528004575</v>
      </c>
      <c r="N298" s="63">
        <f t="shared" si="30"/>
        <v>0.41682677023021797</v>
      </c>
      <c r="W298" s="26"/>
      <c r="X298"/>
    </row>
    <row r="299" spans="1:24" ht="18" x14ac:dyDescent="0.25">
      <c r="A299" s="317" t="s">
        <v>5072</v>
      </c>
      <c r="B299" s="317" t="s">
        <v>1748</v>
      </c>
      <c r="C299" s="317">
        <v>1.04</v>
      </c>
      <c r="D299" s="317">
        <v>2.37</v>
      </c>
      <c r="E299" s="318">
        <v>23.5</v>
      </c>
      <c r="F299" s="317">
        <v>1.4</v>
      </c>
      <c r="G299" s="317">
        <v>0</v>
      </c>
      <c r="H299" s="319">
        <v>77.77</v>
      </c>
      <c r="I299" s="320">
        <v>84</v>
      </c>
      <c r="J299" s="320">
        <v>2</v>
      </c>
      <c r="K299" s="57">
        <f t="shared" si="28"/>
        <v>8.9072000000000012E-2</v>
      </c>
      <c r="L299" s="310">
        <f t="shared" si="29"/>
        <v>0.16785714285714287</v>
      </c>
      <c r="M299" s="405">
        <f t="shared" si="27"/>
        <v>77.014187168072667</v>
      </c>
      <c r="N299" s="63">
        <f t="shared" si="30"/>
        <v>9.8139428554621221E-3</v>
      </c>
      <c r="W299" s="26"/>
      <c r="X299"/>
    </row>
    <row r="300" spans="1:24" ht="18" x14ac:dyDescent="0.25">
      <c r="A300" s="317" t="s">
        <v>2136</v>
      </c>
      <c r="B300" s="317" t="s">
        <v>2137</v>
      </c>
      <c r="C300" s="317"/>
      <c r="D300" s="317"/>
      <c r="E300" s="318"/>
      <c r="F300" s="317"/>
      <c r="G300" s="317"/>
      <c r="H300" s="319"/>
      <c r="I300" s="320"/>
      <c r="J300" s="320"/>
      <c r="K300" s="57">
        <f t="shared" si="28"/>
        <v>4.2999999999999997E-2</v>
      </c>
      <c r="L300" s="310" t="e">
        <f t="shared" si="29"/>
        <v>#DIV/0!</v>
      </c>
      <c r="M300" s="405" t="e">
        <f t="shared" si="27"/>
        <v>#DIV/0!</v>
      </c>
      <c r="N300" s="63" t="e">
        <f t="shared" si="30"/>
        <v>#DIV/0!</v>
      </c>
      <c r="W300" s="26"/>
      <c r="X300"/>
    </row>
    <row r="301" spans="1:24" ht="18" x14ac:dyDescent="0.25">
      <c r="A301" s="317" t="s">
        <v>1202</v>
      </c>
      <c r="B301" s="317" t="s">
        <v>1203</v>
      </c>
      <c r="C301" s="317">
        <v>1.03</v>
      </c>
      <c r="D301" s="317">
        <v>1.46</v>
      </c>
      <c r="E301" s="318">
        <v>30.11</v>
      </c>
      <c r="F301" s="317">
        <v>2.44</v>
      </c>
      <c r="G301" s="317">
        <v>0</v>
      </c>
      <c r="H301" s="319">
        <v>82.5</v>
      </c>
      <c r="I301" s="320">
        <v>85</v>
      </c>
      <c r="J301" s="320">
        <v>2.5</v>
      </c>
      <c r="K301" s="57">
        <f>$P$14+C301*($Q$15-$P$14)</f>
        <v>8.8629000000000013E-2</v>
      </c>
      <c r="L301" s="310">
        <f t="shared" si="29"/>
        <v>0.12340163934426229</v>
      </c>
      <c r="M301" s="405">
        <f t="shared" si="27"/>
        <v>40.245594382397712</v>
      </c>
      <c r="N301" s="63">
        <f t="shared" si="30"/>
        <v>1.0499138170533064</v>
      </c>
      <c r="W301" s="26"/>
      <c r="X301"/>
    </row>
    <row r="302" spans="1:24" ht="18" x14ac:dyDescent="0.25">
      <c r="A302" s="317" t="s">
        <v>5022</v>
      </c>
      <c r="B302" s="317"/>
      <c r="C302" s="317">
        <v>0.61</v>
      </c>
      <c r="D302" s="317">
        <v>2.88</v>
      </c>
      <c r="E302" s="318">
        <v>17.04</v>
      </c>
      <c r="F302" s="317">
        <v>2.09</v>
      </c>
      <c r="G302" s="317">
        <v>0.3</v>
      </c>
      <c r="H302" s="319"/>
      <c r="I302" s="320">
        <v>55.5</v>
      </c>
      <c r="J302" s="320">
        <v>2.6</v>
      </c>
      <c r="K302" s="57">
        <f>$P$14+C302*($Q$15-$P$14)</f>
        <v>7.0023000000000002E-2</v>
      </c>
      <c r="L302" s="310">
        <f t="shared" ref="L302:L365" si="31">E302/F302/100</f>
        <v>8.1531100478468913E-2</v>
      </c>
      <c r="M302" s="405">
        <f t="shared" si="27"/>
        <v>104.01266602480608</v>
      </c>
      <c r="N302" s="63">
        <f t="shared" ref="N302:N365" si="32">(H302-M302)/M302</f>
        <v>-1</v>
      </c>
      <c r="W302" s="26"/>
      <c r="X302"/>
    </row>
    <row r="303" spans="1:24" ht="18" x14ac:dyDescent="0.25">
      <c r="A303" s="317" t="s">
        <v>3098</v>
      </c>
      <c r="B303" s="317" t="s">
        <v>3099</v>
      </c>
      <c r="C303" s="317">
        <v>1.59</v>
      </c>
      <c r="D303" s="317">
        <v>1.2</v>
      </c>
      <c r="E303" s="318">
        <v>14.1</v>
      </c>
      <c r="F303" s="317">
        <v>1.19</v>
      </c>
      <c r="G303" s="317">
        <v>1.4</v>
      </c>
      <c r="H303" s="319">
        <v>34.409999999999997</v>
      </c>
      <c r="I303" s="320">
        <v>40</v>
      </c>
      <c r="J303" s="320">
        <v>2.2999999999999998</v>
      </c>
      <c r="K303" s="57">
        <f t="shared" ref="K303:K365" si="33">$P$14+C303*($Q$15-$P$14)</f>
        <v>0.11343700000000001</v>
      </c>
      <c r="L303" s="310">
        <f t="shared" si="31"/>
        <v>0.1184873949579832</v>
      </c>
      <c r="M303" s="405">
        <f t="shared" si="27"/>
        <v>13.111715216662171</v>
      </c>
      <c r="N303" s="63">
        <f t="shared" si="32"/>
        <v>1.6243706053249454</v>
      </c>
      <c r="W303" s="26"/>
      <c r="X303"/>
    </row>
    <row r="304" spans="1:24" ht="18" x14ac:dyDescent="0.25">
      <c r="A304" s="317" t="s">
        <v>1204</v>
      </c>
      <c r="B304" s="317" t="s">
        <v>1205</v>
      </c>
      <c r="C304" s="317">
        <v>2.0099999999999998</v>
      </c>
      <c r="D304" s="317">
        <v>2.97</v>
      </c>
      <c r="E304" s="318">
        <v>10.61</v>
      </c>
      <c r="F304" s="317">
        <v>1.86</v>
      </c>
      <c r="G304" s="317">
        <v>0</v>
      </c>
      <c r="H304" s="319">
        <v>32.89</v>
      </c>
      <c r="I304" s="320">
        <v>36</v>
      </c>
      <c r="J304" s="320">
        <v>2.2999999999999998</v>
      </c>
      <c r="K304" s="57">
        <f t="shared" si="33"/>
        <v>0.13204299999999999</v>
      </c>
      <c r="L304" s="310">
        <f t="shared" si="31"/>
        <v>5.7043010752688167E-2</v>
      </c>
      <c r="M304" s="405">
        <f t="shared" si="27"/>
        <v>34.958667144935795</v>
      </c>
      <c r="N304" s="63">
        <f t="shared" si="32"/>
        <v>-5.9174657213310465E-2</v>
      </c>
    </row>
    <row r="305" spans="1:14" ht="18" x14ac:dyDescent="0.25">
      <c r="A305" s="317" t="s">
        <v>3667</v>
      </c>
      <c r="B305" s="317" t="s">
        <v>3668</v>
      </c>
      <c r="C305" s="317">
        <v>2.38</v>
      </c>
      <c r="D305" s="317">
        <v>-0.11</v>
      </c>
      <c r="E305" s="318">
        <v>0</v>
      </c>
      <c r="F305" s="317">
        <v>0</v>
      </c>
      <c r="G305" s="317">
        <v>0</v>
      </c>
      <c r="H305" s="319">
        <v>0.69</v>
      </c>
      <c r="I305" s="320">
        <v>2</v>
      </c>
      <c r="J305" s="320">
        <v>2</v>
      </c>
      <c r="K305" s="57">
        <f t="shared" si="33"/>
        <v>0.14843400000000001</v>
      </c>
      <c r="L305" s="310" t="e">
        <f t="shared" si="31"/>
        <v>#DIV/0!</v>
      </c>
      <c r="M305" s="405" t="e">
        <f t="shared" si="27"/>
        <v>#DIV/0!</v>
      </c>
      <c r="N305" s="63" t="e">
        <f t="shared" si="32"/>
        <v>#DIV/0!</v>
      </c>
    </row>
    <row r="306" spans="1:14" ht="18" x14ac:dyDescent="0.25">
      <c r="A306" s="317" t="s">
        <v>4757</v>
      </c>
      <c r="B306" s="317" t="s">
        <v>937</v>
      </c>
      <c r="C306" s="317">
        <v>2.21</v>
      </c>
      <c r="D306" s="317">
        <v>-2.99</v>
      </c>
      <c r="E306" s="318">
        <v>8.1199999999999992</v>
      </c>
      <c r="F306" s="317">
        <v>1.02</v>
      </c>
      <c r="G306" s="317">
        <v>0</v>
      </c>
      <c r="H306" s="319">
        <v>6.33</v>
      </c>
      <c r="I306" s="320">
        <v>11.5</v>
      </c>
      <c r="J306" s="320">
        <v>1.5</v>
      </c>
      <c r="K306" s="57">
        <f t="shared" si="33"/>
        <v>0.140903</v>
      </c>
      <c r="L306" s="310">
        <f t="shared" si="31"/>
        <v>7.9607843137254899E-2</v>
      </c>
      <c r="M306" s="405">
        <f t="shared" si="27"/>
        <v>-35.053310959466785</v>
      </c>
      <c r="N306" s="63">
        <f t="shared" si="32"/>
        <v>-1.1805820855929863</v>
      </c>
    </row>
    <row r="307" spans="1:14" ht="18" x14ac:dyDescent="0.25">
      <c r="A307" s="317" t="s">
        <v>4973</v>
      </c>
      <c r="B307" s="317"/>
      <c r="C307" s="317">
        <v>0.8</v>
      </c>
      <c r="D307" s="317">
        <v>2.4900000000000002</v>
      </c>
      <c r="E307" s="318">
        <v>11.57</v>
      </c>
      <c r="F307" s="317">
        <v>1.19</v>
      </c>
      <c r="G307" s="317">
        <v>1.4</v>
      </c>
      <c r="H307" s="319">
        <v>36.450000000000003</v>
      </c>
      <c r="I307" s="320">
        <v>38.5</v>
      </c>
      <c r="J307" s="320">
        <v>2.1</v>
      </c>
      <c r="K307" s="57">
        <f t="shared" si="33"/>
        <v>7.844000000000001E-2</v>
      </c>
      <c r="L307" s="310">
        <f t="shared" si="31"/>
        <v>9.7226890756302531E-2</v>
      </c>
      <c r="M307" s="405">
        <f t="shared" si="27"/>
        <v>61.103568935850944</v>
      </c>
      <c r="N307" s="63">
        <f t="shared" si="32"/>
        <v>-0.40347183258204244</v>
      </c>
    </row>
    <row r="308" spans="1:14" ht="18" x14ac:dyDescent="0.25">
      <c r="A308" s="317" t="s">
        <v>3100</v>
      </c>
      <c r="B308" s="317" t="s">
        <v>3101</v>
      </c>
      <c r="C308" s="317">
        <v>1.67</v>
      </c>
      <c r="D308" s="317">
        <v>0.21</v>
      </c>
      <c r="E308" s="318">
        <v>11.17</v>
      </c>
      <c r="F308" s="317">
        <v>4.92</v>
      </c>
      <c r="G308" s="317">
        <v>0</v>
      </c>
      <c r="H308" s="319">
        <v>9.16</v>
      </c>
      <c r="I308" s="320">
        <v>11.5</v>
      </c>
      <c r="J308" s="320">
        <v>1.4</v>
      </c>
      <c r="K308" s="57">
        <f t="shared" si="33"/>
        <v>0.116981</v>
      </c>
      <c r="L308" s="310">
        <f t="shared" si="31"/>
        <v>2.2703252032520327E-2</v>
      </c>
      <c r="M308" s="405">
        <f t="shared" si="27"/>
        <v>2.5557034398841831</v>
      </c>
      <c r="N308" s="63">
        <f t="shared" si="32"/>
        <v>2.5841404198349021</v>
      </c>
    </row>
    <row r="309" spans="1:14" ht="18" x14ac:dyDescent="0.25">
      <c r="A309" s="317" t="s">
        <v>5069</v>
      </c>
      <c r="B309" s="317"/>
      <c r="C309" s="317">
        <v>0.7</v>
      </c>
      <c r="D309" s="317">
        <v>10.3</v>
      </c>
      <c r="E309" s="318">
        <v>7.94</v>
      </c>
      <c r="F309" s="317">
        <v>2.41</v>
      </c>
      <c r="G309" s="317">
        <v>2.9</v>
      </c>
      <c r="H309" s="319">
        <v>103.43</v>
      </c>
      <c r="I309" s="320">
        <v>121</v>
      </c>
      <c r="J309" s="320">
        <v>2</v>
      </c>
      <c r="K309" s="57">
        <f t="shared" si="33"/>
        <v>7.4009999999999992E-2</v>
      </c>
      <c r="L309" s="310">
        <f t="shared" si="31"/>
        <v>3.2946058091286305E-2</v>
      </c>
      <c r="M309" s="405">
        <f t="shared" si="27"/>
        <v>191.86918012177648</v>
      </c>
      <c r="N309" s="63">
        <f t="shared" si="32"/>
        <v>-0.46093478934785387</v>
      </c>
    </row>
    <row r="310" spans="1:14" ht="18" x14ac:dyDescent="0.25">
      <c r="A310" s="317" t="s">
        <v>3102</v>
      </c>
      <c r="B310" s="317" t="s">
        <v>3103</v>
      </c>
      <c r="C310" s="317">
        <v>1.1499999999999999</v>
      </c>
      <c r="D310" s="317">
        <v>2.2999999999999998</v>
      </c>
      <c r="E310" s="318">
        <v>11.2</v>
      </c>
      <c r="F310" s="317">
        <v>4.22</v>
      </c>
      <c r="G310" s="317">
        <v>1</v>
      </c>
      <c r="H310" s="319">
        <v>32.83</v>
      </c>
      <c r="I310" s="320">
        <v>38</v>
      </c>
      <c r="J310" s="320">
        <v>2.6</v>
      </c>
      <c r="K310" s="57">
        <f t="shared" si="33"/>
        <v>9.3945000000000001E-2</v>
      </c>
      <c r="L310" s="310">
        <f t="shared" si="31"/>
        <v>2.6540284360189573E-2</v>
      </c>
      <c r="M310" s="405">
        <f t="shared" si="27"/>
        <v>33.474868570083274</v>
      </c>
      <c r="N310" s="63">
        <f t="shared" si="32"/>
        <v>-1.9264259954693268E-2</v>
      </c>
    </row>
    <row r="311" spans="1:14" ht="18" x14ac:dyDescent="0.25">
      <c r="A311" s="317" t="s">
        <v>3104</v>
      </c>
      <c r="B311" s="317" t="s">
        <v>3105</v>
      </c>
      <c r="C311" s="317">
        <v>1.02</v>
      </c>
      <c r="D311" s="317">
        <v>2.1800000000000002</v>
      </c>
      <c r="E311" s="318">
        <v>16.28</v>
      </c>
      <c r="F311" s="317">
        <v>0.4</v>
      </c>
      <c r="G311" s="317">
        <v>0</v>
      </c>
      <c r="H311" s="319">
        <v>94.93</v>
      </c>
      <c r="I311" s="320">
        <v>110</v>
      </c>
      <c r="J311" s="320">
        <v>2.4</v>
      </c>
      <c r="K311" s="57">
        <f t="shared" si="33"/>
        <v>8.8186E-2</v>
      </c>
      <c r="L311" s="310">
        <f t="shared" si="31"/>
        <v>0.40700000000000003</v>
      </c>
      <c r="M311" s="405">
        <f t="shared" si="27"/>
        <v>170.40670981424722</v>
      </c>
      <c r="N311" s="63">
        <f t="shared" si="32"/>
        <v>-0.44292099704595567</v>
      </c>
    </row>
    <row r="312" spans="1:14" ht="18" x14ac:dyDescent="0.25">
      <c r="A312" s="317" t="s">
        <v>400</v>
      </c>
      <c r="B312" s="317" t="s">
        <v>401</v>
      </c>
      <c r="C312" s="317">
        <v>1.87</v>
      </c>
      <c r="D312" s="317">
        <v>-0.52</v>
      </c>
      <c r="E312" s="318">
        <v>0</v>
      </c>
      <c r="F312" s="317">
        <v>0</v>
      </c>
      <c r="G312" s="317">
        <v>0</v>
      </c>
      <c r="H312" s="319">
        <v>1.38</v>
      </c>
      <c r="I312" s="320">
        <v>4.75</v>
      </c>
      <c r="J312" s="320">
        <v>1.5</v>
      </c>
      <c r="K312" s="57">
        <f t="shared" si="33"/>
        <v>0.12584100000000001</v>
      </c>
      <c r="L312" s="310" t="e">
        <f t="shared" si="31"/>
        <v>#DIV/0!</v>
      </c>
      <c r="M312" s="405" t="e">
        <f t="shared" si="27"/>
        <v>#DIV/0!</v>
      </c>
      <c r="N312" s="63" t="e">
        <f t="shared" si="32"/>
        <v>#DIV/0!</v>
      </c>
    </row>
    <row r="313" spans="1:14" ht="18" x14ac:dyDescent="0.25">
      <c r="A313" s="317" t="s">
        <v>3537</v>
      </c>
      <c r="B313" s="317" t="s">
        <v>3538</v>
      </c>
      <c r="C313" s="317">
        <v>2.2799999999999998</v>
      </c>
      <c r="D313" s="317">
        <v>4.67</v>
      </c>
      <c r="E313" s="318">
        <v>0</v>
      </c>
      <c r="F313" s="317">
        <v>0</v>
      </c>
      <c r="G313" s="317">
        <v>0</v>
      </c>
      <c r="H313" s="319">
        <v>29.97</v>
      </c>
      <c r="I313" s="320"/>
      <c r="J313" s="320"/>
      <c r="K313" s="57">
        <f t="shared" si="33"/>
        <v>0.14400400000000002</v>
      </c>
      <c r="L313" s="310" t="e">
        <f t="shared" si="31"/>
        <v>#DIV/0!</v>
      </c>
      <c r="M313" s="405" t="e">
        <f t="shared" si="27"/>
        <v>#DIV/0!</v>
      </c>
      <c r="N313" s="63" t="e">
        <f t="shared" si="32"/>
        <v>#DIV/0!</v>
      </c>
    </row>
    <row r="314" spans="1:14" ht="18" x14ac:dyDescent="0.25">
      <c r="A314" s="317" t="s">
        <v>3106</v>
      </c>
      <c r="B314" s="317" t="s">
        <v>3107</v>
      </c>
      <c r="C314" s="317">
        <v>1.48</v>
      </c>
      <c r="D314" s="317">
        <v>2.92</v>
      </c>
      <c r="E314" s="318">
        <v>8.42</v>
      </c>
      <c r="F314" s="317">
        <v>0.82</v>
      </c>
      <c r="G314" s="317">
        <v>0</v>
      </c>
      <c r="H314" s="319">
        <v>29.54</v>
      </c>
      <c r="I314" s="320">
        <v>46.5</v>
      </c>
      <c r="J314" s="320">
        <v>1.9</v>
      </c>
      <c r="K314" s="57">
        <f t="shared" si="33"/>
        <v>0.10856400000000001</v>
      </c>
      <c r="L314" s="310">
        <f t="shared" si="31"/>
        <v>0.1026829268292683</v>
      </c>
      <c r="M314" s="405">
        <f t="shared" si="27"/>
        <v>53.630114326126453</v>
      </c>
      <c r="N314" s="63">
        <f t="shared" si="32"/>
        <v>-0.44919006101000813</v>
      </c>
    </row>
    <row r="315" spans="1:14" ht="18" x14ac:dyDescent="0.25">
      <c r="A315" s="317" t="s">
        <v>3108</v>
      </c>
      <c r="B315" s="317" t="s">
        <v>3109</v>
      </c>
      <c r="C315" s="317">
        <v>1.35</v>
      </c>
      <c r="D315" s="317">
        <v>3.43</v>
      </c>
      <c r="E315" s="318">
        <v>13.53</v>
      </c>
      <c r="F315" s="317">
        <v>0.76</v>
      </c>
      <c r="G315" s="317">
        <v>0</v>
      </c>
      <c r="H315" s="319">
        <v>49.4</v>
      </c>
      <c r="I315" s="320">
        <v>55.5</v>
      </c>
      <c r="J315" s="320">
        <v>2.5</v>
      </c>
      <c r="K315" s="57">
        <f t="shared" si="33"/>
        <v>0.10280500000000001</v>
      </c>
      <c r="L315" s="310">
        <f t="shared" si="31"/>
        <v>0.17802631578947367</v>
      </c>
      <c r="M315" s="405">
        <f t="shared" si="27"/>
        <v>91.065892703373933</v>
      </c>
      <c r="N315" s="63">
        <f t="shared" si="32"/>
        <v>-0.45753565321202017</v>
      </c>
    </row>
    <row r="316" spans="1:14" ht="18" x14ac:dyDescent="0.25">
      <c r="A316" s="317" t="s">
        <v>1593</v>
      </c>
      <c r="B316" s="317"/>
      <c r="C316" s="317">
        <v>1.85</v>
      </c>
      <c r="D316" s="317">
        <v>-0.75</v>
      </c>
      <c r="E316" s="318">
        <v>0</v>
      </c>
      <c r="F316" s="317">
        <v>-0.14000000000000001</v>
      </c>
      <c r="G316" s="317">
        <v>0</v>
      </c>
      <c r="H316" s="319">
        <v>1.4</v>
      </c>
      <c r="I316" s="320">
        <v>6</v>
      </c>
      <c r="J316" s="320">
        <v>1.7</v>
      </c>
      <c r="K316" s="57">
        <f t="shared" si="33"/>
        <v>0.12495500000000001</v>
      </c>
      <c r="L316" s="310">
        <f t="shared" si="31"/>
        <v>0</v>
      </c>
      <c r="M316" s="405">
        <f t="shared" si="27"/>
        <v>-7.6841108823602307</v>
      </c>
      <c r="N316" s="63">
        <f t="shared" si="32"/>
        <v>-1.1821941433997083</v>
      </c>
    </row>
    <row r="317" spans="1:14" ht="18" x14ac:dyDescent="0.25">
      <c r="A317" s="317" t="s">
        <v>1206</v>
      </c>
      <c r="B317" s="317" t="s">
        <v>1207</v>
      </c>
      <c r="C317" s="317">
        <v>0.55000000000000004</v>
      </c>
      <c r="D317" s="317">
        <v>5.31</v>
      </c>
      <c r="E317" s="318">
        <v>14.34</v>
      </c>
      <c r="F317" s="317">
        <v>6.76</v>
      </c>
      <c r="G317" s="317">
        <v>4.2</v>
      </c>
      <c r="H317" s="319">
        <v>46.62</v>
      </c>
      <c r="I317" s="320">
        <v>45</v>
      </c>
      <c r="J317" s="320">
        <v>2.8</v>
      </c>
      <c r="K317" s="57">
        <f t="shared" si="33"/>
        <v>6.7365000000000008E-2</v>
      </c>
      <c r="L317" s="310">
        <f t="shared" si="31"/>
        <v>2.1213017751479289E-2</v>
      </c>
      <c r="M317" s="405">
        <f t="shared" si="27"/>
        <v>101.04999062623124</v>
      </c>
      <c r="N317" s="63">
        <f t="shared" si="32"/>
        <v>-0.53864419272990938</v>
      </c>
    </row>
    <row r="318" spans="1:14" ht="18" x14ac:dyDescent="0.25">
      <c r="A318" s="317" t="s">
        <v>1117</v>
      </c>
      <c r="B318" s="317" t="s">
        <v>1118</v>
      </c>
      <c r="C318" s="317">
        <v>1.86</v>
      </c>
      <c r="D318" s="317">
        <v>-1.36</v>
      </c>
      <c r="E318" s="318">
        <v>10.95</v>
      </c>
      <c r="F318" s="317">
        <v>17.71</v>
      </c>
      <c r="G318" s="317">
        <v>0</v>
      </c>
      <c r="H318" s="319">
        <v>6.79</v>
      </c>
      <c r="I318" s="320">
        <v>6.5</v>
      </c>
      <c r="J318" s="320">
        <v>3</v>
      </c>
      <c r="K318" s="57">
        <f t="shared" si="33"/>
        <v>0.12539800000000001</v>
      </c>
      <c r="L318" s="310">
        <f t="shared" si="31"/>
        <v>6.1829474872953129E-3</v>
      </c>
      <c r="M318" s="405">
        <f t="shared" si="27"/>
        <v>-14.19494067546594</v>
      </c>
      <c r="N318" s="63">
        <f t="shared" si="32"/>
        <v>-1.4783394418643543</v>
      </c>
    </row>
    <row r="319" spans="1:14" ht="18" x14ac:dyDescent="0.25">
      <c r="A319" s="317" t="s">
        <v>3539</v>
      </c>
      <c r="B319" s="317" t="s">
        <v>3540</v>
      </c>
      <c r="C319" s="317">
        <v>2.04</v>
      </c>
      <c r="D319" s="317">
        <v>0.82</v>
      </c>
      <c r="E319" s="318">
        <v>10.8</v>
      </c>
      <c r="F319" s="317">
        <v>0.77</v>
      </c>
      <c r="G319" s="317">
        <v>0</v>
      </c>
      <c r="H319" s="319">
        <v>9.83</v>
      </c>
      <c r="I319" s="320">
        <v>12.75</v>
      </c>
      <c r="J319" s="320">
        <v>2.2999999999999998</v>
      </c>
      <c r="K319" s="57">
        <f t="shared" si="33"/>
        <v>0.13337199999999999</v>
      </c>
      <c r="L319" s="310">
        <f t="shared" si="31"/>
        <v>0.14025974025974025</v>
      </c>
      <c r="M319" s="405">
        <f t="shared" si="27"/>
        <v>12.830468567105816</v>
      </c>
      <c r="N319" s="63">
        <f t="shared" si="32"/>
        <v>-0.23385494858685707</v>
      </c>
    </row>
    <row r="320" spans="1:14" ht="18" x14ac:dyDescent="0.25">
      <c r="A320" s="317" t="s">
        <v>1594</v>
      </c>
      <c r="B320" s="317"/>
      <c r="C320" s="317"/>
      <c r="D320" s="317"/>
      <c r="E320" s="318"/>
      <c r="F320" s="317"/>
      <c r="G320" s="317"/>
      <c r="H320" s="319"/>
      <c r="I320" s="320"/>
      <c r="J320" s="320"/>
      <c r="K320" s="57">
        <f t="shared" si="33"/>
        <v>4.2999999999999997E-2</v>
      </c>
      <c r="L320" s="310" t="e">
        <f t="shared" si="31"/>
        <v>#DIV/0!</v>
      </c>
      <c r="M320" s="405" t="e">
        <f t="shared" si="27"/>
        <v>#DIV/0!</v>
      </c>
      <c r="N320" s="63" t="e">
        <f t="shared" si="32"/>
        <v>#DIV/0!</v>
      </c>
    </row>
    <row r="321" spans="1:14" ht="18" x14ac:dyDescent="0.25">
      <c r="A321" s="317" t="s">
        <v>3111</v>
      </c>
      <c r="B321" s="317" t="s">
        <v>3112</v>
      </c>
      <c r="C321" s="317">
        <v>1.4</v>
      </c>
      <c r="D321" s="317">
        <v>1.87</v>
      </c>
      <c r="E321" s="318">
        <v>8.1999999999999993</v>
      </c>
      <c r="F321" s="317">
        <v>0.88</v>
      </c>
      <c r="G321" s="317">
        <v>1.3</v>
      </c>
      <c r="H321" s="319">
        <v>20.02</v>
      </c>
      <c r="I321" s="320">
        <v>31</v>
      </c>
      <c r="J321" s="320">
        <v>1.4</v>
      </c>
      <c r="K321" s="57">
        <f t="shared" si="33"/>
        <v>0.10502</v>
      </c>
      <c r="L321" s="310">
        <f t="shared" si="31"/>
        <v>9.3181818181818171E-2</v>
      </c>
      <c r="M321" s="405">
        <f t="shared" si="27"/>
        <v>29.978075236062573</v>
      </c>
      <c r="N321" s="63">
        <f t="shared" si="32"/>
        <v>-0.33217860578598313</v>
      </c>
    </row>
    <row r="322" spans="1:14" ht="18" x14ac:dyDescent="0.25">
      <c r="A322" s="317" t="s">
        <v>5263</v>
      </c>
      <c r="B322" s="317" t="s">
        <v>5264</v>
      </c>
      <c r="C322" s="317">
        <v>1.5</v>
      </c>
      <c r="D322" s="317">
        <v>3.58</v>
      </c>
      <c r="E322" s="318">
        <v>12.54</v>
      </c>
      <c r="F322" s="317">
        <v>1.4</v>
      </c>
      <c r="G322" s="317">
        <v>2.9</v>
      </c>
      <c r="H322" s="319">
        <v>54.54</v>
      </c>
      <c r="I322" s="320">
        <v>64</v>
      </c>
      <c r="J322" s="320">
        <v>1.7</v>
      </c>
      <c r="K322" s="57">
        <f t="shared" si="33"/>
        <v>0.10945000000000001</v>
      </c>
      <c r="L322" s="310">
        <f t="shared" si="31"/>
        <v>8.957142857142858E-2</v>
      </c>
      <c r="M322" s="405">
        <f t="shared" ref="M322:M385" si="34">(D322-G322*H322/100)+(D322-G322*H322/100)*(1+L322)/(1+K322)+(D322-G322*H322/100)*(1+L322)^2/(1+K322)^2+(D322-G322*H322/100)*(1+L322)^3/(1+K322)^3+(D322-G322*H322/100)*(1+L322)^4/(1+K322)^4+((D322-G322*H322/100)*(1+L322)^5/(K322-$T$22-$T$19))/((1+K322)^5)</f>
        <v>34.495215780920702</v>
      </c>
      <c r="N322" s="63">
        <f t="shared" si="32"/>
        <v>0.58108881957381653</v>
      </c>
    </row>
    <row r="323" spans="1:14" ht="18" x14ac:dyDescent="0.25">
      <c r="A323" s="317" t="s">
        <v>3113</v>
      </c>
      <c r="B323" s="317" t="s">
        <v>3114</v>
      </c>
      <c r="C323" s="317"/>
      <c r="D323" s="317"/>
      <c r="E323" s="318"/>
      <c r="F323" s="317"/>
      <c r="G323" s="317"/>
      <c r="H323" s="319"/>
      <c r="I323" s="320"/>
      <c r="J323" s="320"/>
      <c r="K323" s="57">
        <f t="shared" si="33"/>
        <v>4.2999999999999997E-2</v>
      </c>
      <c r="L323" s="310" t="e">
        <f t="shared" si="31"/>
        <v>#DIV/0!</v>
      </c>
      <c r="M323" s="405" t="e">
        <f t="shared" si="34"/>
        <v>#DIV/0!</v>
      </c>
      <c r="N323" s="63" t="e">
        <f t="shared" si="32"/>
        <v>#DIV/0!</v>
      </c>
    </row>
    <row r="324" spans="1:14" ht="18" x14ac:dyDescent="0.25">
      <c r="A324" s="317" t="s">
        <v>4455</v>
      </c>
      <c r="B324" s="317" t="s">
        <v>2048</v>
      </c>
      <c r="C324" s="317"/>
      <c r="D324" s="317"/>
      <c r="E324" s="318"/>
      <c r="F324" s="317"/>
      <c r="G324" s="317"/>
      <c r="H324" s="319"/>
      <c r="I324" s="320"/>
      <c r="J324" s="320"/>
      <c r="K324" s="57">
        <f t="shared" si="33"/>
        <v>4.2999999999999997E-2</v>
      </c>
      <c r="L324" s="310" t="e">
        <f t="shared" si="31"/>
        <v>#DIV/0!</v>
      </c>
      <c r="M324" s="405" t="e">
        <f t="shared" si="34"/>
        <v>#DIV/0!</v>
      </c>
      <c r="N324" s="63" t="e">
        <f t="shared" si="32"/>
        <v>#DIV/0!</v>
      </c>
    </row>
    <row r="325" spans="1:14" ht="18" x14ac:dyDescent="0.25">
      <c r="A325" s="317" t="s">
        <v>3755</v>
      </c>
      <c r="B325" s="317" t="s">
        <v>3756</v>
      </c>
      <c r="C325" s="317">
        <v>2.73</v>
      </c>
      <c r="D325" s="317">
        <v>2.67</v>
      </c>
      <c r="E325" s="318">
        <v>14.08</v>
      </c>
      <c r="F325" s="317">
        <v>2.8</v>
      </c>
      <c r="G325" s="317">
        <v>0.3</v>
      </c>
      <c r="H325" s="319">
        <v>49</v>
      </c>
      <c r="I325" s="320">
        <v>45</v>
      </c>
      <c r="J325" s="320">
        <v>2</v>
      </c>
      <c r="K325" s="57">
        <f t="shared" si="33"/>
        <v>0.163939</v>
      </c>
      <c r="L325" s="310">
        <f t="shared" si="31"/>
        <v>5.0285714285714295E-2</v>
      </c>
      <c r="M325" s="405">
        <f t="shared" si="34"/>
        <v>22.178235146428545</v>
      </c>
      <c r="N325" s="63">
        <f t="shared" si="32"/>
        <v>1.2093732741349654</v>
      </c>
    </row>
    <row r="326" spans="1:14" ht="18" x14ac:dyDescent="0.25">
      <c r="A326" s="317" t="s">
        <v>966</v>
      </c>
      <c r="B326" s="317" t="s">
        <v>967</v>
      </c>
      <c r="C326" s="317"/>
      <c r="D326" s="317"/>
      <c r="E326" s="318"/>
      <c r="F326" s="317"/>
      <c r="G326" s="317"/>
      <c r="H326" s="319"/>
      <c r="I326" s="320"/>
      <c r="J326" s="320"/>
      <c r="K326" s="57">
        <f t="shared" si="33"/>
        <v>4.2999999999999997E-2</v>
      </c>
      <c r="L326" s="310" t="e">
        <f t="shared" si="31"/>
        <v>#DIV/0!</v>
      </c>
      <c r="M326" s="405" t="e">
        <f t="shared" si="34"/>
        <v>#DIV/0!</v>
      </c>
      <c r="N326" s="63" t="e">
        <f t="shared" si="32"/>
        <v>#DIV/0!</v>
      </c>
    </row>
    <row r="327" spans="1:14" ht="18" x14ac:dyDescent="0.25">
      <c r="A327" s="317" t="s">
        <v>3115</v>
      </c>
      <c r="B327" s="317" t="s">
        <v>3116</v>
      </c>
      <c r="C327" s="317">
        <v>1.62</v>
      </c>
      <c r="D327" s="317">
        <v>4.9800000000000004</v>
      </c>
      <c r="E327" s="318">
        <v>12.77</v>
      </c>
      <c r="F327" s="317">
        <v>1.59</v>
      </c>
      <c r="G327" s="317">
        <v>1.4</v>
      </c>
      <c r="H327" s="319">
        <v>92.47</v>
      </c>
      <c r="I327" s="320">
        <v>109.5</v>
      </c>
      <c r="J327" s="320">
        <v>1.9</v>
      </c>
      <c r="K327" s="57">
        <f t="shared" si="33"/>
        <v>0.11476600000000001</v>
      </c>
      <c r="L327" s="310">
        <f t="shared" si="31"/>
        <v>8.0314465408805019E-2</v>
      </c>
      <c r="M327" s="405">
        <f t="shared" si="34"/>
        <v>57.31547690361819</v>
      </c>
      <c r="N327" s="63">
        <f t="shared" si="32"/>
        <v>0.61335131443637325</v>
      </c>
    </row>
    <row r="328" spans="1:14" ht="18" x14ac:dyDescent="0.25">
      <c r="A328" s="317" t="s">
        <v>1595</v>
      </c>
      <c r="B328" s="317"/>
      <c r="C328" s="317">
        <v>1.5</v>
      </c>
      <c r="D328" s="317">
        <v>4.03</v>
      </c>
      <c r="E328" s="318">
        <v>16.64</v>
      </c>
      <c r="F328" s="317">
        <v>0.64</v>
      </c>
      <c r="G328" s="317">
        <v>0</v>
      </c>
      <c r="H328" s="319">
        <v>89.05</v>
      </c>
      <c r="I328" s="320">
        <v>107</v>
      </c>
      <c r="J328" s="320">
        <v>1.9</v>
      </c>
      <c r="K328" s="57">
        <f t="shared" si="33"/>
        <v>0.10945000000000001</v>
      </c>
      <c r="L328" s="310">
        <f t="shared" si="31"/>
        <v>0.26</v>
      </c>
      <c r="M328" s="405">
        <f t="shared" si="34"/>
        <v>130.07626219611811</v>
      </c>
      <c r="N328" s="63">
        <f t="shared" si="32"/>
        <v>-0.31540160751438373</v>
      </c>
    </row>
    <row r="329" spans="1:14" ht="18" x14ac:dyDescent="0.25">
      <c r="A329" s="317" t="s">
        <v>561</v>
      </c>
      <c r="B329" s="317"/>
      <c r="C329" s="317">
        <v>1.41</v>
      </c>
      <c r="D329" s="317">
        <v>1.35</v>
      </c>
      <c r="E329" s="318">
        <v>9.07</v>
      </c>
      <c r="F329" s="317">
        <v>2.02</v>
      </c>
      <c r="G329" s="317">
        <v>0</v>
      </c>
      <c r="H329" s="319">
        <v>15.97</v>
      </c>
      <c r="I329" s="320">
        <v>17</v>
      </c>
      <c r="J329" s="320">
        <v>2.4</v>
      </c>
      <c r="K329" s="57">
        <f t="shared" si="33"/>
        <v>0.105463</v>
      </c>
      <c r="L329" s="310">
        <f t="shared" si="31"/>
        <v>4.4900990099009899E-2</v>
      </c>
      <c r="M329" s="405">
        <f t="shared" si="34"/>
        <v>20.713238813255021</v>
      </c>
      <c r="N329" s="63">
        <f t="shared" si="32"/>
        <v>-0.22899551615364372</v>
      </c>
    </row>
    <row r="330" spans="1:14" ht="18" x14ac:dyDescent="0.25">
      <c r="A330" s="317" t="s">
        <v>3117</v>
      </c>
      <c r="B330" s="317" t="s">
        <v>3118</v>
      </c>
      <c r="C330" s="317">
        <v>1.8</v>
      </c>
      <c r="D330" s="317">
        <v>0.22</v>
      </c>
      <c r="E330" s="318">
        <v>8.6199999999999992</v>
      </c>
      <c r="F330" s="317">
        <v>0.55000000000000004</v>
      </c>
      <c r="G330" s="317">
        <v>0</v>
      </c>
      <c r="H330" s="319">
        <v>3.88</v>
      </c>
      <c r="I330" s="320">
        <v>5</v>
      </c>
      <c r="J330" s="320">
        <v>1.8</v>
      </c>
      <c r="K330" s="57">
        <f t="shared" si="33"/>
        <v>0.12274000000000002</v>
      </c>
      <c r="L330" s="310">
        <f t="shared" si="31"/>
        <v>0.15672727272727272</v>
      </c>
      <c r="M330" s="405">
        <f t="shared" si="34"/>
        <v>4.1128096243135399</v>
      </c>
      <c r="N330" s="63">
        <f t="shared" si="32"/>
        <v>-5.660598120983968E-2</v>
      </c>
    </row>
    <row r="331" spans="1:14" ht="18" x14ac:dyDescent="0.25">
      <c r="A331" s="317" t="s">
        <v>3119</v>
      </c>
      <c r="B331" s="317" t="s">
        <v>3120</v>
      </c>
      <c r="C331" s="317">
        <v>1.92</v>
      </c>
      <c r="D331" s="317">
        <v>1.84</v>
      </c>
      <c r="E331" s="318">
        <v>10.119999999999999</v>
      </c>
      <c r="F331" s="317">
        <v>0.44</v>
      </c>
      <c r="G331" s="317">
        <v>3.1</v>
      </c>
      <c r="H331" s="319">
        <v>22.68</v>
      </c>
      <c r="I331" s="320">
        <v>29</v>
      </c>
      <c r="J331" s="320">
        <v>1.3</v>
      </c>
      <c r="K331" s="57">
        <f t="shared" si="33"/>
        <v>0.128056</v>
      </c>
      <c r="L331" s="310">
        <f t="shared" si="31"/>
        <v>0.22999999999999995</v>
      </c>
      <c r="M331" s="405">
        <f t="shared" si="34"/>
        <v>25.844050625000456</v>
      </c>
      <c r="N331" s="63">
        <f t="shared" si="32"/>
        <v>-0.12242858795283762</v>
      </c>
    </row>
    <row r="332" spans="1:14" ht="18" x14ac:dyDescent="0.25">
      <c r="A332" s="317" t="s">
        <v>1208</v>
      </c>
      <c r="B332" s="317" t="s">
        <v>1209</v>
      </c>
      <c r="C332" s="317">
        <v>0.76</v>
      </c>
      <c r="D332" s="317">
        <v>0.5</v>
      </c>
      <c r="E332" s="318">
        <v>14.45</v>
      </c>
      <c r="F332" s="317">
        <v>1.81</v>
      </c>
      <c r="G332" s="317">
        <v>0</v>
      </c>
      <c r="H332" s="319">
        <v>11.27</v>
      </c>
      <c r="I332" s="320">
        <v>10</v>
      </c>
      <c r="J332" s="320">
        <v>3</v>
      </c>
      <c r="K332" s="57">
        <f t="shared" si="33"/>
        <v>7.6668E-2</v>
      </c>
      <c r="L332" s="310">
        <f t="shared" si="31"/>
        <v>7.9834254143646394E-2</v>
      </c>
      <c r="M332" s="405">
        <f t="shared" si="34"/>
        <v>14.991272845136612</v>
      </c>
      <c r="N332" s="63">
        <f t="shared" si="32"/>
        <v>-0.24822927869956335</v>
      </c>
    </row>
    <row r="333" spans="1:14" ht="18" x14ac:dyDescent="0.25">
      <c r="A333" s="317" t="s">
        <v>1210</v>
      </c>
      <c r="B333" s="317" t="s">
        <v>1211</v>
      </c>
      <c r="C333" s="317">
        <v>1.67</v>
      </c>
      <c r="D333" s="317">
        <v>2.27</v>
      </c>
      <c r="E333" s="318">
        <v>9.65</v>
      </c>
      <c r="F333" s="317">
        <v>1.5</v>
      </c>
      <c r="G333" s="317">
        <v>1</v>
      </c>
      <c r="H333" s="319">
        <v>24.03</v>
      </c>
      <c r="I333" s="320">
        <v>25</v>
      </c>
      <c r="J333" s="320">
        <v>2.2999999999999998</v>
      </c>
      <c r="K333" s="57">
        <f t="shared" si="33"/>
        <v>0.116981</v>
      </c>
      <c r="L333" s="310">
        <f t="shared" si="31"/>
        <v>6.433333333333334E-2</v>
      </c>
      <c r="M333" s="405">
        <f t="shared" si="34"/>
        <v>28.924157481001956</v>
      </c>
      <c r="N333" s="63">
        <f t="shared" si="32"/>
        <v>-0.16920657012106743</v>
      </c>
    </row>
    <row r="334" spans="1:14" ht="18" x14ac:dyDescent="0.25">
      <c r="A334" s="317" t="s">
        <v>1212</v>
      </c>
      <c r="B334" s="317" t="s">
        <v>1213</v>
      </c>
      <c r="C334" s="317">
        <v>0.56000000000000005</v>
      </c>
      <c r="D334" s="317">
        <v>4.05</v>
      </c>
      <c r="E334" s="318">
        <v>11.52</v>
      </c>
      <c r="F334" s="317">
        <v>1.0900000000000001</v>
      </c>
      <c r="G334" s="317">
        <v>0.7</v>
      </c>
      <c r="H334" s="319">
        <v>56.11</v>
      </c>
      <c r="I334" s="320">
        <v>64.25</v>
      </c>
      <c r="J334" s="320">
        <v>2.5</v>
      </c>
      <c r="K334" s="57">
        <f t="shared" si="33"/>
        <v>6.7808000000000007E-2</v>
      </c>
      <c r="L334" s="310">
        <f t="shared" si="31"/>
        <v>0.1056880733944954</v>
      </c>
      <c r="M334" s="405">
        <f t="shared" si="34"/>
        <v>156.50193441428237</v>
      </c>
      <c r="N334" s="63">
        <f t="shared" si="32"/>
        <v>-0.64147408011284368</v>
      </c>
    </row>
    <row r="335" spans="1:14" ht="18" x14ac:dyDescent="0.25">
      <c r="A335" s="317" t="s">
        <v>1214</v>
      </c>
      <c r="B335" s="317" t="s">
        <v>2010</v>
      </c>
      <c r="C335" s="317">
        <v>1.1200000000000001</v>
      </c>
      <c r="D335" s="317">
        <v>0.11</v>
      </c>
      <c r="E335" s="318">
        <v>18.100000000000001</v>
      </c>
      <c r="F335" s="317">
        <v>11.95</v>
      </c>
      <c r="G335" s="317">
        <v>1.2</v>
      </c>
      <c r="H335" s="319">
        <v>12.13</v>
      </c>
      <c r="I335" s="320">
        <v>14.25</v>
      </c>
      <c r="J335" s="320">
        <v>2.5</v>
      </c>
      <c r="K335" s="57">
        <f t="shared" si="33"/>
        <v>9.2616000000000004E-2</v>
      </c>
      <c r="L335" s="310">
        <f t="shared" si="31"/>
        <v>1.5146443514644354E-2</v>
      </c>
      <c r="M335" s="405">
        <f t="shared" si="34"/>
        <v>-0.58915094455884365</v>
      </c>
      <c r="N335" s="63">
        <f t="shared" si="32"/>
        <v>-21.588951120298972</v>
      </c>
    </row>
    <row r="336" spans="1:14" ht="18" x14ac:dyDescent="0.25">
      <c r="A336" s="317" t="s">
        <v>2011</v>
      </c>
      <c r="B336" s="317" t="s">
        <v>2012</v>
      </c>
      <c r="C336" s="317">
        <v>0.87</v>
      </c>
      <c r="D336" s="317">
        <v>2.82</v>
      </c>
      <c r="E336" s="318">
        <v>17.61</v>
      </c>
      <c r="F336" s="317">
        <v>1.33</v>
      </c>
      <c r="G336" s="317">
        <v>0.1</v>
      </c>
      <c r="H336" s="319">
        <v>54.58</v>
      </c>
      <c r="I336" s="320">
        <v>59</v>
      </c>
      <c r="J336" s="320">
        <v>1.6</v>
      </c>
      <c r="K336" s="57">
        <f t="shared" si="33"/>
        <v>8.1541000000000002E-2</v>
      </c>
      <c r="L336" s="310">
        <f t="shared" si="31"/>
        <v>0.13240601503759397</v>
      </c>
      <c r="M336" s="405">
        <f t="shared" si="34"/>
        <v>91.60104432928739</v>
      </c>
      <c r="N336" s="63">
        <f t="shared" si="32"/>
        <v>-0.40415526482650305</v>
      </c>
    </row>
    <row r="337" spans="1:14" ht="18" x14ac:dyDescent="0.25">
      <c r="A337" s="317" t="s">
        <v>4941</v>
      </c>
      <c r="B337" s="317"/>
      <c r="C337" s="317"/>
      <c r="D337" s="317"/>
      <c r="E337" s="318"/>
      <c r="F337" s="317"/>
      <c r="G337" s="317"/>
      <c r="H337" s="319">
        <v>41.79</v>
      </c>
      <c r="I337" s="320"/>
      <c r="J337" s="320"/>
      <c r="K337" s="57">
        <f t="shared" si="33"/>
        <v>4.2999999999999997E-2</v>
      </c>
      <c r="L337" s="310" t="e">
        <f t="shared" si="31"/>
        <v>#DIV/0!</v>
      </c>
      <c r="M337" s="405" t="e">
        <f t="shared" si="34"/>
        <v>#DIV/0!</v>
      </c>
      <c r="N337" s="63" t="e">
        <f t="shared" si="32"/>
        <v>#DIV/0!</v>
      </c>
    </row>
    <row r="338" spans="1:14" ht="18" x14ac:dyDescent="0.25">
      <c r="A338" s="317" t="s">
        <v>3121</v>
      </c>
      <c r="B338" s="317" t="s">
        <v>3122</v>
      </c>
      <c r="C338" s="317">
        <v>2.82</v>
      </c>
      <c r="D338" s="317">
        <v>-1.74</v>
      </c>
      <c r="E338" s="318">
        <v>12.93</v>
      </c>
      <c r="F338" s="317">
        <v>1.08</v>
      </c>
      <c r="G338" s="317">
        <v>0</v>
      </c>
      <c r="H338" s="319">
        <v>54.95</v>
      </c>
      <c r="I338" s="320">
        <v>60</v>
      </c>
      <c r="J338" s="320">
        <v>2.1</v>
      </c>
      <c r="K338" s="57">
        <f t="shared" si="33"/>
        <v>0.16792600000000002</v>
      </c>
      <c r="L338" s="310">
        <f t="shared" si="31"/>
        <v>0.11972222222222222</v>
      </c>
      <c r="M338" s="405">
        <f t="shared" si="34"/>
        <v>-18.693895604750473</v>
      </c>
      <c r="N338" s="63">
        <f t="shared" si="32"/>
        <v>-3.9394622266980113</v>
      </c>
    </row>
    <row r="339" spans="1:14" ht="18" x14ac:dyDescent="0.25">
      <c r="A339" s="317" t="s">
        <v>3123</v>
      </c>
      <c r="B339" s="317" t="s">
        <v>3124</v>
      </c>
      <c r="C339" s="317">
        <v>2.1</v>
      </c>
      <c r="D339" s="317">
        <v>1.68</v>
      </c>
      <c r="E339" s="318">
        <v>14.38</v>
      </c>
      <c r="F339" s="317">
        <v>1.04</v>
      </c>
      <c r="G339" s="317">
        <v>0</v>
      </c>
      <c r="H339" s="319">
        <v>32.07</v>
      </c>
      <c r="I339" s="320">
        <v>31.5</v>
      </c>
      <c r="J339" s="320">
        <v>2</v>
      </c>
      <c r="K339" s="57">
        <f t="shared" si="33"/>
        <v>0.13603000000000001</v>
      </c>
      <c r="L339" s="310">
        <f t="shared" si="31"/>
        <v>0.13826923076923076</v>
      </c>
      <c r="M339" s="405">
        <f t="shared" si="34"/>
        <v>25.394318064183906</v>
      </c>
      <c r="N339" s="63">
        <f t="shared" si="32"/>
        <v>0.26288092946395997</v>
      </c>
    </row>
    <row r="340" spans="1:14" ht="18" x14ac:dyDescent="0.25">
      <c r="A340" s="317" t="s">
        <v>5265</v>
      </c>
      <c r="B340" s="317" t="s">
        <v>5266</v>
      </c>
      <c r="C340" s="317">
        <v>1.19</v>
      </c>
      <c r="D340" s="317">
        <v>2.27</v>
      </c>
      <c r="E340" s="318">
        <v>14.03</v>
      </c>
      <c r="F340" s="317">
        <v>1.1200000000000001</v>
      </c>
      <c r="G340" s="317">
        <v>0.9</v>
      </c>
      <c r="H340" s="319">
        <v>42.65</v>
      </c>
      <c r="I340" s="320">
        <v>50</v>
      </c>
      <c r="J340" s="320">
        <v>2.2999999999999998</v>
      </c>
      <c r="K340" s="57">
        <f t="shared" si="33"/>
        <v>9.5716999999999997E-2</v>
      </c>
      <c r="L340" s="310">
        <f t="shared" si="31"/>
        <v>0.12526785714285713</v>
      </c>
      <c r="M340" s="405">
        <f t="shared" si="34"/>
        <v>46.033279410082841</v>
      </c>
      <c r="N340" s="63">
        <f t="shared" si="32"/>
        <v>-7.3496380302242592E-2</v>
      </c>
    </row>
    <row r="341" spans="1:14" ht="18" x14ac:dyDescent="0.25">
      <c r="A341" s="317" t="s">
        <v>3541</v>
      </c>
      <c r="B341" s="317" t="s">
        <v>3542</v>
      </c>
      <c r="C341" s="317">
        <v>1.5</v>
      </c>
      <c r="D341" s="317">
        <v>2.2000000000000002</v>
      </c>
      <c r="E341" s="318">
        <v>10.83</v>
      </c>
      <c r="F341" s="317">
        <v>1.36</v>
      </c>
      <c r="G341" s="317">
        <v>0</v>
      </c>
      <c r="H341" s="319">
        <v>29.03</v>
      </c>
      <c r="I341" s="320">
        <v>27</v>
      </c>
      <c r="J341" s="320">
        <v>2.4</v>
      </c>
      <c r="K341" s="57">
        <f t="shared" si="33"/>
        <v>0.10945000000000001</v>
      </c>
      <c r="L341" s="310">
        <f t="shared" si="31"/>
        <v>7.9632352941176474E-2</v>
      </c>
      <c r="M341" s="405">
        <f t="shared" si="34"/>
        <v>36.562363610159863</v>
      </c>
      <c r="N341" s="63">
        <f t="shared" si="32"/>
        <v>-0.2060141321954029</v>
      </c>
    </row>
    <row r="342" spans="1:14" ht="18" x14ac:dyDescent="0.25">
      <c r="A342" s="317" t="s">
        <v>3125</v>
      </c>
      <c r="B342" s="317" t="s">
        <v>3126</v>
      </c>
      <c r="C342" s="317">
        <v>1.4</v>
      </c>
      <c r="D342" s="317">
        <v>1.5</v>
      </c>
      <c r="E342" s="318">
        <v>18.3</v>
      </c>
      <c r="F342" s="317">
        <v>1.24</v>
      </c>
      <c r="G342" s="317">
        <v>0</v>
      </c>
      <c r="H342" s="319">
        <v>41.17</v>
      </c>
      <c r="I342" s="320">
        <v>44</v>
      </c>
      <c r="J342" s="320">
        <v>2.2000000000000002</v>
      </c>
      <c r="K342" s="57">
        <f t="shared" si="33"/>
        <v>0.10502</v>
      </c>
      <c r="L342" s="310">
        <f t="shared" si="31"/>
        <v>0.14758064516129032</v>
      </c>
      <c r="M342" s="405">
        <f t="shared" si="34"/>
        <v>34.353585697928935</v>
      </c>
      <c r="N342" s="63">
        <f t="shared" si="32"/>
        <v>0.19841929637295491</v>
      </c>
    </row>
    <row r="343" spans="1:14" ht="18" x14ac:dyDescent="0.25">
      <c r="A343" s="317" t="s">
        <v>968</v>
      </c>
      <c r="B343" s="317" t="s">
        <v>969</v>
      </c>
      <c r="C343" s="317">
        <v>0.86</v>
      </c>
      <c r="D343" s="317">
        <v>2.63</v>
      </c>
      <c r="E343" s="318">
        <v>16.98</v>
      </c>
      <c r="F343" s="317">
        <v>1.19</v>
      </c>
      <c r="G343" s="317">
        <v>0</v>
      </c>
      <c r="H343" s="319">
        <v>50.27</v>
      </c>
      <c r="I343" s="320">
        <v>63</v>
      </c>
      <c r="J343" s="320">
        <v>2.1</v>
      </c>
      <c r="K343" s="57">
        <f t="shared" si="33"/>
        <v>8.1098000000000003E-2</v>
      </c>
      <c r="L343" s="310">
        <f t="shared" si="31"/>
        <v>0.1426890756302521</v>
      </c>
      <c r="M343" s="405">
        <f t="shared" si="34"/>
        <v>91.669305637770009</v>
      </c>
      <c r="N343" s="63">
        <f t="shared" si="32"/>
        <v>-0.45161578731008162</v>
      </c>
    </row>
    <row r="344" spans="1:14" ht="18" x14ac:dyDescent="0.25">
      <c r="A344" s="317" t="s">
        <v>3127</v>
      </c>
      <c r="B344" s="317" t="s">
        <v>4458</v>
      </c>
      <c r="C344" s="317">
        <v>1.85</v>
      </c>
      <c r="D344" s="317">
        <v>2.96</v>
      </c>
      <c r="E344" s="318">
        <v>8.48</v>
      </c>
      <c r="F344" s="317">
        <v>1.19</v>
      </c>
      <c r="G344" s="317">
        <v>3.7</v>
      </c>
      <c r="H344" s="319">
        <v>26.71</v>
      </c>
      <c r="I344" s="320">
        <v>29</v>
      </c>
      <c r="J344" s="320">
        <v>2.2999999999999998</v>
      </c>
      <c r="K344" s="57">
        <f t="shared" si="33"/>
        <v>0.12495500000000001</v>
      </c>
      <c r="L344" s="310">
        <f t="shared" si="31"/>
        <v>7.1260504201680674E-2</v>
      </c>
      <c r="M344" s="405">
        <f t="shared" si="34"/>
        <v>26.318479490167029</v>
      </c>
      <c r="N344" s="63">
        <f t="shared" si="32"/>
        <v>1.4876258713169581E-2</v>
      </c>
    </row>
    <row r="345" spans="1:14" ht="18" x14ac:dyDescent="0.25">
      <c r="A345" s="317" t="s">
        <v>4459</v>
      </c>
      <c r="B345" s="317" t="s">
        <v>4460</v>
      </c>
      <c r="C345" s="317">
        <v>1.79</v>
      </c>
      <c r="D345" s="317">
        <v>1.08</v>
      </c>
      <c r="E345" s="318">
        <v>9.14</v>
      </c>
      <c r="F345" s="317">
        <v>0.61</v>
      </c>
      <c r="G345" s="317">
        <v>0</v>
      </c>
      <c r="H345" s="319">
        <v>12.16</v>
      </c>
      <c r="I345" s="320">
        <v>16.5</v>
      </c>
      <c r="J345" s="320">
        <v>2.2000000000000002</v>
      </c>
      <c r="K345" s="57">
        <f t="shared" si="33"/>
        <v>0.122297</v>
      </c>
      <c r="L345" s="310">
        <f t="shared" si="31"/>
        <v>0.14983606557377052</v>
      </c>
      <c r="M345" s="405">
        <f t="shared" si="34"/>
        <v>19.79920425736681</v>
      </c>
      <c r="N345" s="63">
        <f t="shared" si="32"/>
        <v>-0.38583390312388161</v>
      </c>
    </row>
    <row r="346" spans="1:14" ht="18" x14ac:dyDescent="0.25">
      <c r="A346" s="317" t="s">
        <v>2013</v>
      </c>
      <c r="B346" s="317" t="s">
        <v>2014</v>
      </c>
      <c r="C346" s="317">
        <v>0.52</v>
      </c>
      <c r="D346" s="317">
        <v>4.9800000000000004</v>
      </c>
      <c r="E346" s="318">
        <v>12.13</v>
      </c>
      <c r="F346" s="317">
        <v>1.25</v>
      </c>
      <c r="G346" s="317">
        <v>1.7</v>
      </c>
      <c r="H346" s="319">
        <v>81.97</v>
      </c>
      <c r="I346" s="320">
        <v>85</v>
      </c>
      <c r="J346" s="320">
        <v>2.6</v>
      </c>
      <c r="K346" s="57">
        <f t="shared" si="33"/>
        <v>6.6035999999999997E-2</v>
      </c>
      <c r="L346" s="310">
        <f t="shared" si="31"/>
        <v>9.7040000000000001E-2</v>
      </c>
      <c r="M346" s="405">
        <f t="shared" si="34"/>
        <v>156.81710172974226</v>
      </c>
      <c r="N346" s="63">
        <f t="shared" si="32"/>
        <v>-0.47728915344152545</v>
      </c>
    </row>
    <row r="347" spans="1:14" ht="18" x14ac:dyDescent="0.25">
      <c r="A347" s="317" t="s">
        <v>2138</v>
      </c>
      <c r="B347" s="317" t="s">
        <v>2139</v>
      </c>
      <c r="C347" s="317">
        <v>3.92</v>
      </c>
      <c r="D347" s="317">
        <v>-3.18</v>
      </c>
      <c r="E347" s="318">
        <v>109.11</v>
      </c>
      <c r="F347" s="317">
        <v>-61.1</v>
      </c>
      <c r="G347" s="317">
        <v>0</v>
      </c>
      <c r="H347" s="319">
        <v>38.19</v>
      </c>
      <c r="I347" s="320">
        <v>54.5</v>
      </c>
      <c r="J347" s="320">
        <v>1.9</v>
      </c>
      <c r="K347" s="57">
        <f t="shared" si="33"/>
        <v>0.21665600000000002</v>
      </c>
      <c r="L347" s="310">
        <f t="shared" si="31"/>
        <v>-1.785761047463175E-2</v>
      </c>
      <c r="M347" s="405">
        <f t="shared" si="34"/>
        <v>-16.876510659430465</v>
      </c>
      <c r="N347" s="63">
        <f t="shared" si="32"/>
        <v>-3.2629085342745134</v>
      </c>
    </row>
    <row r="348" spans="1:14" ht="18" x14ac:dyDescent="0.25">
      <c r="A348" s="317" t="s">
        <v>4461</v>
      </c>
      <c r="B348" s="317" t="s">
        <v>4462</v>
      </c>
      <c r="C348" s="317">
        <v>1.22</v>
      </c>
      <c r="D348" s="317">
        <v>0.72</v>
      </c>
      <c r="E348" s="318">
        <v>13.8</v>
      </c>
      <c r="F348" s="317">
        <v>1.05</v>
      </c>
      <c r="G348" s="317">
        <v>0</v>
      </c>
      <c r="H348" s="319">
        <v>20.43</v>
      </c>
      <c r="I348" s="320">
        <v>30</v>
      </c>
      <c r="J348" s="320">
        <v>2</v>
      </c>
      <c r="K348" s="57">
        <f t="shared" si="33"/>
        <v>9.7045999999999993E-2</v>
      </c>
      <c r="L348" s="310">
        <f t="shared" si="31"/>
        <v>0.13142857142857142</v>
      </c>
      <c r="M348" s="405">
        <f t="shared" si="34"/>
        <v>17.595005621367392</v>
      </c>
      <c r="N348" s="63">
        <f t="shared" si="32"/>
        <v>0.1611249487291887</v>
      </c>
    </row>
    <row r="349" spans="1:14" ht="18" x14ac:dyDescent="0.25">
      <c r="A349" s="317" t="s">
        <v>2015</v>
      </c>
      <c r="B349" s="317" t="s">
        <v>2016</v>
      </c>
      <c r="C349" s="317">
        <v>0.76</v>
      </c>
      <c r="D349" s="317">
        <v>6.58</v>
      </c>
      <c r="E349" s="318">
        <v>13.05</v>
      </c>
      <c r="F349" s="317">
        <v>0.91</v>
      </c>
      <c r="G349" s="317">
        <v>0.7</v>
      </c>
      <c r="H349" s="319">
        <v>71.37</v>
      </c>
      <c r="I349" s="320">
        <v>75</v>
      </c>
      <c r="J349" s="320">
        <v>3.2</v>
      </c>
      <c r="K349" s="57">
        <f t="shared" si="33"/>
        <v>7.6668E-2</v>
      </c>
      <c r="L349" s="310">
        <f t="shared" si="31"/>
        <v>0.14340659340659342</v>
      </c>
      <c r="M349" s="405">
        <f t="shared" si="34"/>
        <v>236.37626675338842</v>
      </c>
      <c r="N349" s="63">
        <f t="shared" si="32"/>
        <v>-0.69806613421786379</v>
      </c>
    </row>
    <row r="350" spans="1:14" ht="18" x14ac:dyDescent="0.25">
      <c r="A350" s="317" t="s">
        <v>2017</v>
      </c>
      <c r="B350" s="317" t="s">
        <v>2018</v>
      </c>
      <c r="C350" s="317">
        <v>1.32</v>
      </c>
      <c r="D350" s="317">
        <v>4.1399999999999997</v>
      </c>
      <c r="E350" s="318">
        <v>13.14</v>
      </c>
      <c r="F350" s="317">
        <v>1.08</v>
      </c>
      <c r="G350" s="317">
        <v>1.6</v>
      </c>
      <c r="H350" s="319">
        <v>65.55</v>
      </c>
      <c r="I350" s="320">
        <v>78</v>
      </c>
      <c r="J350" s="320">
        <v>2.2000000000000002</v>
      </c>
      <c r="K350" s="57">
        <f t="shared" si="33"/>
        <v>0.10147600000000001</v>
      </c>
      <c r="L350" s="310">
        <f t="shared" si="31"/>
        <v>0.12166666666666666</v>
      </c>
      <c r="M350" s="405">
        <f t="shared" si="34"/>
        <v>67.732913652027108</v>
      </c>
      <c r="N350" s="63">
        <f t="shared" si="32"/>
        <v>-3.2228255575150216E-2</v>
      </c>
    </row>
    <row r="351" spans="1:14" ht="18" x14ac:dyDescent="0.25">
      <c r="A351" s="317" t="s">
        <v>5066</v>
      </c>
      <c r="B351" s="317" t="s">
        <v>2019</v>
      </c>
      <c r="C351" s="317">
        <v>2.46</v>
      </c>
      <c r="D351" s="317">
        <v>1.72</v>
      </c>
      <c r="E351" s="318">
        <v>10.97</v>
      </c>
      <c r="F351" s="317">
        <v>1.97</v>
      </c>
      <c r="G351" s="317">
        <v>2.4</v>
      </c>
      <c r="H351" s="319">
        <v>39.700000000000003</v>
      </c>
      <c r="I351" s="320">
        <v>47</v>
      </c>
      <c r="J351" s="320">
        <v>2.6</v>
      </c>
      <c r="K351" s="57">
        <f t="shared" si="33"/>
        <v>0.151978</v>
      </c>
      <c r="L351" s="310">
        <f t="shared" si="31"/>
        <v>5.5685279187817266E-2</v>
      </c>
      <c r="M351" s="405">
        <f t="shared" si="34"/>
        <v>7.5215823556799286</v>
      </c>
      <c r="N351" s="63">
        <f t="shared" si="32"/>
        <v>4.2781446938516234</v>
      </c>
    </row>
    <row r="352" spans="1:14" ht="18" x14ac:dyDescent="0.25">
      <c r="A352" s="317" t="s">
        <v>2020</v>
      </c>
      <c r="B352" s="317" t="s">
        <v>2021</v>
      </c>
      <c r="C352" s="317">
        <v>0.91</v>
      </c>
      <c r="D352" s="317">
        <v>2.34</v>
      </c>
      <c r="E352" s="318">
        <v>13.11</v>
      </c>
      <c r="F352" s="317">
        <v>1.9</v>
      </c>
      <c r="G352" s="317">
        <v>2.5</v>
      </c>
      <c r="H352" s="319">
        <v>39.32</v>
      </c>
      <c r="I352" s="320">
        <v>42</v>
      </c>
      <c r="J352" s="320">
        <v>2.5</v>
      </c>
      <c r="K352" s="57">
        <f t="shared" si="33"/>
        <v>8.3312999999999998E-2</v>
      </c>
      <c r="L352" s="310">
        <f t="shared" si="31"/>
        <v>6.9000000000000006E-2</v>
      </c>
      <c r="M352" s="405">
        <f t="shared" si="34"/>
        <v>33.444083405231574</v>
      </c>
      <c r="N352" s="63">
        <f t="shared" si="32"/>
        <v>0.17569375496322534</v>
      </c>
    </row>
    <row r="353" spans="1:14" ht="18" x14ac:dyDescent="0.25">
      <c r="A353" s="317" t="s">
        <v>253</v>
      </c>
      <c r="B353" s="317"/>
      <c r="C353" s="317">
        <v>1.07</v>
      </c>
      <c r="D353" s="317">
        <v>1.54</v>
      </c>
      <c r="E353" s="318">
        <v>15.99</v>
      </c>
      <c r="F353" s="317">
        <v>4.0999999999999996</v>
      </c>
      <c r="G353" s="317">
        <v>0</v>
      </c>
      <c r="H353" s="319">
        <v>47.82</v>
      </c>
      <c r="I353" s="320">
        <v>59.5</v>
      </c>
      <c r="J353" s="320">
        <v>2.1</v>
      </c>
      <c r="K353" s="57">
        <f t="shared" si="33"/>
        <v>9.0401000000000009E-2</v>
      </c>
      <c r="L353" s="310">
        <f t="shared" si="31"/>
        <v>3.9000000000000007E-2</v>
      </c>
      <c r="M353" s="405">
        <f t="shared" si="34"/>
        <v>29.243662710016608</v>
      </c>
      <c r="N353" s="63">
        <f t="shared" si="32"/>
        <v>0.63522608211524001</v>
      </c>
    </row>
    <row r="354" spans="1:14" ht="18" x14ac:dyDescent="0.25">
      <c r="A354" s="317" t="s">
        <v>2022</v>
      </c>
      <c r="B354" s="317" t="s">
        <v>2023</v>
      </c>
      <c r="C354" s="317">
        <v>0.87</v>
      </c>
      <c r="D354" s="317">
        <v>3.21</v>
      </c>
      <c r="E354" s="318">
        <v>12.84</v>
      </c>
      <c r="F354" s="317">
        <v>1.1100000000000001</v>
      </c>
      <c r="G354" s="317">
        <v>2.7</v>
      </c>
      <c r="H354" s="319">
        <v>48.92</v>
      </c>
      <c r="I354" s="320">
        <v>55</v>
      </c>
      <c r="J354" s="320">
        <v>1.9</v>
      </c>
      <c r="K354" s="57">
        <f t="shared" si="33"/>
        <v>8.1541000000000002E-2</v>
      </c>
      <c r="L354" s="310">
        <f t="shared" si="31"/>
        <v>0.11567567567567566</v>
      </c>
      <c r="M354" s="405">
        <f t="shared" si="34"/>
        <v>58.516432495402476</v>
      </c>
      <c r="N354" s="63">
        <f t="shared" si="32"/>
        <v>-0.16399551521115796</v>
      </c>
    </row>
    <row r="355" spans="1:14" ht="18" x14ac:dyDescent="0.25">
      <c r="A355" s="317" t="s">
        <v>1914</v>
      </c>
      <c r="B355" s="317"/>
      <c r="C355" s="317">
        <v>3.28</v>
      </c>
      <c r="D355" s="317">
        <v>0.61</v>
      </c>
      <c r="E355" s="318">
        <v>4.51</v>
      </c>
      <c r="F355" s="317">
        <v>0.51</v>
      </c>
      <c r="G355" s="317">
        <v>0</v>
      </c>
      <c r="H355" s="319">
        <v>4.5599999999999996</v>
      </c>
      <c r="I355" s="320">
        <v>6</v>
      </c>
      <c r="J355" s="320">
        <v>2.7</v>
      </c>
      <c r="K355" s="57">
        <f t="shared" si="33"/>
        <v>0.18830400000000003</v>
      </c>
      <c r="L355" s="310">
        <f t="shared" si="31"/>
        <v>8.8431372549019602E-2</v>
      </c>
      <c r="M355" s="405">
        <f t="shared" si="34"/>
        <v>5.1608028848727709</v>
      </c>
      <c r="N355" s="63">
        <f t="shared" si="32"/>
        <v>-0.11641655344633123</v>
      </c>
    </row>
    <row r="356" spans="1:14" ht="18" x14ac:dyDescent="0.25">
      <c r="A356" s="317" t="s">
        <v>4463</v>
      </c>
      <c r="B356" s="317" t="s">
        <v>4464</v>
      </c>
      <c r="C356" s="317">
        <v>1.2</v>
      </c>
      <c r="D356" s="317">
        <v>6.29</v>
      </c>
      <c r="E356" s="318">
        <v>11.07</v>
      </c>
      <c r="F356" s="317">
        <v>1.1399999999999999</v>
      </c>
      <c r="G356" s="317">
        <v>1.4</v>
      </c>
      <c r="H356" s="319">
        <v>47.95</v>
      </c>
      <c r="I356" s="320">
        <v>57</v>
      </c>
      <c r="J356" s="320">
        <v>2</v>
      </c>
      <c r="K356" s="57">
        <f t="shared" si="33"/>
        <v>9.6159999999999995E-2</v>
      </c>
      <c r="L356" s="310">
        <f t="shared" si="31"/>
        <v>9.710526315789475E-2</v>
      </c>
      <c r="M356" s="405">
        <f t="shared" si="34"/>
        <v>121.94132891920658</v>
      </c>
      <c r="N356" s="63">
        <f t="shared" si="32"/>
        <v>-0.60677810857900571</v>
      </c>
    </row>
    <row r="357" spans="1:14" ht="18" x14ac:dyDescent="0.25">
      <c r="A357" s="317" t="s">
        <v>4465</v>
      </c>
      <c r="B357" s="317" t="s">
        <v>4469</v>
      </c>
      <c r="C357" s="317">
        <v>1.57</v>
      </c>
      <c r="D357" s="317">
        <v>2.4</v>
      </c>
      <c r="E357" s="318">
        <v>14.23</v>
      </c>
      <c r="F357" s="317">
        <v>1.77</v>
      </c>
      <c r="G357" s="317">
        <v>0</v>
      </c>
      <c r="H357" s="319">
        <v>44.67</v>
      </c>
      <c r="I357" s="320">
        <v>49</v>
      </c>
      <c r="J357" s="320">
        <v>1.7</v>
      </c>
      <c r="K357" s="57">
        <f t="shared" si="33"/>
        <v>0.11255100000000001</v>
      </c>
      <c r="L357" s="310">
        <f t="shared" si="31"/>
        <v>8.0395480225988705E-2</v>
      </c>
      <c r="M357" s="405">
        <f t="shared" si="34"/>
        <v>38.401477916478733</v>
      </c>
      <c r="N357" s="63">
        <f t="shared" si="32"/>
        <v>0.1632364800426428</v>
      </c>
    </row>
    <row r="358" spans="1:14" ht="18" x14ac:dyDescent="0.25">
      <c r="A358" s="317" t="s">
        <v>2024</v>
      </c>
      <c r="B358" s="317" t="s">
        <v>2025</v>
      </c>
      <c r="C358" s="317">
        <v>0.62</v>
      </c>
      <c r="D358" s="317">
        <v>3.41</v>
      </c>
      <c r="E358" s="318">
        <v>13.54</v>
      </c>
      <c r="F358" s="317">
        <v>2.94</v>
      </c>
      <c r="G358" s="317">
        <v>4.4000000000000004</v>
      </c>
      <c r="H358" s="319">
        <v>51.05</v>
      </c>
      <c r="I358" s="320">
        <v>49.5</v>
      </c>
      <c r="J358" s="320">
        <v>2.8</v>
      </c>
      <c r="K358" s="57">
        <f t="shared" si="33"/>
        <v>7.0466000000000001E-2</v>
      </c>
      <c r="L358" s="310">
        <f t="shared" si="31"/>
        <v>4.6054421768707485E-2</v>
      </c>
      <c r="M358" s="405">
        <f t="shared" si="34"/>
        <v>35.647663604865357</v>
      </c>
      <c r="N358" s="63">
        <f t="shared" si="32"/>
        <v>0.43207141331507792</v>
      </c>
    </row>
    <row r="359" spans="1:14" ht="18" x14ac:dyDescent="0.25">
      <c r="A359" s="317" t="s">
        <v>2049</v>
      </c>
      <c r="B359" s="317" t="s">
        <v>2050</v>
      </c>
      <c r="C359" s="317">
        <v>4.17</v>
      </c>
      <c r="D359" s="317">
        <v>4.34</v>
      </c>
      <c r="E359" s="318">
        <v>15.46</v>
      </c>
      <c r="F359" s="317">
        <v>-1</v>
      </c>
      <c r="G359" s="317">
        <v>0</v>
      </c>
      <c r="H359" s="319">
        <v>70.040000000000006</v>
      </c>
      <c r="I359" s="320">
        <v>76</v>
      </c>
      <c r="J359" s="320">
        <v>1.8</v>
      </c>
      <c r="K359" s="57">
        <f t="shared" si="33"/>
        <v>0.22773100000000002</v>
      </c>
      <c r="L359" s="310">
        <f t="shared" si="31"/>
        <v>-0.15460000000000002</v>
      </c>
      <c r="M359" s="405">
        <f t="shared" si="34"/>
        <v>15.283231382686639</v>
      </c>
      <c r="N359" s="63">
        <f t="shared" si="32"/>
        <v>3.5828004723754749</v>
      </c>
    </row>
    <row r="360" spans="1:14" ht="18" x14ac:dyDescent="0.25">
      <c r="A360" s="317" t="s">
        <v>2026</v>
      </c>
      <c r="B360" s="317" t="s">
        <v>2027</v>
      </c>
      <c r="C360" s="317">
        <v>0.85</v>
      </c>
      <c r="D360" s="317">
        <v>2.48</v>
      </c>
      <c r="E360" s="318">
        <v>12.04</v>
      </c>
      <c r="F360" s="317">
        <v>0.64</v>
      </c>
      <c r="G360" s="317">
        <v>0</v>
      </c>
      <c r="H360" s="319">
        <v>48.78</v>
      </c>
      <c r="I360" s="320">
        <v>53</v>
      </c>
      <c r="J360" s="320">
        <v>2.2999999999999998</v>
      </c>
      <c r="K360" s="57">
        <f t="shared" si="33"/>
        <v>8.0655000000000004E-2</v>
      </c>
      <c r="L360" s="310">
        <f t="shared" si="31"/>
        <v>0.18812499999999999</v>
      </c>
      <c r="M360" s="405">
        <f t="shared" si="34"/>
        <v>104.34295871129459</v>
      </c>
      <c r="N360" s="63">
        <f t="shared" si="32"/>
        <v>-0.53250319329195117</v>
      </c>
    </row>
    <row r="361" spans="1:14" ht="18" x14ac:dyDescent="0.25">
      <c r="A361" s="317" t="s">
        <v>4470</v>
      </c>
      <c r="B361" s="317" t="s">
        <v>4471</v>
      </c>
      <c r="C361" s="317">
        <v>1.1399999999999999</v>
      </c>
      <c r="D361" s="317">
        <v>0.57999999999999996</v>
      </c>
      <c r="E361" s="318">
        <v>14.45</v>
      </c>
      <c r="F361" s="317">
        <v>1.18</v>
      </c>
      <c r="G361" s="317">
        <v>2.1</v>
      </c>
      <c r="H361" s="319">
        <v>15.03</v>
      </c>
      <c r="I361" s="320">
        <v>18</v>
      </c>
      <c r="J361" s="320">
        <v>2.2000000000000002</v>
      </c>
      <c r="K361" s="57">
        <f t="shared" si="33"/>
        <v>9.3502000000000002E-2</v>
      </c>
      <c r="L361" s="310">
        <f t="shared" si="31"/>
        <v>0.12245762711864407</v>
      </c>
      <c r="M361" s="405">
        <f t="shared" si="34"/>
        <v>6.6331271746776963</v>
      </c>
      <c r="N361" s="63">
        <f t="shared" si="32"/>
        <v>1.2658995680616221</v>
      </c>
    </row>
    <row r="362" spans="1:14" ht="18" x14ac:dyDescent="0.25">
      <c r="A362" s="317" t="s">
        <v>2028</v>
      </c>
      <c r="B362" s="317" t="s">
        <v>2029</v>
      </c>
      <c r="C362" s="317">
        <v>0.42</v>
      </c>
      <c r="D362" s="317">
        <v>1</v>
      </c>
      <c r="E362" s="318">
        <v>13.42</v>
      </c>
      <c r="F362" s="317">
        <v>3.21</v>
      </c>
      <c r="G362" s="317">
        <v>5.2</v>
      </c>
      <c r="H362" s="319">
        <v>18.649999999999999</v>
      </c>
      <c r="I362" s="320">
        <v>18</v>
      </c>
      <c r="J362" s="320">
        <v>3.2</v>
      </c>
      <c r="K362" s="57">
        <f t="shared" si="33"/>
        <v>6.1605999999999994E-2</v>
      </c>
      <c r="L362" s="310">
        <f t="shared" si="31"/>
        <v>4.1806853582554517E-2</v>
      </c>
      <c r="M362" s="405">
        <f t="shared" si="34"/>
        <v>1.2189281645910826</v>
      </c>
      <c r="N362" s="63">
        <f t="shared" si="32"/>
        <v>14.300327403835622</v>
      </c>
    </row>
    <row r="363" spans="1:14" ht="18" x14ac:dyDescent="0.25">
      <c r="A363" s="317" t="s">
        <v>2030</v>
      </c>
      <c r="B363" s="317" t="s">
        <v>2031</v>
      </c>
      <c r="C363" s="317">
        <v>0.4</v>
      </c>
      <c r="D363" s="317">
        <v>4.3899999999999997</v>
      </c>
      <c r="E363" s="318">
        <v>10.96</v>
      </c>
      <c r="F363" s="317">
        <v>0.98</v>
      </c>
      <c r="G363" s="317">
        <v>0.4</v>
      </c>
      <c r="H363" s="319">
        <v>53.18</v>
      </c>
      <c r="I363" s="320">
        <v>60</v>
      </c>
      <c r="J363" s="320">
        <v>2.1</v>
      </c>
      <c r="K363" s="57">
        <f t="shared" si="33"/>
        <v>6.0719999999999996E-2</v>
      </c>
      <c r="L363" s="310">
        <f t="shared" si="31"/>
        <v>0.11183673469387756</v>
      </c>
      <c r="M363" s="405">
        <f t="shared" si="34"/>
        <v>236.81789203196672</v>
      </c>
      <c r="N363" s="63">
        <f t="shared" si="32"/>
        <v>-0.77543926456020673</v>
      </c>
    </row>
    <row r="364" spans="1:14" ht="18" x14ac:dyDescent="0.25">
      <c r="A364" s="317" t="s">
        <v>2032</v>
      </c>
      <c r="B364" s="317" t="s">
        <v>2033</v>
      </c>
      <c r="C364" s="317">
        <v>0.15</v>
      </c>
      <c r="D364" s="317">
        <v>3.94</v>
      </c>
      <c r="E364" s="318">
        <v>15.49</v>
      </c>
      <c r="F364" s="317">
        <v>1.59</v>
      </c>
      <c r="G364" s="317">
        <v>0</v>
      </c>
      <c r="H364" s="319">
        <v>85.65</v>
      </c>
      <c r="I364" s="320">
        <v>93</v>
      </c>
      <c r="J364" s="320">
        <v>2.1</v>
      </c>
      <c r="K364" s="57">
        <f t="shared" si="33"/>
        <v>4.9644999999999995E-2</v>
      </c>
      <c r="L364" s="310">
        <f t="shared" si="31"/>
        <v>9.7421383647798745E-2</v>
      </c>
      <c r="M364" s="405">
        <f t="shared" si="34"/>
        <v>382.30296087236974</v>
      </c>
      <c r="N364" s="63">
        <f t="shared" si="32"/>
        <v>-0.77596302208971402</v>
      </c>
    </row>
    <row r="365" spans="1:14" ht="18" x14ac:dyDescent="0.25">
      <c r="A365" s="317" t="s">
        <v>2034</v>
      </c>
      <c r="B365" s="317" t="s">
        <v>2035</v>
      </c>
      <c r="C365" s="317">
        <v>1.05</v>
      </c>
      <c r="D365" s="317">
        <v>10.38</v>
      </c>
      <c r="E365" s="318">
        <v>10.6</v>
      </c>
      <c r="F365" s="317">
        <v>0.83</v>
      </c>
      <c r="G365" s="317">
        <v>0.8</v>
      </c>
      <c r="H365" s="319">
        <v>84.13</v>
      </c>
      <c r="I365" s="320">
        <v>99</v>
      </c>
      <c r="J365" s="320">
        <v>2.2000000000000002</v>
      </c>
      <c r="K365" s="57">
        <f t="shared" si="33"/>
        <v>8.9515000000000011E-2</v>
      </c>
      <c r="L365" s="310">
        <f t="shared" si="31"/>
        <v>0.12771084337349398</v>
      </c>
      <c r="M365" s="405">
        <f t="shared" si="34"/>
        <v>267.55087933325774</v>
      </c>
      <c r="N365" s="63">
        <f t="shared" si="32"/>
        <v>-0.68555513549552272</v>
      </c>
    </row>
    <row r="366" spans="1:14" ht="18" x14ac:dyDescent="0.25">
      <c r="A366" s="317" t="s">
        <v>1596</v>
      </c>
      <c r="B366" s="317"/>
      <c r="C366" s="317">
        <v>1.52</v>
      </c>
      <c r="D366" s="317">
        <v>-3.47</v>
      </c>
      <c r="E366" s="318">
        <v>11.53</v>
      </c>
      <c r="F366" s="317">
        <v>2.0099999999999998</v>
      </c>
      <c r="G366" s="317">
        <v>0</v>
      </c>
      <c r="H366" s="319">
        <v>6.34</v>
      </c>
      <c r="I366" s="320">
        <v>8</v>
      </c>
      <c r="J366" s="320">
        <v>2.4</v>
      </c>
      <c r="K366" s="57">
        <f t="shared" ref="K366:K429" si="35">$P$14+C366*($Q$15-$P$14)</f>
        <v>0.110336</v>
      </c>
      <c r="L366" s="310">
        <f t="shared" ref="L366:L429" si="36">E366/F366/100</f>
        <v>5.7363184079601996E-2</v>
      </c>
      <c r="M366" s="405">
        <f t="shared" si="34"/>
        <v>-52.329340038024313</v>
      </c>
      <c r="N366" s="63">
        <f t="shared" ref="N366:N429" si="37">(H366-M366)/M366</f>
        <v>-1.1211557416048652</v>
      </c>
    </row>
    <row r="367" spans="1:14" ht="18" x14ac:dyDescent="0.25">
      <c r="A367" s="317" t="s">
        <v>4472</v>
      </c>
      <c r="B367" s="317" t="s">
        <v>4473</v>
      </c>
      <c r="C367" s="317">
        <v>2.2200000000000002</v>
      </c>
      <c r="D367" s="317">
        <v>1.26</v>
      </c>
      <c r="E367" s="318">
        <v>13.46</v>
      </c>
      <c r="F367" s="317">
        <v>1.55</v>
      </c>
      <c r="G367" s="317">
        <v>0</v>
      </c>
      <c r="H367" s="319">
        <v>23.56</v>
      </c>
      <c r="I367" s="320">
        <v>29</v>
      </c>
      <c r="J367" s="320">
        <v>2.2999999999999998</v>
      </c>
      <c r="K367" s="57">
        <f t="shared" si="35"/>
        <v>0.14134600000000003</v>
      </c>
      <c r="L367" s="310">
        <f t="shared" si="36"/>
        <v>8.6838709677419357E-2</v>
      </c>
      <c r="M367" s="405">
        <f t="shared" si="34"/>
        <v>15.090965403250905</v>
      </c>
      <c r="N367" s="63">
        <f t="shared" si="37"/>
        <v>0.56119899359948755</v>
      </c>
    </row>
    <row r="368" spans="1:14" ht="18" x14ac:dyDescent="0.25">
      <c r="A368" s="317" t="s">
        <v>1119</v>
      </c>
      <c r="B368" s="317" t="s">
        <v>4180</v>
      </c>
      <c r="C368" s="317">
        <v>-0.08</v>
      </c>
      <c r="D368" s="317">
        <v>1.17</v>
      </c>
      <c r="E368" s="318">
        <v>0</v>
      </c>
      <c r="F368" s="317">
        <v>0</v>
      </c>
      <c r="G368" s="317">
        <v>25.1</v>
      </c>
      <c r="H368" s="319">
        <v>10.71</v>
      </c>
      <c r="I368" s="320"/>
      <c r="J368" s="320"/>
      <c r="K368" s="57">
        <f t="shared" si="35"/>
        <v>3.9455999999999998E-2</v>
      </c>
      <c r="L368" s="310" t="e">
        <f t="shared" si="36"/>
        <v>#DIV/0!</v>
      </c>
      <c r="M368" s="405" t="e">
        <f t="shared" si="34"/>
        <v>#DIV/0!</v>
      </c>
      <c r="N368" s="63" t="e">
        <f t="shared" si="37"/>
        <v>#DIV/0!</v>
      </c>
    </row>
    <row r="369" spans="1:14" ht="18" x14ac:dyDescent="0.25">
      <c r="A369" s="317" t="s">
        <v>4474</v>
      </c>
      <c r="B369" s="317" t="s">
        <v>4475</v>
      </c>
      <c r="C369" s="317">
        <v>2.2200000000000002</v>
      </c>
      <c r="D369" s="317">
        <v>0.21</v>
      </c>
      <c r="E369" s="318">
        <v>19.899999999999999</v>
      </c>
      <c r="F369" s="317">
        <v>2.21</v>
      </c>
      <c r="G369" s="317">
        <v>0</v>
      </c>
      <c r="H369" s="319">
        <v>14.53</v>
      </c>
      <c r="I369" s="320">
        <v>18</v>
      </c>
      <c r="J369" s="320">
        <v>2</v>
      </c>
      <c r="K369" s="57">
        <f t="shared" si="35"/>
        <v>0.14134600000000003</v>
      </c>
      <c r="L369" s="310">
        <f t="shared" si="36"/>
        <v>9.004524886877828E-2</v>
      </c>
      <c r="M369" s="405">
        <f t="shared" si="34"/>
        <v>2.5436928634130358</v>
      </c>
      <c r="N369" s="63">
        <f t="shared" si="37"/>
        <v>4.7121676162208388</v>
      </c>
    </row>
    <row r="370" spans="1:14" ht="18" x14ac:dyDescent="0.25">
      <c r="A370" s="317" t="s">
        <v>1126</v>
      </c>
      <c r="B370" s="317" t="s">
        <v>1127</v>
      </c>
      <c r="C370" s="317">
        <v>0.91</v>
      </c>
      <c r="D370" s="317">
        <v>5.43</v>
      </c>
      <c r="E370" s="318">
        <v>7.37</v>
      </c>
      <c r="F370" s="317">
        <v>2.73</v>
      </c>
      <c r="G370" s="317">
        <v>3.8</v>
      </c>
      <c r="H370" s="319">
        <v>50.73</v>
      </c>
      <c r="I370" s="320">
        <v>61</v>
      </c>
      <c r="J370" s="320">
        <v>2</v>
      </c>
      <c r="K370" s="57">
        <f t="shared" si="35"/>
        <v>8.3312999999999998E-2</v>
      </c>
      <c r="L370" s="310">
        <f t="shared" si="36"/>
        <v>2.6996336996336998E-2</v>
      </c>
      <c r="M370" s="405">
        <f t="shared" si="34"/>
        <v>72.464508247674246</v>
      </c>
      <c r="N370" s="63">
        <f t="shared" si="37"/>
        <v>-0.29993315035532336</v>
      </c>
    </row>
    <row r="371" spans="1:14" ht="18" x14ac:dyDescent="0.25">
      <c r="A371" s="317" t="s">
        <v>2036</v>
      </c>
      <c r="B371" s="317" t="s">
        <v>2037</v>
      </c>
      <c r="C371" s="317">
        <v>1.57</v>
      </c>
      <c r="D371" s="317">
        <v>1.42</v>
      </c>
      <c r="E371" s="318">
        <v>14.73</v>
      </c>
      <c r="F371" s="317">
        <v>1.75</v>
      </c>
      <c r="G371" s="317">
        <v>0</v>
      </c>
      <c r="H371" s="319">
        <v>32.99</v>
      </c>
      <c r="I371" s="320">
        <v>38</v>
      </c>
      <c r="J371" s="320">
        <v>2.4</v>
      </c>
      <c r="K371" s="57">
        <f t="shared" si="35"/>
        <v>0.11255100000000001</v>
      </c>
      <c r="L371" s="310">
        <f t="shared" si="36"/>
        <v>8.4171428571428578E-2</v>
      </c>
      <c r="M371" s="405">
        <f t="shared" si="34"/>
        <v>23.048403075641438</v>
      </c>
      <c r="N371" s="63">
        <f t="shared" si="37"/>
        <v>0.43133560671130738</v>
      </c>
    </row>
    <row r="372" spans="1:14" ht="18" x14ac:dyDescent="0.25">
      <c r="A372" s="317" t="s">
        <v>4476</v>
      </c>
      <c r="B372" s="317" t="s">
        <v>4477</v>
      </c>
      <c r="C372" s="317">
        <v>1.44</v>
      </c>
      <c r="D372" s="317">
        <v>1.72</v>
      </c>
      <c r="E372" s="318">
        <v>8.27</v>
      </c>
      <c r="F372" s="317">
        <v>1.1399999999999999</v>
      </c>
      <c r="G372" s="317">
        <v>3.4</v>
      </c>
      <c r="H372" s="319">
        <v>18.350000000000001</v>
      </c>
      <c r="I372" s="320">
        <v>16</v>
      </c>
      <c r="J372" s="320">
        <v>1</v>
      </c>
      <c r="K372" s="57">
        <f t="shared" si="35"/>
        <v>0.106792</v>
      </c>
      <c r="L372" s="310">
        <f t="shared" si="36"/>
        <v>7.2543859649122813E-2</v>
      </c>
      <c r="M372" s="405">
        <f t="shared" si="34"/>
        <v>18.383226818067829</v>
      </c>
      <c r="N372" s="63">
        <f t="shared" si="37"/>
        <v>-1.8074529785581999E-3</v>
      </c>
    </row>
    <row r="373" spans="1:14" ht="18" x14ac:dyDescent="0.25">
      <c r="A373" s="317" t="s">
        <v>1597</v>
      </c>
      <c r="B373" s="317"/>
      <c r="C373" s="317">
        <v>1.22</v>
      </c>
      <c r="D373" s="317">
        <v>1.51</v>
      </c>
      <c r="E373" s="318">
        <v>12.77</v>
      </c>
      <c r="F373" s="317">
        <v>1.03</v>
      </c>
      <c r="G373" s="317">
        <v>0</v>
      </c>
      <c r="H373" s="319">
        <v>21.2</v>
      </c>
      <c r="I373" s="320">
        <v>29.5</v>
      </c>
      <c r="J373" s="320">
        <v>1.3</v>
      </c>
      <c r="K373" s="57">
        <f t="shared" si="35"/>
        <v>9.7045999999999993E-2</v>
      </c>
      <c r="L373" s="310">
        <f t="shared" si="36"/>
        <v>0.12398058252427184</v>
      </c>
      <c r="M373" s="405">
        <f t="shared" si="34"/>
        <v>35.854717294149069</v>
      </c>
      <c r="N373" s="63">
        <f t="shared" si="37"/>
        <v>-0.40872494332957665</v>
      </c>
    </row>
    <row r="374" spans="1:14" ht="18" x14ac:dyDescent="0.25">
      <c r="A374" s="317" t="s">
        <v>2038</v>
      </c>
      <c r="B374" s="317" t="s">
        <v>2039</v>
      </c>
      <c r="C374" s="317">
        <v>0.69</v>
      </c>
      <c r="D374" s="317">
        <v>2.23</v>
      </c>
      <c r="E374" s="318">
        <v>18.03</v>
      </c>
      <c r="F374" s="317">
        <v>1.58</v>
      </c>
      <c r="G374" s="317">
        <v>1.3</v>
      </c>
      <c r="H374" s="319">
        <v>51.76</v>
      </c>
      <c r="I374" s="320">
        <v>57</v>
      </c>
      <c r="J374" s="320">
        <v>1.9</v>
      </c>
      <c r="K374" s="57">
        <f t="shared" si="35"/>
        <v>7.3566999999999994E-2</v>
      </c>
      <c r="L374" s="310">
        <f t="shared" si="36"/>
        <v>0.11411392405063291</v>
      </c>
      <c r="M374" s="405">
        <f t="shared" si="34"/>
        <v>58.286828545108314</v>
      </c>
      <c r="N374" s="63">
        <f t="shared" si="37"/>
        <v>-0.11197776080846787</v>
      </c>
    </row>
    <row r="375" spans="1:14" ht="18" x14ac:dyDescent="0.25">
      <c r="A375" s="317" t="s">
        <v>4478</v>
      </c>
      <c r="B375" s="317" t="s">
        <v>4479</v>
      </c>
      <c r="C375" s="317">
        <v>2.15</v>
      </c>
      <c r="D375" s="317">
        <v>2.0499999999999998</v>
      </c>
      <c r="E375" s="318">
        <v>10.18</v>
      </c>
      <c r="F375" s="317">
        <v>0.88</v>
      </c>
      <c r="G375" s="317">
        <v>0</v>
      </c>
      <c r="H375" s="319">
        <v>29.63</v>
      </c>
      <c r="I375" s="320">
        <v>34</v>
      </c>
      <c r="J375" s="320">
        <v>1.7</v>
      </c>
      <c r="K375" s="57">
        <f t="shared" si="35"/>
        <v>0.13824500000000001</v>
      </c>
      <c r="L375" s="310">
        <f t="shared" si="36"/>
        <v>0.11568181818181818</v>
      </c>
      <c r="M375" s="405">
        <f t="shared" si="34"/>
        <v>27.991505233834275</v>
      </c>
      <c r="N375" s="63">
        <f t="shared" si="37"/>
        <v>5.8535428962398939E-2</v>
      </c>
    </row>
    <row r="376" spans="1:14" ht="18" x14ac:dyDescent="0.25">
      <c r="A376" s="317" t="s">
        <v>2040</v>
      </c>
      <c r="B376" s="317" t="s">
        <v>2041</v>
      </c>
      <c r="C376" s="317">
        <v>0.26</v>
      </c>
      <c r="D376" s="317">
        <v>3.47</v>
      </c>
      <c r="E376" s="318">
        <v>14.25</v>
      </c>
      <c r="F376" s="317">
        <v>3.84</v>
      </c>
      <c r="G376" s="317">
        <v>4.5999999999999996</v>
      </c>
      <c r="H376" s="319">
        <v>52.57</v>
      </c>
      <c r="I376" s="320">
        <v>52</v>
      </c>
      <c r="J376" s="320">
        <v>2.9</v>
      </c>
      <c r="K376" s="57">
        <f t="shared" si="35"/>
        <v>5.4517999999999997E-2</v>
      </c>
      <c r="L376" s="310">
        <f t="shared" si="36"/>
        <v>3.7109375E-2</v>
      </c>
      <c r="M376" s="405">
        <f t="shared" si="34"/>
        <v>57.349821868507313</v>
      </c>
      <c r="N376" s="63">
        <f t="shared" si="37"/>
        <v>-8.334501682440397E-2</v>
      </c>
    </row>
    <row r="377" spans="1:14" ht="18" x14ac:dyDescent="0.25">
      <c r="A377" s="317" t="s">
        <v>4480</v>
      </c>
      <c r="B377" s="317" t="s">
        <v>4481</v>
      </c>
      <c r="C377" s="317">
        <v>1.67</v>
      </c>
      <c r="D377" s="317">
        <v>-0.75</v>
      </c>
      <c r="E377" s="318">
        <v>11.72</v>
      </c>
      <c r="F377" s="317">
        <v>0.97</v>
      </c>
      <c r="G377" s="317">
        <v>0</v>
      </c>
      <c r="H377" s="319">
        <v>18.52</v>
      </c>
      <c r="I377" s="320">
        <v>22.5</v>
      </c>
      <c r="J377" s="320">
        <v>1.8</v>
      </c>
      <c r="K377" s="57">
        <f t="shared" si="35"/>
        <v>0.116981</v>
      </c>
      <c r="L377" s="310">
        <f t="shared" si="36"/>
        <v>0.12082474226804125</v>
      </c>
      <c r="M377" s="405">
        <f t="shared" si="34"/>
        <v>-13.197781738460343</v>
      </c>
      <c r="N377" s="63">
        <f t="shared" si="37"/>
        <v>-2.4032661220657943</v>
      </c>
    </row>
    <row r="378" spans="1:14" ht="18" x14ac:dyDescent="0.25">
      <c r="A378" s="317" t="s">
        <v>2042</v>
      </c>
      <c r="B378" s="317" t="s">
        <v>4365</v>
      </c>
      <c r="C378" s="317">
        <v>1.06</v>
      </c>
      <c r="D378" s="317">
        <v>2.13</v>
      </c>
      <c r="E378" s="318">
        <v>14.05</v>
      </c>
      <c r="F378" s="317">
        <v>1.47</v>
      </c>
      <c r="G378" s="317">
        <v>1.7</v>
      </c>
      <c r="H378" s="319">
        <v>38.65</v>
      </c>
      <c r="I378" s="320">
        <v>41</v>
      </c>
      <c r="J378" s="320">
        <v>2.2999999999999998</v>
      </c>
      <c r="K378" s="57">
        <f t="shared" si="35"/>
        <v>8.995800000000001E-2</v>
      </c>
      <c r="L378" s="310">
        <f t="shared" si="36"/>
        <v>9.5578231292517024E-2</v>
      </c>
      <c r="M378" s="405">
        <f t="shared" si="34"/>
        <v>35.450268409506897</v>
      </c>
      <c r="N378" s="63">
        <f t="shared" si="37"/>
        <v>9.0259728178391216E-2</v>
      </c>
    </row>
    <row r="379" spans="1:14" ht="18" x14ac:dyDescent="0.25">
      <c r="A379" s="317" t="s">
        <v>4366</v>
      </c>
      <c r="B379" s="317" t="s">
        <v>4367</v>
      </c>
      <c r="C379" s="317">
        <v>0.65</v>
      </c>
      <c r="D379" s="317">
        <v>3.82</v>
      </c>
      <c r="E379" s="318">
        <v>14.52</v>
      </c>
      <c r="F379" s="317">
        <v>4.07</v>
      </c>
      <c r="G379" s="317">
        <v>3.3</v>
      </c>
      <c r="H379" s="319">
        <v>38.76</v>
      </c>
      <c r="I379" s="320">
        <v>40.5</v>
      </c>
      <c r="J379" s="320">
        <v>2.2999999999999998</v>
      </c>
      <c r="K379" s="57">
        <f t="shared" si="35"/>
        <v>7.1794999999999998E-2</v>
      </c>
      <c r="L379" s="310">
        <f t="shared" si="36"/>
        <v>3.5675675675675672E-2</v>
      </c>
      <c r="M379" s="405">
        <f t="shared" si="34"/>
        <v>71.68050043781011</v>
      </c>
      <c r="N379" s="63">
        <f t="shared" si="37"/>
        <v>-0.45926716801275524</v>
      </c>
    </row>
    <row r="380" spans="1:14" ht="18" x14ac:dyDescent="0.25">
      <c r="A380" s="317" t="s">
        <v>1598</v>
      </c>
      <c r="B380" s="317"/>
      <c r="C380" s="317">
        <v>1.72</v>
      </c>
      <c r="D380" s="317">
        <v>0.44</v>
      </c>
      <c r="E380" s="318">
        <v>10.130000000000001</v>
      </c>
      <c r="F380" s="317">
        <v>0.47</v>
      </c>
      <c r="G380" s="317">
        <v>1.9</v>
      </c>
      <c r="H380" s="319">
        <v>11.35</v>
      </c>
      <c r="I380" s="320">
        <v>17</v>
      </c>
      <c r="J380" s="320">
        <v>2.1</v>
      </c>
      <c r="K380" s="57">
        <f t="shared" si="35"/>
        <v>0.11919600000000001</v>
      </c>
      <c r="L380" s="310">
        <f t="shared" si="36"/>
        <v>0.21553191489361706</v>
      </c>
      <c r="M380" s="405">
        <f t="shared" si="34"/>
        <v>5.4071842524888742</v>
      </c>
      <c r="N380" s="63">
        <f t="shared" si="37"/>
        <v>1.0990592275037983</v>
      </c>
    </row>
    <row r="381" spans="1:14" ht="18" x14ac:dyDescent="0.25">
      <c r="A381" s="317" t="s">
        <v>4368</v>
      </c>
      <c r="B381" s="317" t="s">
        <v>4369</v>
      </c>
      <c r="C381" s="317">
        <v>1.39</v>
      </c>
      <c r="D381" s="317">
        <v>-3.95</v>
      </c>
      <c r="E381" s="318">
        <v>0</v>
      </c>
      <c r="F381" s="317">
        <v>0.31</v>
      </c>
      <c r="G381" s="317">
        <v>0</v>
      </c>
      <c r="H381" s="319">
        <v>2.8</v>
      </c>
      <c r="I381" s="320">
        <v>3.13</v>
      </c>
      <c r="J381" s="320">
        <v>3.7</v>
      </c>
      <c r="K381" s="57">
        <f t="shared" si="35"/>
        <v>0.104577</v>
      </c>
      <c r="L381" s="310">
        <f t="shared" si="36"/>
        <v>0</v>
      </c>
      <c r="M381" s="405">
        <f t="shared" si="34"/>
        <v>-51.37779161700854</v>
      </c>
      <c r="N381" s="63">
        <f t="shared" si="37"/>
        <v>-1.0544982552164244</v>
      </c>
    </row>
    <row r="382" spans="1:14" ht="18" x14ac:dyDescent="0.25">
      <c r="A382" s="317" t="s">
        <v>1272</v>
      </c>
      <c r="B382" s="317" t="s">
        <v>1273</v>
      </c>
      <c r="C382" s="317">
        <v>1.43</v>
      </c>
      <c r="D382" s="317">
        <v>3.06</v>
      </c>
      <c r="E382" s="318">
        <v>22.76</v>
      </c>
      <c r="F382" s="317">
        <v>2.2400000000000002</v>
      </c>
      <c r="G382" s="317">
        <v>0.8</v>
      </c>
      <c r="H382" s="319">
        <v>96.97</v>
      </c>
      <c r="I382" s="320">
        <v>100</v>
      </c>
      <c r="J382" s="320">
        <v>2.4</v>
      </c>
      <c r="K382" s="57">
        <f t="shared" si="35"/>
        <v>0.106349</v>
      </c>
      <c r="L382" s="310">
        <f t="shared" si="36"/>
        <v>0.10160714285714284</v>
      </c>
      <c r="M382" s="405">
        <f t="shared" si="34"/>
        <v>43.103926667111381</v>
      </c>
      <c r="N382" s="63">
        <f t="shared" si="37"/>
        <v>1.2496790315391111</v>
      </c>
    </row>
    <row r="383" spans="1:14" ht="18" x14ac:dyDescent="0.25">
      <c r="A383" s="317" t="s">
        <v>1274</v>
      </c>
      <c r="B383" s="317" t="s">
        <v>1275</v>
      </c>
      <c r="C383" s="317">
        <v>0.84</v>
      </c>
      <c r="D383" s="317">
        <v>0.88</v>
      </c>
      <c r="E383" s="318">
        <v>15.72</v>
      </c>
      <c r="F383" s="317">
        <v>1.23</v>
      </c>
      <c r="G383" s="317">
        <v>0</v>
      </c>
      <c r="H383" s="319">
        <v>27.19</v>
      </c>
      <c r="I383" s="320">
        <v>32</v>
      </c>
      <c r="J383" s="320">
        <v>1.9</v>
      </c>
      <c r="K383" s="57">
        <f t="shared" si="35"/>
        <v>8.0212000000000006E-2</v>
      </c>
      <c r="L383" s="310">
        <f t="shared" si="36"/>
        <v>0.12780487804878049</v>
      </c>
      <c r="M383" s="405">
        <f t="shared" si="34"/>
        <v>29.49781074470172</v>
      </c>
      <c r="N383" s="63">
        <f t="shared" si="37"/>
        <v>-7.8236678805603865E-2</v>
      </c>
    </row>
    <row r="384" spans="1:14" ht="18" x14ac:dyDescent="0.25">
      <c r="A384" s="317" t="s">
        <v>1276</v>
      </c>
      <c r="B384" s="317" t="s">
        <v>1277</v>
      </c>
      <c r="C384" s="317">
        <v>2.08</v>
      </c>
      <c r="D384" s="317">
        <v>5.93</v>
      </c>
      <c r="E384" s="318">
        <v>10.42</v>
      </c>
      <c r="F384" s="317">
        <v>1.34</v>
      </c>
      <c r="G384" s="317">
        <v>1.8</v>
      </c>
      <c r="H384" s="319">
        <v>102.62</v>
      </c>
      <c r="I384" s="320">
        <v>123</v>
      </c>
      <c r="J384" s="320">
        <v>2</v>
      </c>
      <c r="K384" s="57">
        <f t="shared" si="35"/>
        <v>0.13514400000000001</v>
      </c>
      <c r="L384" s="310">
        <f t="shared" si="36"/>
        <v>7.7761194029850739E-2</v>
      </c>
      <c r="M384" s="405">
        <f t="shared" si="34"/>
        <v>50.224681381353342</v>
      </c>
      <c r="N384" s="63">
        <f t="shared" si="37"/>
        <v>1.0432185367351918</v>
      </c>
    </row>
    <row r="385" spans="1:14" ht="18" x14ac:dyDescent="0.25">
      <c r="A385" s="317" t="s">
        <v>1278</v>
      </c>
      <c r="B385" s="317" t="s">
        <v>1279</v>
      </c>
      <c r="C385" s="317">
        <v>1.24</v>
      </c>
      <c r="D385" s="317">
        <v>2.92</v>
      </c>
      <c r="E385" s="318">
        <v>14.38</v>
      </c>
      <c r="F385" s="317">
        <v>1.1399999999999999</v>
      </c>
      <c r="G385" s="317">
        <v>2.2999999999999998</v>
      </c>
      <c r="H385" s="319">
        <v>55.51</v>
      </c>
      <c r="I385" s="320">
        <v>65.5</v>
      </c>
      <c r="J385" s="320">
        <v>2.2999999999999998</v>
      </c>
      <c r="K385" s="57">
        <f t="shared" si="35"/>
        <v>9.7932000000000005E-2</v>
      </c>
      <c r="L385" s="310">
        <f t="shared" si="36"/>
        <v>0.126140350877193</v>
      </c>
      <c r="M385" s="405">
        <f t="shared" si="34"/>
        <v>38.771211397353817</v>
      </c>
      <c r="N385" s="63">
        <f t="shared" si="37"/>
        <v>0.43173241173961935</v>
      </c>
    </row>
    <row r="386" spans="1:14" ht="18" x14ac:dyDescent="0.25">
      <c r="A386" s="317" t="s">
        <v>4747</v>
      </c>
      <c r="B386" s="317" t="s">
        <v>4748</v>
      </c>
      <c r="C386" s="317">
        <v>2.0699999999999998</v>
      </c>
      <c r="D386" s="317">
        <v>-0.43</v>
      </c>
      <c r="E386" s="318">
        <v>7.48</v>
      </c>
      <c r="F386" s="317">
        <v>0.83</v>
      </c>
      <c r="G386" s="317">
        <v>0</v>
      </c>
      <c r="H386" s="319">
        <v>3.89</v>
      </c>
      <c r="I386" s="320">
        <v>6.5</v>
      </c>
      <c r="J386" s="320">
        <v>1.5</v>
      </c>
      <c r="K386" s="57">
        <f t="shared" si="35"/>
        <v>0.13470100000000002</v>
      </c>
      <c r="L386" s="310">
        <f t="shared" si="36"/>
        <v>9.0120481927710841E-2</v>
      </c>
      <c r="M386" s="405">
        <f t="shared" ref="M386:M449" si="38">(D386-G386*H386/100)+(D386-G386*H386/100)*(1+L386)/(1+K386)+(D386-G386*H386/100)*(1+L386)^2/(1+K386)^2+(D386-G386*H386/100)*(1+L386)^3/(1+K386)^3+(D386-G386*H386/100)*(1+L386)^4/(1+K386)^4+((D386-G386*H386/100)*(1+L386)^5/(K386-$T$22-$T$19))/((1+K386)^5)</f>
        <v>-5.5530005932259048</v>
      </c>
      <c r="N386" s="63">
        <f t="shared" si="37"/>
        <v>-1.70052216539386</v>
      </c>
    </row>
    <row r="387" spans="1:14" ht="18" x14ac:dyDescent="0.25">
      <c r="A387" s="317" t="s">
        <v>4482</v>
      </c>
      <c r="B387" s="317" t="s">
        <v>4483</v>
      </c>
      <c r="C387" s="317">
        <v>1.48</v>
      </c>
      <c r="D387" s="317">
        <v>4.79</v>
      </c>
      <c r="E387" s="318">
        <v>12.11</v>
      </c>
      <c r="F387" s="317">
        <v>1.49</v>
      </c>
      <c r="G387" s="317">
        <v>0</v>
      </c>
      <c r="H387" s="319">
        <v>75.95</v>
      </c>
      <c r="I387" s="320">
        <v>82</v>
      </c>
      <c r="J387" s="320">
        <v>2.1</v>
      </c>
      <c r="K387" s="57">
        <f t="shared" si="35"/>
        <v>0.10856400000000001</v>
      </c>
      <c r="L387" s="310">
        <f t="shared" si="36"/>
        <v>8.1275167785234886E-2</v>
      </c>
      <c r="M387" s="405">
        <f t="shared" si="38"/>
        <v>81.07579464953325</v>
      </c>
      <c r="N387" s="63">
        <f t="shared" si="37"/>
        <v>-6.3222256059167176E-2</v>
      </c>
    </row>
    <row r="388" spans="1:14" ht="18" x14ac:dyDescent="0.25">
      <c r="A388" s="317" t="s">
        <v>4484</v>
      </c>
      <c r="B388" s="317" t="s">
        <v>4485</v>
      </c>
      <c r="C388" s="317">
        <v>1.58</v>
      </c>
      <c r="D388" s="317">
        <v>2.04</v>
      </c>
      <c r="E388" s="318">
        <v>12.42</v>
      </c>
      <c r="F388" s="317">
        <v>1.55</v>
      </c>
      <c r="G388" s="317">
        <v>0</v>
      </c>
      <c r="H388" s="319">
        <v>35.64</v>
      </c>
      <c r="I388" s="320">
        <v>43</v>
      </c>
      <c r="J388" s="320">
        <v>1.9</v>
      </c>
      <c r="K388" s="57">
        <f t="shared" si="35"/>
        <v>0.11299400000000001</v>
      </c>
      <c r="L388" s="310">
        <f t="shared" si="36"/>
        <v>8.0129032258064503E-2</v>
      </c>
      <c r="M388" s="405">
        <f t="shared" si="38"/>
        <v>32.423154761241406</v>
      </c>
      <c r="N388" s="63">
        <f t="shared" si="37"/>
        <v>9.9214442963582519E-2</v>
      </c>
    </row>
    <row r="389" spans="1:14" ht="18" x14ac:dyDescent="0.25">
      <c r="A389" s="317" t="s">
        <v>1498</v>
      </c>
      <c r="B389" s="317" t="s">
        <v>1499</v>
      </c>
      <c r="C389" s="317">
        <v>4.05</v>
      </c>
      <c r="D389" s="317">
        <v>0.73</v>
      </c>
      <c r="E389" s="318">
        <v>9.59</v>
      </c>
      <c r="F389" s="317">
        <v>0.81</v>
      </c>
      <c r="G389" s="317">
        <v>0</v>
      </c>
      <c r="H389" s="319">
        <v>8.73</v>
      </c>
      <c r="I389" s="320">
        <v>10</v>
      </c>
      <c r="J389" s="320">
        <v>2.4</v>
      </c>
      <c r="K389" s="57">
        <f t="shared" si="35"/>
        <v>0.22241500000000003</v>
      </c>
      <c r="L389" s="310">
        <f t="shared" si="36"/>
        <v>0.11839506172839505</v>
      </c>
      <c r="M389" s="405">
        <f t="shared" si="38"/>
        <v>5.5897590693535566</v>
      </c>
      <c r="N389" s="63">
        <f t="shared" si="37"/>
        <v>0.5617846657941209</v>
      </c>
    </row>
    <row r="390" spans="1:14" ht="18" x14ac:dyDescent="0.25">
      <c r="A390" s="317" t="s">
        <v>2140</v>
      </c>
      <c r="B390" s="317" t="s">
        <v>2141</v>
      </c>
      <c r="C390" s="317">
        <v>2.4500000000000002</v>
      </c>
      <c r="D390" s="317">
        <v>0.9</v>
      </c>
      <c r="E390" s="318">
        <v>11.14</v>
      </c>
      <c r="F390" s="317">
        <v>0.65</v>
      </c>
      <c r="G390" s="317">
        <v>0</v>
      </c>
      <c r="H390" s="319">
        <v>9.25</v>
      </c>
      <c r="I390" s="320">
        <v>13</v>
      </c>
      <c r="J390" s="320">
        <v>1.8</v>
      </c>
      <c r="K390" s="57">
        <f t="shared" si="35"/>
        <v>0.15153500000000003</v>
      </c>
      <c r="L390" s="310">
        <f t="shared" si="36"/>
        <v>0.17138461538461539</v>
      </c>
      <c r="M390" s="405">
        <f t="shared" si="38"/>
        <v>13.142619380396688</v>
      </c>
      <c r="N390" s="63">
        <f t="shared" si="37"/>
        <v>-0.29618291968516219</v>
      </c>
    </row>
    <row r="391" spans="1:14" ht="18" x14ac:dyDescent="0.25">
      <c r="A391" s="317" t="s">
        <v>5023</v>
      </c>
      <c r="B391" s="317" t="s">
        <v>5024</v>
      </c>
      <c r="C391" s="317">
        <v>0.96</v>
      </c>
      <c r="D391" s="317">
        <v>0.63</v>
      </c>
      <c r="E391" s="318">
        <v>16.95</v>
      </c>
      <c r="F391" s="317">
        <v>2.0099999999999998</v>
      </c>
      <c r="G391" s="317">
        <v>0.6</v>
      </c>
      <c r="H391" s="319">
        <v>103.89</v>
      </c>
      <c r="I391" s="320">
        <v>124</v>
      </c>
      <c r="J391" s="320">
        <v>2.5</v>
      </c>
      <c r="K391" s="57">
        <f t="shared" si="35"/>
        <v>8.5527999999999993E-2</v>
      </c>
      <c r="L391" s="310">
        <f t="shared" si="36"/>
        <v>8.4328358208955234E-2</v>
      </c>
      <c r="M391" s="405">
        <f t="shared" si="38"/>
        <v>0.16695448563993839</v>
      </c>
      <c r="N391" s="63">
        <f t="shared" si="37"/>
        <v>621.26540126662951</v>
      </c>
    </row>
    <row r="392" spans="1:14" ht="18" x14ac:dyDescent="0.25">
      <c r="A392" s="317" t="s">
        <v>1280</v>
      </c>
      <c r="B392" s="317" t="s">
        <v>1281</v>
      </c>
      <c r="C392" s="317">
        <v>1.19</v>
      </c>
      <c r="D392" s="317">
        <v>1</v>
      </c>
      <c r="E392" s="318">
        <v>15.01</v>
      </c>
      <c r="F392" s="317">
        <v>1.84</v>
      </c>
      <c r="G392" s="317">
        <v>0.2</v>
      </c>
      <c r="H392" s="319">
        <v>18.32</v>
      </c>
      <c r="I392" s="320">
        <v>21</v>
      </c>
      <c r="J392" s="320">
        <v>1.8</v>
      </c>
      <c r="K392" s="57">
        <f t="shared" si="35"/>
        <v>9.5716999999999997E-2</v>
      </c>
      <c r="L392" s="310">
        <f t="shared" si="36"/>
        <v>8.1576086956521743E-2</v>
      </c>
      <c r="M392" s="405">
        <f t="shared" si="38"/>
        <v>19.811707033200936</v>
      </c>
      <c r="N392" s="63">
        <f t="shared" si="37"/>
        <v>-7.5294220265881007E-2</v>
      </c>
    </row>
    <row r="393" spans="1:14" ht="18" x14ac:dyDescent="0.25">
      <c r="A393" s="317" t="s">
        <v>4486</v>
      </c>
      <c r="B393" s="317" t="s">
        <v>4487</v>
      </c>
      <c r="C393" s="317">
        <v>1.77</v>
      </c>
      <c r="D393" s="317">
        <v>1.86</v>
      </c>
      <c r="E393" s="318">
        <v>12.71</v>
      </c>
      <c r="F393" s="317">
        <v>14.17</v>
      </c>
      <c r="G393" s="317">
        <v>5.9</v>
      </c>
      <c r="H393" s="319">
        <v>46.77</v>
      </c>
      <c r="I393" s="320">
        <v>50</v>
      </c>
      <c r="J393" s="320">
        <v>2</v>
      </c>
      <c r="K393" s="57">
        <f t="shared" si="35"/>
        <v>0.12141100000000001</v>
      </c>
      <c r="L393" s="310">
        <f t="shared" si="36"/>
        <v>8.9696541990119984E-3</v>
      </c>
      <c r="M393" s="405">
        <f t="shared" si="38"/>
        <v>-9.8902713301157288</v>
      </c>
      <c r="N393" s="63">
        <f t="shared" si="37"/>
        <v>-5.7288894752145021</v>
      </c>
    </row>
    <row r="394" spans="1:14" ht="18" x14ac:dyDescent="0.25">
      <c r="A394" s="317" t="s">
        <v>4488</v>
      </c>
      <c r="B394" s="317" t="s">
        <v>4489</v>
      </c>
      <c r="C394" s="317">
        <v>1.32</v>
      </c>
      <c r="D394" s="317">
        <v>1.02</v>
      </c>
      <c r="E394" s="318">
        <v>31.93</v>
      </c>
      <c r="F394" s="317">
        <v>1.37</v>
      </c>
      <c r="G394" s="317">
        <v>0</v>
      </c>
      <c r="H394" s="319">
        <v>98.33</v>
      </c>
      <c r="I394" s="320">
        <v>115</v>
      </c>
      <c r="J394" s="320">
        <v>2.1</v>
      </c>
      <c r="K394" s="57">
        <f t="shared" si="35"/>
        <v>0.10147600000000001</v>
      </c>
      <c r="L394" s="310">
        <f t="shared" si="36"/>
        <v>0.23306569343065692</v>
      </c>
      <c r="M394" s="405">
        <f t="shared" si="38"/>
        <v>33.861898453937563</v>
      </c>
      <c r="N394" s="63">
        <f t="shared" si="37"/>
        <v>1.9038537261506046</v>
      </c>
    </row>
    <row r="395" spans="1:14" ht="18" x14ac:dyDescent="0.25">
      <c r="A395" s="317" t="s">
        <v>1282</v>
      </c>
      <c r="B395" s="317" t="s">
        <v>1283</v>
      </c>
      <c r="C395" s="317">
        <v>1.3</v>
      </c>
      <c r="D395" s="317">
        <v>1.18</v>
      </c>
      <c r="E395" s="318">
        <v>21.26</v>
      </c>
      <c r="F395" s="317">
        <v>2.63</v>
      </c>
      <c r="G395" s="317">
        <v>2.2999999999999998</v>
      </c>
      <c r="H395" s="319">
        <v>59.09</v>
      </c>
      <c r="I395" s="320">
        <v>56</v>
      </c>
      <c r="J395" s="320">
        <v>2.8</v>
      </c>
      <c r="K395" s="57">
        <f t="shared" si="35"/>
        <v>0.10059000000000001</v>
      </c>
      <c r="L395" s="310">
        <f t="shared" si="36"/>
        <v>8.0836501901140695E-2</v>
      </c>
      <c r="M395" s="405">
        <f t="shared" si="38"/>
        <v>-3.3961671456441653</v>
      </c>
      <c r="N395" s="63">
        <f t="shared" si="37"/>
        <v>-18.399025862371726</v>
      </c>
    </row>
    <row r="396" spans="1:14" ht="18" x14ac:dyDescent="0.25">
      <c r="A396" s="317" t="s">
        <v>1284</v>
      </c>
      <c r="B396" s="317" t="s">
        <v>1285</v>
      </c>
      <c r="C396" s="317">
        <v>0.81</v>
      </c>
      <c r="D396" s="317">
        <v>1.77</v>
      </c>
      <c r="E396" s="318">
        <v>18.989999999999998</v>
      </c>
      <c r="F396" s="317">
        <v>1.53</v>
      </c>
      <c r="G396" s="317">
        <v>1.7</v>
      </c>
      <c r="H396" s="319">
        <v>50.33</v>
      </c>
      <c r="I396" s="320">
        <v>55</v>
      </c>
      <c r="J396" s="320">
        <v>2.2999999999999998</v>
      </c>
      <c r="K396" s="57">
        <f t="shared" si="35"/>
        <v>7.8883000000000009E-2</v>
      </c>
      <c r="L396" s="310">
        <f t="shared" si="36"/>
        <v>0.12411764705882351</v>
      </c>
      <c r="M396" s="405">
        <f t="shared" si="38"/>
        <v>31.155585734757295</v>
      </c>
      <c r="N396" s="63">
        <f t="shared" si="37"/>
        <v>0.61544066057636815</v>
      </c>
    </row>
    <row r="397" spans="1:14" ht="18" x14ac:dyDescent="0.25">
      <c r="A397" s="317" t="s">
        <v>1286</v>
      </c>
      <c r="B397" s="317" t="s">
        <v>1287</v>
      </c>
      <c r="C397" s="317">
        <v>1.35</v>
      </c>
      <c r="D397" s="317">
        <v>-1.21</v>
      </c>
      <c r="E397" s="318">
        <v>25.01</v>
      </c>
      <c r="F397" s="317">
        <v>1.68</v>
      </c>
      <c r="G397" s="317">
        <v>0</v>
      </c>
      <c r="H397" s="319">
        <v>21.26</v>
      </c>
      <c r="I397" s="320">
        <v>21</v>
      </c>
      <c r="J397" s="320">
        <v>2.4</v>
      </c>
      <c r="K397" s="57">
        <f t="shared" si="35"/>
        <v>0.10280500000000001</v>
      </c>
      <c r="L397" s="310">
        <f t="shared" si="36"/>
        <v>0.14886904761904762</v>
      </c>
      <c r="M397" s="405">
        <f t="shared" si="38"/>
        <v>-28.801646245995698</v>
      </c>
      <c r="N397" s="63">
        <f t="shared" si="37"/>
        <v>-1.7381522506879548</v>
      </c>
    </row>
    <row r="398" spans="1:14" ht="18" x14ac:dyDescent="0.25">
      <c r="A398" s="317" t="s">
        <v>4490</v>
      </c>
      <c r="B398" s="317" t="s">
        <v>4668</v>
      </c>
      <c r="C398" s="317">
        <v>1.38</v>
      </c>
      <c r="D398" s="317">
        <v>-0.25</v>
      </c>
      <c r="E398" s="318">
        <v>13.73</v>
      </c>
      <c r="F398" s="317">
        <v>1.51</v>
      </c>
      <c r="G398" s="317">
        <v>1.8</v>
      </c>
      <c r="H398" s="319">
        <v>5.36</v>
      </c>
      <c r="I398" s="320">
        <v>8</v>
      </c>
      <c r="J398" s="320">
        <v>1.5</v>
      </c>
      <c r="K398" s="57">
        <f t="shared" si="35"/>
        <v>0.104134</v>
      </c>
      <c r="L398" s="310">
        <f t="shared" si="36"/>
        <v>9.0927152317880802E-2</v>
      </c>
      <c r="M398" s="405">
        <f t="shared" si="38"/>
        <v>-6.4797798879113682</v>
      </c>
      <c r="N398" s="63">
        <f t="shared" si="37"/>
        <v>-1.8271885916988599</v>
      </c>
    </row>
    <row r="399" spans="1:14" ht="18" x14ac:dyDescent="0.25">
      <c r="A399" s="317" t="s">
        <v>4884</v>
      </c>
      <c r="B399" s="317" t="s">
        <v>4885</v>
      </c>
      <c r="C399" s="317">
        <v>2.29</v>
      </c>
      <c r="D399" s="317">
        <v>-1.43</v>
      </c>
      <c r="E399" s="318">
        <v>0</v>
      </c>
      <c r="F399" s="317">
        <v>-1.7</v>
      </c>
      <c r="G399" s="317">
        <v>0</v>
      </c>
      <c r="H399" s="319">
        <v>23.29</v>
      </c>
      <c r="I399" s="320">
        <v>31</v>
      </c>
      <c r="J399" s="320">
        <v>1</v>
      </c>
      <c r="K399" s="57">
        <f t="shared" si="35"/>
        <v>0.14444699999999999</v>
      </c>
      <c r="L399" s="310">
        <f t="shared" si="36"/>
        <v>0</v>
      </c>
      <c r="M399" s="405">
        <f t="shared" si="38"/>
        <v>-12.275362998292085</v>
      </c>
      <c r="N399" s="63">
        <f t="shared" si="37"/>
        <v>-2.8972962350066895</v>
      </c>
    </row>
    <row r="400" spans="1:14" ht="18" x14ac:dyDescent="0.25">
      <c r="A400" s="317" t="s">
        <v>4014</v>
      </c>
      <c r="B400" s="317"/>
      <c r="C400" s="317">
        <v>1.43</v>
      </c>
      <c r="D400" s="317">
        <v>12.66</v>
      </c>
      <c r="E400" s="318">
        <v>8.52</v>
      </c>
      <c r="F400" s="317">
        <v>0.99</v>
      </c>
      <c r="G400" s="317">
        <v>0</v>
      </c>
      <c r="H400" s="319">
        <v>106.44</v>
      </c>
      <c r="I400" s="320">
        <v>100</v>
      </c>
      <c r="J400" s="320">
        <v>1</v>
      </c>
      <c r="K400" s="57">
        <f t="shared" si="35"/>
        <v>0.106349</v>
      </c>
      <c r="L400" s="310">
        <f t="shared" si="36"/>
        <v>8.606060606060606E-2</v>
      </c>
      <c r="M400" s="405">
        <f t="shared" si="38"/>
        <v>225.07401651224382</v>
      </c>
      <c r="N400" s="63">
        <f t="shared" si="37"/>
        <v>-0.52708890324436997</v>
      </c>
    </row>
    <row r="401" spans="1:14" ht="18" x14ac:dyDescent="0.25">
      <c r="A401" s="317" t="s">
        <v>4669</v>
      </c>
      <c r="B401" s="317" t="s">
        <v>4670</v>
      </c>
      <c r="C401" s="317">
        <v>1.43</v>
      </c>
      <c r="D401" s="317">
        <v>5.2</v>
      </c>
      <c r="E401" s="318">
        <v>13.32</v>
      </c>
      <c r="F401" s="317">
        <v>2.14</v>
      </c>
      <c r="G401" s="317">
        <v>0</v>
      </c>
      <c r="H401" s="319">
        <v>70.84</v>
      </c>
      <c r="I401" s="320">
        <v>83</v>
      </c>
      <c r="J401" s="320">
        <v>1.8</v>
      </c>
      <c r="K401" s="57">
        <f t="shared" si="35"/>
        <v>0.106349</v>
      </c>
      <c r="L401" s="310">
        <f t="shared" si="36"/>
        <v>6.2242990654205604E-2</v>
      </c>
      <c r="M401" s="405">
        <f t="shared" si="38"/>
        <v>84.320008283069598</v>
      </c>
      <c r="N401" s="63">
        <f t="shared" si="37"/>
        <v>-0.1598672552049098</v>
      </c>
    </row>
    <row r="402" spans="1:14" ht="18" x14ac:dyDescent="0.25">
      <c r="A402" s="317" t="s">
        <v>3805</v>
      </c>
      <c r="B402" s="317" t="s">
        <v>3806</v>
      </c>
      <c r="C402" s="317">
        <v>0.85</v>
      </c>
      <c r="D402" s="317">
        <v>2.31</v>
      </c>
      <c r="E402" s="318">
        <v>14.72</v>
      </c>
      <c r="F402" s="317">
        <v>1.02</v>
      </c>
      <c r="G402" s="317">
        <v>0</v>
      </c>
      <c r="H402" s="319">
        <v>57.83</v>
      </c>
      <c r="I402" s="320">
        <v>65</v>
      </c>
      <c r="J402" s="320">
        <v>2</v>
      </c>
      <c r="K402" s="57">
        <f t="shared" si="35"/>
        <v>8.0655000000000004E-2</v>
      </c>
      <c r="L402" s="310">
        <f t="shared" si="36"/>
        <v>0.14431372549019608</v>
      </c>
      <c r="M402" s="405">
        <f t="shared" si="38"/>
        <v>81.863629800364919</v>
      </c>
      <c r="N402" s="63">
        <f t="shared" si="37"/>
        <v>-0.2935812870620817</v>
      </c>
    </row>
    <row r="403" spans="1:14" ht="18" x14ac:dyDescent="0.25">
      <c r="A403" s="317" t="s">
        <v>1288</v>
      </c>
      <c r="B403" s="317" t="s">
        <v>1289</v>
      </c>
      <c r="C403" s="317">
        <v>2.23</v>
      </c>
      <c r="D403" s="317">
        <v>-0.13</v>
      </c>
      <c r="E403" s="318">
        <v>14.49</v>
      </c>
      <c r="F403" s="317">
        <v>0.62</v>
      </c>
      <c r="G403" s="317">
        <v>0</v>
      </c>
      <c r="H403" s="319">
        <v>15.79</v>
      </c>
      <c r="I403" s="320">
        <v>17</v>
      </c>
      <c r="J403" s="320">
        <v>2.5</v>
      </c>
      <c r="K403" s="57">
        <f t="shared" si="35"/>
        <v>0.141789</v>
      </c>
      <c r="L403" s="310">
        <f t="shared" si="36"/>
        <v>0.23370967741935483</v>
      </c>
      <c r="M403" s="405">
        <f t="shared" si="38"/>
        <v>-2.5732604183189451</v>
      </c>
      <c r="N403" s="63">
        <f t="shared" si="37"/>
        <v>-7.1361842305549708</v>
      </c>
    </row>
    <row r="404" spans="1:14" ht="18" x14ac:dyDescent="0.25">
      <c r="A404" s="317" t="s">
        <v>787</v>
      </c>
      <c r="B404" s="317" t="s">
        <v>788</v>
      </c>
      <c r="C404" s="317">
        <v>2.88</v>
      </c>
      <c r="D404" s="317">
        <v>1.23</v>
      </c>
      <c r="E404" s="318">
        <v>7.7</v>
      </c>
      <c r="F404" s="317">
        <v>2.92</v>
      </c>
      <c r="G404" s="317">
        <v>0</v>
      </c>
      <c r="H404" s="319">
        <v>10.24</v>
      </c>
      <c r="I404" s="320">
        <v>17</v>
      </c>
      <c r="J404" s="320">
        <v>2</v>
      </c>
      <c r="K404" s="57">
        <f t="shared" si="35"/>
        <v>0.17058400000000001</v>
      </c>
      <c r="L404" s="310">
        <f t="shared" si="36"/>
        <v>2.6369863013698633E-2</v>
      </c>
      <c r="M404" s="405">
        <f t="shared" si="38"/>
        <v>9.5462013883672086</v>
      </c>
      <c r="N404" s="63">
        <f t="shared" si="37"/>
        <v>7.267797770097742E-2</v>
      </c>
    </row>
    <row r="405" spans="1:14" ht="18" x14ac:dyDescent="0.25">
      <c r="A405" s="317" t="s">
        <v>202</v>
      </c>
      <c r="B405" s="317" t="s">
        <v>203</v>
      </c>
      <c r="C405" s="317">
        <v>1.36</v>
      </c>
      <c r="D405" s="317">
        <v>1.94</v>
      </c>
      <c r="E405" s="318">
        <v>12.39</v>
      </c>
      <c r="F405" s="317">
        <v>1.1499999999999999</v>
      </c>
      <c r="G405" s="317">
        <v>0</v>
      </c>
      <c r="H405" s="319">
        <v>29.85</v>
      </c>
      <c r="I405" s="320">
        <v>33</v>
      </c>
      <c r="J405" s="320">
        <v>2.2000000000000002</v>
      </c>
      <c r="K405" s="57">
        <f t="shared" si="35"/>
        <v>0.10324800000000001</v>
      </c>
      <c r="L405" s="310">
        <f t="shared" si="36"/>
        <v>0.10773913043478263</v>
      </c>
      <c r="M405" s="405">
        <f t="shared" si="38"/>
        <v>39.219722813441969</v>
      </c>
      <c r="N405" s="63">
        <f t="shared" si="37"/>
        <v>-0.23890334100552685</v>
      </c>
    </row>
    <row r="406" spans="1:14" ht="18" x14ac:dyDescent="0.25">
      <c r="A406" s="317" t="s">
        <v>3761</v>
      </c>
      <c r="B406" s="317" t="s">
        <v>645</v>
      </c>
      <c r="C406" s="317">
        <v>2.17</v>
      </c>
      <c r="D406" s="317">
        <v>-0.28999999999999998</v>
      </c>
      <c r="E406" s="318">
        <v>9.67</v>
      </c>
      <c r="F406" s="317">
        <v>1.29</v>
      </c>
      <c r="G406" s="317">
        <v>2.9</v>
      </c>
      <c r="H406" s="319">
        <v>17.41</v>
      </c>
      <c r="I406" s="320">
        <v>18</v>
      </c>
      <c r="J406" s="320">
        <v>3.3</v>
      </c>
      <c r="K406" s="57">
        <f t="shared" si="35"/>
        <v>0.139131</v>
      </c>
      <c r="L406" s="310">
        <f t="shared" si="36"/>
        <v>7.4961240310077518E-2</v>
      </c>
      <c r="M406" s="405">
        <f t="shared" si="38"/>
        <v>-9.319036474881468</v>
      </c>
      <c r="N406" s="63">
        <f t="shared" si="37"/>
        <v>-2.8682188922563956</v>
      </c>
    </row>
    <row r="407" spans="1:14" ht="18" x14ac:dyDescent="0.25">
      <c r="A407" s="317" t="s">
        <v>1060</v>
      </c>
      <c r="B407" s="317" t="s">
        <v>1061</v>
      </c>
      <c r="C407" s="317"/>
      <c r="D407" s="317"/>
      <c r="E407" s="318"/>
      <c r="F407" s="317"/>
      <c r="G407" s="317"/>
      <c r="H407" s="319"/>
      <c r="I407" s="320"/>
      <c r="J407" s="320"/>
      <c r="K407" s="57">
        <f t="shared" si="35"/>
        <v>4.2999999999999997E-2</v>
      </c>
      <c r="L407" s="310" t="e">
        <f t="shared" si="36"/>
        <v>#DIV/0!</v>
      </c>
      <c r="M407" s="405" t="e">
        <f t="shared" si="38"/>
        <v>#DIV/0!</v>
      </c>
      <c r="N407" s="63" t="e">
        <f t="shared" si="37"/>
        <v>#DIV/0!</v>
      </c>
    </row>
    <row r="408" spans="1:14" ht="18" x14ac:dyDescent="0.25">
      <c r="A408" s="317" t="s">
        <v>204</v>
      </c>
      <c r="B408" s="317" t="s">
        <v>205</v>
      </c>
      <c r="C408" s="317">
        <v>1.04</v>
      </c>
      <c r="D408" s="317">
        <v>0.68</v>
      </c>
      <c r="E408" s="318">
        <v>6.47</v>
      </c>
      <c r="F408" s="317">
        <v>0.34</v>
      </c>
      <c r="G408" s="317">
        <v>0</v>
      </c>
      <c r="H408" s="319">
        <v>3.3</v>
      </c>
      <c r="I408" s="320">
        <v>4.88</v>
      </c>
      <c r="J408" s="320">
        <v>1</v>
      </c>
      <c r="K408" s="57">
        <f t="shared" si="35"/>
        <v>8.9072000000000012E-2</v>
      </c>
      <c r="L408" s="310">
        <f t="shared" si="36"/>
        <v>0.19029411764705881</v>
      </c>
      <c r="M408" s="405">
        <f t="shared" si="38"/>
        <v>24.075214721261155</v>
      </c>
      <c r="N408" s="63">
        <f t="shared" si="37"/>
        <v>-0.86292957141994975</v>
      </c>
    </row>
    <row r="409" spans="1:14" ht="18" x14ac:dyDescent="0.25">
      <c r="A409" s="317" t="s">
        <v>380</v>
      </c>
      <c r="B409" s="317" t="s">
        <v>381</v>
      </c>
      <c r="C409" s="317">
        <v>2.4</v>
      </c>
      <c r="D409" s="317">
        <v>-0.28999999999999998</v>
      </c>
      <c r="E409" s="318">
        <v>0</v>
      </c>
      <c r="F409" s="317">
        <v>0</v>
      </c>
      <c r="G409" s="317">
        <v>0</v>
      </c>
      <c r="H409" s="319">
        <v>0.24</v>
      </c>
      <c r="I409" s="320">
        <v>2</v>
      </c>
      <c r="J409" s="320">
        <v>0</v>
      </c>
      <c r="K409" s="57">
        <f t="shared" si="35"/>
        <v>0.14932000000000001</v>
      </c>
      <c r="L409" s="310" t="e">
        <f t="shared" si="36"/>
        <v>#DIV/0!</v>
      </c>
      <c r="M409" s="405" t="e">
        <f t="shared" si="38"/>
        <v>#DIV/0!</v>
      </c>
      <c r="N409" s="63" t="e">
        <f t="shared" si="37"/>
        <v>#DIV/0!</v>
      </c>
    </row>
    <row r="410" spans="1:14" ht="18" x14ac:dyDescent="0.25">
      <c r="A410" s="317" t="s">
        <v>1062</v>
      </c>
      <c r="B410" s="317" t="s">
        <v>1063</v>
      </c>
      <c r="C410" s="317">
        <v>1.2</v>
      </c>
      <c r="D410" s="317">
        <v>2.72</v>
      </c>
      <c r="E410" s="318">
        <v>12.87</v>
      </c>
      <c r="F410" s="317">
        <v>1.17</v>
      </c>
      <c r="G410" s="317">
        <v>2.5</v>
      </c>
      <c r="H410" s="319">
        <v>40.68</v>
      </c>
      <c r="I410" s="320">
        <v>45</v>
      </c>
      <c r="J410" s="320">
        <v>2.4</v>
      </c>
      <c r="K410" s="57">
        <f t="shared" si="35"/>
        <v>9.6159999999999995E-2</v>
      </c>
      <c r="L410" s="310">
        <f t="shared" si="36"/>
        <v>0.11</v>
      </c>
      <c r="M410" s="405">
        <f t="shared" si="38"/>
        <v>38.873355821890009</v>
      </c>
      <c r="N410" s="63">
        <f t="shared" si="37"/>
        <v>4.6475127755567995E-2</v>
      </c>
    </row>
    <row r="411" spans="1:14" ht="18" x14ac:dyDescent="0.25">
      <c r="A411" s="317" t="s">
        <v>2598</v>
      </c>
      <c r="B411" s="317" t="s">
        <v>2599</v>
      </c>
      <c r="C411" s="317">
        <v>0.56000000000000005</v>
      </c>
      <c r="D411" s="317">
        <v>3.3</v>
      </c>
      <c r="E411" s="318">
        <v>12.39</v>
      </c>
      <c r="F411" s="317">
        <v>0.93</v>
      </c>
      <c r="G411" s="317">
        <v>0</v>
      </c>
      <c r="H411" s="319">
        <v>61.83</v>
      </c>
      <c r="I411" s="320">
        <v>73</v>
      </c>
      <c r="J411" s="320">
        <v>1.9</v>
      </c>
      <c r="K411" s="57">
        <f t="shared" si="35"/>
        <v>6.7808000000000007E-2</v>
      </c>
      <c r="L411" s="310">
        <f t="shared" si="36"/>
        <v>0.13322580645161289</v>
      </c>
      <c r="M411" s="405">
        <f t="shared" si="38"/>
        <v>158.31646193220175</v>
      </c>
      <c r="N411" s="63">
        <f t="shared" si="37"/>
        <v>-0.60945312164392362</v>
      </c>
    </row>
    <row r="412" spans="1:14" ht="18" x14ac:dyDescent="0.25">
      <c r="A412" s="317" t="s">
        <v>1064</v>
      </c>
      <c r="B412" s="317" t="s">
        <v>1065</v>
      </c>
      <c r="C412" s="317">
        <v>1.6</v>
      </c>
      <c r="D412" s="317">
        <v>-1.18</v>
      </c>
      <c r="E412" s="318">
        <v>18.64</v>
      </c>
      <c r="F412" s="317">
        <v>-7.7</v>
      </c>
      <c r="G412" s="317">
        <v>0.5</v>
      </c>
      <c r="H412" s="319">
        <v>7.83</v>
      </c>
      <c r="I412" s="320">
        <v>7.75</v>
      </c>
      <c r="J412" s="320">
        <v>2.9</v>
      </c>
      <c r="K412" s="57">
        <f t="shared" si="35"/>
        <v>0.11388000000000001</v>
      </c>
      <c r="L412" s="310">
        <f t="shared" si="36"/>
        <v>-2.4207792207792206E-2</v>
      </c>
      <c r="M412" s="405">
        <f t="shared" si="38"/>
        <v>-12.836959111861205</v>
      </c>
      <c r="N412" s="63">
        <f t="shared" si="37"/>
        <v>-1.6099575399258823</v>
      </c>
    </row>
    <row r="413" spans="1:14" ht="18" x14ac:dyDescent="0.25">
      <c r="A413" s="317" t="s">
        <v>206</v>
      </c>
      <c r="B413" s="317" t="s">
        <v>207</v>
      </c>
      <c r="C413" s="317">
        <v>2.97</v>
      </c>
      <c r="D413" s="317">
        <v>1.99</v>
      </c>
      <c r="E413" s="318">
        <v>11.86</v>
      </c>
      <c r="F413" s="317">
        <v>0.71</v>
      </c>
      <c r="G413" s="317">
        <v>0</v>
      </c>
      <c r="H413" s="319">
        <v>25.26</v>
      </c>
      <c r="I413" s="320">
        <v>28</v>
      </c>
      <c r="J413" s="320">
        <v>1.8</v>
      </c>
      <c r="K413" s="57">
        <f t="shared" si="35"/>
        <v>0.17457100000000003</v>
      </c>
      <c r="L413" s="310">
        <f t="shared" si="36"/>
        <v>0.16704225352112675</v>
      </c>
      <c r="M413" s="405">
        <f t="shared" si="38"/>
        <v>23.729741596881681</v>
      </c>
      <c r="N413" s="63">
        <f t="shared" si="37"/>
        <v>6.4486939180130459E-2</v>
      </c>
    </row>
    <row r="414" spans="1:14" ht="18" x14ac:dyDescent="0.25">
      <c r="A414" s="317" t="s">
        <v>1410</v>
      </c>
      <c r="B414" s="317"/>
      <c r="C414" s="317">
        <v>1.6</v>
      </c>
      <c r="D414" s="317">
        <v>15.24</v>
      </c>
      <c r="E414" s="318">
        <v>0</v>
      </c>
      <c r="F414" s="317">
        <v>0</v>
      </c>
      <c r="G414" s="317">
        <v>2.2000000000000002</v>
      </c>
      <c r="H414" s="319">
        <v>104.01</v>
      </c>
      <c r="I414" s="320">
        <v>0</v>
      </c>
      <c r="J414" s="320">
        <v>0</v>
      </c>
      <c r="K414" s="57">
        <f t="shared" si="35"/>
        <v>0.11388000000000001</v>
      </c>
      <c r="L414" s="310" t="e">
        <f t="shared" si="36"/>
        <v>#DIV/0!</v>
      </c>
      <c r="M414" s="405" t="e">
        <f t="shared" si="38"/>
        <v>#DIV/0!</v>
      </c>
      <c r="N414" s="63" t="e">
        <f t="shared" si="37"/>
        <v>#DIV/0!</v>
      </c>
    </row>
    <row r="415" spans="1:14" ht="18" x14ac:dyDescent="0.25">
      <c r="A415" s="317" t="s">
        <v>208</v>
      </c>
      <c r="B415" s="317" t="s">
        <v>209</v>
      </c>
      <c r="C415" s="317">
        <v>1.79</v>
      </c>
      <c r="D415" s="317">
        <v>3.97</v>
      </c>
      <c r="E415" s="318">
        <v>16.2</v>
      </c>
      <c r="F415" s="317">
        <v>0.98</v>
      </c>
      <c r="G415" s="317">
        <v>0</v>
      </c>
      <c r="H415" s="319">
        <v>88.47</v>
      </c>
      <c r="I415" s="320">
        <v>97</v>
      </c>
      <c r="J415" s="320">
        <v>2.2000000000000002</v>
      </c>
      <c r="K415" s="57">
        <f t="shared" si="35"/>
        <v>0.122297</v>
      </c>
      <c r="L415" s="310">
        <f t="shared" si="36"/>
        <v>0.1653061224489796</v>
      </c>
      <c r="M415" s="405">
        <f t="shared" si="38"/>
        <v>76.951657650480342</v>
      </c>
      <c r="N415" s="63">
        <f t="shared" si="37"/>
        <v>0.1496828359674427</v>
      </c>
    </row>
    <row r="416" spans="1:14" ht="18" x14ac:dyDescent="0.25">
      <c r="A416" s="317" t="s">
        <v>1066</v>
      </c>
      <c r="B416" s="317" t="s">
        <v>1067</v>
      </c>
      <c r="C416" s="317">
        <v>0.68</v>
      </c>
      <c r="D416" s="317">
        <v>2.2999999999999998</v>
      </c>
      <c r="E416" s="318">
        <v>21.55</v>
      </c>
      <c r="F416" s="317">
        <v>2.61</v>
      </c>
      <c r="G416" s="317">
        <v>1.6</v>
      </c>
      <c r="H416" s="319">
        <v>66.58</v>
      </c>
      <c r="I416" s="320">
        <v>72</v>
      </c>
      <c r="J416" s="320">
        <v>2.4</v>
      </c>
      <c r="K416" s="57">
        <f t="shared" si="35"/>
        <v>7.3123999999999995E-2</v>
      </c>
      <c r="L416" s="310">
        <f t="shared" si="36"/>
        <v>8.2567049808429119E-2</v>
      </c>
      <c r="M416" s="405">
        <f t="shared" si="38"/>
        <v>41.031881747257451</v>
      </c>
      <c r="N416" s="63">
        <f t="shared" si="37"/>
        <v>0.6226406678131492</v>
      </c>
    </row>
    <row r="417" spans="1:14" ht="18" x14ac:dyDescent="0.25">
      <c r="A417" s="317" t="s">
        <v>1068</v>
      </c>
      <c r="B417" s="317" t="s">
        <v>1069</v>
      </c>
      <c r="C417" s="317">
        <v>0.42</v>
      </c>
      <c r="D417" s="317">
        <v>2.81</v>
      </c>
      <c r="E417" s="318">
        <v>15.85</v>
      </c>
      <c r="F417" s="317">
        <v>1.97</v>
      </c>
      <c r="G417" s="317">
        <v>2.2999999999999998</v>
      </c>
      <c r="H417" s="319">
        <v>48.98</v>
      </c>
      <c r="I417" s="320">
        <v>51</v>
      </c>
      <c r="J417" s="320">
        <v>2.4</v>
      </c>
      <c r="K417" s="57">
        <f t="shared" si="35"/>
        <v>6.1605999999999994E-2</v>
      </c>
      <c r="L417" s="310">
        <f t="shared" si="36"/>
        <v>8.045685279187817E-2</v>
      </c>
      <c r="M417" s="405">
        <f t="shared" si="38"/>
        <v>80.514466805126204</v>
      </c>
      <c r="N417" s="63">
        <f t="shared" si="37"/>
        <v>-0.39166212056587163</v>
      </c>
    </row>
    <row r="418" spans="1:14" ht="18" x14ac:dyDescent="0.25">
      <c r="A418" s="317" t="s">
        <v>210</v>
      </c>
      <c r="B418" s="317" t="s">
        <v>211</v>
      </c>
      <c r="C418" s="317">
        <v>1.32</v>
      </c>
      <c r="D418" s="317">
        <v>2.95</v>
      </c>
      <c r="E418" s="318">
        <v>9.33</v>
      </c>
      <c r="F418" s="317">
        <v>0.49</v>
      </c>
      <c r="G418" s="317">
        <v>2.1</v>
      </c>
      <c r="H418" s="319">
        <v>26.12</v>
      </c>
      <c r="I418" s="320">
        <v>31.5</v>
      </c>
      <c r="J418" s="320">
        <v>2.5</v>
      </c>
      <c r="K418" s="57">
        <f t="shared" si="35"/>
        <v>0.10147600000000001</v>
      </c>
      <c r="L418" s="310">
        <f t="shared" si="36"/>
        <v>0.19040816326530613</v>
      </c>
      <c r="M418" s="405">
        <f t="shared" si="38"/>
        <v>68.184874458940115</v>
      </c>
      <c r="N418" s="63">
        <f t="shared" si="37"/>
        <v>-0.61692383820800212</v>
      </c>
    </row>
    <row r="419" spans="1:14" ht="18" x14ac:dyDescent="0.25">
      <c r="A419" s="317" t="s">
        <v>3425</v>
      </c>
      <c r="B419" s="317" t="s">
        <v>3426</v>
      </c>
      <c r="C419" s="317">
        <v>2.0499999999999998</v>
      </c>
      <c r="D419" s="317">
        <v>-1.48</v>
      </c>
      <c r="E419" s="318">
        <v>0</v>
      </c>
      <c r="F419" s="317">
        <v>0</v>
      </c>
      <c r="G419" s="317">
        <v>0</v>
      </c>
      <c r="H419" s="319">
        <v>5.15</v>
      </c>
      <c r="I419" s="320">
        <v>22.5</v>
      </c>
      <c r="J419" s="320">
        <v>2</v>
      </c>
      <c r="K419" s="57">
        <f t="shared" si="35"/>
        <v>0.13381500000000002</v>
      </c>
      <c r="L419" s="310" t="e">
        <f t="shared" si="36"/>
        <v>#DIV/0!</v>
      </c>
      <c r="M419" s="405" t="e">
        <f t="shared" si="38"/>
        <v>#DIV/0!</v>
      </c>
      <c r="N419" s="63" t="e">
        <f t="shared" si="37"/>
        <v>#DIV/0!</v>
      </c>
    </row>
    <row r="420" spans="1:14" ht="18" x14ac:dyDescent="0.25">
      <c r="A420" s="317" t="s">
        <v>1070</v>
      </c>
      <c r="B420" s="317" t="s">
        <v>1071</v>
      </c>
      <c r="C420" s="317">
        <v>0.68</v>
      </c>
      <c r="D420" s="317">
        <v>1.55</v>
      </c>
      <c r="E420" s="318">
        <v>14.1</v>
      </c>
      <c r="F420" s="317">
        <v>1.92</v>
      </c>
      <c r="G420" s="317">
        <v>2.8</v>
      </c>
      <c r="H420" s="319">
        <v>30.04</v>
      </c>
      <c r="I420" s="320">
        <v>33</v>
      </c>
      <c r="J420" s="320">
        <v>2.2999999999999998</v>
      </c>
      <c r="K420" s="57">
        <f t="shared" si="35"/>
        <v>7.3123999999999995E-2</v>
      </c>
      <c r="L420" s="310">
        <f t="shared" si="36"/>
        <v>7.3437500000000003E-2</v>
      </c>
      <c r="M420" s="405">
        <f t="shared" si="38"/>
        <v>22.669304667560453</v>
      </c>
      <c r="N420" s="63">
        <f t="shared" si="37"/>
        <v>0.32513989469588522</v>
      </c>
    </row>
    <row r="421" spans="1:14" ht="18" x14ac:dyDescent="0.25">
      <c r="A421" s="317" t="s">
        <v>5277</v>
      </c>
      <c r="B421" s="317" t="s">
        <v>5278</v>
      </c>
      <c r="C421" s="317">
        <v>0.85</v>
      </c>
      <c r="D421" s="317">
        <v>5.63</v>
      </c>
      <c r="E421" s="318">
        <v>13.57</v>
      </c>
      <c r="F421" s="317">
        <v>1.44</v>
      </c>
      <c r="G421" s="317">
        <v>2.2999999999999998</v>
      </c>
      <c r="H421" s="319">
        <v>95.5</v>
      </c>
      <c r="I421" s="320">
        <v>107</v>
      </c>
      <c r="J421" s="320">
        <v>2.1</v>
      </c>
      <c r="K421" s="57">
        <f t="shared" si="35"/>
        <v>8.0655000000000004E-2</v>
      </c>
      <c r="L421" s="310">
        <f t="shared" si="36"/>
        <v>9.4236111111111132E-2</v>
      </c>
      <c r="M421" s="405">
        <f t="shared" si="38"/>
        <v>99.448459636937073</v>
      </c>
      <c r="N421" s="63">
        <f t="shared" si="37"/>
        <v>-3.9703577625555694E-2</v>
      </c>
    </row>
    <row r="422" spans="1:14" ht="18" x14ac:dyDescent="0.25">
      <c r="A422" s="317" t="s">
        <v>1225</v>
      </c>
      <c r="B422" s="317" t="s">
        <v>1226</v>
      </c>
      <c r="C422" s="317">
        <v>0.51</v>
      </c>
      <c r="D422" s="317">
        <v>1.93</v>
      </c>
      <c r="E422" s="318">
        <v>12.26</v>
      </c>
      <c r="F422" s="317">
        <v>2.34</v>
      </c>
      <c r="G422" s="317">
        <v>5.7</v>
      </c>
      <c r="H422" s="319">
        <v>26.72</v>
      </c>
      <c r="I422" s="320">
        <v>27</v>
      </c>
      <c r="J422" s="320">
        <v>2.6</v>
      </c>
      <c r="K422" s="57">
        <f t="shared" si="35"/>
        <v>6.5592999999999999E-2</v>
      </c>
      <c r="L422" s="310">
        <f t="shared" si="36"/>
        <v>5.2393162393162392E-2</v>
      </c>
      <c r="M422" s="405">
        <f t="shared" si="38"/>
        <v>14.906006149743179</v>
      </c>
      <c r="N422" s="63">
        <f t="shared" si="37"/>
        <v>0.79256601208770916</v>
      </c>
    </row>
    <row r="423" spans="1:14" ht="18" x14ac:dyDescent="0.25">
      <c r="A423" s="317" t="s">
        <v>3247</v>
      </c>
      <c r="B423" s="317" t="s">
        <v>3248</v>
      </c>
      <c r="C423" s="317">
        <v>4.0199999999999996</v>
      </c>
      <c r="D423" s="317">
        <v>-0.34</v>
      </c>
      <c r="E423" s="318">
        <v>15.98</v>
      </c>
      <c r="F423" s="317">
        <v>2.0499999999999998</v>
      </c>
      <c r="G423" s="317">
        <v>0</v>
      </c>
      <c r="H423" s="319">
        <v>16.78</v>
      </c>
      <c r="I423" s="320">
        <v>20.5</v>
      </c>
      <c r="J423" s="320">
        <v>1.5</v>
      </c>
      <c r="K423" s="57">
        <f t="shared" si="35"/>
        <v>0.221086</v>
      </c>
      <c r="L423" s="310">
        <f t="shared" si="36"/>
        <v>7.7951219512195136E-2</v>
      </c>
      <c r="M423" s="405">
        <f t="shared" si="38"/>
        <v>-2.3303468269947847</v>
      </c>
      <c r="N423" s="63">
        <f t="shared" si="37"/>
        <v>-8.2006449021322236</v>
      </c>
    </row>
    <row r="424" spans="1:14" ht="18" x14ac:dyDescent="0.25">
      <c r="A424" s="317" t="s">
        <v>1072</v>
      </c>
      <c r="B424" s="317" t="s">
        <v>1073</v>
      </c>
      <c r="C424" s="317">
        <v>1.56</v>
      </c>
      <c r="D424" s="317">
        <v>1.33</v>
      </c>
      <c r="E424" s="318">
        <v>13.46</v>
      </c>
      <c r="F424" s="317">
        <v>1.47</v>
      </c>
      <c r="G424" s="317">
        <v>2.6</v>
      </c>
      <c r="H424" s="319">
        <v>27.33</v>
      </c>
      <c r="I424" s="320">
        <v>28</v>
      </c>
      <c r="J424" s="320">
        <v>2.5</v>
      </c>
      <c r="K424" s="57">
        <f t="shared" si="35"/>
        <v>0.11210800000000001</v>
      </c>
      <c r="L424" s="310">
        <f t="shared" si="36"/>
        <v>9.1564625850340142E-2</v>
      </c>
      <c r="M424" s="405">
        <f t="shared" si="38"/>
        <v>10.399024291073133</v>
      </c>
      <c r="N424" s="63">
        <f t="shared" si="37"/>
        <v>1.6281311818322202</v>
      </c>
    </row>
    <row r="425" spans="1:14" ht="18" x14ac:dyDescent="0.25">
      <c r="A425" s="317" t="s">
        <v>1074</v>
      </c>
      <c r="B425" s="317" t="s">
        <v>1075</v>
      </c>
      <c r="C425" s="317">
        <v>0.82</v>
      </c>
      <c r="D425" s="317">
        <v>2.3199999999999998</v>
      </c>
      <c r="E425" s="318">
        <v>19.66</v>
      </c>
      <c r="F425" s="317">
        <v>1.57</v>
      </c>
      <c r="G425" s="317">
        <v>1.6</v>
      </c>
      <c r="H425" s="319">
        <v>66.06</v>
      </c>
      <c r="I425" s="320">
        <v>76.5</v>
      </c>
      <c r="J425" s="320">
        <v>2.5</v>
      </c>
      <c r="K425" s="57">
        <f t="shared" si="35"/>
        <v>7.9326000000000008E-2</v>
      </c>
      <c r="L425" s="310">
        <f t="shared" si="36"/>
        <v>0.12522292993630574</v>
      </c>
      <c r="M425" s="405">
        <f t="shared" si="38"/>
        <v>42.775928819967604</v>
      </c>
      <c r="N425" s="63">
        <f t="shared" si="37"/>
        <v>0.54432648974213516</v>
      </c>
    </row>
    <row r="426" spans="1:14" ht="18" x14ac:dyDescent="0.25">
      <c r="A426" s="317" t="s">
        <v>4279</v>
      </c>
      <c r="B426" s="317" t="s">
        <v>4280</v>
      </c>
      <c r="C426" s="317"/>
      <c r="D426" s="317"/>
      <c r="E426" s="318"/>
      <c r="F426" s="317"/>
      <c r="G426" s="317"/>
      <c r="H426" s="319">
        <v>54.26</v>
      </c>
      <c r="I426" s="320"/>
      <c r="J426" s="320"/>
      <c r="K426" s="57">
        <f t="shared" si="35"/>
        <v>4.2999999999999997E-2</v>
      </c>
      <c r="L426" s="310" t="e">
        <f t="shared" si="36"/>
        <v>#DIV/0!</v>
      </c>
      <c r="M426" s="405" t="e">
        <f t="shared" si="38"/>
        <v>#DIV/0!</v>
      </c>
      <c r="N426" s="63" t="e">
        <f t="shared" si="37"/>
        <v>#DIV/0!</v>
      </c>
    </row>
    <row r="427" spans="1:14" ht="18" x14ac:dyDescent="0.25">
      <c r="A427" s="317" t="s">
        <v>212</v>
      </c>
      <c r="B427" s="317" t="s">
        <v>213</v>
      </c>
      <c r="C427" s="317">
        <v>1.31</v>
      </c>
      <c r="D427" s="317">
        <v>1.7</v>
      </c>
      <c r="E427" s="318">
        <v>23.9</v>
      </c>
      <c r="F427" s="317">
        <v>1.53</v>
      </c>
      <c r="G427" s="317">
        <v>0.3</v>
      </c>
      <c r="H427" s="319">
        <v>57.37</v>
      </c>
      <c r="I427" s="320">
        <v>62</v>
      </c>
      <c r="J427" s="320">
        <v>3</v>
      </c>
      <c r="K427" s="57">
        <f t="shared" si="35"/>
        <v>0.10103300000000001</v>
      </c>
      <c r="L427" s="310">
        <f t="shared" si="36"/>
        <v>0.15620915032679739</v>
      </c>
      <c r="M427" s="405">
        <f t="shared" si="38"/>
        <v>38.445664310085505</v>
      </c>
      <c r="N427" s="63">
        <f t="shared" si="37"/>
        <v>0.4922358874404999</v>
      </c>
    </row>
    <row r="428" spans="1:14" ht="18" x14ac:dyDescent="0.25">
      <c r="A428" s="317" t="s">
        <v>5091</v>
      </c>
      <c r="B428" s="317"/>
      <c r="C428" s="317">
        <v>1.2</v>
      </c>
      <c r="D428" s="317">
        <v>5.05</v>
      </c>
      <c r="E428" s="318">
        <v>12.93</v>
      </c>
      <c r="F428" s="317">
        <v>1.22</v>
      </c>
      <c r="G428" s="317">
        <v>0.3</v>
      </c>
      <c r="H428" s="319">
        <v>71.5</v>
      </c>
      <c r="I428" s="320">
        <v>85</v>
      </c>
      <c r="J428" s="320">
        <v>2.8</v>
      </c>
      <c r="K428" s="57">
        <f t="shared" si="35"/>
        <v>9.6159999999999995E-2</v>
      </c>
      <c r="L428" s="310">
        <f t="shared" si="36"/>
        <v>0.10598360655737706</v>
      </c>
      <c r="M428" s="405">
        <f t="shared" si="38"/>
        <v>108.65885581818019</v>
      </c>
      <c r="N428" s="63">
        <f t="shared" si="37"/>
        <v>-0.34197724187670836</v>
      </c>
    </row>
    <row r="429" spans="1:14" ht="18" x14ac:dyDescent="0.25">
      <c r="A429" s="317" t="s">
        <v>1076</v>
      </c>
      <c r="B429" s="317" t="s">
        <v>1077</v>
      </c>
      <c r="C429" s="317"/>
      <c r="D429" s="317"/>
      <c r="E429" s="318"/>
      <c r="F429" s="317"/>
      <c r="G429" s="317"/>
      <c r="H429" s="319"/>
      <c r="I429" s="320"/>
      <c r="J429" s="320"/>
      <c r="K429" s="57">
        <f t="shared" si="35"/>
        <v>4.2999999999999997E-2</v>
      </c>
      <c r="L429" s="310" t="e">
        <f t="shared" si="36"/>
        <v>#DIV/0!</v>
      </c>
      <c r="M429" s="405" t="e">
        <f t="shared" si="38"/>
        <v>#DIV/0!</v>
      </c>
      <c r="N429" s="63" t="e">
        <f t="shared" si="37"/>
        <v>#DIV/0!</v>
      </c>
    </row>
    <row r="430" spans="1:14" ht="18" x14ac:dyDescent="0.25">
      <c r="A430" s="317" t="s">
        <v>5279</v>
      </c>
      <c r="B430" s="317" t="s">
        <v>5280</v>
      </c>
      <c r="C430" s="317">
        <v>0.57999999999999996</v>
      </c>
      <c r="D430" s="317">
        <v>0.28000000000000003</v>
      </c>
      <c r="E430" s="318">
        <v>9.58</v>
      </c>
      <c r="F430" s="317">
        <v>2.19</v>
      </c>
      <c r="G430" s="317">
        <v>4.2</v>
      </c>
      <c r="H430" s="319">
        <v>36.409999999999997</v>
      </c>
      <c r="I430" s="320">
        <v>37</v>
      </c>
      <c r="J430" s="320">
        <v>2</v>
      </c>
      <c r="K430" s="57">
        <f t="shared" ref="K430:K452" si="39">$P$14+C430*($Q$15-$P$14)</f>
        <v>6.8694000000000005E-2</v>
      </c>
      <c r="L430" s="310">
        <f t="shared" ref="L430:L452" si="40">E430/F430/100</f>
        <v>4.3744292237442924E-2</v>
      </c>
      <c r="M430" s="405">
        <f t="shared" si="38"/>
        <v>-39.913907757245923</v>
      </c>
      <c r="N430" s="63">
        <f t="shared" ref="N430:N452" si="41">(H430-M430)/M430</f>
        <v>-1.9122133623558863</v>
      </c>
    </row>
    <row r="431" spans="1:14" ht="18" x14ac:dyDescent="0.25">
      <c r="A431" s="317" t="s">
        <v>1078</v>
      </c>
      <c r="B431" s="317" t="s">
        <v>3444</v>
      </c>
      <c r="C431" s="317">
        <v>1.1299999999999999</v>
      </c>
      <c r="D431" s="317">
        <v>3.61</v>
      </c>
      <c r="E431" s="318">
        <v>8.18</v>
      </c>
      <c r="F431" s="317">
        <v>2.58</v>
      </c>
      <c r="G431" s="317">
        <v>1.9</v>
      </c>
      <c r="H431" s="319">
        <v>50.07</v>
      </c>
      <c r="I431" s="320">
        <v>60</v>
      </c>
      <c r="J431" s="320">
        <v>2.1</v>
      </c>
      <c r="K431" s="57">
        <f t="shared" si="39"/>
        <v>9.3059000000000003E-2</v>
      </c>
      <c r="L431" s="310">
        <f t="shared" si="40"/>
        <v>3.1705426356589149E-2</v>
      </c>
      <c r="M431" s="405">
        <f t="shared" si="38"/>
        <v>46.78853377507177</v>
      </c>
      <c r="N431" s="63">
        <f t="shared" si="41"/>
        <v>7.0133982840824713E-2</v>
      </c>
    </row>
    <row r="432" spans="1:14" ht="18" x14ac:dyDescent="0.25">
      <c r="A432" s="317" t="s">
        <v>4954</v>
      </c>
      <c r="B432" s="317" t="s">
        <v>4955</v>
      </c>
      <c r="C432" s="317">
        <v>1.89</v>
      </c>
      <c r="D432" s="317">
        <v>0.15</v>
      </c>
      <c r="E432" s="318">
        <v>13.05</v>
      </c>
      <c r="F432" s="317">
        <v>1.35</v>
      </c>
      <c r="G432" s="317">
        <v>0</v>
      </c>
      <c r="H432" s="319">
        <v>7.31</v>
      </c>
      <c r="I432" s="320">
        <v>9</v>
      </c>
      <c r="J432" s="320">
        <v>1.8</v>
      </c>
      <c r="K432" s="57">
        <f t="shared" si="39"/>
        <v>0.12672700000000001</v>
      </c>
      <c r="L432" s="310">
        <f t="shared" si="40"/>
        <v>9.6666666666666665E-2</v>
      </c>
      <c r="M432" s="405">
        <f t="shared" si="38"/>
        <v>2.155258034991852</v>
      </c>
      <c r="N432" s="63">
        <f t="shared" si="41"/>
        <v>2.3917052535325012</v>
      </c>
    </row>
    <row r="433" spans="1:14" ht="18" x14ac:dyDescent="0.25">
      <c r="A433" s="317" t="s">
        <v>214</v>
      </c>
      <c r="B433" s="317" t="s">
        <v>215</v>
      </c>
      <c r="C433" s="317">
        <v>1.32</v>
      </c>
      <c r="D433" s="317">
        <v>1.34</v>
      </c>
      <c r="E433" s="318">
        <v>8.7200000000000006</v>
      </c>
      <c r="F433" s="317">
        <v>0.75</v>
      </c>
      <c r="G433" s="317">
        <v>0</v>
      </c>
      <c r="H433" s="319">
        <v>14.65</v>
      </c>
      <c r="I433" s="320">
        <v>22</v>
      </c>
      <c r="J433" s="320">
        <v>2.2000000000000002</v>
      </c>
      <c r="K433" s="57">
        <f t="shared" si="39"/>
        <v>0.10147600000000001</v>
      </c>
      <c r="L433" s="310">
        <f t="shared" si="40"/>
        <v>0.11626666666666667</v>
      </c>
      <c r="M433" s="405">
        <f t="shared" si="38"/>
        <v>28.759341980048045</v>
      </c>
      <c r="N433" s="63">
        <f t="shared" si="41"/>
        <v>-0.49060030614874567</v>
      </c>
    </row>
    <row r="434" spans="1:14" ht="18" x14ac:dyDescent="0.25">
      <c r="A434" s="317" t="s">
        <v>2652</v>
      </c>
      <c r="B434" s="317" t="s">
        <v>1702</v>
      </c>
      <c r="C434" s="317">
        <v>1.23</v>
      </c>
      <c r="D434" s="317">
        <v>2.63</v>
      </c>
      <c r="E434" s="318">
        <v>8.43</v>
      </c>
      <c r="F434" s="317">
        <v>1.1399999999999999</v>
      </c>
      <c r="G434" s="317">
        <v>0.8</v>
      </c>
      <c r="H434" s="319">
        <v>25.22</v>
      </c>
      <c r="I434" s="320">
        <v>31</v>
      </c>
      <c r="J434" s="320">
        <v>2.2999999999999998</v>
      </c>
      <c r="K434" s="57">
        <f t="shared" si="39"/>
        <v>9.7489000000000006E-2</v>
      </c>
      <c r="L434" s="310">
        <f t="shared" si="40"/>
        <v>7.3947368421052637E-2</v>
      </c>
      <c r="M434" s="405">
        <f t="shared" si="38"/>
        <v>47.064414948025764</v>
      </c>
      <c r="N434" s="63">
        <f t="shared" si="41"/>
        <v>-0.46413866978159651</v>
      </c>
    </row>
    <row r="435" spans="1:14" ht="18" x14ac:dyDescent="0.25">
      <c r="A435" s="317" t="s">
        <v>216</v>
      </c>
      <c r="B435" s="317" t="s">
        <v>217</v>
      </c>
      <c r="C435" s="317">
        <v>1.17</v>
      </c>
      <c r="D435" s="317">
        <v>0.6</v>
      </c>
      <c r="E435" s="318">
        <v>9.8800000000000008</v>
      </c>
      <c r="F435" s="317">
        <v>1.01</v>
      </c>
      <c r="G435" s="317">
        <v>0</v>
      </c>
      <c r="H435" s="319">
        <v>23.03</v>
      </c>
      <c r="I435" s="320">
        <v>31</v>
      </c>
      <c r="J435" s="320">
        <v>1.4</v>
      </c>
      <c r="K435" s="57">
        <f t="shared" si="39"/>
        <v>9.4830999999999999E-2</v>
      </c>
      <c r="L435" s="310">
        <f t="shared" si="40"/>
        <v>9.7821782178217825E-2</v>
      </c>
      <c r="M435" s="405">
        <f t="shared" si="38"/>
        <v>13.355203636595485</v>
      </c>
      <c r="N435" s="63">
        <f t="shared" si="41"/>
        <v>0.72442147844859217</v>
      </c>
    </row>
    <row r="436" spans="1:14" ht="18" x14ac:dyDescent="0.25">
      <c r="A436" s="317" t="s">
        <v>218</v>
      </c>
      <c r="B436" s="317" t="s">
        <v>219</v>
      </c>
      <c r="C436" s="317">
        <v>1.41</v>
      </c>
      <c r="D436" s="317">
        <v>0.81</v>
      </c>
      <c r="E436" s="318">
        <v>18.55</v>
      </c>
      <c r="F436" s="317">
        <v>1.24</v>
      </c>
      <c r="G436" s="317">
        <v>0</v>
      </c>
      <c r="H436" s="319">
        <v>36.35</v>
      </c>
      <c r="I436" s="320">
        <v>42</v>
      </c>
      <c r="J436" s="320">
        <v>1.8</v>
      </c>
      <c r="K436" s="57">
        <f t="shared" si="39"/>
        <v>0.105463</v>
      </c>
      <c r="L436" s="310">
        <f t="shared" si="40"/>
        <v>0.14959677419354839</v>
      </c>
      <c r="M436" s="405">
        <f t="shared" si="38"/>
        <v>18.56856969768852</v>
      </c>
      <c r="N436" s="63">
        <f t="shared" si="41"/>
        <v>0.95760904538193781</v>
      </c>
    </row>
    <row r="437" spans="1:14" ht="18" x14ac:dyDescent="0.25">
      <c r="A437" s="317" t="s">
        <v>5077</v>
      </c>
      <c r="B437" s="317"/>
      <c r="C437" s="317">
        <v>0.97</v>
      </c>
      <c r="D437" s="317">
        <v>2.52</v>
      </c>
      <c r="E437" s="318">
        <v>9.39</v>
      </c>
      <c r="F437" s="317">
        <v>0.97</v>
      </c>
      <c r="G437" s="317">
        <v>2.5</v>
      </c>
      <c r="H437" s="319">
        <v>25.91</v>
      </c>
      <c r="I437" s="320">
        <v>34</v>
      </c>
      <c r="J437" s="320">
        <v>2</v>
      </c>
      <c r="K437" s="57">
        <f t="shared" si="39"/>
        <v>8.5970999999999992E-2</v>
      </c>
      <c r="L437" s="310">
        <f t="shared" si="40"/>
        <v>9.6804123711340215E-2</v>
      </c>
      <c r="M437" s="405">
        <f t="shared" si="38"/>
        <v>48.92302735091954</v>
      </c>
      <c r="N437" s="63">
        <f t="shared" si="41"/>
        <v>-0.47039254512705447</v>
      </c>
    </row>
    <row r="438" spans="1:14" ht="18" x14ac:dyDescent="0.25">
      <c r="A438" s="317" t="s">
        <v>2700</v>
      </c>
      <c r="B438" s="317" t="s">
        <v>2701</v>
      </c>
      <c r="C438" s="317">
        <v>3.17</v>
      </c>
      <c r="D438" s="317">
        <v>-1.07</v>
      </c>
      <c r="E438" s="318">
        <v>0</v>
      </c>
      <c r="F438" s="317">
        <v>0</v>
      </c>
      <c r="G438" s="317">
        <v>0</v>
      </c>
      <c r="H438" s="319">
        <v>1.22</v>
      </c>
      <c r="I438" s="320"/>
      <c r="J438" s="320"/>
      <c r="K438" s="57">
        <f t="shared" si="39"/>
        <v>0.18343100000000001</v>
      </c>
      <c r="L438" s="310" t="e">
        <f t="shared" si="40"/>
        <v>#DIV/0!</v>
      </c>
      <c r="M438" s="405" t="e">
        <f t="shared" si="38"/>
        <v>#DIV/0!</v>
      </c>
      <c r="N438" s="63" t="e">
        <f t="shared" si="41"/>
        <v>#DIV/0!</v>
      </c>
    </row>
    <row r="439" spans="1:14" ht="18" x14ac:dyDescent="0.25">
      <c r="A439" s="317" t="s">
        <v>220</v>
      </c>
      <c r="B439" s="317" t="s">
        <v>221</v>
      </c>
      <c r="C439" s="317">
        <v>1.26</v>
      </c>
      <c r="D439" s="317">
        <v>2.92</v>
      </c>
      <c r="E439" s="318">
        <v>17.649999999999999</v>
      </c>
      <c r="F439" s="317">
        <v>1.23</v>
      </c>
      <c r="G439" s="317">
        <v>1.2</v>
      </c>
      <c r="H439" s="319">
        <v>70.599999999999994</v>
      </c>
      <c r="I439" s="320">
        <v>80</v>
      </c>
      <c r="J439" s="320">
        <v>2.6</v>
      </c>
      <c r="K439" s="57">
        <f t="shared" si="39"/>
        <v>9.8818000000000003E-2</v>
      </c>
      <c r="L439" s="310">
        <f t="shared" si="40"/>
        <v>0.14349593495934956</v>
      </c>
      <c r="M439" s="405">
        <f t="shared" si="38"/>
        <v>51.515105984941563</v>
      </c>
      <c r="N439" s="63">
        <f t="shared" si="41"/>
        <v>0.3704717994880406</v>
      </c>
    </row>
    <row r="440" spans="1:14" ht="18" x14ac:dyDescent="0.25">
      <c r="A440" s="317" t="s">
        <v>1703</v>
      </c>
      <c r="B440" s="317" t="s">
        <v>4955</v>
      </c>
      <c r="C440" s="317">
        <v>2.73</v>
      </c>
      <c r="D440" s="317">
        <v>-1.57</v>
      </c>
      <c r="E440" s="318">
        <v>26.14</v>
      </c>
      <c r="F440" s="317">
        <v>1.8</v>
      </c>
      <c r="G440" s="317">
        <v>0</v>
      </c>
      <c r="H440" s="319">
        <v>9.15</v>
      </c>
      <c r="I440" s="320">
        <v>9.75</v>
      </c>
      <c r="J440" s="320">
        <v>3</v>
      </c>
      <c r="K440" s="57">
        <f t="shared" si="39"/>
        <v>0.163939</v>
      </c>
      <c r="L440" s="310">
        <f t="shared" si="40"/>
        <v>0.14522222222222222</v>
      </c>
      <c r="M440" s="405">
        <f t="shared" si="38"/>
        <v>-18.917601528093797</v>
      </c>
      <c r="N440" s="63">
        <f t="shared" si="41"/>
        <v>-1.4836765372402885</v>
      </c>
    </row>
    <row r="441" spans="1:14" ht="18" x14ac:dyDescent="0.25">
      <c r="A441" s="317" t="s">
        <v>646</v>
      </c>
      <c r="B441" s="317" t="s">
        <v>647</v>
      </c>
      <c r="C441" s="317">
        <v>2.04</v>
      </c>
      <c r="D441" s="317">
        <v>1.71</v>
      </c>
      <c r="E441" s="318">
        <v>8.34</v>
      </c>
      <c r="F441" s="317">
        <v>0.54</v>
      </c>
      <c r="G441" s="317">
        <v>1.7</v>
      </c>
      <c r="H441" s="319">
        <v>35.200000000000003</v>
      </c>
      <c r="I441" s="320">
        <v>40</v>
      </c>
      <c r="J441" s="320">
        <v>2.2999999999999998</v>
      </c>
      <c r="K441" s="57">
        <f t="shared" si="39"/>
        <v>0.13337199999999999</v>
      </c>
      <c r="L441" s="310">
        <f t="shared" si="40"/>
        <v>0.15444444444444444</v>
      </c>
      <c r="M441" s="405">
        <f t="shared" si="38"/>
        <v>18.28604466163431</v>
      </c>
      <c r="N441" s="63">
        <f t="shared" si="41"/>
        <v>0.92496522081960242</v>
      </c>
    </row>
    <row r="442" spans="1:14" ht="18" x14ac:dyDescent="0.25">
      <c r="A442" s="317" t="s">
        <v>3445</v>
      </c>
      <c r="B442" s="317" t="s">
        <v>3446</v>
      </c>
      <c r="C442" s="317">
        <v>0.82</v>
      </c>
      <c r="D442" s="317">
        <v>6.12</v>
      </c>
      <c r="E442" s="318">
        <v>11.51</v>
      </c>
      <c r="F442" s="317">
        <v>1.67</v>
      </c>
      <c r="G442" s="317">
        <v>3.2</v>
      </c>
      <c r="H442" s="319">
        <v>86.23</v>
      </c>
      <c r="I442" s="320">
        <v>95</v>
      </c>
      <c r="J442" s="320">
        <v>2.7</v>
      </c>
      <c r="K442" s="57">
        <f t="shared" si="39"/>
        <v>7.9326000000000008E-2</v>
      </c>
      <c r="L442" s="310">
        <f t="shared" si="40"/>
        <v>6.8922155688622755E-2</v>
      </c>
      <c r="M442" s="405">
        <f t="shared" si="38"/>
        <v>90.381714757684023</v>
      </c>
      <c r="N442" s="63">
        <f t="shared" si="41"/>
        <v>-4.5935339563039773E-2</v>
      </c>
    </row>
    <row r="443" spans="1:14" ht="18" x14ac:dyDescent="0.25">
      <c r="A443" s="317" t="s">
        <v>453</v>
      </c>
      <c r="B443" s="317" t="s">
        <v>454</v>
      </c>
      <c r="C443" s="317">
        <v>0.96</v>
      </c>
      <c r="D443" s="317">
        <v>-2.44</v>
      </c>
      <c r="E443" s="318">
        <v>0</v>
      </c>
      <c r="F443" s="317">
        <v>0</v>
      </c>
      <c r="G443" s="317">
        <v>0</v>
      </c>
      <c r="H443" s="319">
        <v>2.08</v>
      </c>
      <c r="I443" s="320">
        <v>1.81</v>
      </c>
      <c r="J443" s="320">
        <v>3.7</v>
      </c>
      <c r="K443" s="57">
        <f t="shared" si="39"/>
        <v>8.5527999999999993E-2</v>
      </c>
      <c r="L443" s="310" t="e">
        <f t="shared" si="40"/>
        <v>#DIV/0!</v>
      </c>
      <c r="M443" s="405" t="e">
        <f t="shared" si="38"/>
        <v>#DIV/0!</v>
      </c>
      <c r="N443" s="63" t="e">
        <f t="shared" si="41"/>
        <v>#DIV/0!</v>
      </c>
    </row>
    <row r="444" spans="1:14" ht="18" x14ac:dyDescent="0.25">
      <c r="A444" s="317" t="s">
        <v>222</v>
      </c>
      <c r="B444" s="317" t="s">
        <v>223</v>
      </c>
      <c r="C444" s="317">
        <v>2.78</v>
      </c>
      <c r="D444" s="317">
        <v>1.56</v>
      </c>
      <c r="E444" s="318">
        <v>7.48</v>
      </c>
      <c r="F444" s="317">
        <v>0</v>
      </c>
      <c r="G444" s="317">
        <v>0</v>
      </c>
      <c r="H444" s="319">
        <v>25.42</v>
      </c>
      <c r="I444" s="320">
        <v>38</v>
      </c>
      <c r="J444" s="320">
        <v>2</v>
      </c>
      <c r="K444" s="57">
        <f t="shared" si="39"/>
        <v>0.16615400000000002</v>
      </c>
      <c r="L444" s="310" t="e">
        <f t="shared" si="40"/>
        <v>#DIV/0!</v>
      </c>
      <c r="M444" s="405" t="e">
        <f t="shared" si="38"/>
        <v>#DIV/0!</v>
      </c>
      <c r="N444" s="63" t="e">
        <f t="shared" si="41"/>
        <v>#DIV/0!</v>
      </c>
    </row>
    <row r="445" spans="1:14" ht="18" x14ac:dyDescent="0.25">
      <c r="A445" s="317" t="s">
        <v>224</v>
      </c>
      <c r="B445" s="317" t="s">
        <v>3286</v>
      </c>
      <c r="C445" s="317">
        <v>1.62</v>
      </c>
      <c r="D445" s="317">
        <v>1.1399999999999999</v>
      </c>
      <c r="E445" s="318">
        <v>35.380000000000003</v>
      </c>
      <c r="F445" s="317">
        <v>2.73</v>
      </c>
      <c r="G445" s="317">
        <v>0</v>
      </c>
      <c r="H445" s="319">
        <v>47.41</v>
      </c>
      <c r="I445" s="320">
        <v>59.5</v>
      </c>
      <c r="J445" s="320">
        <v>1.8</v>
      </c>
      <c r="K445" s="57">
        <f t="shared" si="39"/>
        <v>0.11476600000000001</v>
      </c>
      <c r="L445" s="310">
        <f t="shared" si="40"/>
        <v>0.1295970695970696</v>
      </c>
      <c r="M445" s="405">
        <f t="shared" si="38"/>
        <v>21.315685078237429</v>
      </c>
      <c r="N445" s="63">
        <f t="shared" si="41"/>
        <v>1.2241837325887288</v>
      </c>
    </row>
    <row r="446" spans="1:14" ht="18" x14ac:dyDescent="0.25">
      <c r="A446" s="317" t="s">
        <v>3287</v>
      </c>
      <c r="B446" s="317" t="s">
        <v>3288</v>
      </c>
      <c r="C446" s="317">
        <v>1.45</v>
      </c>
      <c r="D446" s="317">
        <v>0.16</v>
      </c>
      <c r="E446" s="318">
        <v>12.68</v>
      </c>
      <c r="F446" s="317">
        <v>1.34</v>
      </c>
      <c r="G446" s="317">
        <v>0</v>
      </c>
      <c r="H446" s="319">
        <v>12.93</v>
      </c>
      <c r="I446" s="320">
        <v>16.5</v>
      </c>
      <c r="J446" s="320">
        <v>1.6</v>
      </c>
      <c r="K446" s="57">
        <f t="shared" si="39"/>
        <v>0.107235</v>
      </c>
      <c r="L446" s="310">
        <f t="shared" si="40"/>
        <v>9.4626865671641788E-2</v>
      </c>
      <c r="M446" s="405">
        <f t="shared" si="38"/>
        <v>2.9030718596750029</v>
      </c>
      <c r="N446" s="63">
        <f t="shared" si="41"/>
        <v>3.453902839817236</v>
      </c>
    </row>
    <row r="447" spans="1:14" ht="18" x14ac:dyDescent="0.25">
      <c r="A447" s="317" t="s">
        <v>4881</v>
      </c>
      <c r="B447" s="317" t="s">
        <v>4882</v>
      </c>
      <c r="C447" s="317">
        <v>2.84</v>
      </c>
      <c r="D447" s="317">
        <v>-0.67</v>
      </c>
      <c r="E447" s="318">
        <v>9.3800000000000008</v>
      </c>
      <c r="F447" s="317">
        <v>-0.74</v>
      </c>
      <c r="G447" s="317">
        <v>0</v>
      </c>
      <c r="H447" s="319">
        <v>2.25</v>
      </c>
      <c r="I447" s="320">
        <v>3</v>
      </c>
      <c r="J447" s="320">
        <v>2.5</v>
      </c>
      <c r="K447" s="57">
        <f t="shared" si="39"/>
        <v>0.16881200000000002</v>
      </c>
      <c r="L447" s="310">
        <f t="shared" si="40"/>
        <v>-0.12675675675675677</v>
      </c>
      <c r="M447" s="405">
        <f t="shared" si="38"/>
        <v>-3.2070557183579682</v>
      </c>
      <c r="N447" s="63">
        <f t="shared" si="41"/>
        <v>-1.7015780820771065</v>
      </c>
    </row>
    <row r="448" spans="1:14" ht="18" x14ac:dyDescent="0.25">
      <c r="A448" s="317" t="s">
        <v>3289</v>
      </c>
      <c r="B448" s="317" t="s">
        <v>3290</v>
      </c>
      <c r="C448" s="317">
        <v>1.45</v>
      </c>
      <c r="D448" s="317">
        <v>1.05</v>
      </c>
      <c r="E448" s="318">
        <v>13.7</v>
      </c>
      <c r="F448" s="317">
        <v>1.1499999999999999</v>
      </c>
      <c r="G448" s="317">
        <v>0</v>
      </c>
      <c r="H448" s="319">
        <v>20.68</v>
      </c>
      <c r="I448" s="320">
        <v>25</v>
      </c>
      <c r="J448" s="320">
        <v>2</v>
      </c>
      <c r="K448" s="57">
        <f t="shared" si="39"/>
        <v>0.107235</v>
      </c>
      <c r="L448" s="310">
        <f t="shared" si="40"/>
        <v>0.11913043478260869</v>
      </c>
      <c r="M448" s="405">
        <f t="shared" si="38"/>
        <v>20.912949063032602</v>
      </c>
      <c r="N448" s="63">
        <f t="shared" si="41"/>
        <v>-1.1138986774676467E-2</v>
      </c>
    </row>
    <row r="449" spans="1:14" ht="18" x14ac:dyDescent="0.25">
      <c r="A449" s="317" t="s">
        <v>3291</v>
      </c>
      <c r="B449" s="317" t="s">
        <v>3292</v>
      </c>
      <c r="C449" s="317">
        <v>1.04</v>
      </c>
      <c r="D449" s="317">
        <v>1.46</v>
      </c>
      <c r="E449" s="318">
        <v>8.7200000000000006</v>
      </c>
      <c r="F449" s="317">
        <v>1.6</v>
      </c>
      <c r="G449" s="317">
        <v>0</v>
      </c>
      <c r="H449" s="319">
        <v>10.72</v>
      </c>
      <c r="I449" s="320">
        <v>14.5</v>
      </c>
      <c r="J449" s="320">
        <v>1.9</v>
      </c>
      <c r="K449" s="57">
        <f t="shared" si="39"/>
        <v>8.9072000000000012E-2</v>
      </c>
      <c r="L449" s="310">
        <f t="shared" si="40"/>
        <v>5.45E-2</v>
      </c>
      <c r="M449" s="405">
        <f t="shared" si="38"/>
        <v>30.262949140984695</v>
      </c>
      <c r="N449" s="63">
        <f t="shared" si="41"/>
        <v>-0.64577146959276188</v>
      </c>
    </row>
    <row r="450" spans="1:14" ht="18" x14ac:dyDescent="0.25">
      <c r="A450" s="317" t="s">
        <v>3447</v>
      </c>
      <c r="B450" s="317" t="s">
        <v>3448</v>
      </c>
      <c r="C450" s="317">
        <v>1.03</v>
      </c>
      <c r="D450" s="317">
        <v>4.13</v>
      </c>
      <c r="E450" s="318">
        <v>9.1199999999999992</v>
      </c>
      <c r="F450" s="317">
        <v>0.9</v>
      </c>
      <c r="G450" s="317">
        <v>1.4</v>
      </c>
      <c r="H450" s="319">
        <v>69.69</v>
      </c>
      <c r="I450" s="320">
        <v>78</v>
      </c>
      <c r="J450" s="320">
        <v>2.9</v>
      </c>
      <c r="K450" s="57">
        <f t="shared" si="39"/>
        <v>8.8629000000000013E-2</v>
      </c>
      <c r="L450" s="310">
        <f t="shared" si="40"/>
        <v>0.10133333333333333</v>
      </c>
      <c r="M450" s="405">
        <f>(D450-G450*H450/100)+(D450-G450*H450/100)*(1+L450)/(1+K450)+(D450-G450*H450/100)*(1+L450)^2/(1+K450)^2+(D450-G450*H450/100)*(1+L450)^3/(1+K450)^3+(D450-G450*H450/100)*(1+L450)^4/(1+K450)^4+((D450-G450*H450/100)*(1+L450)^5/(K450-$T$22-$T$19))/((1+K450)^5)</f>
        <v>79.659353664033191</v>
      </c>
      <c r="N450" s="63">
        <f t="shared" si="41"/>
        <v>-0.12514981863999775</v>
      </c>
    </row>
    <row r="451" spans="1:14" ht="18" x14ac:dyDescent="0.25">
      <c r="A451" s="317" t="s">
        <v>3429</v>
      </c>
      <c r="B451" s="317" t="s">
        <v>3430</v>
      </c>
      <c r="C451" s="317">
        <v>1.85</v>
      </c>
      <c r="D451" s="317">
        <v>-0.52</v>
      </c>
      <c r="E451" s="318">
        <v>0</v>
      </c>
      <c r="F451" s="317">
        <v>-0.23</v>
      </c>
      <c r="G451" s="317">
        <v>0</v>
      </c>
      <c r="H451" s="319">
        <v>1.28</v>
      </c>
      <c r="I451" s="320">
        <v>3</v>
      </c>
      <c r="J451" s="320">
        <v>2.5</v>
      </c>
      <c r="K451" s="57">
        <f t="shared" si="39"/>
        <v>0.12495500000000001</v>
      </c>
      <c r="L451" s="310">
        <f t="shared" si="40"/>
        <v>0</v>
      </c>
      <c r="M451" s="405">
        <f>(D451-G451*H451/100)+(D451-G451*H451/100)*(1+L451)/(1+K451)+(D451-G451*H451/100)*(1+L451)^2/(1+K451)^2+(D451-G451*H451/100)*(1+L451)^3/(1+K451)^3+(D451-G451*H451/100)*(1+L451)^4/(1+K451)^4+((D451-G451*H451/100)*(1+L451)^5/(K451-$T$22-$T$19))/((1+K451)^5)</f>
        <v>-5.3276502117697602</v>
      </c>
      <c r="N451" s="63">
        <f t="shared" si="41"/>
        <v>-1.2402560132743408</v>
      </c>
    </row>
    <row r="452" spans="1:14" ht="18" x14ac:dyDescent="0.25">
      <c r="A452" s="317" t="s">
        <v>2876</v>
      </c>
      <c r="B452" s="317" t="s">
        <v>2877</v>
      </c>
      <c r="C452" s="317"/>
      <c r="D452" s="317"/>
      <c r="E452" s="318"/>
      <c r="F452" s="317"/>
      <c r="G452" s="317"/>
      <c r="H452" s="319"/>
      <c r="I452" s="320"/>
      <c r="J452" s="320"/>
      <c r="K452" s="57">
        <f t="shared" si="39"/>
        <v>4.2999999999999997E-2</v>
      </c>
      <c r="L452" s="310" t="e">
        <f t="shared" si="40"/>
        <v>#DIV/0!</v>
      </c>
      <c r="M452" s="405" t="e">
        <f>(D452-G452*H452/100)+(D452-G452*H452/100)*(1+L452)/(1+K452)+(D452-G452*H452/100)*(1+L452)^2/(1+K452)^2+(D452-G452*H452/100)*(1+L452)^3/(1+K452)^3+(D452-G452*H452/100)*(1+L452)^4/(1+K452)^4+((D452-G452*H452/100)*(1+L452)^5/(K452-$T$22-$T$19))/((1+K452)^5)</f>
        <v>#DIV/0!</v>
      </c>
      <c r="N452" s="63" t="e">
        <f t="shared" si="41"/>
        <v>#DIV/0!</v>
      </c>
    </row>
    <row r="453" spans="1:14" ht="18" x14ac:dyDescent="0.25">
      <c r="A453" s="317" t="s">
        <v>3293</v>
      </c>
      <c r="B453" s="317" t="s">
        <v>2619</v>
      </c>
      <c r="C453" s="317">
        <v>1.07</v>
      </c>
      <c r="D453" s="317">
        <v>-0.01</v>
      </c>
      <c r="E453" s="318">
        <v>25.17</v>
      </c>
      <c r="F453" s="317">
        <v>4.76</v>
      </c>
      <c r="G453" s="317">
        <v>5.3</v>
      </c>
      <c r="H453" s="319">
        <v>45.81</v>
      </c>
      <c r="I453" s="320">
        <v>49.5</v>
      </c>
      <c r="J453" s="320">
        <v>1.9</v>
      </c>
      <c r="K453" s="57">
        <f t="shared" ref="K453:K516" si="42">$P$14+C453*($Q$15-$P$14)</f>
        <v>9.0401000000000009E-2</v>
      </c>
      <c r="L453" s="310">
        <f t="shared" ref="L453:L516" si="43">E453/F453/100</f>
        <v>5.2878151260504207E-2</v>
      </c>
      <c r="M453" s="405">
        <f t="shared" ref="M453:M516" si="44">(D453-G453*H453/100)+(D453-G453*H453/100)*(1+L453)/(1+K453)+(D453-G453*H453/100)*(1+L453)^2/(1+K453)^2+(D453-G453*H453/100)*(1+L453)^3/(1+K453)^3+(D453-G453*H453/100)*(1+L453)^4/(1+K453)^4+((D453-G453*H453/100)*(1+L453)^5/(K453-$T$22-$T$19))/((1+K453)^5)</f>
        <v>-48.995181659922189</v>
      </c>
      <c r="N453" s="63">
        <f t="shared" ref="N453:N516" si="45">(H453-M453)/M453</f>
        <v>-1.9349898999858666</v>
      </c>
    </row>
    <row r="454" spans="1:14" ht="18" x14ac:dyDescent="0.25">
      <c r="A454" s="317" t="s">
        <v>3449</v>
      </c>
      <c r="B454" s="317" t="s">
        <v>258</v>
      </c>
      <c r="C454" s="317">
        <v>1.84</v>
      </c>
      <c r="D454" s="317">
        <v>0.62</v>
      </c>
      <c r="E454" s="318">
        <v>14.42</v>
      </c>
      <c r="F454" s="317">
        <v>1.69</v>
      </c>
      <c r="G454" s="317">
        <v>3</v>
      </c>
      <c r="H454" s="319">
        <v>33.31</v>
      </c>
      <c r="I454" s="320">
        <v>38</v>
      </c>
      <c r="J454" s="320">
        <v>2.2999999999999998</v>
      </c>
      <c r="K454" s="57">
        <f t="shared" si="42"/>
        <v>0.12451200000000001</v>
      </c>
      <c r="L454" s="310">
        <f t="shared" si="43"/>
        <v>8.5325443786982244E-2</v>
      </c>
      <c r="M454" s="405">
        <f t="shared" si="44"/>
        <v>-5.35773930645958</v>
      </c>
      <c r="N454" s="63">
        <f t="shared" si="45"/>
        <v>-7.217174463833965</v>
      </c>
    </row>
    <row r="455" spans="1:14" ht="18" x14ac:dyDescent="0.25">
      <c r="A455" s="317" t="s">
        <v>259</v>
      </c>
      <c r="B455" s="317" t="s">
        <v>260</v>
      </c>
      <c r="C455" s="317">
        <v>2.17</v>
      </c>
      <c r="D455" s="317">
        <v>-7.0000000000000007E-2</v>
      </c>
      <c r="E455" s="318">
        <v>20.72</v>
      </c>
      <c r="F455" s="317">
        <v>2.6</v>
      </c>
      <c r="G455" s="317">
        <v>0</v>
      </c>
      <c r="H455" s="319">
        <v>16.579999999999998</v>
      </c>
      <c r="I455" s="320">
        <v>23</v>
      </c>
      <c r="J455" s="320">
        <v>2.2999999999999998</v>
      </c>
      <c r="K455" s="57">
        <f t="shared" si="42"/>
        <v>0.139131</v>
      </c>
      <c r="L455" s="310">
        <f t="shared" si="43"/>
        <v>7.9692307692307687E-2</v>
      </c>
      <c r="M455" s="405">
        <f t="shared" si="44"/>
        <v>-0.83453830851637734</v>
      </c>
      <c r="N455" s="63">
        <f t="shared" si="45"/>
        <v>-20.867272515596721</v>
      </c>
    </row>
    <row r="456" spans="1:14" ht="18" x14ac:dyDescent="0.25">
      <c r="A456" s="317" t="s">
        <v>2620</v>
      </c>
      <c r="B456" s="317" t="s">
        <v>2621</v>
      </c>
      <c r="C456" s="317">
        <v>2.5099999999999998</v>
      </c>
      <c r="D456" s="317">
        <v>-1.21</v>
      </c>
      <c r="E456" s="318">
        <v>12.1</v>
      </c>
      <c r="F456" s="317">
        <v>-1</v>
      </c>
      <c r="G456" s="317">
        <v>2.6</v>
      </c>
      <c r="H456" s="319">
        <v>10.53</v>
      </c>
      <c r="I456" s="320">
        <v>13.5</v>
      </c>
      <c r="J456" s="320">
        <v>2</v>
      </c>
      <c r="K456" s="57">
        <f t="shared" si="42"/>
        <v>0.154193</v>
      </c>
      <c r="L456" s="310">
        <f t="shared" si="43"/>
        <v>-0.121</v>
      </c>
      <c r="M456" s="405">
        <f t="shared" si="44"/>
        <v>-7.8449840194015721</v>
      </c>
      <c r="N456" s="63">
        <f t="shared" si="45"/>
        <v>-2.3422589483876664</v>
      </c>
    </row>
    <row r="457" spans="1:14" ht="18" x14ac:dyDescent="0.25">
      <c r="A457" s="317" t="s">
        <v>2600</v>
      </c>
      <c r="B457" s="317" t="s">
        <v>2601</v>
      </c>
      <c r="C457" s="317">
        <v>0.16</v>
      </c>
      <c r="D457" s="317">
        <v>1.39</v>
      </c>
      <c r="E457" s="318">
        <v>19.440000000000001</v>
      </c>
      <c r="F457" s="317">
        <v>1.98</v>
      </c>
      <c r="G457" s="317">
        <v>0</v>
      </c>
      <c r="H457" s="319">
        <v>22.75</v>
      </c>
      <c r="I457" s="320">
        <v>23</v>
      </c>
      <c r="J457" s="320">
        <v>2.5</v>
      </c>
      <c r="K457" s="57">
        <f t="shared" si="42"/>
        <v>5.0088000000000001E-2</v>
      </c>
      <c r="L457" s="310">
        <f t="shared" si="43"/>
        <v>9.818181818181819E-2</v>
      </c>
      <c r="M457" s="405">
        <f t="shared" si="44"/>
        <v>131.04289429102695</v>
      </c>
      <c r="N457" s="63">
        <f t="shared" si="45"/>
        <v>-0.82639272336678093</v>
      </c>
    </row>
    <row r="458" spans="1:14" ht="18" x14ac:dyDescent="0.25">
      <c r="A458" s="317" t="s">
        <v>261</v>
      </c>
      <c r="B458" s="317" t="s">
        <v>262</v>
      </c>
      <c r="C458" s="317">
        <v>0.7</v>
      </c>
      <c r="D458" s="317">
        <v>0.68</v>
      </c>
      <c r="E458" s="318">
        <v>10.34</v>
      </c>
      <c r="F458" s="317">
        <v>0.88</v>
      </c>
      <c r="G458" s="317">
        <v>0</v>
      </c>
      <c r="H458" s="319">
        <v>23.98</v>
      </c>
      <c r="I458" s="320">
        <v>28</v>
      </c>
      <c r="J458" s="320">
        <v>2</v>
      </c>
      <c r="K458" s="57">
        <f t="shared" si="42"/>
        <v>7.4009999999999992E-2</v>
      </c>
      <c r="L458" s="310">
        <f t="shared" si="43"/>
        <v>0.11749999999999999</v>
      </c>
      <c r="M458" s="405">
        <f t="shared" si="44"/>
        <v>25.504335699780121</v>
      </c>
      <c r="N458" s="63">
        <f t="shared" si="45"/>
        <v>-5.9767708429012814E-2</v>
      </c>
    </row>
    <row r="459" spans="1:14" ht="18" x14ac:dyDescent="0.25">
      <c r="A459" s="317" t="s">
        <v>4745</v>
      </c>
      <c r="B459" s="317" t="s">
        <v>4746</v>
      </c>
      <c r="C459" s="317">
        <v>1.88</v>
      </c>
      <c r="D459" s="317">
        <v>2.4300000000000002</v>
      </c>
      <c r="E459" s="318">
        <v>8.4</v>
      </c>
      <c r="F459" s="317">
        <v>0.44</v>
      </c>
      <c r="G459" s="317">
        <v>0</v>
      </c>
      <c r="H459" s="319">
        <v>15.12</v>
      </c>
      <c r="I459" s="320">
        <v>22</v>
      </c>
      <c r="J459" s="320">
        <v>2</v>
      </c>
      <c r="K459" s="57">
        <f t="shared" si="42"/>
        <v>0.12628400000000001</v>
      </c>
      <c r="L459" s="310">
        <f t="shared" si="43"/>
        <v>0.19090909090909089</v>
      </c>
      <c r="M459" s="405">
        <f t="shared" si="44"/>
        <v>49.201968363412583</v>
      </c>
      <c r="N459" s="63">
        <f t="shared" si="45"/>
        <v>-0.69269522129030336</v>
      </c>
    </row>
    <row r="460" spans="1:14" ht="18" x14ac:dyDescent="0.25">
      <c r="A460" s="317" t="s">
        <v>2622</v>
      </c>
      <c r="B460" s="317" t="s">
        <v>319</v>
      </c>
      <c r="C460" s="317">
        <v>1.4</v>
      </c>
      <c r="D460" s="317">
        <v>0.44</v>
      </c>
      <c r="E460" s="318">
        <v>26.14</v>
      </c>
      <c r="F460" s="317">
        <v>1.5</v>
      </c>
      <c r="G460" s="317">
        <v>0</v>
      </c>
      <c r="H460" s="319">
        <v>1.83</v>
      </c>
      <c r="I460" s="320">
        <v>2.5</v>
      </c>
      <c r="J460" s="320">
        <v>2</v>
      </c>
      <c r="K460" s="57">
        <f t="shared" si="42"/>
        <v>0.10502</v>
      </c>
      <c r="L460" s="310">
        <f t="shared" si="43"/>
        <v>0.17426666666666665</v>
      </c>
      <c r="M460" s="405">
        <f t="shared" si="44"/>
        <v>11.132499877436725</v>
      </c>
      <c r="N460" s="63">
        <f t="shared" si="45"/>
        <v>-0.83561643654638329</v>
      </c>
    </row>
    <row r="461" spans="1:14" ht="18" x14ac:dyDescent="0.25">
      <c r="A461" s="317" t="s">
        <v>4020</v>
      </c>
      <c r="B461" s="317"/>
      <c r="C461" s="317">
        <v>2.11</v>
      </c>
      <c r="D461" s="317">
        <v>0.14000000000000001</v>
      </c>
      <c r="E461" s="318">
        <v>5.56</v>
      </c>
      <c r="F461" s="317">
        <v>-0.23</v>
      </c>
      <c r="G461" s="317">
        <v>0</v>
      </c>
      <c r="H461" s="319">
        <v>1.5</v>
      </c>
      <c r="I461" s="320">
        <v>2.17</v>
      </c>
      <c r="J461" s="320">
        <v>3</v>
      </c>
      <c r="K461" s="57">
        <f t="shared" si="42"/>
        <v>0.13647300000000001</v>
      </c>
      <c r="L461" s="310">
        <f t="shared" si="43"/>
        <v>-0.24173913043478257</v>
      </c>
      <c r="M461" s="405">
        <f t="shared" si="44"/>
        <v>0.5492942517678201</v>
      </c>
      <c r="N461" s="63">
        <f t="shared" si="45"/>
        <v>1.7307768016367873</v>
      </c>
    </row>
    <row r="462" spans="1:14" ht="18" x14ac:dyDescent="0.25">
      <c r="A462" s="317" t="s">
        <v>263</v>
      </c>
      <c r="B462" s="317" t="s">
        <v>264</v>
      </c>
      <c r="C462" s="317">
        <v>0.77</v>
      </c>
      <c r="D462" s="317">
        <v>2.84</v>
      </c>
      <c r="E462" s="318">
        <v>13.18</v>
      </c>
      <c r="F462" s="317">
        <v>1.4</v>
      </c>
      <c r="G462" s="317">
        <v>0.7</v>
      </c>
      <c r="H462" s="319">
        <v>87.92</v>
      </c>
      <c r="I462" s="320">
        <v>110</v>
      </c>
      <c r="J462" s="320">
        <v>2.2999999999999998</v>
      </c>
      <c r="K462" s="57">
        <f t="shared" si="42"/>
        <v>7.7110999999999999E-2</v>
      </c>
      <c r="L462" s="310">
        <f t="shared" si="43"/>
        <v>9.4142857142857139E-2</v>
      </c>
      <c r="M462" s="405">
        <f t="shared" si="44"/>
        <v>70.006850528404243</v>
      </c>
      <c r="N462" s="63">
        <f t="shared" si="45"/>
        <v>0.25587709397564978</v>
      </c>
    </row>
    <row r="463" spans="1:14" ht="18" x14ac:dyDescent="0.25">
      <c r="A463" s="317" t="s">
        <v>265</v>
      </c>
      <c r="B463" s="317" t="s">
        <v>266</v>
      </c>
      <c r="C463" s="317">
        <v>1.65</v>
      </c>
      <c r="D463" s="317">
        <v>0.33</v>
      </c>
      <c r="E463" s="318">
        <v>11.21</v>
      </c>
      <c r="F463" s="317">
        <v>3.45</v>
      </c>
      <c r="G463" s="317">
        <v>0</v>
      </c>
      <c r="H463" s="319">
        <v>27.81</v>
      </c>
      <c r="I463" s="320">
        <v>37</v>
      </c>
      <c r="J463" s="320">
        <v>2.2999999999999998</v>
      </c>
      <c r="K463" s="57">
        <f t="shared" si="42"/>
        <v>0.116095</v>
      </c>
      <c r="L463" s="310">
        <f t="shared" si="43"/>
        <v>3.2492753623188403E-2</v>
      </c>
      <c r="M463" s="405">
        <f t="shared" si="44"/>
        <v>4.2121439911430496</v>
      </c>
      <c r="N463" s="63">
        <f t="shared" si="45"/>
        <v>5.6023383954766466</v>
      </c>
    </row>
    <row r="464" spans="1:14" ht="18" x14ac:dyDescent="0.25">
      <c r="A464" s="317" t="s">
        <v>2702</v>
      </c>
      <c r="B464" s="317" t="s">
        <v>2703</v>
      </c>
      <c r="C464" s="317">
        <v>2.42</v>
      </c>
      <c r="D464" s="317">
        <v>9.5299999999999994</v>
      </c>
      <c r="E464" s="318">
        <v>8.32</v>
      </c>
      <c r="F464" s="317">
        <v>0.18</v>
      </c>
      <c r="G464" s="317">
        <v>2</v>
      </c>
      <c r="H464" s="319">
        <v>103.94</v>
      </c>
      <c r="I464" s="320">
        <v>128</v>
      </c>
      <c r="J464" s="320">
        <v>3</v>
      </c>
      <c r="K464" s="57">
        <f t="shared" si="42"/>
        <v>0.15020600000000001</v>
      </c>
      <c r="L464" s="310">
        <f t="shared" si="43"/>
        <v>0.46222222222222231</v>
      </c>
      <c r="M464" s="405">
        <f t="shared" si="44"/>
        <v>280.36977274050741</v>
      </c>
      <c r="N464" s="63">
        <f t="shared" si="45"/>
        <v>-0.6292752996015718</v>
      </c>
    </row>
    <row r="465" spans="1:14" ht="18" x14ac:dyDescent="0.25">
      <c r="A465" s="317" t="s">
        <v>267</v>
      </c>
      <c r="B465" s="317" t="s">
        <v>268</v>
      </c>
      <c r="C465" s="317">
        <v>0.88</v>
      </c>
      <c r="D465" s="317">
        <v>1.91</v>
      </c>
      <c r="E465" s="318">
        <v>9.58</v>
      </c>
      <c r="F465" s="317">
        <v>0.86</v>
      </c>
      <c r="G465" s="317">
        <v>0</v>
      </c>
      <c r="H465" s="319">
        <v>26.63</v>
      </c>
      <c r="I465" s="320">
        <v>30</v>
      </c>
      <c r="J465" s="320">
        <v>2.6</v>
      </c>
      <c r="K465" s="57">
        <f t="shared" si="42"/>
        <v>8.1984000000000001E-2</v>
      </c>
      <c r="L465" s="310">
        <f t="shared" si="43"/>
        <v>0.11139534883720931</v>
      </c>
      <c r="M465" s="405">
        <f t="shared" si="44"/>
        <v>57.580401367418176</v>
      </c>
      <c r="N465" s="63">
        <f t="shared" si="45"/>
        <v>-0.53751624914743013</v>
      </c>
    </row>
    <row r="466" spans="1:14" ht="18" x14ac:dyDescent="0.25">
      <c r="A466" s="317" t="s">
        <v>572</v>
      </c>
      <c r="B466" s="317" t="s">
        <v>573</v>
      </c>
      <c r="C466" s="317">
        <v>0.56999999999999995</v>
      </c>
      <c r="D466" s="317">
        <v>4.74</v>
      </c>
      <c r="E466" s="318">
        <v>11.99</v>
      </c>
      <c r="F466" s="317">
        <v>2.3199999999999998</v>
      </c>
      <c r="G466" s="317">
        <v>3.9</v>
      </c>
      <c r="H466" s="319">
        <v>56.93</v>
      </c>
      <c r="I466" s="320">
        <v>59.5</v>
      </c>
      <c r="J466" s="320">
        <v>2</v>
      </c>
      <c r="K466" s="57">
        <f t="shared" si="42"/>
        <v>6.8251000000000006E-2</v>
      </c>
      <c r="L466" s="310">
        <f t="shared" si="43"/>
        <v>5.1681034482758618E-2</v>
      </c>
      <c r="M466" s="405">
        <f t="shared" si="44"/>
        <v>84.468254741280191</v>
      </c>
      <c r="N466" s="63">
        <f t="shared" si="45"/>
        <v>-0.32601898577906885</v>
      </c>
    </row>
    <row r="467" spans="1:14" ht="18" x14ac:dyDescent="0.25">
      <c r="A467" s="317" t="s">
        <v>269</v>
      </c>
      <c r="B467" s="317" t="s">
        <v>270</v>
      </c>
      <c r="C467" s="317">
        <v>0.42</v>
      </c>
      <c r="D467" s="317">
        <v>4.47</v>
      </c>
      <c r="E467" s="318">
        <v>12.13</v>
      </c>
      <c r="F467" s="317">
        <v>-2.35</v>
      </c>
      <c r="G467" s="317">
        <v>1.4</v>
      </c>
      <c r="H467" s="319">
        <v>55.33</v>
      </c>
      <c r="I467" s="320">
        <v>74.5</v>
      </c>
      <c r="J467" s="320">
        <v>2.4</v>
      </c>
      <c r="K467" s="57">
        <f t="shared" si="42"/>
        <v>6.1605999999999994E-2</v>
      </c>
      <c r="L467" s="310">
        <f t="shared" si="43"/>
        <v>-5.1617021276595745E-2</v>
      </c>
      <c r="M467" s="405">
        <f t="shared" si="44"/>
        <v>97.048480290805259</v>
      </c>
      <c r="N467" s="63">
        <f t="shared" si="45"/>
        <v>-0.42987257673480361</v>
      </c>
    </row>
    <row r="468" spans="1:14" ht="18" x14ac:dyDescent="0.25">
      <c r="A468" s="317" t="s">
        <v>4734</v>
      </c>
      <c r="B468" s="317"/>
      <c r="C468" s="317">
        <v>1.29</v>
      </c>
      <c r="D468" s="317">
        <v>1.86</v>
      </c>
      <c r="E468" s="318">
        <v>3.59</v>
      </c>
      <c r="F468" s="317">
        <v>0</v>
      </c>
      <c r="G468" s="317">
        <v>0</v>
      </c>
      <c r="H468" s="319">
        <v>4.0599999999999996</v>
      </c>
      <c r="I468" s="320">
        <v>11</v>
      </c>
      <c r="J468" s="320">
        <v>3</v>
      </c>
      <c r="K468" s="57">
        <f t="shared" si="42"/>
        <v>0.10014700000000001</v>
      </c>
      <c r="L468" s="310" t="e">
        <f t="shared" si="43"/>
        <v>#DIV/0!</v>
      </c>
      <c r="M468" s="405" t="e">
        <f t="shared" si="44"/>
        <v>#DIV/0!</v>
      </c>
      <c r="N468" s="63" t="e">
        <f t="shared" si="45"/>
        <v>#DIV/0!</v>
      </c>
    </row>
    <row r="469" spans="1:14" ht="18" x14ac:dyDescent="0.25">
      <c r="A469" s="317" t="s">
        <v>320</v>
      </c>
      <c r="B469" s="317" t="s">
        <v>321</v>
      </c>
      <c r="C469" s="317">
        <v>2.14</v>
      </c>
      <c r="D469" s="317">
        <v>1.0900000000000001</v>
      </c>
      <c r="E469" s="318">
        <v>12.7</v>
      </c>
      <c r="F469" s="317">
        <v>1.56</v>
      </c>
      <c r="G469" s="317">
        <v>0</v>
      </c>
      <c r="H469" s="319">
        <v>17.91</v>
      </c>
      <c r="I469" s="320">
        <v>24</v>
      </c>
      <c r="J469" s="320">
        <v>1.7</v>
      </c>
      <c r="K469" s="57">
        <f t="shared" si="42"/>
        <v>0.13780200000000004</v>
      </c>
      <c r="L469" s="310">
        <f t="shared" si="43"/>
        <v>8.1410256410256399E-2</v>
      </c>
      <c r="M469" s="405">
        <f t="shared" si="44"/>
        <v>13.239926436151961</v>
      </c>
      <c r="N469" s="63">
        <f t="shared" si="45"/>
        <v>0.35272654922736446</v>
      </c>
    </row>
    <row r="470" spans="1:14" ht="18" x14ac:dyDescent="0.25">
      <c r="A470" s="317" t="s">
        <v>2704</v>
      </c>
      <c r="B470" s="317" t="s">
        <v>2705</v>
      </c>
      <c r="C470" s="317">
        <v>2.57</v>
      </c>
      <c r="D470" s="317">
        <v>0.19</v>
      </c>
      <c r="E470" s="318">
        <v>11.5</v>
      </c>
      <c r="F470" s="317">
        <v>0.89</v>
      </c>
      <c r="G470" s="317">
        <v>0</v>
      </c>
      <c r="H470" s="319">
        <v>10.35</v>
      </c>
      <c r="I470" s="320">
        <v>12</v>
      </c>
      <c r="J470" s="320">
        <v>3</v>
      </c>
      <c r="K470" s="57">
        <f t="shared" si="42"/>
        <v>0.15685100000000002</v>
      </c>
      <c r="L470" s="310">
        <f t="shared" si="43"/>
        <v>0.1292134831460674</v>
      </c>
      <c r="M470" s="405">
        <f t="shared" si="44"/>
        <v>2.2988255216639866</v>
      </c>
      <c r="N470" s="63">
        <f t="shared" si="45"/>
        <v>3.5022990663981464</v>
      </c>
    </row>
    <row r="471" spans="1:14" ht="18" x14ac:dyDescent="0.25">
      <c r="A471" s="317" t="s">
        <v>3131</v>
      </c>
      <c r="B471" s="317" t="s">
        <v>3132</v>
      </c>
      <c r="C471" s="317">
        <v>0.42</v>
      </c>
      <c r="D471" s="317">
        <v>3.48</v>
      </c>
      <c r="E471" s="318">
        <v>35.51</v>
      </c>
      <c r="F471" s="317">
        <v>1.74</v>
      </c>
      <c r="G471" s="317">
        <v>0</v>
      </c>
      <c r="H471" s="319">
        <v>230.47</v>
      </c>
      <c r="I471" s="320">
        <v>270</v>
      </c>
      <c r="J471" s="320">
        <v>2.7</v>
      </c>
      <c r="K471" s="57">
        <f t="shared" si="42"/>
        <v>6.1605999999999994E-2</v>
      </c>
      <c r="L471" s="310">
        <f t="shared" si="43"/>
        <v>0.20408045977011494</v>
      </c>
      <c r="M471" s="405">
        <f t="shared" si="44"/>
        <v>277.83318621507175</v>
      </c>
      <c r="N471" s="63">
        <f t="shared" si="45"/>
        <v>-0.17047346596820051</v>
      </c>
    </row>
    <row r="472" spans="1:14" ht="18" x14ac:dyDescent="0.25">
      <c r="A472" s="317" t="s">
        <v>322</v>
      </c>
      <c r="B472" s="317" t="s">
        <v>323</v>
      </c>
      <c r="C472" s="317">
        <v>1.48</v>
      </c>
      <c r="D472" s="317">
        <v>1.96</v>
      </c>
      <c r="E472" s="318">
        <v>10.76</v>
      </c>
      <c r="F472" s="317">
        <v>1.29</v>
      </c>
      <c r="G472" s="317">
        <v>0</v>
      </c>
      <c r="H472" s="319">
        <v>65.77</v>
      </c>
      <c r="I472" s="320">
        <v>87</v>
      </c>
      <c r="J472" s="320">
        <v>2.2000000000000002</v>
      </c>
      <c r="K472" s="57">
        <f t="shared" si="42"/>
        <v>0.10856400000000001</v>
      </c>
      <c r="L472" s="310">
        <f t="shared" si="43"/>
        <v>8.3410852713178288E-2</v>
      </c>
      <c r="M472" s="405">
        <f t="shared" si="44"/>
        <v>33.447497350123719</v>
      </c>
      <c r="N472" s="63">
        <f t="shared" si="45"/>
        <v>0.96636535497794784</v>
      </c>
    </row>
    <row r="473" spans="1:14" ht="18" x14ac:dyDescent="0.25">
      <c r="A473" s="317" t="s">
        <v>324</v>
      </c>
      <c r="B473" s="317" t="s">
        <v>591</v>
      </c>
      <c r="C473" s="317">
        <v>1.07</v>
      </c>
      <c r="D473" s="317">
        <v>0.45</v>
      </c>
      <c r="E473" s="318">
        <v>16.75</v>
      </c>
      <c r="F473" s="317">
        <v>4.6100000000000003</v>
      </c>
      <c r="G473" s="317">
        <v>0</v>
      </c>
      <c r="H473" s="319">
        <v>9.5500000000000007</v>
      </c>
      <c r="I473" s="320">
        <v>12</v>
      </c>
      <c r="J473" s="320">
        <v>2.1</v>
      </c>
      <c r="K473" s="57">
        <f t="shared" si="42"/>
        <v>9.0401000000000009E-2</v>
      </c>
      <c r="L473" s="310">
        <f t="shared" si="43"/>
        <v>3.6334056399132321E-2</v>
      </c>
      <c r="M473" s="405">
        <f t="shared" si="44"/>
        <v>8.4523167478278509</v>
      </c>
      <c r="N473" s="63">
        <f t="shared" si="45"/>
        <v>0.129867737440654</v>
      </c>
    </row>
    <row r="474" spans="1:14" ht="18" x14ac:dyDescent="0.25">
      <c r="A474" s="317" t="s">
        <v>592</v>
      </c>
      <c r="B474" s="317" t="s">
        <v>593</v>
      </c>
      <c r="C474" s="317">
        <v>1.34</v>
      </c>
      <c r="D474" s="317">
        <v>0.92</v>
      </c>
      <c r="E474" s="318">
        <v>19.059999999999999</v>
      </c>
      <c r="F474" s="317">
        <v>4.87</v>
      </c>
      <c r="G474" s="317">
        <v>6.3</v>
      </c>
      <c r="H474" s="319">
        <v>32.4</v>
      </c>
      <c r="I474" s="320">
        <v>38</v>
      </c>
      <c r="J474" s="320">
        <v>2</v>
      </c>
      <c r="K474" s="57">
        <f t="shared" si="42"/>
        <v>0.10236200000000001</v>
      </c>
      <c r="L474" s="310">
        <f t="shared" si="43"/>
        <v>3.9137577002053385E-2</v>
      </c>
      <c r="M474" s="405">
        <f t="shared" si="44"/>
        <v>-17.573778702027948</v>
      </c>
      <c r="N474" s="63">
        <f t="shared" si="45"/>
        <v>-2.8436558550871678</v>
      </c>
    </row>
    <row r="475" spans="1:14" ht="18" x14ac:dyDescent="0.25">
      <c r="A475" s="317" t="s">
        <v>4735</v>
      </c>
      <c r="B475" s="317"/>
      <c r="C475" s="317">
        <v>1.65</v>
      </c>
      <c r="D475" s="317">
        <v>0.57999999999999996</v>
      </c>
      <c r="E475" s="318">
        <v>16.760000000000002</v>
      </c>
      <c r="F475" s="317">
        <v>2.0299999999999998</v>
      </c>
      <c r="G475" s="317">
        <v>0</v>
      </c>
      <c r="H475" s="319">
        <v>17.600000000000001</v>
      </c>
      <c r="I475" s="320">
        <v>22.04</v>
      </c>
      <c r="J475" s="320">
        <v>2</v>
      </c>
      <c r="K475" s="57">
        <f t="shared" si="42"/>
        <v>0.116095</v>
      </c>
      <c r="L475" s="310">
        <f t="shared" si="43"/>
        <v>8.2561576354679825E-2</v>
      </c>
      <c r="M475" s="405">
        <f t="shared" si="44"/>
        <v>8.947879755520372</v>
      </c>
      <c r="N475" s="63">
        <f t="shared" si="45"/>
        <v>0.96694641422083549</v>
      </c>
    </row>
    <row r="476" spans="1:14" ht="18" x14ac:dyDescent="0.25">
      <c r="A476" s="317" t="s">
        <v>2870</v>
      </c>
      <c r="B476" s="317" t="s">
        <v>510</v>
      </c>
      <c r="C476" s="317">
        <v>2.68</v>
      </c>
      <c r="D476" s="317">
        <v>-2.5099999999999998</v>
      </c>
      <c r="E476" s="318">
        <v>0</v>
      </c>
      <c r="F476" s="317">
        <v>0</v>
      </c>
      <c r="G476" s="317">
        <v>0</v>
      </c>
      <c r="H476" s="319">
        <v>3.06</v>
      </c>
      <c r="I476" s="320">
        <v>12</v>
      </c>
      <c r="J476" s="320">
        <v>1.8</v>
      </c>
      <c r="K476" s="57">
        <f t="shared" si="42"/>
        <v>0.16172400000000003</v>
      </c>
      <c r="L476" s="310" t="e">
        <f t="shared" si="43"/>
        <v>#DIV/0!</v>
      </c>
      <c r="M476" s="405" t="e">
        <f t="shared" si="44"/>
        <v>#DIV/0!</v>
      </c>
      <c r="N476" s="63" t="e">
        <f t="shared" si="45"/>
        <v>#DIV/0!</v>
      </c>
    </row>
    <row r="477" spans="1:14" ht="18" x14ac:dyDescent="0.25">
      <c r="A477" s="317" t="s">
        <v>271</v>
      </c>
      <c r="B477" s="317" t="s">
        <v>272</v>
      </c>
      <c r="C477" s="317">
        <v>0.9</v>
      </c>
      <c r="D477" s="317">
        <v>1.04</v>
      </c>
      <c r="E477" s="318">
        <v>13.54</v>
      </c>
      <c r="F477" s="317">
        <v>2.59</v>
      </c>
      <c r="G477" s="317">
        <v>4.7</v>
      </c>
      <c r="H477" s="319">
        <v>19.5</v>
      </c>
      <c r="I477" s="320">
        <v>18.5</v>
      </c>
      <c r="J477" s="320">
        <v>3</v>
      </c>
      <c r="K477" s="57">
        <f t="shared" si="42"/>
        <v>8.2869999999999999E-2</v>
      </c>
      <c r="L477" s="310">
        <f t="shared" si="43"/>
        <v>5.2277992277992277E-2</v>
      </c>
      <c r="M477" s="405">
        <f t="shared" si="44"/>
        <v>2.8667760986815991</v>
      </c>
      <c r="N477" s="63">
        <f t="shared" si="45"/>
        <v>5.8020659196118771</v>
      </c>
    </row>
    <row r="478" spans="1:14" ht="18" x14ac:dyDescent="0.25">
      <c r="A478" s="317" t="s">
        <v>1704</v>
      </c>
      <c r="B478" s="317" t="s">
        <v>1705</v>
      </c>
      <c r="C478" s="317">
        <v>1.92</v>
      </c>
      <c r="D478" s="317">
        <v>2.2599999999999998</v>
      </c>
      <c r="E478" s="318">
        <v>14.31</v>
      </c>
      <c r="F478" s="317">
        <v>0.99</v>
      </c>
      <c r="G478" s="317">
        <v>0</v>
      </c>
      <c r="H478" s="319">
        <v>42.79</v>
      </c>
      <c r="I478" s="320">
        <v>55</v>
      </c>
      <c r="J478" s="320">
        <v>1.9</v>
      </c>
      <c r="K478" s="57">
        <f t="shared" si="42"/>
        <v>0.128056</v>
      </c>
      <c r="L478" s="310">
        <f t="shared" si="43"/>
        <v>0.14454545454545456</v>
      </c>
      <c r="M478" s="405">
        <f t="shared" si="44"/>
        <v>38.033054093347552</v>
      </c>
      <c r="N478" s="63">
        <f t="shared" si="45"/>
        <v>0.1250739920853344</v>
      </c>
    </row>
    <row r="479" spans="1:14" ht="18" x14ac:dyDescent="0.25">
      <c r="A479" s="317" t="s">
        <v>594</v>
      </c>
      <c r="B479" s="317" t="s">
        <v>595</v>
      </c>
      <c r="C479" s="317">
        <v>0.92</v>
      </c>
      <c r="D479" s="317">
        <v>0</v>
      </c>
      <c r="E479" s="318">
        <v>20.71</v>
      </c>
      <c r="F479" s="317">
        <v>1.71</v>
      </c>
      <c r="G479" s="317">
        <v>0</v>
      </c>
      <c r="H479" s="319">
        <v>21.95</v>
      </c>
      <c r="I479" s="320">
        <v>26.47</v>
      </c>
      <c r="J479" s="320">
        <v>1</v>
      </c>
      <c r="K479" s="57">
        <f t="shared" si="42"/>
        <v>8.3755999999999997E-2</v>
      </c>
      <c r="L479" s="310">
        <f t="shared" si="43"/>
        <v>0.12111111111111113</v>
      </c>
      <c r="M479" s="405">
        <f t="shared" si="44"/>
        <v>0</v>
      </c>
      <c r="N479" s="63" t="e">
        <f t="shared" si="45"/>
        <v>#DIV/0!</v>
      </c>
    </row>
    <row r="480" spans="1:14" ht="18" x14ac:dyDescent="0.25">
      <c r="A480" s="317" t="s">
        <v>273</v>
      </c>
      <c r="B480" s="317" t="s">
        <v>274</v>
      </c>
      <c r="C480" s="317">
        <v>0.96</v>
      </c>
      <c r="D480" s="317">
        <v>4.21</v>
      </c>
      <c r="E480" s="318">
        <v>17.22</v>
      </c>
      <c r="F480" s="317">
        <v>1.74</v>
      </c>
      <c r="G480" s="317">
        <v>1.5</v>
      </c>
      <c r="H480" s="319">
        <v>82.82</v>
      </c>
      <c r="I480" s="320">
        <v>95.5</v>
      </c>
      <c r="J480" s="320">
        <v>1.9</v>
      </c>
      <c r="K480" s="57">
        <f t="shared" si="42"/>
        <v>8.5527999999999993E-2</v>
      </c>
      <c r="L480" s="310">
        <f t="shared" si="43"/>
        <v>9.8965517241379308E-2</v>
      </c>
      <c r="M480" s="405">
        <f t="shared" si="44"/>
        <v>78.93170510155457</v>
      </c>
      <c r="N480" s="63">
        <f t="shared" si="45"/>
        <v>4.9261508964524352E-2</v>
      </c>
    </row>
    <row r="481" spans="1:14" ht="18" x14ac:dyDescent="0.25">
      <c r="A481" s="317" t="s">
        <v>394</v>
      </c>
      <c r="B481" s="317" t="s">
        <v>395</v>
      </c>
      <c r="C481" s="317">
        <v>2.17</v>
      </c>
      <c r="D481" s="317">
        <v>-0.19</v>
      </c>
      <c r="E481" s="318">
        <v>0</v>
      </c>
      <c r="F481" s="317">
        <v>0</v>
      </c>
      <c r="G481" s="317">
        <v>0</v>
      </c>
      <c r="H481" s="319">
        <v>0.78</v>
      </c>
      <c r="I481" s="320">
        <v>4</v>
      </c>
      <c r="J481" s="320">
        <v>1.7</v>
      </c>
      <c r="K481" s="57">
        <f t="shared" si="42"/>
        <v>0.139131</v>
      </c>
      <c r="L481" s="310" t="e">
        <f t="shared" si="43"/>
        <v>#DIV/0!</v>
      </c>
      <c r="M481" s="405" t="e">
        <f t="shared" si="44"/>
        <v>#DIV/0!</v>
      </c>
      <c r="N481" s="63" t="e">
        <f t="shared" si="45"/>
        <v>#DIV/0!</v>
      </c>
    </row>
    <row r="482" spans="1:14" ht="18" x14ac:dyDescent="0.25">
      <c r="A482" s="317" t="s">
        <v>1092</v>
      </c>
      <c r="B482" s="317" t="s">
        <v>1093</v>
      </c>
      <c r="C482" s="317">
        <v>2.85</v>
      </c>
      <c r="D482" s="317">
        <v>1.24</v>
      </c>
      <c r="E482" s="318">
        <v>5.35</v>
      </c>
      <c r="F482" s="317">
        <v>0.15</v>
      </c>
      <c r="G482" s="317">
        <v>4.5</v>
      </c>
      <c r="H482" s="319">
        <v>5.4</v>
      </c>
      <c r="I482" s="320">
        <v>7.5</v>
      </c>
      <c r="J482" s="320">
        <v>2.1</v>
      </c>
      <c r="K482" s="57">
        <f t="shared" si="42"/>
        <v>0.16925500000000004</v>
      </c>
      <c r="L482" s="310">
        <f t="shared" si="43"/>
        <v>0.35666666666666663</v>
      </c>
      <c r="M482" s="405">
        <f t="shared" si="44"/>
        <v>22.594055473276857</v>
      </c>
      <c r="N482" s="63">
        <f t="shared" si="45"/>
        <v>-0.76099908197592692</v>
      </c>
    </row>
    <row r="483" spans="1:14" ht="18" x14ac:dyDescent="0.25">
      <c r="A483" s="317" t="s">
        <v>2706</v>
      </c>
      <c r="B483" s="317" t="s">
        <v>2707</v>
      </c>
      <c r="C483" s="317">
        <v>2.63</v>
      </c>
      <c r="D483" s="317">
        <v>-0.15</v>
      </c>
      <c r="E483" s="318">
        <v>8.8699999999999992</v>
      </c>
      <c r="F483" s="317">
        <v>0</v>
      </c>
      <c r="G483" s="317">
        <v>0</v>
      </c>
      <c r="H483" s="319">
        <v>11</v>
      </c>
      <c r="I483" s="320">
        <v>14.27</v>
      </c>
      <c r="J483" s="320">
        <v>1.3</v>
      </c>
      <c r="K483" s="57">
        <f t="shared" si="42"/>
        <v>0.15950900000000001</v>
      </c>
      <c r="L483" s="310" t="e">
        <f t="shared" si="43"/>
        <v>#DIV/0!</v>
      </c>
      <c r="M483" s="405" t="e">
        <f t="shared" si="44"/>
        <v>#DIV/0!</v>
      </c>
      <c r="N483" s="63" t="e">
        <f t="shared" si="45"/>
        <v>#DIV/0!</v>
      </c>
    </row>
    <row r="484" spans="1:14" ht="18" x14ac:dyDescent="0.25">
      <c r="A484" s="317" t="s">
        <v>275</v>
      </c>
      <c r="B484" s="317" t="s">
        <v>276</v>
      </c>
      <c r="C484" s="317">
        <v>1.21</v>
      </c>
      <c r="D484" s="317">
        <v>7.08</v>
      </c>
      <c r="E484" s="318">
        <v>9.0500000000000007</v>
      </c>
      <c r="F484" s="317">
        <v>1.03</v>
      </c>
      <c r="G484" s="317">
        <v>3.1</v>
      </c>
      <c r="H484" s="319">
        <v>64.239999999999995</v>
      </c>
      <c r="I484" s="320">
        <v>68</v>
      </c>
      <c r="J484" s="320">
        <v>2.7</v>
      </c>
      <c r="K484" s="57">
        <f t="shared" si="42"/>
        <v>9.6602999999999994E-2</v>
      </c>
      <c r="L484" s="310">
        <f t="shared" si="43"/>
        <v>8.7864077669902924E-2</v>
      </c>
      <c r="M484" s="405">
        <f t="shared" si="44"/>
        <v>105.71324725342049</v>
      </c>
      <c r="N484" s="63">
        <f t="shared" si="45"/>
        <v>-0.39231835489831268</v>
      </c>
    </row>
    <row r="485" spans="1:14" ht="18" x14ac:dyDescent="0.25">
      <c r="A485" s="317" t="s">
        <v>4736</v>
      </c>
      <c r="B485" s="317"/>
      <c r="C485" s="317">
        <v>1.87</v>
      </c>
      <c r="D485" s="317">
        <v>0.14000000000000001</v>
      </c>
      <c r="E485" s="318">
        <v>9.98</v>
      </c>
      <c r="F485" s="317">
        <v>0.82</v>
      </c>
      <c r="G485" s="317">
        <v>0</v>
      </c>
      <c r="H485" s="319">
        <v>19.37</v>
      </c>
      <c r="I485" s="320">
        <v>37.5</v>
      </c>
      <c r="J485" s="320">
        <v>1.6</v>
      </c>
      <c r="K485" s="57">
        <f t="shared" si="42"/>
        <v>0.12584100000000001</v>
      </c>
      <c r="L485" s="310">
        <f t="shared" si="43"/>
        <v>0.12170731707317074</v>
      </c>
      <c r="M485" s="405">
        <f t="shared" si="44"/>
        <v>2.2247886738295302</v>
      </c>
      <c r="N485" s="63">
        <f t="shared" si="45"/>
        <v>7.7064448987230811</v>
      </c>
    </row>
    <row r="486" spans="1:14" ht="18" x14ac:dyDescent="0.25">
      <c r="A486" s="317" t="s">
        <v>1919</v>
      </c>
      <c r="B486" s="317" t="s">
        <v>1920</v>
      </c>
      <c r="C486" s="317">
        <v>1.65</v>
      </c>
      <c r="D486" s="317">
        <v>0.74</v>
      </c>
      <c r="E486" s="318">
        <v>11.34</v>
      </c>
      <c r="F486" s="317">
        <v>2.63</v>
      </c>
      <c r="G486" s="317">
        <v>5</v>
      </c>
      <c r="H486" s="319">
        <v>8.51</v>
      </c>
      <c r="I486" s="320">
        <v>8.85</v>
      </c>
      <c r="J486" s="320">
        <v>3</v>
      </c>
      <c r="K486" s="57">
        <f t="shared" si="42"/>
        <v>0.116095</v>
      </c>
      <c r="L486" s="310">
        <f t="shared" si="43"/>
        <v>4.3117870722433463E-2</v>
      </c>
      <c r="M486" s="405">
        <f t="shared" si="44"/>
        <v>4.1799909261595234</v>
      </c>
      <c r="N486" s="63">
        <f t="shared" si="45"/>
        <v>1.0358895869228084</v>
      </c>
    </row>
    <row r="487" spans="1:14" ht="18" x14ac:dyDescent="0.25">
      <c r="A487" s="317" t="s">
        <v>1290</v>
      </c>
      <c r="B487" s="317" t="s">
        <v>1291</v>
      </c>
      <c r="C487" s="317">
        <v>1.42</v>
      </c>
      <c r="D487" s="317">
        <v>3.1</v>
      </c>
      <c r="E487" s="318">
        <v>11.26</v>
      </c>
      <c r="F487" s="317">
        <v>1.05</v>
      </c>
      <c r="G487" s="317">
        <v>2.6</v>
      </c>
      <c r="H487" s="319">
        <v>51.9</v>
      </c>
      <c r="I487" s="320">
        <v>63</v>
      </c>
      <c r="J487" s="320">
        <v>2.1</v>
      </c>
      <c r="K487" s="57">
        <f t="shared" si="42"/>
        <v>0.105906</v>
      </c>
      <c r="L487" s="310">
        <f t="shared" si="43"/>
        <v>0.10723809523809523</v>
      </c>
      <c r="M487" s="405">
        <f t="shared" si="44"/>
        <v>33.9674953956997</v>
      </c>
      <c r="N487" s="63">
        <f t="shared" si="45"/>
        <v>0.52793131773179136</v>
      </c>
    </row>
    <row r="488" spans="1:14" ht="18" x14ac:dyDescent="0.25">
      <c r="A488" s="317" t="s">
        <v>1292</v>
      </c>
      <c r="B488" s="317" t="s">
        <v>1293</v>
      </c>
      <c r="C488" s="317">
        <v>0.55000000000000004</v>
      </c>
      <c r="D488" s="317">
        <v>6.66</v>
      </c>
      <c r="E488" s="318">
        <v>11.27</v>
      </c>
      <c r="F488" s="317">
        <v>-19.57</v>
      </c>
      <c r="G488" s="317">
        <v>4.8</v>
      </c>
      <c r="H488" s="319">
        <v>68.72</v>
      </c>
      <c r="I488" s="320">
        <v>74</v>
      </c>
      <c r="J488" s="320">
        <v>2.6</v>
      </c>
      <c r="K488" s="57">
        <f t="shared" si="42"/>
        <v>6.7365000000000008E-2</v>
      </c>
      <c r="L488" s="310">
        <f t="shared" si="43"/>
        <v>-5.7588145120081756E-3</v>
      </c>
      <c r="M488" s="405">
        <f t="shared" si="44"/>
        <v>89.81455252052298</v>
      </c>
      <c r="N488" s="63">
        <f t="shared" si="45"/>
        <v>-0.23486786860851747</v>
      </c>
    </row>
    <row r="489" spans="1:14" ht="18" x14ac:dyDescent="0.25">
      <c r="A489" s="317" t="s">
        <v>4923</v>
      </c>
      <c r="B489" s="317" t="s">
        <v>4924</v>
      </c>
      <c r="C489" s="317">
        <v>0.59</v>
      </c>
      <c r="D489" s="317">
        <v>3.75</v>
      </c>
      <c r="E489" s="318">
        <v>13.6</v>
      </c>
      <c r="F489" s="317">
        <v>-3.62</v>
      </c>
      <c r="G489" s="317">
        <v>5</v>
      </c>
      <c r="H489" s="319">
        <v>41.2</v>
      </c>
      <c r="I489" s="320">
        <v>41</v>
      </c>
      <c r="J489" s="320">
        <v>2.6</v>
      </c>
      <c r="K489" s="57">
        <f t="shared" si="42"/>
        <v>6.9137000000000004E-2</v>
      </c>
      <c r="L489" s="310">
        <f t="shared" si="43"/>
        <v>-3.7569060773480663E-2</v>
      </c>
      <c r="M489" s="405">
        <f t="shared" si="44"/>
        <v>37.07112187805356</v>
      </c>
      <c r="N489" s="63">
        <f t="shared" si="45"/>
        <v>0.11137720988127893</v>
      </c>
    </row>
    <row r="490" spans="1:14" ht="18" x14ac:dyDescent="0.25">
      <c r="A490" s="317" t="s">
        <v>3543</v>
      </c>
      <c r="B490" s="317" t="s">
        <v>3544</v>
      </c>
      <c r="C490" s="317">
        <v>2.87</v>
      </c>
      <c r="D490" s="317">
        <v>3.1</v>
      </c>
      <c r="E490" s="318">
        <v>0</v>
      </c>
      <c r="F490" s="317">
        <v>-4.4400000000000004</v>
      </c>
      <c r="G490" s="317">
        <v>0</v>
      </c>
      <c r="H490" s="319">
        <v>3.99</v>
      </c>
      <c r="I490" s="320">
        <v>4</v>
      </c>
      <c r="J490" s="320">
        <v>3.6</v>
      </c>
      <c r="K490" s="57">
        <f t="shared" si="42"/>
        <v>0.17014100000000004</v>
      </c>
      <c r="L490" s="310">
        <f t="shared" si="43"/>
        <v>0</v>
      </c>
      <c r="M490" s="405">
        <f t="shared" si="44"/>
        <v>22.136051330612691</v>
      </c>
      <c r="N490" s="63">
        <f t="shared" si="45"/>
        <v>-0.81975105042866914</v>
      </c>
    </row>
    <row r="491" spans="1:14" ht="18" x14ac:dyDescent="0.25">
      <c r="A491" s="317" t="s">
        <v>1294</v>
      </c>
      <c r="B491" s="317" t="s">
        <v>1295</v>
      </c>
      <c r="C491" s="317">
        <v>0.83</v>
      </c>
      <c r="D491" s="317">
        <v>1.59</v>
      </c>
      <c r="E491" s="318">
        <v>25.68</v>
      </c>
      <c r="F491" s="317">
        <v>2.21</v>
      </c>
      <c r="G491" s="317">
        <v>0.7</v>
      </c>
      <c r="H491" s="319">
        <v>54.19</v>
      </c>
      <c r="I491" s="320">
        <v>55.5</v>
      </c>
      <c r="J491" s="320">
        <v>2.5</v>
      </c>
      <c r="K491" s="57">
        <f t="shared" si="42"/>
        <v>7.9769000000000007E-2</v>
      </c>
      <c r="L491" s="310">
        <f t="shared" si="43"/>
        <v>0.11619909502262443</v>
      </c>
      <c r="M491" s="405">
        <f t="shared" si="44"/>
        <v>39.128088048955007</v>
      </c>
      <c r="N491" s="63">
        <f t="shared" si="45"/>
        <v>0.38493861320799316</v>
      </c>
    </row>
    <row r="492" spans="1:14" ht="18" x14ac:dyDescent="0.25">
      <c r="A492" s="317" t="s">
        <v>1296</v>
      </c>
      <c r="B492" s="317" t="s">
        <v>1297</v>
      </c>
      <c r="C492" s="317">
        <v>2</v>
      </c>
      <c r="D492" s="317">
        <v>1.46</v>
      </c>
      <c r="E492" s="318">
        <v>11.8</v>
      </c>
      <c r="F492" s="317">
        <v>1.34</v>
      </c>
      <c r="G492" s="317">
        <v>1.1000000000000001</v>
      </c>
      <c r="H492" s="319">
        <v>24.78</v>
      </c>
      <c r="I492" s="320">
        <v>28</v>
      </c>
      <c r="J492" s="320">
        <v>2.4</v>
      </c>
      <c r="K492" s="57">
        <f t="shared" si="42"/>
        <v>0.13159999999999999</v>
      </c>
      <c r="L492" s="310">
        <f t="shared" si="43"/>
        <v>8.8059701492537321E-2</v>
      </c>
      <c r="M492" s="405">
        <f t="shared" si="44"/>
        <v>15.705574398096957</v>
      </c>
      <c r="N492" s="63">
        <f t="shared" si="45"/>
        <v>0.57778374555995815</v>
      </c>
    </row>
    <row r="493" spans="1:14" ht="18" x14ac:dyDescent="0.25">
      <c r="A493" s="317" t="s">
        <v>791</v>
      </c>
      <c r="B493" s="317" t="s">
        <v>792</v>
      </c>
      <c r="C493" s="317">
        <v>2.31</v>
      </c>
      <c r="D493" s="317">
        <v>0.18</v>
      </c>
      <c r="E493" s="318">
        <v>13.59</v>
      </c>
      <c r="F493" s="317">
        <v>10.93</v>
      </c>
      <c r="G493" s="317">
        <v>0</v>
      </c>
      <c r="H493" s="319">
        <v>32.61</v>
      </c>
      <c r="I493" s="320">
        <v>39.5</v>
      </c>
      <c r="J493" s="320">
        <v>1.9</v>
      </c>
      <c r="K493" s="57">
        <f t="shared" si="42"/>
        <v>0.14533300000000002</v>
      </c>
      <c r="L493" s="310">
        <f t="shared" si="43"/>
        <v>1.2433668801463862E-2</v>
      </c>
      <c r="M493" s="405">
        <f t="shared" si="44"/>
        <v>1.6025756145031076</v>
      </c>
      <c r="N493" s="63">
        <f t="shared" si="45"/>
        <v>19.348493827613254</v>
      </c>
    </row>
    <row r="494" spans="1:14" ht="18" x14ac:dyDescent="0.25">
      <c r="A494" s="317" t="s">
        <v>1298</v>
      </c>
      <c r="B494" s="317" t="s">
        <v>1299</v>
      </c>
      <c r="C494" s="317">
        <v>2.4</v>
      </c>
      <c r="D494" s="317">
        <v>1.66</v>
      </c>
      <c r="E494" s="318">
        <v>7.55</v>
      </c>
      <c r="F494" s="317">
        <v>0.45</v>
      </c>
      <c r="G494" s="317">
        <v>0</v>
      </c>
      <c r="H494" s="319">
        <v>15.18</v>
      </c>
      <c r="I494" s="320">
        <v>20</v>
      </c>
      <c r="J494" s="320">
        <v>2.2000000000000002</v>
      </c>
      <c r="K494" s="57">
        <f t="shared" si="42"/>
        <v>0.14932000000000001</v>
      </c>
      <c r="L494" s="310">
        <f t="shared" si="43"/>
        <v>0.16777777777777778</v>
      </c>
      <c r="M494" s="405">
        <f t="shared" si="44"/>
        <v>24.434360820087662</v>
      </c>
      <c r="N494" s="63">
        <f t="shared" si="45"/>
        <v>-0.37874372438994131</v>
      </c>
    </row>
    <row r="495" spans="1:14" ht="18" x14ac:dyDescent="0.25">
      <c r="A495" s="317" t="s">
        <v>1915</v>
      </c>
      <c r="B495" s="317" t="s">
        <v>1916</v>
      </c>
      <c r="C495" s="317"/>
      <c r="D495" s="317"/>
      <c r="E495" s="318"/>
      <c r="F495" s="317"/>
      <c r="G495" s="317"/>
      <c r="H495" s="319">
        <v>34.07</v>
      </c>
      <c r="I495" s="320"/>
      <c r="J495" s="320"/>
      <c r="K495" s="57">
        <f t="shared" si="42"/>
        <v>4.2999999999999997E-2</v>
      </c>
      <c r="L495" s="310" t="e">
        <f t="shared" si="43"/>
        <v>#DIV/0!</v>
      </c>
      <c r="M495" s="405" t="e">
        <f t="shared" si="44"/>
        <v>#DIV/0!</v>
      </c>
      <c r="N495" s="63" t="e">
        <f t="shared" si="45"/>
        <v>#DIV/0!</v>
      </c>
    </row>
    <row r="496" spans="1:14" ht="18" x14ac:dyDescent="0.25">
      <c r="A496" s="317" t="s">
        <v>1300</v>
      </c>
      <c r="B496" s="317" t="s">
        <v>1301</v>
      </c>
      <c r="C496" s="317">
        <v>1</v>
      </c>
      <c r="D496" s="317">
        <v>1.96</v>
      </c>
      <c r="E496" s="318">
        <v>23.96</v>
      </c>
      <c r="F496" s="317">
        <v>1.53</v>
      </c>
      <c r="G496" s="317">
        <v>1.6</v>
      </c>
      <c r="H496" s="319">
        <v>66.599999999999994</v>
      </c>
      <c r="I496" s="320">
        <v>69</v>
      </c>
      <c r="J496" s="320">
        <v>2.2999999999999998</v>
      </c>
      <c r="K496" s="57">
        <f t="shared" si="42"/>
        <v>8.7300000000000003E-2</v>
      </c>
      <c r="L496" s="310">
        <f t="shared" si="43"/>
        <v>0.15660130718954249</v>
      </c>
      <c r="M496" s="405">
        <f t="shared" si="44"/>
        <v>28.825320533121417</v>
      </c>
      <c r="N496" s="63">
        <f t="shared" si="45"/>
        <v>1.3104686701913342</v>
      </c>
    </row>
    <row r="497" spans="1:14" ht="18" x14ac:dyDescent="0.25">
      <c r="A497" s="317" t="s">
        <v>3545</v>
      </c>
      <c r="B497" s="317" t="s">
        <v>3546</v>
      </c>
      <c r="C497" s="317">
        <v>2.5</v>
      </c>
      <c r="D497" s="317">
        <v>1.23</v>
      </c>
      <c r="E497" s="318">
        <v>0</v>
      </c>
      <c r="F497" s="317">
        <v>0</v>
      </c>
      <c r="G497" s="317">
        <v>0</v>
      </c>
      <c r="H497" s="319">
        <v>6.6</v>
      </c>
      <c r="I497" s="320">
        <v>4.5</v>
      </c>
      <c r="J497" s="320">
        <v>0</v>
      </c>
      <c r="K497" s="57">
        <f t="shared" si="42"/>
        <v>0.15375</v>
      </c>
      <c r="L497" s="310" t="e">
        <f t="shared" si="43"/>
        <v>#DIV/0!</v>
      </c>
      <c r="M497" s="405" t="e">
        <f t="shared" si="44"/>
        <v>#DIV/0!</v>
      </c>
      <c r="N497" s="63" t="e">
        <f t="shared" si="45"/>
        <v>#DIV/0!</v>
      </c>
    </row>
    <row r="498" spans="1:14" ht="18" x14ac:dyDescent="0.25">
      <c r="A498" s="317" t="s">
        <v>4671</v>
      </c>
      <c r="B498" s="317" t="s">
        <v>4672</v>
      </c>
      <c r="C498" s="317">
        <v>0.71</v>
      </c>
      <c r="D498" s="317">
        <v>2.1800000000000002</v>
      </c>
      <c r="E498" s="318">
        <v>14.54</v>
      </c>
      <c r="F498" s="317">
        <v>0.89</v>
      </c>
      <c r="G498" s="317">
        <v>0</v>
      </c>
      <c r="H498" s="319">
        <v>37.950000000000003</v>
      </c>
      <c r="I498" s="320">
        <v>43</v>
      </c>
      <c r="J498" s="320">
        <v>2.1</v>
      </c>
      <c r="K498" s="57">
        <f t="shared" si="42"/>
        <v>7.4452999999999991E-2</v>
      </c>
      <c r="L498" s="310">
        <f t="shared" si="43"/>
        <v>0.16337078651685391</v>
      </c>
      <c r="M498" s="405">
        <f t="shared" si="44"/>
        <v>97.22808876566549</v>
      </c>
      <c r="N498" s="63">
        <f t="shared" si="45"/>
        <v>-0.60968069534447722</v>
      </c>
    </row>
    <row r="499" spans="1:14" ht="18" x14ac:dyDescent="0.25">
      <c r="A499" s="317" t="s">
        <v>2204</v>
      </c>
      <c r="B499" s="317" t="s">
        <v>2205</v>
      </c>
      <c r="C499" s="317">
        <v>2.57</v>
      </c>
      <c r="D499" s="317">
        <v>1.35</v>
      </c>
      <c r="E499" s="318">
        <v>10.99</v>
      </c>
      <c r="F499" s="317">
        <v>1.05</v>
      </c>
      <c r="G499" s="317">
        <v>0</v>
      </c>
      <c r="H499" s="319">
        <v>20</v>
      </c>
      <c r="I499" s="320">
        <v>21.5</v>
      </c>
      <c r="J499" s="320">
        <v>2.1</v>
      </c>
      <c r="K499" s="57">
        <f t="shared" si="42"/>
        <v>0.15685100000000002</v>
      </c>
      <c r="L499" s="310">
        <f t="shared" si="43"/>
        <v>0.10466666666666667</v>
      </c>
      <c r="M499" s="405">
        <f t="shared" si="44"/>
        <v>15.036435568034991</v>
      </c>
      <c r="N499" s="63">
        <f t="shared" si="45"/>
        <v>0.33010246407843741</v>
      </c>
    </row>
    <row r="500" spans="1:14" ht="18" x14ac:dyDescent="0.25">
      <c r="A500" s="317" t="s">
        <v>1302</v>
      </c>
      <c r="B500" s="317" t="s">
        <v>1303</v>
      </c>
      <c r="C500" s="317">
        <v>1.79</v>
      </c>
      <c r="D500" s="317">
        <v>4.57</v>
      </c>
      <c r="E500" s="318">
        <v>8</v>
      </c>
      <c r="F500" s="317">
        <v>0.89</v>
      </c>
      <c r="G500" s="317">
        <v>1.8</v>
      </c>
      <c r="H500" s="319">
        <v>50.24</v>
      </c>
      <c r="I500" s="320">
        <v>67</v>
      </c>
      <c r="J500" s="320">
        <v>2.2000000000000002</v>
      </c>
      <c r="K500" s="57">
        <f t="shared" si="42"/>
        <v>0.122297</v>
      </c>
      <c r="L500" s="310">
        <f t="shared" si="43"/>
        <v>8.9887640449438214E-2</v>
      </c>
      <c r="M500" s="405">
        <f t="shared" si="44"/>
        <v>53.988341165807839</v>
      </c>
      <c r="N500" s="63">
        <f t="shared" si="45"/>
        <v>-6.9428715253465778E-2</v>
      </c>
    </row>
    <row r="501" spans="1:14" ht="18" x14ac:dyDescent="0.25">
      <c r="A501" s="317" t="s">
        <v>1304</v>
      </c>
      <c r="B501" s="317" t="s">
        <v>3628</v>
      </c>
      <c r="C501" s="317">
        <v>0.11</v>
      </c>
      <c r="D501" s="317">
        <v>2.86</v>
      </c>
      <c r="E501" s="318">
        <v>14.9</v>
      </c>
      <c r="F501" s="317">
        <v>1.21</v>
      </c>
      <c r="G501" s="317">
        <v>1.3</v>
      </c>
      <c r="H501" s="319">
        <v>54.24</v>
      </c>
      <c r="I501" s="320">
        <v>55</v>
      </c>
      <c r="J501" s="320">
        <v>2.7</v>
      </c>
      <c r="K501" s="57">
        <f t="shared" si="42"/>
        <v>4.7872999999999999E-2</v>
      </c>
      <c r="L501" s="310">
        <f t="shared" si="43"/>
        <v>0.12314049586776861</v>
      </c>
      <c r="M501" s="405">
        <f t="shared" si="44"/>
        <v>269.17524680865927</v>
      </c>
      <c r="N501" s="63">
        <f t="shared" si="45"/>
        <v>-0.79849558738008319</v>
      </c>
    </row>
    <row r="502" spans="1:14" ht="18" x14ac:dyDescent="0.25">
      <c r="A502" s="317" t="s">
        <v>3629</v>
      </c>
      <c r="B502" s="317" t="s">
        <v>4383</v>
      </c>
      <c r="C502" s="317">
        <v>1.29</v>
      </c>
      <c r="D502" s="317">
        <v>4.1500000000000004</v>
      </c>
      <c r="E502" s="318">
        <v>14.61</v>
      </c>
      <c r="F502" s="317">
        <v>1.22</v>
      </c>
      <c r="G502" s="317">
        <v>0.5</v>
      </c>
      <c r="H502" s="319">
        <v>95.09</v>
      </c>
      <c r="I502" s="320">
        <v>114.5</v>
      </c>
      <c r="J502" s="320">
        <v>1.9</v>
      </c>
      <c r="K502" s="57">
        <f t="shared" si="42"/>
        <v>0.10014700000000001</v>
      </c>
      <c r="L502" s="310">
        <f t="shared" si="43"/>
        <v>0.11975409836065573</v>
      </c>
      <c r="M502" s="405">
        <f t="shared" si="44"/>
        <v>81.612491774755085</v>
      </c>
      <c r="N502" s="63">
        <f t="shared" si="45"/>
        <v>0.16514026140069246</v>
      </c>
    </row>
    <row r="503" spans="1:14" ht="18" x14ac:dyDescent="0.25">
      <c r="A503" s="317" t="s">
        <v>4384</v>
      </c>
      <c r="B503" s="317" t="s">
        <v>4385</v>
      </c>
      <c r="C503" s="317">
        <v>0.51</v>
      </c>
      <c r="D503" s="317">
        <v>2.57</v>
      </c>
      <c r="E503" s="318">
        <v>13.88</v>
      </c>
      <c r="F503" s="317">
        <v>-4.04</v>
      </c>
      <c r="G503" s="317">
        <v>5.6</v>
      </c>
      <c r="H503" s="319">
        <v>41.21</v>
      </c>
      <c r="I503" s="320">
        <v>39</v>
      </c>
      <c r="J503" s="320">
        <v>2.8</v>
      </c>
      <c r="K503" s="57">
        <f t="shared" si="42"/>
        <v>6.5592999999999999E-2</v>
      </c>
      <c r="L503" s="310">
        <f t="shared" si="43"/>
        <v>-3.4356435643564359E-2</v>
      </c>
      <c r="M503" s="405">
        <f t="shared" si="44"/>
        <v>6.5027220885532824</v>
      </c>
      <c r="N503" s="63">
        <f t="shared" si="45"/>
        <v>5.3373460281413241</v>
      </c>
    </row>
    <row r="504" spans="1:14" ht="18" x14ac:dyDescent="0.25">
      <c r="A504" s="317" t="s">
        <v>940</v>
      </c>
      <c r="B504" s="317" t="s">
        <v>941</v>
      </c>
      <c r="C504" s="317">
        <v>3.14</v>
      </c>
      <c r="D504" s="317">
        <v>-0.9</v>
      </c>
      <c r="E504" s="318">
        <v>1.39</v>
      </c>
      <c r="F504" s="317">
        <v>0.11</v>
      </c>
      <c r="G504" s="317">
        <v>0</v>
      </c>
      <c r="H504" s="319">
        <v>1.46</v>
      </c>
      <c r="I504" s="320">
        <v>6</v>
      </c>
      <c r="J504" s="320">
        <v>1</v>
      </c>
      <c r="K504" s="57">
        <f t="shared" si="42"/>
        <v>0.18210200000000004</v>
      </c>
      <c r="L504" s="310">
        <f t="shared" si="43"/>
        <v>0.12636363636363634</v>
      </c>
      <c r="M504" s="405">
        <f t="shared" si="44"/>
        <v>-8.9336078383602135</v>
      </c>
      <c r="N504" s="63">
        <f t="shared" si="45"/>
        <v>-1.1634278139824847</v>
      </c>
    </row>
    <row r="505" spans="1:14" ht="18" x14ac:dyDescent="0.25">
      <c r="A505" s="317" t="s">
        <v>4673</v>
      </c>
      <c r="B505" s="317" t="s">
        <v>4674</v>
      </c>
      <c r="C505" s="317">
        <v>1.1399999999999999</v>
      </c>
      <c r="D505" s="317">
        <v>1.34</v>
      </c>
      <c r="E505" s="318">
        <v>16.48</v>
      </c>
      <c r="F505" s="317">
        <v>1.5</v>
      </c>
      <c r="G505" s="317">
        <v>0</v>
      </c>
      <c r="H505" s="319">
        <v>34.94</v>
      </c>
      <c r="I505" s="320">
        <v>36</v>
      </c>
      <c r="J505" s="320">
        <v>1.6</v>
      </c>
      <c r="K505" s="57">
        <f t="shared" si="42"/>
        <v>9.3502000000000002E-2</v>
      </c>
      <c r="L505" s="310">
        <f t="shared" si="43"/>
        <v>0.10986666666666667</v>
      </c>
      <c r="M505" s="405">
        <f t="shared" si="44"/>
        <v>32.003805775033889</v>
      </c>
      <c r="N505" s="63">
        <f t="shared" si="45"/>
        <v>9.1745158235419247E-2</v>
      </c>
    </row>
    <row r="506" spans="1:14" ht="18" x14ac:dyDescent="0.25">
      <c r="A506" s="317" t="s">
        <v>3547</v>
      </c>
      <c r="B506" s="317" t="s">
        <v>3548</v>
      </c>
      <c r="C506" s="317">
        <v>2.68</v>
      </c>
      <c r="D506" s="317">
        <v>3.92</v>
      </c>
      <c r="E506" s="318">
        <v>8.6300000000000008</v>
      </c>
      <c r="F506" s="317">
        <v>0.98</v>
      </c>
      <c r="G506" s="317">
        <v>0.8</v>
      </c>
      <c r="H506" s="319">
        <v>29.35</v>
      </c>
      <c r="I506" s="320">
        <v>34</v>
      </c>
      <c r="J506" s="320">
        <v>2.2999999999999998</v>
      </c>
      <c r="K506" s="57">
        <f t="shared" si="42"/>
        <v>0.16172400000000003</v>
      </c>
      <c r="L506" s="310">
        <f t="shared" si="43"/>
        <v>8.8061224489795933E-2</v>
      </c>
      <c r="M506" s="405">
        <f t="shared" si="44"/>
        <v>37.35771512132834</v>
      </c>
      <c r="N506" s="63">
        <f t="shared" si="45"/>
        <v>-0.214352379296253</v>
      </c>
    </row>
    <row r="507" spans="1:14" ht="18" x14ac:dyDescent="0.25">
      <c r="A507" s="317" t="s">
        <v>4386</v>
      </c>
      <c r="B507" s="317" t="s">
        <v>4387</v>
      </c>
      <c r="C507" s="317">
        <v>0.73</v>
      </c>
      <c r="D507" s="317">
        <v>0.04</v>
      </c>
      <c r="E507" s="318">
        <v>14.08</v>
      </c>
      <c r="F507" s="317">
        <v>3.39</v>
      </c>
      <c r="G507" s="317">
        <v>0.4</v>
      </c>
      <c r="H507" s="319">
        <v>10.99</v>
      </c>
      <c r="I507" s="320">
        <v>12.28</v>
      </c>
      <c r="J507" s="320">
        <v>2.5</v>
      </c>
      <c r="K507" s="57">
        <f t="shared" si="42"/>
        <v>7.5339000000000003E-2</v>
      </c>
      <c r="L507" s="310">
        <f t="shared" si="43"/>
        <v>4.1533923303834805E-2</v>
      </c>
      <c r="M507" s="405">
        <f t="shared" si="44"/>
        <v>-0.10439851102242886</v>
      </c>
      <c r="N507" s="63">
        <f t="shared" si="45"/>
        <v>-106.26970061516415</v>
      </c>
    </row>
    <row r="508" spans="1:14" ht="18" x14ac:dyDescent="0.25">
      <c r="A508" s="317" t="s">
        <v>4388</v>
      </c>
      <c r="B508" s="317" t="s">
        <v>4389</v>
      </c>
      <c r="C508" s="317">
        <v>0.84</v>
      </c>
      <c r="D508" s="317">
        <v>1.73</v>
      </c>
      <c r="E508" s="318">
        <v>13.42</v>
      </c>
      <c r="F508" s="317">
        <v>2</v>
      </c>
      <c r="G508" s="317">
        <v>3.7</v>
      </c>
      <c r="H508" s="319">
        <v>25.77</v>
      </c>
      <c r="I508" s="320">
        <v>26</v>
      </c>
      <c r="J508" s="320">
        <v>3.1</v>
      </c>
      <c r="K508" s="57">
        <f t="shared" si="42"/>
        <v>8.0212000000000006E-2</v>
      </c>
      <c r="L508" s="310">
        <f t="shared" si="43"/>
        <v>6.7099999999999993E-2</v>
      </c>
      <c r="M508" s="405">
        <f t="shared" si="44"/>
        <v>20.312378380676495</v>
      </c>
      <c r="N508" s="63">
        <f t="shared" si="45"/>
        <v>0.26868451921491532</v>
      </c>
    </row>
    <row r="509" spans="1:14" ht="18" x14ac:dyDescent="0.25">
      <c r="A509" s="317" t="s">
        <v>4675</v>
      </c>
      <c r="B509" s="317" t="s">
        <v>4676</v>
      </c>
      <c r="C509" s="317">
        <v>1.51</v>
      </c>
      <c r="D509" s="317">
        <v>1.26</v>
      </c>
      <c r="E509" s="318">
        <v>13.32</v>
      </c>
      <c r="F509" s="317">
        <v>0.98</v>
      </c>
      <c r="G509" s="317">
        <v>0.9</v>
      </c>
      <c r="H509" s="319">
        <v>21.71</v>
      </c>
      <c r="I509" s="320">
        <v>23.7</v>
      </c>
      <c r="J509" s="320">
        <v>1.2</v>
      </c>
      <c r="K509" s="57">
        <f t="shared" si="42"/>
        <v>0.109893</v>
      </c>
      <c r="L509" s="310">
        <f t="shared" si="43"/>
        <v>0.13591836734693877</v>
      </c>
      <c r="M509" s="405">
        <f t="shared" si="44"/>
        <v>21.756327113022209</v>
      </c>
      <c r="N509" s="63">
        <f t="shared" si="45"/>
        <v>-2.1293627725646421E-3</v>
      </c>
    </row>
    <row r="510" spans="1:14" ht="18" x14ac:dyDescent="0.25">
      <c r="A510" s="317" t="s">
        <v>4390</v>
      </c>
      <c r="B510" s="317" t="s">
        <v>4391</v>
      </c>
      <c r="C510" s="317">
        <v>0.6</v>
      </c>
      <c r="D510" s="317">
        <v>1.1499999999999999</v>
      </c>
      <c r="E510" s="318">
        <v>12.59</v>
      </c>
      <c r="F510" s="317">
        <v>1.1000000000000001</v>
      </c>
      <c r="G510" s="317">
        <v>0.6</v>
      </c>
      <c r="H510" s="319">
        <v>32.979999999999997</v>
      </c>
      <c r="I510" s="320">
        <v>36</v>
      </c>
      <c r="J510" s="320">
        <v>2.2999999999999998</v>
      </c>
      <c r="K510" s="57">
        <f t="shared" si="42"/>
        <v>6.9580000000000003E-2</v>
      </c>
      <c r="L510" s="310">
        <f t="shared" si="43"/>
        <v>0.11445454545454543</v>
      </c>
      <c r="M510" s="405">
        <f t="shared" si="44"/>
        <v>39.999396801382957</v>
      </c>
      <c r="N510" s="63">
        <f t="shared" si="45"/>
        <v>-0.17548756638100774</v>
      </c>
    </row>
    <row r="511" spans="1:14" ht="18" x14ac:dyDescent="0.25">
      <c r="A511" s="317" t="s">
        <v>4392</v>
      </c>
      <c r="B511" s="317" t="s">
        <v>4393</v>
      </c>
      <c r="C511" s="317">
        <v>0.98</v>
      </c>
      <c r="D511" s="317">
        <v>3.27</v>
      </c>
      <c r="E511" s="318">
        <v>12.33</v>
      </c>
      <c r="F511" s="317">
        <v>1.1399999999999999</v>
      </c>
      <c r="G511" s="317">
        <v>0</v>
      </c>
      <c r="H511" s="319">
        <v>62.03</v>
      </c>
      <c r="I511" s="320">
        <v>67.5</v>
      </c>
      <c r="J511" s="320">
        <v>2.2000000000000002</v>
      </c>
      <c r="K511" s="57">
        <f t="shared" si="42"/>
        <v>8.6414000000000005E-2</v>
      </c>
      <c r="L511" s="310">
        <f t="shared" si="43"/>
        <v>0.10815789473684212</v>
      </c>
      <c r="M511" s="405">
        <f t="shared" si="44"/>
        <v>88.636667332738341</v>
      </c>
      <c r="N511" s="63">
        <f t="shared" si="45"/>
        <v>-0.3001767567913855</v>
      </c>
    </row>
    <row r="512" spans="1:14" ht="18" x14ac:dyDescent="0.25">
      <c r="A512" s="317" t="s">
        <v>4394</v>
      </c>
      <c r="B512" s="317" t="s">
        <v>4395</v>
      </c>
      <c r="C512" s="317">
        <v>2.4500000000000002</v>
      </c>
      <c r="D512" s="317">
        <v>0.81</v>
      </c>
      <c r="E512" s="318">
        <v>8.9600000000000009</v>
      </c>
      <c r="F512" s="317">
        <v>1.24</v>
      </c>
      <c r="G512" s="317">
        <v>1.8</v>
      </c>
      <c r="H512" s="319">
        <v>12.9</v>
      </c>
      <c r="I512" s="320">
        <v>16</v>
      </c>
      <c r="J512" s="320">
        <v>2.2999999999999998</v>
      </c>
      <c r="K512" s="57">
        <f t="shared" si="42"/>
        <v>0.15153500000000003</v>
      </c>
      <c r="L512" s="310">
        <f t="shared" si="43"/>
        <v>7.2258064516129039E-2</v>
      </c>
      <c r="M512" s="405">
        <f t="shared" si="44"/>
        <v>6.0185325969803429</v>
      </c>
      <c r="N512" s="63">
        <f t="shared" si="45"/>
        <v>1.1433796016112419</v>
      </c>
    </row>
    <row r="513" spans="1:14" ht="18" x14ac:dyDescent="0.25">
      <c r="A513" s="317" t="s">
        <v>2142</v>
      </c>
      <c r="B513" s="317" t="s">
        <v>2143</v>
      </c>
      <c r="C513" s="317">
        <v>2.5099999999999998</v>
      </c>
      <c r="D513" s="317">
        <v>0.75</v>
      </c>
      <c r="E513" s="318">
        <v>6.13</v>
      </c>
      <c r="F513" s="317">
        <v>0.56999999999999995</v>
      </c>
      <c r="G513" s="317">
        <v>0</v>
      </c>
      <c r="H513" s="319">
        <v>6.87</v>
      </c>
      <c r="I513" s="320">
        <v>9.75</v>
      </c>
      <c r="J513" s="320">
        <v>2.4</v>
      </c>
      <c r="K513" s="57">
        <f t="shared" si="42"/>
        <v>0.154193</v>
      </c>
      <c r="L513" s="310">
        <f t="shared" si="43"/>
        <v>0.1075438596491228</v>
      </c>
      <c r="M513" s="405">
        <f t="shared" si="44"/>
        <v>8.6216383888042749</v>
      </c>
      <c r="N513" s="63">
        <f t="shared" si="45"/>
        <v>-0.20316769386650274</v>
      </c>
    </row>
    <row r="514" spans="1:14" ht="18" x14ac:dyDescent="0.25">
      <c r="A514" s="317" t="s">
        <v>4396</v>
      </c>
      <c r="B514" s="317" t="s">
        <v>4397</v>
      </c>
      <c r="C514" s="317">
        <v>0.79</v>
      </c>
      <c r="D514" s="317">
        <v>1.54</v>
      </c>
      <c r="E514" s="318">
        <v>17.05</v>
      </c>
      <c r="F514" s="317">
        <v>1.42</v>
      </c>
      <c r="G514" s="317">
        <v>0.7</v>
      </c>
      <c r="H514" s="319">
        <v>34.270000000000003</v>
      </c>
      <c r="I514" s="320">
        <v>38.5</v>
      </c>
      <c r="J514" s="320">
        <v>2.2000000000000002</v>
      </c>
      <c r="K514" s="57">
        <f t="shared" si="42"/>
        <v>7.7997000000000011E-2</v>
      </c>
      <c r="L514" s="310">
        <f t="shared" si="43"/>
        <v>0.12007042253521127</v>
      </c>
      <c r="M514" s="405">
        <f t="shared" si="44"/>
        <v>44.516895956931108</v>
      </c>
      <c r="N514" s="63">
        <f t="shared" si="45"/>
        <v>-0.23017992914071772</v>
      </c>
    </row>
    <row r="515" spans="1:14" ht="18" x14ac:dyDescent="0.25">
      <c r="A515" s="317" t="s">
        <v>4677</v>
      </c>
      <c r="B515" s="317" t="s">
        <v>4678</v>
      </c>
      <c r="C515" s="317">
        <v>1.25</v>
      </c>
      <c r="D515" s="317">
        <v>1.98</v>
      </c>
      <c r="E515" s="318">
        <v>17.05</v>
      </c>
      <c r="F515" s="317">
        <v>2.08</v>
      </c>
      <c r="G515" s="317">
        <v>0.7</v>
      </c>
      <c r="H515" s="319">
        <v>66.319999999999993</v>
      </c>
      <c r="I515" s="320">
        <v>84</v>
      </c>
      <c r="J515" s="320">
        <v>2.1</v>
      </c>
      <c r="K515" s="57">
        <f t="shared" si="42"/>
        <v>9.8375000000000004E-2</v>
      </c>
      <c r="L515" s="310">
        <f t="shared" si="43"/>
        <v>8.1971153846153846E-2</v>
      </c>
      <c r="M515" s="405">
        <f t="shared" si="44"/>
        <v>29.895324757972929</v>
      </c>
      <c r="N515" s="63">
        <f t="shared" si="45"/>
        <v>1.2184070765885489</v>
      </c>
    </row>
    <row r="516" spans="1:14" ht="18" x14ac:dyDescent="0.25">
      <c r="A516" s="317" t="s">
        <v>4679</v>
      </c>
      <c r="B516" s="317" t="s">
        <v>2375</v>
      </c>
      <c r="C516" s="317">
        <v>1.66</v>
      </c>
      <c r="D516" s="317">
        <v>7.18</v>
      </c>
      <c r="E516" s="318">
        <v>13</v>
      </c>
      <c r="F516" s="317">
        <v>1.41</v>
      </c>
      <c r="G516" s="317">
        <v>1</v>
      </c>
      <c r="H516" s="319">
        <v>120.89</v>
      </c>
      <c r="I516" s="320">
        <v>150</v>
      </c>
      <c r="J516" s="320">
        <v>1.9</v>
      </c>
      <c r="K516" s="57">
        <f t="shared" si="42"/>
        <v>0.116538</v>
      </c>
      <c r="L516" s="310">
        <f t="shared" si="43"/>
        <v>9.2198581560283696E-2</v>
      </c>
      <c r="M516" s="405">
        <f t="shared" si="44"/>
        <v>94.985889757064982</v>
      </c>
      <c r="N516" s="63">
        <f t="shared" si="45"/>
        <v>0.27271535076617304</v>
      </c>
    </row>
    <row r="517" spans="1:14" ht="18" x14ac:dyDescent="0.25">
      <c r="A517" s="317" t="s">
        <v>4015</v>
      </c>
      <c r="B517" s="317"/>
      <c r="C517" s="317">
        <v>2.06</v>
      </c>
      <c r="D517" s="317">
        <v>1.86</v>
      </c>
      <c r="E517" s="318">
        <v>10.76</v>
      </c>
      <c r="F517" s="317">
        <v>2.06</v>
      </c>
      <c r="G517" s="317">
        <v>4.7</v>
      </c>
      <c r="H517" s="319">
        <v>13.77</v>
      </c>
      <c r="I517" s="320">
        <v>16.5</v>
      </c>
      <c r="J517" s="320">
        <v>2</v>
      </c>
      <c r="K517" s="57">
        <f t="shared" ref="K517:K580" si="46">$P$14+C517*($Q$15-$P$14)</f>
        <v>0.13425800000000002</v>
      </c>
      <c r="L517" s="310">
        <f t="shared" ref="L517:L580" si="47">E517/F517/100</f>
        <v>5.2233009708737857E-2</v>
      </c>
      <c r="M517" s="405">
        <f t="shared" ref="M517:M580" si="48">(D517-G517*H517/100)+(D517-G517*H517/100)*(1+L517)/(1+K517)+(D517-G517*H517/100)*(1+L517)^2/(1+K517)^2+(D517-G517*H517/100)*(1+L517)^3/(1+K517)^3+(D517-G517*H517/100)*(1+L517)^4/(1+K517)^4+((D517-G517*H517/100)*(1+L517)^5/(K517-$T$22-$T$19))/((1+K517)^5)</f>
        <v>13.728732559022822</v>
      </c>
      <c r="N517" s="63">
        <f t="shared" ref="N517:N580" si="49">(H517-M517)/M517</f>
        <v>3.0059177567747118E-3</v>
      </c>
    </row>
    <row r="518" spans="1:14" ht="18" x14ac:dyDescent="0.25">
      <c r="A518" s="317" t="s">
        <v>4398</v>
      </c>
      <c r="B518" s="317" t="s">
        <v>45</v>
      </c>
      <c r="C518" s="317">
        <v>0.99</v>
      </c>
      <c r="D518" s="317">
        <v>2.36</v>
      </c>
      <c r="E518" s="318">
        <v>12.93</v>
      </c>
      <c r="F518" s="317">
        <v>1.46</v>
      </c>
      <c r="G518" s="317">
        <v>0.7</v>
      </c>
      <c r="H518" s="319">
        <v>83.11</v>
      </c>
      <c r="I518" s="320">
        <v>95</v>
      </c>
      <c r="J518" s="320">
        <v>2.1</v>
      </c>
      <c r="K518" s="57">
        <f t="shared" si="46"/>
        <v>8.6857000000000004E-2</v>
      </c>
      <c r="L518" s="310">
        <f t="shared" si="47"/>
        <v>8.8561643835616446E-2</v>
      </c>
      <c r="M518" s="405">
        <f t="shared" si="48"/>
        <v>44.159440765515384</v>
      </c>
      <c r="N518" s="63">
        <f t="shared" si="49"/>
        <v>0.88204376140790164</v>
      </c>
    </row>
    <row r="519" spans="1:14" ht="18" x14ac:dyDescent="0.25">
      <c r="A519" s="317" t="s">
        <v>2376</v>
      </c>
      <c r="B519" s="317" t="s">
        <v>2377</v>
      </c>
      <c r="C519" s="317">
        <v>1.24</v>
      </c>
      <c r="D519" s="317">
        <v>9.81</v>
      </c>
      <c r="E519" s="318">
        <v>14.19</v>
      </c>
      <c r="F519" s="317">
        <v>1.63</v>
      </c>
      <c r="G519" s="317">
        <v>1.8</v>
      </c>
      <c r="H519" s="319">
        <v>60.86</v>
      </c>
      <c r="I519" s="320">
        <v>62</v>
      </c>
      <c r="J519" s="320">
        <v>2.5</v>
      </c>
      <c r="K519" s="57">
        <f t="shared" si="46"/>
        <v>9.7932000000000005E-2</v>
      </c>
      <c r="L519" s="310">
        <f t="shared" si="47"/>
        <v>8.7055214723926383E-2</v>
      </c>
      <c r="M519" s="405">
        <f t="shared" si="48"/>
        <v>176.59578223138601</v>
      </c>
      <c r="N519" s="63">
        <f t="shared" si="49"/>
        <v>-0.65537115761769604</v>
      </c>
    </row>
    <row r="520" spans="1:14" ht="18" x14ac:dyDescent="0.25">
      <c r="A520" s="317" t="s">
        <v>2378</v>
      </c>
      <c r="B520" s="317" t="s">
        <v>2379</v>
      </c>
      <c r="C520" s="317">
        <v>1.72</v>
      </c>
      <c r="D520" s="317">
        <v>3.16</v>
      </c>
      <c r="E520" s="318">
        <v>16.84</v>
      </c>
      <c r="F520" s="317">
        <v>1.38</v>
      </c>
      <c r="G520" s="317">
        <v>1.2</v>
      </c>
      <c r="H520" s="319">
        <v>63.67</v>
      </c>
      <c r="I520" s="320">
        <v>65</v>
      </c>
      <c r="J520" s="320">
        <v>2.6</v>
      </c>
      <c r="K520" s="57">
        <f t="shared" si="46"/>
        <v>0.11919600000000001</v>
      </c>
      <c r="L520" s="310">
        <f t="shared" si="47"/>
        <v>0.12202898550724639</v>
      </c>
      <c r="M520" s="405">
        <f t="shared" si="48"/>
        <v>41.20592228444395</v>
      </c>
      <c r="N520" s="63">
        <f t="shared" si="49"/>
        <v>0.5451662399517917</v>
      </c>
    </row>
    <row r="521" spans="1:14" ht="18" x14ac:dyDescent="0.25">
      <c r="A521" s="317" t="s">
        <v>1608</v>
      </c>
      <c r="B521" s="317"/>
      <c r="C521" s="317">
        <v>2.33</v>
      </c>
      <c r="D521" s="317">
        <v>0.14000000000000001</v>
      </c>
      <c r="E521" s="318">
        <v>21.93</v>
      </c>
      <c r="F521" s="317">
        <v>2.2000000000000002</v>
      </c>
      <c r="G521" s="317">
        <v>0</v>
      </c>
      <c r="H521" s="319">
        <v>18.64</v>
      </c>
      <c r="I521" s="320">
        <v>25.5</v>
      </c>
      <c r="J521" s="320">
        <v>1.5</v>
      </c>
      <c r="K521" s="57">
        <f t="shared" si="46"/>
        <v>0.14621900000000002</v>
      </c>
      <c r="L521" s="310">
        <f t="shared" si="47"/>
        <v>9.9681818181818163E-2</v>
      </c>
      <c r="M521" s="405">
        <f t="shared" si="48"/>
        <v>1.6778698619875287</v>
      </c>
      <c r="N521" s="63">
        <f t="shared" si="49"/>
        <v>10.109324043713318</v>
      </c>
    </row>
    <row r="522" spans="1:14" ht="18" x14ac:dyDescent="0.25">
      <c r="A522" s="317" t="s">
        <v>2380</v>
      </c>
      <c r="B522" s="317" t="s">
        <v>2381</v>
      </c>
      <c r="C522" s="317">
        <v>1.52</v>
      </c>
      <c r="D522" s="317">
        <v>3.77</v>
      </c>
      <c r="E522" s="318">
        <v>17.98</v>
      </c>
      <c r="F522" s="317">
        <v>1.06</v>
      </c>
      <c r="G522" s="317">
        <v>0</v>
      </c>
      <c r="H522" s="319">
        <v>92.4</v>
      </c>
      <c r="I522" s="320">
        <v>92.5</v>
      </c>
      <c r="J522" s="320">
        <v>2.1</v>
      </c>
      <c r="K522" s="57">
        <f t="shared" si="46"/>
        <v>0.110336</v>
      </c>
      <c r="L522" s="310">
        <f t="shared" si="47"/>
        <v>0.16962264150943393</v>
      </c>
      <c r="M522" s="405">
        <f t="shared" si="48"/>
        <v>86.754145437024121</v>
      </c>
      <c r="N522" s="63">
        <f t="shared" si="49"/>
        <v>6.5078787123484236E-2</v>
      </c>
    </row>
    <row r="523" spans="1:14" ht="18" x14ac:dyDescent="0.25">
      <c r="A523" s="317" t="s">
        <v>986</v>
      </c>
      <c r="B523" s="317"/>
      <c r="C523" s="317">
        <v>2.4900000000000002</v>
      </c>
      <c r="D523" s="317">
        <v>-3.46</v>
      </c>
      <c r="E523" s="318">
        <v>0</v>
      </c>
      <c r="F523" s="317">
        <v>0</v>
      </c>
      <c r="G523" s="317">
        <v>0</v>
      </c>
      <c r="H523" s="319">
        <v>2.73</v>
      </c>
      <c r="I523" s="320">
        <v>5</v>
      </c>
      <c r="J523" s="320">
        <v>3</v>
      </c>
      <c r="K523" s="57">
        <f t="shared" si="46"/>
        <v>0.15330700000000003</v>
      </c>
      <c r="L523" s="310" t="e">
        <f t="shared" si="47"/>
        <v>#DIV/0!</v>
      </c>
      <c r="M523" s="405" t="e">
        <f t="shared" si="48"/>
        <v>#DIV/0!</v>
      </c>
      <c r="N523" s="63" t="e">
        <f t="shared" si="49"/>
        <v>#DIV/0!</v>
      </c>
    </row>
    <row r="524" spans="1:14" ht="18" x14ac:dyDescent="0.25">
      <c r="A524" s="317" t="s">
        <v>2382</v>
      </c>
      <c r="B524" s="317" t="s">
        <v>2383</v>
      </c>
      <c r="C524" s="317">
        <v>1.71</v>
      </c>
      <c r="D524" s="317">
        <v>0.26</v>
      </c>
      <c r="E524" s="318">
        <v>12.81</v>
      </c>
      <c r="F524" s="317">
        <v>1.2</v>
      </c>
      <c r="G524" s="317">
        <v>0</v>
      </c>
      <c r="H524" s="319">
        <v>7.3</v>
      </c>
      <c r="I524" s="320">
        <v>10</v>
      </c>
      <c r="J524" s="320">
        <v>2</v>
      </c>
      <c r="K524" s="57">
        <f t="shared" si="46"/>
        <v>0.11875300000000001</v>
      </c>
      <c r="L524" s="310">
        <f t="shared" si="47"/>
        <v>0.10675000000000001</v>
      </c>
      <c r="M524" s="405">
        <f t="shared" si="48"/>
        <v>4.2493158399240052</v>
      </c>
      <c r="N524" s="63">
        <f t="shared" si="49"/>
        <v>0.7179236081756053</v>
      </c>
    </row>
    <row r="525" spans="1:14" ht="18" x14ac:dyDescent="0.25">
      <c r="A525" s="317" t="s">
        <v>2384</v>
      </c>
      <c r="B525" s="317" t="s">
        <v>2385</v>
      </c>
      <c r="C525" s="317">
        <v>1.04</v>
      </c>
      <c r="D525" s="317">
        <v>0.22</v>
      </c>
      <c r="E525" s="318">
        <v>10.98</v>
      </c>
      <c r="F525" s="317">
        <v>1.31</v>
      </c>
      <c r="G525" s="317">
        <v>0</v>
      </c>
      <c r="H525" s="319">
        <v>4.83</v>
      </c>
      <c r="I525" s="320">
        <v>7</v>
      </c>
      <c r="J525" s="320">
        <v>2</v>
      </c>
      <c r="K525" s="57">
        <f t="shared" si="46"/>
        <v>8.9072000000000012E-2</v>
      </c>
      <c r="L525" s="310">
        <f t="shared" si="47"/>
        <v>8.3816793893129765E-2</v>
      </c>
      <c r="M525" s="405">
        <f t="shared" si="48"/>
        <v>5.1356939159789885</v>
      </c>
      <c r="N525" s="63">
        <f t="shared" si="49"/>
        <v>-5.9523390797855937E-2</v>
      </c>
    </row>
    <row r="526" spans="1:14" ht="18" x14ac:dyDescent="0.25">
      <c r="A526" s="317" t="s">
        <v>46</v>
      </c>
      <c r="B526" s="317" t="s">
        <v>47</v>
      </c>
      <c r="C526" s="317">
        <v>0.79</v>
      </c>
      <c r="D526" s="317">
        <v>3.59</v>
      </c>
      <c r="E526" s="318">
        <v>28.3</v>
      </c>
      <c r="F526" s="317">
        <v>-7.44</v>
      </c>
      <c r="G526" s="317">
        <v>0</v>
      </c>
      <c r="H526" s="319">
        <v>34.24</v>
      </c>
      <c r="I526" s="320">
        <v>37</v>
      </c>
      <c r="J526" s="320">
        <v>2.6</v>
      </c>
      <c r="K526" s="57">
        <f t="shared" si="46"/>
        <v>7.7997000000000011E-2</v>
      </c>
      <c r="L526" s="310">
        <f t="shared" si="47"/>
        <v>-3.8037634408602153E-2</v>
      </c>
      <c r="M526" s="405">
        <f t="shared" si="48"/>
        <v>62.850101019436778</v>
      </c>
      <c r="N526" s="63">
        <f t="shared" si="49"/>
        <v>-0.45521169505501552</v>
      </c>
    </row>
    <row r="527" spans="1:14" ht="18" x14ac:dyDescent="0.25">
      <c r="A527" s="317" t="s">
        <v>4888</v>
      </c>
      <c r="B527" s="317" t="s">
        <v>4889</v>
      </c>
      <c r="C527" s="317">
        <v>2.4900000000000002</v>
      </c>
      <c r="D527" s="317">
        <v>0.4</v>
      </c>
      <c r="E527" s="318">
        <v>7.59</v>
      </c>
      <c r="F527" s="317">
        <v>0.66</v>
      </c>
      <c r="G527" s="317">
        <v>0</v>
      </c>
      <c r="H527" s="319">
        <v>4.63</v>
      </c>
      <c r="I527" s="320">
        <v>6.13</v>
      </c>
      <c r="J527" s="320">
        <v>1.7</v>
      </c>
      <c r="K527" s="57">
        <f t="shared" si="46"/>
        <v>0.15330700000000003</v>
      </c>
      <c r="L527" s="310">
        <f t="shared" si="47"/>
        <v>0.115</v>
      </c>
      <c r="M527" s="405">
        <f t="shared" si="48"/>
        <v>4.7514358277196509</v>
      </c>
      <c r="N527" s="63">
        <f t="shared" si="49"/>
        <v>-2.555771184179741E-2</v>
      </c>
    </row>
    <row r="528" spans="1:14" ht="18" x14ac:dyDescent="0.25">
      <c r="A528" s="317" t="s">
        <v>3632</v>
      </c>
      <c r="B528" s="317"/>
      <c r="C528" s="317">
        <v>1.6</v>
      </c>
      <c r="D528" s="317">
        <v>7.68</v>
      </c>
      <c r="E528" s="318">
        <v>11.75</v>
      </c>
      <c r="F528" s="317">
        <v>0.65</v>
      </c>
      <c r="G528" s="317">
        <v>0</v>
      </c>
      <c r="H528" s="319">
        <v>128.19999999999999</v>
      </c>
      <c r="I528" s="320">
        <v>171</v>
      </c>
      <c r="J528" s="320">
        <v>2.4</v>
      </c>
      <c r="K528" s="57">
        <f t="shared" si="46"/>
        <v>0.11388000000000001</v>
      </c>
      <c r="L528" s="310">
        <f t="shared" si="47"/>
        <v>0.18076923076923077</v>
      </c>
      <c r="M528" s="405">
        <f t="shared" si="48"/>
        <v>175.2955671688772</v>
      </c>
      <c r="N528" s="63">
        <f t="shared" si="49"/>
        <v>-0.2686637656017053</v>
      </c>
    </row>
    <row r="529" spans="1:14" ht="18" x14ac:dyDescent="0.25">
      <c r="A529" s="317" t="s">
        <v>2386</v>
      </c>
      <c r="B529" s="317" t="s">
        <v>2387</v>
      </c>
      <c r="C529" s="317">
        <v>1.36</v>
      </c>
      <c r="D529" s="317">
        <v>2.0099999999999998</v>
      </c>
      <c r="E529" s="318">
        <v>12.71</v>
      </c>
      <c r="F529" s="317">
        <v>1.25</v>
      </c>
      <c r="G529" s="317">
        <v>0</v>
      </c>
      <c r="H529" s="319">
        <v>30.51</v>
      </c>
      <c r="I529" s="320">
        <v>42</v>
      </c>
      <c r="J529" s="320">
        <v>2.2999999999999998</v>
      </c>
      <c r="K529" s="57">
        <f t="shared" si="46"/>
        <v>0.10324800000000001</v>
      </c>
      <c r="L529" s="310">
        <f t="shared" si="47"/>
        <v>0.10168000000000001</v>
      </c>
      <c r="M529" s="405">
        <f t="shared" si="48"/>
        <v>39.699038439586914</v>
      </c>
      <c r="N529" s="63">
        <f t="shared" si="49"/>
        <v>-0.23146753172801857</v>
      </c>
    </row>
    <row r="530" spans="1:14" ht="18" x14ac:dyDescent="0.25">
      <c r="A530" s="317" t="s">
        <v>2388</v>
      </c>
      <c r="B530" s="317" t="s">
        <v>2389</v>
      </c>
      <c r="C530" s="317">
        <v>1.1599999999999999</v>
      </c>
      <c r="D530" s="317">
        <v>1.98</v>
      </c>
      <c r="E530" s="318">
        <v>11.82</v>
      </c>
      <c r="F530" s="317">
        <v>1.43</v>
      </c>
      <c r="G530" s="317">
        <v>0.3</v>
      </c>
      <c r="H530" s="319">
        <v>36.99</v>
      </c>
      <c r="I530" s="320">
        <v>49.5</v>
      </c>
      <c r="J530" s="320">
        <v>1</v>
      </c>
      <c r="K530" s="57">
        <f t="shared" si="46"/>
        <v>9.4388E-2</v>
      </c>
      <c r="L530" s="310">
        <f t="shared" si="47"/>
        <v>8.2657342657342661E-2</v>
      </c>
      <c r="M530" s="405">
        <f t="shared" si="48"/>
        <v>39.478257632977503</v>
      </c>
      <c r="N530" s="63">
        <f t="shared" si="49"/>
        <v>-6.3028557544519803E-2</v>
      </c>
    </row>
    <row r="531" spans="1:14" ht="18" x14ac:dyDescent="0.25">
      <c r="A531" s="317" t="s">
        <v>48</v>
      </c>
      <c r="B531" s="317" t="s">
        <v>49</v>
      </c>
      <c r="C531" s="317">
        <v>1.24</v>
      </c>
      <c r="D531" s="317">
        <v>1.48</v>
      </c>
      <c r="E531" s="318">
        <v>20.420000000000002</v>
      </c>
      <c r="F531" s="317">
        <v>2.2000000000000002</v>
      </c>
      <c r="G531" s="317">
        <v>0</v>
      </c>
      <c r="H531" s="319">
        <v>43.3</v>
      </c>
      <c r="I531" s="320">
        <v>49</v>
      </c>
      <c r="J531" s="320">
        <v>2.6</v>
      </c>
      <c r="K531" s="57">
        <f t="shared" si="46"/>
        <v>9.7932000000000005E-2</v>
      </c>
      <c r="L531" s="310">
        <f t="shared" si="47"/>
        <v>9.2818181818181814E-2</v>
      </c>
      <c r="M531" s="405">
        <f t="shared" si="48"/>
        <v>30.677197067012436</v>
      </c>
      <c r="N531" s="63">
        <f t="shared" si="49"/>
        <v>0.41147184683834803</v>
      </c>
    </row>
    <row r="532" spans="1:14" ht="18" x14ac:dyDescent="0.25">
      <c r="A532" s="317" t="s">
        <v>4925</v>
      </c>
      <c r="B532" s="317" t="s">
        <v>4926</v>
      </c>
      <c r="C532" s="317">
        <v>0.95</v>
      </c>
      <c r="D532" s="317">
        <v>0.36</v>
      </c>
      <c r="E532" s="318">
        <v>9.84</v>
      </c>
      <c r="F532" s="317">
        <v>-0.71</v>
      </c>
      <c r="G532" s="317">
        <v>0.9</v>
      </c>
      <c r="H532" s="319">
        <v>25.88</v>
      </c>
      <c r="I532" s="320">
        <v>33</v>
      </c>
      <c r="J532" s="320">
        <v>2.2000000000000002</v>
      </c>
      <c r="K532" s="57">
        <f t="shared" si="46"/>
        <v>8.5084999999999994E-2</v>
      </c>
      <c r="L532" s="310">
        <f t="shared" si="47"/>
        <v>-0.13859154929577466</v>
      </c>
      <c r="M532" s="405">
        <f t="shared" si="48"/>
        <v>1.2384143021035925</v>
      </c>
      <c r="N532" s="63">
        <f t="shared" si="49"/>
        <v>19.897691472102487</v>
      </c>
    </row>
    <row r="533" spans="1:14" ht="18" x14ac:dyDescent="0.25">
      <c r="A533" s="317" t="s">
        <v>50</v>
      </c>
      <c r="B533" s="317" t="s">
        <v>51</v>
      </c>
      <c r="C533" s="317">
        <v>0.75</v>
      </c>
      <c r="D533" s="317">
        <v>0.23</v>
      </c>
      <c r="E533" s="318">
        <v>26.31</v>
      </c>
      <c r="F533" s="317">
        <v>-1.67</v>
      </c>
      <c r="G533" s="317">
        <v>9.1</v>
      </c>
      <c r="H533" s="319">
        <v>8.41</v>
      </c>
      <c r="I533" s="320">
        <v>9</v>
      </c>
      <c r="J533" s="320">
        <v>2.6</v>
      </c>
      <c r="K533" s="57">
        <f t="shared" si="46"/>
        <v>7.6225000000000001E-2</v>
      </c>
      <c r="L533" s="310">
        <f t="shared" si="47"/>
        <v>-0.1575449101796407</v>
      </c>
      <c r="M533" s="405">
        <f t="shared" si="48"/>
        <v>-5.6514753161653326</v>
      </c>
      <c r="N533" s="63">
        <f t="shared" si="49"/>
        <v>-2.4881070038374324</v>
      </c>
    </row>
    <row r="534" spans="1:14" ht="18" x14ac:dyDescent="0.25">
      <c r="A534" s="317" t="s">
        <v>2144</v>
      </c>
      <c r="B534" s="317" t="s">
        <v>2145</v>
      </c>
      <c r="C534" s="317">
        <v>2.99</v>
      </c>
      <c r="D534" s="317">
        <v>-1.05</v>
      </c>
      <c r="E534" s="318">
        <v>0</v>
      </c>
      <c r="F534" s="317">
        <v>0</v>
      </c>
      <c r="G534" s="317">
        <v>0</v>
      </c>
      <c r="H534" s="319">
        <v>1.1000000000000001</v>
      </c>
      <c r="I534" s="320">
        <v>2</v>
      </c>
      <c r="J534" s="320">
        <v>0</v>
      </c>
      <c r="K534" s="57">
        <f t="shared" si="46"/>
        <v>0.17545700000000003</v>
      </c>
      <c r="L534" s="310" t="e">
        <f t="shared" si="47"/>
        <v>#DIV/0!</v>
      </c>
      <c r="M534" s="405" t="e">
        <f t="shared" si="48"/>
        <v>#DIV/0!</v>
      </c>
      <c r="N534" s="63" t="e">
        <f t="shared" si="49"/>
        <v>#DIV/0!</v>
      </c>
    </row>
    <row r="535" spans="1:14" ht="18" x14ac:dyDescent="0.25">
      <c r="A535" s="317" t="s">
        <v>2390</v>
      </c>
      <c r="B535" s="317" t="s">
        <v>2391</v>
      </c>
      <c r="C535" s="317">
        <v>1.37</v>
      </c>
      <c r="D535" s="317">
        <v>-0.56999999999999995</v>
      </c>
      <c r="E535" s="318">
        <v>8.5399999999999991</v>
      </c>
      <c r="F535" s="317">
        <v>2.52</v>
      </c>
      <c r="G535" s="317">
        <v>1.7</v>
      </c>
      <c r="H535" s="319">
        <v>19.809999999999999</v>
      </c>
      <c r="I535" s="320">
        <v>25.5</v>
      </c>
      <c r="J535" s="320">
        <v>1.8</v>
      </c>
      <c r="K535" s="57">
        <f t="shared" si="46"/>
        <v>0.10369100000000001</v>
      </c>
      <c r="L535" s="310">
        <f t="shared" si="47"/>
        <v>3.3888888888888885E-2</v>
      </c>
      <c r="M535" s="405">
        <f t="shared" si="48"/>
        <v>-13.658197028093918</v>
      </c>
      <c r="N535" s="63">
        <f t="shared" si="49"/>
        <v>-2.4504110578616101</v>
      </c>
    </row>
    <row r="536" spans="1:14" ht="18" x14ac:dyDescent="0.25">
      <c r="A536" s="317" t="s">
        <v>785</v>
      </c>
      <c r="B536" s="317" t="s">
        <v>786</v>
      </c>
      <c r="C536" s="317">
        <v>1.93</v>
      </c>
      <c r="D536" s="317">
        <v>2.12</v>
      </c>
      <c r="E536" s="318">
        <v>2.2599999999999998</v>
      </c>
      <c r="F536" s="317">
        <v>0.23</v>
      </c>
      <c r="G536" s="317">
        <v>0</v>
      </c>
      <c r="H536" s="319">
        <v>3.36</v>
      </c>
      <c r="I536" s="320">
        <v>7</v>
      </c>
      <c r="J536" s="320">
        <v>3</v>
      </c>
      <c r="K536" s="57">
        <f t="shared" si="46"/>
        <v>0.128499</v>
      </c>
      <c r="L536" s="310">
        <f t="shared" si="47"/>
        <v>9.8260869565217387E-2</v>
      </c>
      <c r="M536" s="405">
        <f t="shared" si="48"/>
        <v>30.055738299466732</v>
      </c>
      <c r="N536" s="63">
        <f t="shared" si="49"/>
        <v>-0.88820770374954938</v>
      </c>
    </row>
    <row r="537" spans="1:14" ht="18" x14ac:dyDescent="0.25">
      <c r="A537" s="317" t="s">
        <v>2392</v>
      </c>
      <c r="B537" s="317" t="s">
        <v>2393</v>
      </c>
      <c r="C537" s="317">
        <v>1.84</v>
      </c>
      <c r="D537" s="317">
        <v>1.7</v>
      </c>
      <c r="E537" s="318">
        <v>14.3</v>
      </c>
      <c r="F537" s="317">
        <v>1.39</v>
      </c>
      <c r="G537" s="317">
        <v>0</v>
      </c>
      <c r="H537" s="319">
        <v>33.75</v>
      </c>
      <c r="I537" s="320">
        <v>43.5</v>
      </c>
      <c r="J537" s="320">
        <v>2.1</v>
      </c>
      <c r="K537" s="57">
        <f t="shared" si="46"/>
        <v>0.12451200000000001</v>
      </c>
      <c r="L537" s="310">
        <f t="shared" si="47"/>
        <v>0.10287769784172664</v>
      </c>
      <c r="M537" s="405">
        <f t="shared" si="48"/>
        <v>25.607794472362059</v>
      </c>
      <c r="N537" s="63">
        <f t="shared" si="49"/>
        <v>0.31795809422110322</v>
      </c>
    </row>
    <row r="538" spans="1:14" ht="18" x14ac:dyDescent="0.25">
      <c r="A538" s="317" t="s">
        <v>2394</v>
      </c>
      <c r="B538" s="317" t="s">
        <v>2395</v>
      </c>
      <c r="C538" s="317">
        <v>2.0699999999999998</v>
      </c>
      <c r="D538" s="317">
        <v>0.18</v>
      </c>
      <c r="E538" s="318">
        <v>18.88</v>
      </c>
      <c r="F538" s="317">
        <v>2.36</v>
      </c>
      <c r="G538" s="317">
        <v>2.7</v>
      </c>
      <c r="H538" s="319">
        <v>5.48</v>
      </c>
      <c r="I538" s="320">
        <v>9.5</v>
      </c>
      <c r="J538" s="320">
        <v>1</v>
      </c>
      <c r="K538" s="57">
        <f t="shared" si="46"/>
        <v>0.13470100000000002</v>
      </c>
      <c r="L538" s="310">
        <f t="shared" si="47"/>
        <v>0.08</v>
      </c>
      <c r="M538" s="405">
        <f t="shared" si="48"/>
        <v>0.39904221689359837</v>
      </c>
      <c r="N538" s="63">
        <f t="shared" si="49"/>
        <v>12.732882807888974</v>
      </c>
    </row>
    <row r="539" spans="1:14" ht="18" x14ac:dyDescent="0.25">
      <c r="A539" s="317" t="s">
        <v>52</v>
      </c>
      <c r="B539" s="317" t="s">
        <v>53</v>
      </c>
      <c r="C539" s="317">
        <v>0.44</v>
      </c>
      <c r="D539" s="317">
        <v>3.02</v>
      </c>
      <c r="E539" s="318">
        <v>20.82</v>
      </c>
      <c r="F539" s="317">
        <v>-91.35</v>
      </c>
      <c r="G539" s="317">
        <v>3.4</v>
      </c>
      <c r="H539" s="319">
        <v>54.76</v>
      </c>
      <c r="I539" s="320">
        <v>43</v>
      </c>
      <c r="J539" s="320">
        <v>3.2</v>
      </c>
      <c r="K539" s="57">
        <f t="shared" si="46"/>
        <v>6.2491999999999999E-2</v>
      </c>
      <c r="L539" s="310">
        <f t="shared" si="47"/>
        <v>-2.2791461412151066E-3</v>
      </c>
      <c r="M539" s="405">
        <f t="shared" si="48"/>
        <v>37.047088772564322</v>
      </c>
      <c r="N539" s="63">
        <f t="shared" si="49"/>
        <v>0.47811884318838005</v>
      </c>
    </row>
    <row r="540" spans="1:14" ht="18" x14ac:dyDescent="0.25">
      <c r="A540" s="317" t="s">
        <v>4904</v>
      </c>
      <c r="B540" s="317" t="s">
        <v>3246</v>
      </c>
      <c r="C540" s="317">
        <v>2.44</v>
      </c>
      <c r="D540" s="317">
        <v>-1.21</v>
      </c>
      <c r="E540" s="318">
        <v>0</v>
      </c>
      <c r="F540" s="317">
        <v>-0.09</v>
      </c>
      <c r="G540" s="317">
        <v>0</v>
      </c>
      <c r="H540" s="319">
        <v>0.7</v>
      </c>
      <c r="I540" s="320">
        <v>1.5</v>
      </c>
      <c r="J540" s="320">
        <v>2.5</v>
      </c>
      <c r="K540" s="57">
        <f t="shared" si="46"/>
        <v>0.151092</v>
      </c>
      <c r="L540" s="310">
        <f t="shared" si="47"/>
        <v>0</v>
      </c>
      <c r="M540" s="405">
        <f t="shared" si="48"/>
        <v>-9.8591430111496869</v>
      </c>
      <c r="N540" s="63">
        <f t="shared" si="49"/>
        <v>-1.0710000858298101</v>
      </c>
    </row>
    <row r="541" spans="1:14" ht="18" x14ac:dyDescent="0.25">
      <c r="A541" s="317" t="s">
        <v>2396</v>
      </c>
      <c r="B541" s="317" t="s">
        <v>2397</v>
      </c>
      <c r="C541" s="317">
        <v>3.32</v>
      </c>
      <c r="D541" s="317">
        <v>0.42</v>
      </c>
      <c r="E541" s="318">
        <v>13.97</v>
      </c>
      <c r="F541" s="317">
        <v>4.67</v>
      </c>
      <c r="G541" s="317">
        <v>0</v>
      </c>
      <c r="H541" s="319">
        <v>25</v>
      </c>
      <c r="I541" s="320">
        <v>35</v>
      </c>
      <c r="J541" s="320">
        <v>1.3</v>
      </c>
      <c r="K541" s="57">
        <f t="shared" si="46"/>
        <v>0.19007600000000002</v>
      </c>
      <c r="L541" s="310">
        <f t="shared" si="47"/>
        <v>2.991434689507495E-2</v>
      </c>
      <c r="M541" s="405">
        <f t="shared" si="48"/>
        <v>2.9291128011847425</v>
      </c>
      <c r="N541" s="63">
        <f t="shared" si="49"/>
        <v>7.5350075933873946</v>
      </c>
    </row>
    <row r="542" spans="1:14" ht="18" x14ac:dyDescent="0.25">
      <c r="A542" s="317" t="s">
        <v>2146</v>
      </c>
      <c r="B542" s="317" t="s">
        <v>2147</v>
      </c>
      <c r="C542" s="317">
        <v>2.66</v>
      </c>
      <c r="D542" s="317">
        <v>2.3199999999999998</v>
      </c>
      <c r="E542" s="318">
        <v>6.47</v>
      </c>
      <c r="F542" s="317">
        <v>0.86</v>
      </c>
      <c r="G542" s="317">
        <v>1</v>
      </c>
      <c r="H542" s="319">
        <v>15.46</v>
      </c>
      <c r="I542" s="320">
        <v>17.5</v>
      </c>
      <c r="J542" s="320">
        <v>2.5</v>
      </c>
      <c r="K542" s="57">
        <f t="shared" si="46"/>
        <v>0.16083800000000004</v>
      </c>
      <c r="L542" s="310">
        <f t="shared" si="47"/>
        <v>7.5232558139534889E-2</v>
      </c>
      <c r="M542" s="405">
        <f t="shared" si="48"/>
        <v>21.169819743467023</v>
      </c>
      <c r="N542" s="63">
        <f t="shared" si="49"/>
        <v>-0.26971508556321389</v>
      </c>
    </row>
    <row r="543" spans="1:14" ht="18" x14ac:dyDescent="0.25">
      <c r="A543" s="317" t="s">
        <v>2398</v>
      </c>
      <c r="B543" s="317" t="s">
        <v>2399</v>
      </c>
      <c r="C543" s="317">
        <v>1.69</v>
      </c>
      <c r="D543" s="317">
        <v>2.2400000000000002</v>
      </c>
      <c r="E543" s="318">
        <v>12.07</v>
      </c>
      <c r="F543" s="317">
        <v>0.99</v>
      </c>
      <c r="G543" s="317">
        <v>0</v>
      </c>
      <c r="H543" s="319">
        <v>39.83</v>
      </c>
      <c r="I543" s="320">
        <v>47</v>
      </c>
      <c r="J543" s="320">
        <v>1.9</v>
      </c>
      <c r="K543" s="57">
        <f t="shared" si="46"/>
        <v>0.117867</v>
      </c>
      <c r="L543" s="310">
        <f t="shared" si="47"/>
        <v>0.12191919191919193</v>
      </c>
      <c r="M543" s="405">
        <f t="shared" si="48"/>
        <v>39.142470873531551</v>
      </c>
      <c r="N543" s="63">
        <f t="shared" si="49"/>
        <v>1.7564786052721073E-2</v>
      </c>
    </row>
    <row r="544" spans="1:14" ht="18" x14ac:dyDescent="0.25">
      <c r="A544" s="317" t="s">
        <v>54</v>
      </c>
      <c r="B544" s="317" t="s">
        <v>55</v>
      </c>
      <c r="C544" s="317">
        <v>1.28</v>
      </c>
      <c r="D544" s="317">
        <v>6.81</v>
      </c>
      <c r="E544" s="318">
        <v>9.66</v>
      </c>
      <c r="F544" s="317">
        <v>1.31</v>
      </c>
      <c r="G544" s="317">
        <v>2.6</v>
      </c>
      <c r="H544" s="319">
        <v>74.010000000000005</v>
      </c>
      <c r="I544" s="320">
        <v>85</v>
      </c>
      <c r="J544" s="320">
        <v>2.1</v>
      </c>
      <c r="K544" s="57">
        <f t="shared" si="46"/>
        <v>9.9704000000000015E-2</v>
      </c>
      <c r="L544" s="310">
        <f t="shared" si="47"/>
        <v>7.3740458015267171E-2</v>
      </c>
      <c r="M544" s="405">
        <f t="shared" si="48"/>
        <v>91.360429499057389</v>
      </c>
      <c r="N544" s="63">
        <f t="shared" si="49"/>
        <v>-0.18991186440554547</v>
      </c>
    </row>
    <row r="545" spans="1:14" ht="18" x14ac:dyDescent="0.25">
      <c r="A545" s="317" t="s">
        <v>2400</v>
      </c>
      <c r="B545" s="317" t="s">
        <v>2401</v>
      </c>
      <c r="C545" s="317">
        <v>1.4</v>
      </c>
      <c r="D545" s="317">
        <v>3.8</v>
      </c>
      <c r="E545" s="318">
        <v>14.85</v>
      </c>
      <c r="F545" s="317">
        <v>0.82</v>
      </c>
      <c r="G545" s="317">
        <v>0.2</v>
      </c>
      <c r="H545" s="319">
        <v>81.81</v>
      </c>
      <c r="I545" s="320">
        <v>100</v>
      </c>
      <c r="J545" s="320">
        <v>1.7</v>
      </c>
      <c r="K545" s="57">
        <f t="shared" si="46"/>
        <v>0.10502</v>
      </c>
      <c r="L545" s="310">
        <f t="shared" si="47"/>
        <v>0.18109756097560975</v>
      </c>
      <c r="M545" s="405">
        <f t="shared" si="48"/>
        <v>94.361308704744445</v>
      </c>
      <c r="N545" s="63">
        <f t="shared" si="49"/>
        <v>-0.13301329620191427</v>
      </c>
    </row>
    <row r="546" spans="1:14" ht="18" x14ac:dyDescent="0.25">
      <c r="A546" s="317" t="s">
        <v>4791</v>
      </c>
      <c r="B546" s="317"/>
      <c r="C546" s="317">
        <v>1.82</v>
      </c>
      <c r="D546" s="317">
        <v>1.2</v>
      </c>
      <c r="E546" s="318">
        <v>12.18</v>
      </c>
      <c r="F546" s="317">
        <v>0.91</v>
      </c>
      <c r="G546" s="317">
        <v>2.9</v>
      </c>
      <c r="H546" s="319">
        <v>20.09</v>
      </c>
      <c r="I546" s="320">
        <v>23</v>
      </c>
      <c r="J546" s="320">
        <v>2.1</v>
      </c>
      <c r="K546" s="57">
        <f t="shared" si="46"/>
        <v>0.12362600000000001</v>
      </c>
      <c r="L546" s="310">
        <f t="shared" si="47"/>
        <v>0.13384615384615384</v>
      </c>
      <c r="M546" s="405">
        <f t="shared" si="48"/>
        <v>10.515670475759414</v>
      </c>
      <c r="N546" s="63">
        <f t="shared" si="49"/>
        <v>0.91048207970297323</v>
      </c>
    </row>
    <row r="547" spans="1:14" ht="18" x14ac:dyDescent="0.25">
      <c r="A547" s="317" t="s">
        <v>2402</v>
      </c>
      <c r="B547" s="317" t="s">
        <v>2403</v>
      </c>
      <c r="C547" s="317">
        <v>1.35</v>
      </c>
      <c r="D547" s="317">
        <v>4.78</v>
      </c>
      <c r="E547" s="318">
        <v>11.51</v>
      </c>
      <c r="F547" s="317">
        <v>1.57</v>
      </c>
      <c r="G547" s="317">
        <v>2.7</v>
      </c>
      <c r="H547" s="319">
        <v>61.7</v>
      </c>
      <c r="I547" s="320">
        <v>71.5</v>
      </c>
      <c r="J547" s="320">
        <v>2.2000000000000002</v>
      </c>
      <c r="K547" s="57">
        <f t="shared" si="46"/>
        <v>0.10280500000000001</v>
      </c>
      <c r="L547" s="310">
        <f t="shared" si="47"/>
        <v>7.3312101910828029E-2</v>
      </c>
      <c r="M547" s="405">
        <f t="shared" si="48"/>
        <v>55.465811326905396</v>
      </c>
      <c r="N547" s="63">
        <f t="shared" si="49"/>
        <v>0.11239696173110016</v>
      </c>
    </row>
    <row r="548" spans="1:14" ht="18" x14ac:dyDescent="0.25">
      <c r="A548" s="317" t="s">
        <v>56</v>
      </c>
      <c r="B548" s="317" t="s">
        <v>4638</v>
      </c>
      <c r="C548" s="317"/>
      <c r="D548" s="317"/>
      <c r="E548" s="318"/>
      <c r="F548" s="317"/>
      <c r="G548" s="317"/>
      <c r="H548" s="319"/>
      <c r="I548" s="320"/>
      <c r="J548" s="320"/>
      <c r="K548" s="57">
        <f t="shared" si="46"/>
        <v>4.2999999999999997E-2</v>
      </c>
      <c r="L548" s="310" t="e">
        <f t="shared" si="47"/>
        <v>#DIV/0!</v>
      </c>
      <c r="M548" s="405" t="e">
        <f t="shared" si="48"/>
        <v>#DIV/0!</v>
      </c>
      <c r="N548" s="63" t="e">
        <f t="shared" si="49"/>
        <v>#DIV/0!</v>
      </c>
    </row>
    <row r="549" spans="1:14" ht="18" x14ac:dyDescent="0.25">
      <c r="A549" s="317" t="s">
        <v>877</v>
      </c>
      <c r="B549" s="317"/>
      <c r="C549" s="317">
        <v>0.28000000000000003</v>
      </c>
      <c r="D549" s="317">
        <v>1.02</v>
      </c>
      <c r="E549" s="318">
        <v>14.14</v>
      </c>
      <c r="F549" s="317">
        <v>1.06</v>
      </c>
      <c r="G549" s="317">
        <v>0</v>
      </c>
      <c r="H549" s="319">
        <v>34.21</v>
      </c>
      <c r="I549" s="320">
        <v>46</v>
      </c>
      <c r="J549" s="320">
        <v>1.8</v>
      </c>
      <c r="K549" s="57">
        <f t="shared" si="46"/>
        <v>5.5404000000000002E-2</v>
      </c>
      <c r="L549" s="310">
        <f t="shared" si="47"/>
        <v>0.13339622641509435</v>
      </c>
      <c r="M549" s="405">
        <f t="shared" si="48"/>
        <v>80.991510255476967</v>
      </c>
      <c r="N549" s="63">
        <f t="shared" si="49"/>
        <v>-0.57761004959545637</v>
      </c>
    </row>
    <row r="550" spans="1:14" ht="18" x14ac:dyDescent="0.25">
      <c r="A550" s="317" t="s">
        <v>1215</v>
      </c>
      <c r="B550" s="317" t="s">
        <v>1216</v>
      </c>
      <c r="C550" s="317">
        <v>1.8</v>
      </c>
      <c r="D550" s="317">
        <v>3.11</v>
      </c>
      <c r="E550" s="318">
        <v>11.03</v>
      </c>
      <c r="F550" s="317">
        <v>0.91</v>
      </c>
      <c r="G550" s="317">
        <v>1.9</v>
      </c>
      <c r="H550" s="319">
        <v>42.69</v>
      </c>
      <c r="I550" s="320">
        <v>52</v>
      </c>
      <c r="J550" s="320">
        <v>2.1</v>
      </c>
      <c r="K550" s="57">
        <f t="shared" si="46"/>
        <v>0.12274000000000002</v>
      </c>
      <c r="L550" s="310">
        <f t="shared" si="47"/>
        <v>0.1212087912087912</v>
      </c>
      <c r="M550" s="405">
        <f t="shared" si="48"/>
        <v>37.786133066113607</v>
      </c>
      <c r="N550" s="63">
        <f t="shared" si="49"/>
        <v>0.12977953910515791</v>
      </c>
    </row>
    <row r="551" spans="1:14" ht="18" x14ac:dyDescent="0.25">
      <c r="A551" s="317" t="s">
        <v>2404</v>
      </c>
      <c r="B551" s="317" t="s">
        <v>2405</v>
      </c>
      <c r="C551" s="317">
        <v>1.29</v>
      </c>
      <c r="D551" s="317">
        <v>0.06</v>
      </c>
      <c r="E551" s="318">
        <v>12.76</v>
      </c>
      <c r="F551" s="317">
        <v>1.92</v>
      </c>
      <c r="G551" s="317">
        <v>0</v>
      </c>
      <c r="H551" s="319">
        <v>11.99</v>
      </c>
      <c r="I551" s="320">
        <v>16.5</v>
      </c>
      <c r="J551" s="320">
        <v>1.7</v>
      </c>
      <c r="K551" s="57">
        <f t="shared" si="46"/>
        <v>0.10014700000000001</v>
      </c>
      <c r="L551" s="310">
        <f t="shared" si="47"/>
        <v>6.6458333333333328E-2</v>
      </c>
      <c r="M551" s="405">
        <f t="shared" si="48"/>
        <v>1.0828273018571712</v>
      </c>
      <c r="N551" s="63">
        <f t="shared" si="49"/>
        <v>10.072864508897952</v>
      </c>
    </row>
    <row r="552" spans="1:14" ht="18" x14ac:dyDescent="0.25">
      <c r="A552" s="317" t="s">
        <v>511</v>
      </c>
      <c r="B552" s="317" t="s">
        <v>512</v>
      </c>
      <c r="C552" s="317">
        <v>1.41</v>
      </c>
      <c r="D552" s="317">
        <v>1.48</v>
      </c>
      <c r="E552" s="318">
        <v>1.56</v>
      </c>
      <c r="F552" s="317">
        <v>0.1</v>
      </c>
      <c r="G552" s="317">
        <v>0</v>
      </c>
      <c r="H552" s="319">
        <v>3.07</v>
      </c>
      <c r="I552" s="320">
        <v>12.25</v>
      </c>
      <c r="J552" s="320">
        <v>1</v>
      </c>
      <c r="K552" s="57">
        <f t="shared" si="46"/>
        <v>0.105463</v>
      </c>
      <c r="L552" s="310">
        <f t="shared" si="47"/>
        <v>0.156</v>
      </c>
      <c r="M552" s="405">
        <f t="shared" si="48"/>
        <v>34.750817440317377</v>
      </c>
      <c r="N552" s="63">
        <f t="shared" si="49"/>
        <v>-0.91165675439800642</v>
      </c>
    </row>
    <row r="553" spans="1:14" ht="18" x14ac:dyDescent="0.25">
      <c r="A553" s="317" t="s">
        <v>1877</v>
      </c>
      <c r="B553" s="317" t="s">
        <v>1878</v>
      </c>
      <c r="C553" s="317">
        <v>2.04</v>
      </c>
      <c r="D553" s="317">
        <v>0.39</v>
      </c>
      <c r="E553" s="318">
        <v>20.2</v>
      </c>
      <c r="F553" s="317">
        <v>2.2000000000000002</v>
      </c>
      <c r="G553" s="317">
        <v>0.4</v>
      </c>
      <c r="H553" s="319">
        <v>20.6</v>
      </c>
      <c r="I553" s="320">
        <v>29.5</v>
      </c>
      <c r="J553" s="320">
        <v>1.3</v>
      </c>
      <c r="K553" s="57">
        <f t="shared" si="46"/>
        <v>0.13337199999999999</v>
      </c>
      <c r="L553" s="310">
        <f t="shared" si="47"/>
        <v>9.1818181818181799E-2</v>
      </c>
      <c r="M553" s="405">
        <f t="shared" si="48"/>
        <v>4.0501272535800492</v>
      </c>
      <c r="N553" s="63">
        <f t="shared" si="49"/>
        <v>4.0862599395589205</v>
      </c>
    </row>
    <row r="554" spans="1:14" ht="18" x14ac:dyDescent="0.25">
      <c r="A554" s="317" t="s">
        <v>2148</v>
      </c>
      <c r="B554" s="317" t="s">
        <v>2149</v>
      </c>
      <c r="C554" s="317">
        <v>2.54</v>
      </c>
      <c r="D554" s="317">
        <v>2.88</v>
      </c>
      <c r="E554" s="318">
        <v>11.35</v>
      </c>
      <c r="F554" s="317">
        <v>0.78</v>
      </c>
      <c r="G554" s="317">
        <v>0</v>
      </c>
      <c r="H554" s="319">
        <v>42.34</v>
      </c>
      <c r="I554" s="320">
        <v>46</v>
      </c>
      <c r="J554" s="320">
        <v>1.5</v>
      </c>
      <c r="K554" s="57">
        <f t="shared" si="46"/>
        <v>0.15552199999999999</v>
      </c>
      <c r="L554" s="310">
        <f t="shared" si="47"/>
        <v>0.14551282051282052</v>
      </c>
      <c r="M554" s="405">
        <f t="shared" si="48"/>
        <v>37.222988612491946</v>
      </c>
      <c r="N554" s="63">
        <f t="shared" si="49"/>
        <v>0.13746911729142566</v>
      </c>
    </row>
    <row r="555" spans="1:14" ht="18" x14ac:dyDescent="0.25">
      <c r="A555" s="317" t="s">
        <v>4639</v>
      </c>
      <c r="B555" s="317" t="s">
        <v>4640</v>
      </c>
      <c r="C555" s="317">
        <v>0.38</v>
      </c>
      <c r="D555" s="317">
        <v>3.19</v>
      </c>
      <c r="E555" s="318">
        <v>9.01</v>
      </c>
      <c r="F555" s="317">
        <v>0.69</v>
      </c>
      <c r="G555" s="317">
        <v>0</v>
      </c>
      <c r="H555" s="319">
        <v>41</v>
      </c>
      <c r="I555" s="320">
        <v>45</v>
      </c>
      <c r="J555" s="320">
        <v>2</v>
      </c>
      <c r="K555" s="57">
        <f t="shared" si="46"/>
        <v>5.9833999999999998E-2</v>
      </c>
      <c r="L555" s="310">
        <f t="shared" si="47"/>
        <v>0.13057971014492753</v>
      </c>
      <c r="M555" s="405">
        <f t="shared" si="48"/>
        <v>203.11505830829879</v>
      </c>
      <c r="N555" s="63">
        <f t="shared" si="49"/>
        <v>-0.79814396657008058</v>
      </c>
    </row>
    <row r="556" spans="1:14" ht="18" x14ac:dyDescent="0.25">
      <c r="A556" s="317" t="s">
        <v>4641</v>
      </c>
      <c r="B556" s="317" t="s">
        <v>4642</v>
      </c>
      <c r="C556" s="317">
        <v>0.2</v>
      </c>
      <c r="D556" s="317">
        <v>2.5099999999999998</v>
      </c>
      <c r="E556" s="318">
        <v>14.37</v>
      </c>
      <c r="F556" s="317">
        <v>2.09</v>
      </c>
      <c r="G556" s="317">
        <v>2.9</v>
      </c>
      <c r="H556" s="319">
        <v>38.520000000000003</v>
      </c>
      <c r="I556" s="320">
        <v>41</v>
      </c>
      <c r="J556" s="320">
        <v>2</v>
      </c>
      <c r="K556" s="57">
        <f t="shared" si="46"/>
        <v>5.1859999999999996E-2</v>
      </c>
      <c r="L556" s="310">
        <f t="shared" si="47"/>
        <v>6.8755980861244015E-2</v>
      </c>
      <c r="M556" s="405">
        <f t="shared" si="48"/>
        <v>102.30194503597214</v>
      </c>
      <c r="N556" s="63">
        <f t="shared" si="49"/>
        <v>-0.62346756959063365</v>
      </c>
    </row>
    <row r="557" spans="1:14" ht="18" x14ac:dyDescent="0.25">
      <c r="A557" s="317" t="s">
        <v>4381</v>
      </c>
      <c r="B557" s="317" t="s">
        <v>2869</v>
      </c>
      <c r="C557" s="317">
        <v>1.79</v>
      </c>
      <c r="D557" s="317">
        <v>0.59</v>
      </c>
      <c r="E557" s="318">
        <v>9.49</v>
      </c>
      <c r="F557" s="317">
        <v>0.59</v>
      </c>
      <c r="G557" s="317">
        <v>0.9</v>
      </c>
      <c r="H557" s="319">
        <v>6.64</v>
      </c>
      <c r="I557" s="320">
        <v>9</v>
      </c>
      <c r="J557" s="320">
        <v>2.5</v>
      </c>
      <c r="K557" s="57">
        <f t="shared" si="46"/>
        <v>0.122297</v>
      </c>
      <c r="L557" s="310">
        <f t="shared" si="47"/>
        <v>0.16084745762711866</v>
      </c>
      <c r="M557" s="405">
        <f t="shared" si="48"/>
        <v>10.114374059984922</v>
      </c>
      <c r="N557" s="63">
        <f t="shared" si="49"/>
        <v>-0.34350855914360967</v>
      </c>
    </row>
    <row r="558" spans="1:14" ht="18" x14ac:dyDescent="0.25">
      <c r="A558" s="317" t="s">
        <v>1831</v>
      </c>
      <c r="B558" s="317" t="s">
        <v>1832</v>
      </c>
      <c r="C558" s="317">
        <v>2.12</v>
      </c>
      <c r="D558" s="317">
        <v>0.01</v>
      </c>
      <c r="E558" s="318">
        <v>20.79</v>
      </c>
      <c r="F558" s="317">
        <v>0.5</v>
      </c>
      <c r="G558" s="317">
        <v>3.2</v>
      </c>
      <c r="H558" s="319">
        <v>29.32</v>
      </c>
      <c r="I558" s="320">
        <v>29</v>
      </c>
      <c r="J558" s="320">
        <v>2.5</v>
      </c>
      <c r="K558" s="57">
        <f t="shared" si="46"/>
        <v>0.13691600000000001</v>
      </c>
      <c r="L558" s="310">
        <f t="shared" si="47"/>
        <v>0.4158</v>
      </c>
      <c r="M558" s="405">
        <f t="shared" si="48"/>
        <v>-35.095154147017482</v>
      </c>
      <c r="N558" s="63">
        <f t="shared" si="49"/>
        <v>-1.8354429753228974</v>
      </c>
    </row>
    <row r="559" spans="1:14" ht="18" x14ac:dyDescent="0.25">
      <c r="A559" s="317" t="s">
        <v>2406</v>
      </c>
      <c r="B559" s="317" t="s">
        <v>2407</v>
      </c>
      <c r="C559" s="317">
        <v>1.34</v>
      </c>
      <c r="D559" s="317">
        <v>2.4900000000000002</v>
      </c>
      <c r="E559" s="318">
        <v>11.81</v>
      </c>
      <c r="F559" s="317">
        <v>0</v>
      </c>
      <c r="G559" s="317">
        <v>0</v>
      </c>
      <c r="H559" s="319">
        <v>29.75</v>
      </c>
      <c r="I559" s="320">
        <v>39</v>
      </c>
      <c r="J559" s="320">
        <v>1</v>
      </c>
      <c r="K559" s="57">
        <f t="shared" si="46"/>
        <v>0.10236200000000001</v>
      </c>
      <c r="L559" s="310" t="e">
        <f t="shared" si="47"/>
        <v>#DIV/0!</v>
      </c>
      <c r="M559" s="405" t="e">
        <f t="shared" si="48"/>
        <v>#DIV/0!</v>
      </c>
      <c r="N559" s="63" t="e">
        <f t="shared" si="49"/>
        <v>#DIV/0!</v>
      </c>
    </row>
    <row r="560" spans="1:14" ht="18" x14ac:dyDescent="0.25">
      <c r="A560" s="317" t="s">
        <v>2408</v>
      </c>
      <c r="B560" s="317" t="s">
        <v>2409</v>
      </c>
      <c r="C560" s="317">
        <v>1.56</v>
      </c>
      <c r="D560" s="317">
        <v>1.17</v>
      </c>
      <c r="E560" s="318">
        <v>9.7799999999999994</v>
      </c>
      <c r="F560" s="317">
        <v>1.3</v>
      </c>
      <c r="G560" s="317">
        <v>2.7</v>
      </c>
      <c r="H560" s="319">
        <v>13.69</v>
      </c>
      <c r="I560" s="320">
        <v>18</v>
      </c>
      <c r="J560" s="320">
        <v>2</v>
      </c>
      <c r="K560" s="57">
        <f t="shared" si="46"/>
        <v>0.11210800000000001</v>
      </c>
      <c r="L560" s="310">
        <f t="shared" si="47"/>
        <v>7.5230769230769226E-2</v>
      </c>
      <c r="M560" s="405">
        <f t="shared" si="48"/>
        <v>12.629627340677638</v>
      </c>
      <c r="N560" s="63">
        <f t="shared" si="49"/>
        <v>8.3959140734667731E-2</v>
      </c>
    </row>
    <row r="561" spans="1:14" ht="18" x14ac:dyDescent="0.25">
      <c r="A561" s="317" t="s">
        <v>2410</v>
      </c>
      <c r="B561" s="317" t="s">
        <v>2411</v>
      </c>
      <c r="C561" s="317">
        <v>1.44</v>
      </c>
      <c r="D561" s="317">
        <v>2.2000000000000002</v>
      </c>
      <c r="E561" s="318">
        <v>9.0399999999999991</v>
      </c>
      <c r="F561" s="317">
        <v>0.88</v>
      </c>
      <c r="G561" s="317">
        <v>1</v>
      </c>
      <c r="H561" s="319">
        <v>20.34</v>
      </c>
      <c r="I561" s="320">
        <v>25</v>
      </c>
      <c r="J561" s="320">
        <v>2.2999999999999998</v>
      </c>
      <c r="K561" s="57">
        <f t="shared" si="46"/>
        <v>0.106792</v>
      </c>
      <c r="L561" s="310">
        <f t="shared" si="47"/>
        <v>0.10272727272727272</v>
      </c>
      <c r="M561" s="405">
        <f t="shared" si="48"/>
        <v>37.599589241004573</v>
      </c>
      <c r="N561" s="63">
        <f t="shared" si="49"/>
        <v>-0.45903664346901885</v>
      </c>
    </row>
    <row r="562" spans="1:14" ht="18" x14ac:dyDescent="0.25">
      <c r="A562" s="317" t="s">
        <v>2083</v>
      </c>
      <c r="B562" s="317" t="s">
        <v>2084</v>
      </c>
      <c r="C562" s="317">
        <v>0</v>
      </c>
      <c r="D562" s="317">
        <v>2.89</v>
      </c>
      <c r="E562" s="318">
        <v>6.47</v>
      </c>
      <c r="F562" s="317">
        <v>0.81</v>
      </c>
      <c r="G562" s="317">
        <v>0</v>
      </c>
      <c r="H562" s="319">
        <v>32.03</v>
      </c>
      <c r="I562" s="320">
        <v>43</v>
      </c>
      <c r="J562" s="320">
        <v>1.9</v>
      </c>
      <c r="K562" s="57">
        <f t="shared" si="46"/>
        <v>4.2999999999999997E-2</v>
      </c>
      <c r="L562" s="310">
        <f t="shared" si="47"/>
        <v>7.9876543209876527E-2</v>
      </c>
      <c r="M562" s="405">
        <f t="shared" si="48"/>
        <v>506.69775317608901</v>
      </c>
      <c r="N562" s="63">
        <f t="shared" si="49"/>
        <v>-0.93678677318139036</v>
      </c>
    </row>
    <row r="563" spans="1:14" ht="18" x14ac:dyDescent="0.25">
      <c r="A563" s="317" t="s">
        <v>2590</v>
      </c>
      <c r="B563" s="317" t="s">
        <v>2591</v>
      </c>
      <c r="C563" s="317">
        <v>1.1000000000000001</v>
      </c>
      <c r="D563" s="317">
        <v>0.52</v>
      </c>
      <c r="E563" s="318">
        <v>42.81</v>
      </c>
      <c r="F563" s="317">
        <v>1.58</v>
      </c>
      <c r="G563" s="317">
        <v>0</v>
      </c>
      <c r="H563" s="319">
        <v>75.78</v>
      </c>
      <c r="I563" s="320">
        <v>71.5</v>
      </c>
      <c r="J563" s="320">
        <v>2</v>
      </c>
      <c r="K563" s="57">
        <f t="shared" si="46"/>
        <v>9.1730000000000006E-2</v>
      </c>
      <c r="L563" s="310">
        <f t="shared" si="47"/>
        <v>0.27094936708860762</v>
      </c>
      <c r="M563" s="405">
        <f t="shared" si="48"/>
        <v>23.557323496122148</v>
      </c>
      <c r="N563" s="63">
        <f t="shared" si="49"/>
        <v>2.216834035176976</v>
      </c>
    </row>
    <row r="564" spans="1:14" ht="18" x14ac:dyDescent="0.25">
      <c r="A564" s="317" t="s">
        <v>970</v>
      </c>
      <c r="B564" s="317" t="s">
        <v>3128</v>
      </c>
      <c r="C564" s="317">
        <v>0.96</v>
      </c>
      <c r="D564" s="317">
        <v>2.65</v>
      </c>
      <c r="E564" s="318">
        <v>8.14</v>
      </c>
      <c r="F564" s="317">
        <v>0.74</v>
      </c>
      <c r="G564" s="317">
        <v>0</v>
      </c>
      <c r="H564" s="319">
        <v>25.96</v>
      </c>
      <c r="I564" s="320">
        <v>27</v>
      </c>
      <c r="J564" s="320">
        <v>2.1</v>
      </c>
      <c r="K564" s="57">
        <f t="shared" si="46"/>
        <v>8.5527999999999993E-2</v>
      </c>
      <c r="L564" s="310">
        <f t="shared" si="47"/>
        <v>0.11000000000000001</v>
      </c>
      <c r="M564" s="405">
        <f t="shared" si="48"/>
        <v>73.67530569589303</v>
      </c>
      <c r="N564" s="63">
        <f t="shared" si="49"/>
        <v>-0.647643131510656</v>
      </c>
    </row>
    <row r="565" spans="1:14" ht="18" x14ac:dyDescent="0.25">
      <c r="A565" s="317" t="s">
        <v>4936</v>
      </c>
      <c r="B565" s="317" t="s">
        <v>4937</v>
      </c>
      <c r="C565" s="317">
        <v>2.93</v>
      </c>
      <c r="D565" s="317">
        <v>2.69</v>
      </c>
      <c r="E565" s="318">
        <v>8.84</v>
      </c>
      <c r="F565" s="317">
        <v>2.34</v>
      </c>
      <c r="G565" s="317">
        <v>0</v>
      </c>
      <c r="H565" s="319">
        <v>7.34</v>
      </c>
      <c r="I565" s="320">
        <v>8.6300000000000008</v>
      </c>
      <c r="J565" s="320">
        <v>3</v>
      </c>
      <c r="K565" s="57">
        <f t="shared" si="46"/>
        <v>0.17279900000000004</v>
      </c>
      <c r="L565" s="310">
        <f t="shared" si="47"/>
        <v>3.7777777777777778E-2</v>
      </c>
      <c r="M565" s="405">
        <f t="shared" si="48"/>
        <v>21.357324729356584</v>
      </c>
      <c r="N565" s="63">
        <f t="shared" si="49"/>
        <v>-0.65632399689503962</v>
      </c>
    </row>
    <row r="566" spans="1:14" ht="18" x14ac:dyDescent="0.25">
      <c r="A566" s="317" t="s">
        <v>413</v>
      </c>
      <c r="B566" s="317"/>
      <c r="C566" s="317">
        <v>1.52</v>
      </c>
      <c r="D566" s="317">
        <v>1.75</v>
      </c>
      <c r="E566" s="318">
        <v>17.920000000000002</v>
      </c>
      <c r="F566" s="317">
        <v>2.13</v>
      </c>
      <c r="G566" s="317">
        <v>2.7</v>
      </c>
      <c r="H566" s="319">
        <v>41.4</v>
      </c>
      <c r="I566" s="320">
        <v>45</v>
      </c>
      <c r="J566" s="320">
        <v>2.4</v>
      </c>
      <c r="K566" s="57">
        <f t="shared" si="46"/>
        <v>0.110336</v>
      </c>
      <c r="L566" s="310">
        <f t="shared" si="47"/>
        <v>8.4131455399061042E-2</v>
      </c>
      <c r="M566" s="405">
        <f t="shared" si="48"/>
        <v>10.56260001007665</v>
      </c>
      <c r="N566" s="63">
        <f t="shared" si="49"/>
        <v>2.9194895158866827</v>
      </c>
    </row>
    <row r="567" spans="1:14" ht="18" x14ac:dyDescent="0.25">
      <c r="A567" s="317" t="s">
        <v>2412</v>
      </c>
      <c r="B567" s="317" t="s">
        <v>2413</v>
      </c>
      <c r="C567" s="317">
        <v>1.59</v>
      </c>
      <c r="D567" s="317">
        <v>0.98</v>
      </c>
      <c r="E567" s="318">
        <v>22.19</v>
      </c>
      <c r="F567" s="317">
        <v>1.27</v>
      </c>
      <c r="G567" s="317">
        <v>1.7</v>
      </c>
      <c r="H567" s="319">
        <v>31.06</v>
      </c>
      <c r="I567" s="320">
        <v>38.5</v>
      </c>
      <c r="J567" s="320">
        <v>2.2999999999999998</v>
      </c>
      <c r="K567" s="57">
        <f t="shared" si="46"/>
        <v>0.11343700000000001</v>
      </c>
      <c r="L567" s="310">
        <f t="shared" si="47"/>
        <v>0.1747244094488189</v>
      </c>
      <c r="M567" s="405">
        <f t="shared" si="48"/>
        <v>10.152723161924712</v>
      </c>
      <c r="N567" s="63">
        <f t="shared" si="49"/>
        <v>2.0592777429884901</v>
      </c>
    </row>
    <row r="568" spans="1:14" ht="18" x14ac:dyDescent="0.25">
      <c r="A568" s="317" t="s">
        <v>4643</v>
      </c>
      <c r="B568" s="317" t="s">
        <v>4644</v>
      </c>
      <c r="C568" s="317">
        <v>3.46</v>
      </c>
      <c r="D568" s="317">
        <v>0.28999999999999998</v>
      </c>
      <c r="E568" s="318">
        <v>7.17</v>
      </c>
      <c r="F568" s="317">
        <v>0.9</v>
      </c>
      <c r="G568" s="317">
        <v>0</v>
      </c>
      <c r="H568" s="319">
        <v>11.83</v>
      </c>
      <c r="I568" s="320">
        <v>14</v>
      </c>
      <c r="J568" s="320">
        <v>2.9</v>
      </c>
      <c r="K568" s="57">
        <f t="shared" si="46"/>
        <v>0.19627800000000001</v>
      </c>
      <c r="L568" s="310">
        <f t="shared" si="47"/>
        <v>7.9666666666666663E-2</v>
      </c>
      <c r="M568" s="405">
        <f t="shared" si="48"/>
        <v>2.277009271193525</v>
      </c>
      <c r="N568" s="63">
        <f t="shared" si="49"/>
        <v>4.1954114327339322</v>
      </c>
    </row>
    <row r="569" spans="1:14" ht="18" x14ac:dyDescent="0.25">
      <c r="A569" s="317" t="s">
        <v>2414</v>
      </c>
      <c r="B569" s="317" t="s">
        <v>145</v>
      </c>
      <c r="C569" s="317">
        <v>1.69</v>
      </c>
      <c r="D569" s="317">
        <v>0.51</v>
      </c>
      <c r="E569" s="318">
        <v>12.94</v>
      </c>
      <c r="F569" s="317">
        <v>2</v>
      </c>
      <c r="G569" s="317">
        <v>0.7</v>
      </c>
      <c r="H569" s="319">
        <v>13.85</v>
      </c>
      <c r="I569" s="320">
        <v>20</v>
      </c>
      <c r="J569" s="320">
        <v>2.2999999999999998</v>
      </c>
      <c r="K569" s="57">
        <f t="shared" si="46"/>
        <v>0.117867</v>
      </c>
      <c r="L569" s="310">
        <f t="shared" si="47"/>
        <v>6.4699999999999994E-2</v>
      </c>
      <c r="M569" s="405">
        <f t="shared" si="48"/>
        <v>5.8323107455614194</v>
      </c>
      <c r="N569" s="63">
        <f t="shared" si="49"/>
        <v>1.374702001353461</v>
      </c>
    </row>
    <row r="570" spans="1:14" ht="18" x14ac:dyDescent="0.25">
      <c r="A570" s="317" t="s">
        <v>1108</v>
      </c>
      <c r="B570" s="317" t="s">
        <v>1749</v>
      </c>
      <c r="C570" s="317">
        <v>0.93</v>
      </c>
      <c r="D570" s="317">
        <v>27.29</v>
      </c>
      <c r="E570" s="318">
        <v>13.59</v>
      </c>
      <c r="F570" s="317">
        <v>0.89</v>
      </c>
      <c r="G570" s="317">
        <v>0</v>
      </c>
      <c r="H570" s="319">
        <v>536.65</v>
      </c>
      <c r="I570" s="320">
        <v>700</v>
      </c>
      <c r="J570" s="320">
        <v>1.8</v>
      </c>
      <c r="K570" s="57">
        <f t="shared" si="46"/>
        <v>8.4198999999999996E-2</v>
      </c>
      <c r="L570" s="310">
        <f t="shared" si="47"/>
        <v>0.15269662921348315</v>
      </c>
      <c r="M570" s="405">
        <f t="shared" si="48"/>
        <v>923.93808791250126</v>
      </c>
      <c r="N570" s="63">
        <f t="shared" si="49"/>
        <v>-0.41917103860012989</v>
      </c>
    </row>
    <row r="571" spans="1:14" ht="18" x14ac:dyDescent="0.25">
      <c r="A571" s="317" t="s">
        <v>4645</v>
      </c>
      <c r="B571" s="317" t="s">
        <v>4646</v>
      </c>
      <c r="C571" s="317">
        <v>0.75</v>
      </c>
      <c r="D571" s="317">
        <v>3.17</v>
      </c>
      <c r="E571" s="318">
        <v>14.25</v>
      </c>
      <c r="F571" s="317">
        <v>1.29</v>
      </c>
      <c r="G571" s="317">
        <v>3.3</v>
      </c>
      <c r="H571" s="319">
        <v>53.14</v>
      </c>
      <c r="I571" s="320">
        <v>55.5</v>
      </c>
      <c r="J571" s="320">
        <v>2.5</v>
      </c>
      <c r="K571" s="57">
        <f t="shared" si="46"/>
        <v>7.6225000000000001E-2</v>
      </c>
      <c r="L571" s="310">
        <f t="shared" si="47"/>
        <v>0.11046511627906977</v>
      </c>
      <c r="M571" s="405">
        <f t="shared" si="48"/>
        <v>48.727714465410251</v>
      </c>
      <c r="N571" s="63">
        <f t="shared" si="49"/>
        <v>9.054981508976466E-2</v>
      </c>
    </row>
    <row r="572" spans="1:14" ht="18" x14ac:dyDescent="0.25">
      <c r="A572" s="317" t="s">
        <v>146</v>
      </c>
      <c r="B572" s="317" t="s">
        <v>147</v>
      </c>
      <c r="C572" s="317">
        <v>1.85</v>
      </c>
      <c r="D572" s="317">
        <v>2.48</v>
      </c>
      <c r="E572" s="318">
        <v>10.91</v>
      </c>
      <c r="F572" s="317">
        <v>0.68</v>
      </c>
      <c r="G572" s="317">
        <v>1.1000000000000001</v>
      </c>
      <c r="H572" s="319">
        <v>41.77</v>
      </c>
      <c r="I572" s="320">
        <v>49</v>
      </c>
      <c r="J572" s="320">
        <v>2.2000000000000002</v>
      </c>
      <c r="K572" s="57">
        <f t="shared" si="46"/>
        <v>0.12495500000000001</v>
      </c>
      <c r="L572" s="310">
        <f t="shared" si="47"/>
        <v>0.16044117647058823</v>
      </c>
      <c r="M572" s="405">
        <f t="shared" si="48"/>
        <v>37.290294058416976</v>
      </c>
      <c r="N572" s="63">
        <f t="shared" si="49"/>
        <v>0.12013061453914417</v>
      </c>
    </row>
    <row r="573" spans="1:14" ht="18" x14ac:dyDescent="0.25">
      <c r="A573" s="317" t="s">
        <v>1825</v>
      </c>
      <c r="B573" s="317" t="s">
        <v>1826</v>
      </c>
      <c r="C573" s="317">
        <v>2.21</v>
      </c>
      <c r="D573" s="317">
        <v>0.09</v>
      </c>
      <c r="E573" s="318">
        <v>11.47</v>
      </c>
      <c r="F573" s="317">
        <v>0.56000000000000005</v>
      </c>
      <c r="G573" s="317">
        <v>0</v>
      </c>
      <c r="H573" s="319">
        <v>5.39</v>
      </c>
      <c r="I573" s="320">
        <v>6.25</v>
      </c>
      <c r="J573" s="320">
        <v>1.2</v>
      </c>
      <c r="K573" s="57">
        <f t="shared" si="46"/>
        <v>0.140903</v>
      </c>
      <c r="L573" s="310">
        <f t="shared" si="47"/>
        <v>0.20482142857142857</v>
      </c>
      <c r="M573" s="405">
        <f t="shared" si="48"/>
        <v>1.6300686577811117</v>
      </c>
      <c r="N573" s="63">
        <f t="shared" si="49"/>
        <v>2.3066091874541015</v>
      </c>
    </row>
    <row r="574" spans="1:14" ht="18" x14ac:dyDescent="0.25">
      <c r="A574" s="317" t="s">
        <v>3249</v>
      </c>
      <c r="B574" s="317" t="s">
        <v>3250</v>
      </c>
      <c r="C574" s="317">
        <v>2.37</v>
      </c>
      <c r="D574" s="317">
        <v>1.07</v>
      </c>
      <c r="E574" s="318">
        <v>10.58</v>
      </c>
      <c r="F574" s="317">
        <v>0</v>
      </c>
      <c r="G574" s="317">
        <v>0</v>
      </c>
      <c r="H574" s="319">
        <v>26.55</v>
      </c>
      <c r="I574" s="320">
        <v>40</v>
      </c>
      <c r="J574" s="320">
        <v>1.1000000000000001</v>
      </c>
      <c r="K574" s="57">
        <f t="shared" si="46"/>
        <v>0.14799100000000001</v>
      </c>
      <c r="L574" s="310" t="e">
        <f t="shared" si="47"/>
        <v>#DIV/0!</v>
      </c>
      <c r="M574" s="405" t="e">
        <f t="shared" si="48"/>
        <v>#DIV/0!</v>
      </c>
      <c r="N574" s="63" t="e">
        <f t="shared" si="49"/>
        <v>#DIV/0!</v>
      </c>
    </row>
    <row r="575" spans="1:14" ht="18" x14ac:dyDescent="0.25">
      <c r="A575" s="317" t="s">
        <v>3671</v>
      </c>
      <c r="B575" s="317" t="s">
        <v>3672</v>
      </c>
      <c r="C575" s="317">
        <v>2.4900000000000002</v>
      </c>
      <c r="D575" s="317">
        <v>1.51</v>
      </c>
      <c r="E575" s="318">
        <v>6.85</v>
      </c>
      <c r="F575" s="317">
        <v>1.19</v>
      </c>
      <c r="G575" s="317">
        <v>0</v>
      </c>
      <c r="H575" s="319">
        <v>11.17</v>
      </c>
      <c r="I575" s="320">
        <v>14</v>
      </c>
      <c r="J575" s="320">
        <v>2.2999999999999998</v>
      </c>
      <c r="K575" s="57">
        <f t="shared" si="46"/>
        <v>0.15330700000000003</v>
      </c>
      <c r="L575" s="310">
        <f t="shared" si="47"/>
        <v>5.756302521008403E-2</v>
      </c>
      <c r="M575" s="405">
        <f t="shared" si="48"/>
        <v>14.741903607010753</v>
      </c>
      <c r="N575" s="63">
        <f t="shared" si="49"/>
        <v>-0.242295954595177</v>
      </c>
    </row>
    <row r="576" spans="1:14" ht="18" x14ac:dyDescent="0.25">
      <c r="A576" s="317" t="s">
        <v>1217</v>
      </c>
      <c r="B576" s="317" t="s">
        <v>1218</v>
      </c>
      <c r="C576" s="317">
        <v>1.27</v>
      </c>
      <c r="D576" s="317">
        <v>1.88</v>
      </c>
      <c r="E576" s="318">
        <v>11.07</v>
      </c>
      <c r="F576" s="317">
        <v>1.28</v>
      </c>
      <c r="G576" s="317">
        <v>2</v>
      </c>
      <c r="H576" s="319">
        <v>23.02</v>
      </c>
      <c r="I576" s="320">
        <v>23.5</v>
      </c>
      <c r="J576" s="320">
        <v>2.6</v>
      </c>
      <c r="K576" s="57">
        <f t="shared" si="46"/>
        <v>9.9261000000000002E-2</v>
      </c>
      <c r="L576" s="310">
        <f t="shared" si="47"/>
        <v>8.6484375000000002E-2</v>
      </c>
      <c r="M576" s="405">
        <f t="shared" si="48"/>
        <v>28.101125515210679</v>
      </c>
      <c r="N576" s="63">
        <f t="shared" si="49"/>
        <v>-0.180815729692405</v>
      </c>
    </row>
    <row r="577" spans="1:14" ht="18" x14ac:dyDescent="0.25">
      <c r="A577" s="317" t="s">
        <v>148</v>
      </c>
      <c r="B577" s="317" t="s">
        <v>149</v>
      </c>
      <c r="C577" s="317">
        <v>1.1599999999999999</v>
      </c>
      <c r="D577" s="317">
        <v>5.17</v>
      </c>
      <c r="E577" s="318">
        <v>13.82</v>
      </c>
      <c r="F577" s="317">
        <v>1.27</v>
      </c>
      <c r="G577" s="317">
        <v>1.3</v>
      </c>
      <c r="H577" s="319">
        <v>88.43</v>
      </c>
      <c r="I577" s="320">
        <v>105</v>
      </c>
      <c r="J577" s="320">
        <v>1.9</v>
      </c>
      <c r="K577" s="57">
        <f t="shared" si="46"/>
        <v>9.4388E-2</v>
      </c>
      <c r="L577" s="310">
        <f t="shared" si="47"/>
        <v>0.10881889763779527</v>
      </c>
      <c r="M577" s="405">
        <f t="shared" si="48"/>
        <v>94.157151924335849</v>
      </c>
      <c r="N577" s="63">
        <f t="shared" si="49"/>
        <v>-6.0825458367072843E-2</v>
      </c>
    </row>
    <row r="578" spans="1:14" ht="18" x14ac:dyDescent="0.25">
      <c r="A578" s="317" t="s">
        <v>3261</v>
      </c>
      <c r="B578" s="317" t="s">
        <v>3262</v>
      </c>
      <c r="C578" s="317">
        <v>2.4300000000000002</v>
      </c>
      <c r="D578" s="317">
        <v>2.78</v>
      </c>
      <c r="E578" s="318">
        <v>12.07</v>
      </c>
      <c r="F578" s="317">
        <v>1.31</v>
      </c>
      <c r="G578" s="317">
        <v>0</v>
      </c>
      <c r="H578" s="319">
        <v>42.25</v>
      </c>
      <c r="I578" s="320">
        <v>55</v>
      </c>
      <c r="J578" s="320">
        <v>1.3</v>
      </c>
      <c r="K578" s="57">
        <f t="shared" si="46"/>
        <v>0.15064900000000003</v>
      </c>
      <c r="L578" s="310">
        <f t="shared" si="47"/>
        <v>9.2137404580152668E-2</v>
      </c>
      <c r="M578" s="405">
        <f t="shared" si="48"/>
        <v>31.235118640132615</v>
      </c>
      <c r="N578" s="63">
        <f t="shared" si="49"/>
        <v>0.35264413389212657</v>
      </c>
    </row>
    <row r="579" spans="1:14" ht="18" x14ac:dyDescent="0.25">
      <c r="A579" s="317" t="s">
        <v>4785</v>
      </c>
      <c r="B579" s="317" t="s">
        <v>4786</v>
      </c>
      <c r="C579" s="317">
        <v>2.02</v>
      </c>
      <c r="D579" s="317">
        <v>0.39</v>
      </c>
      <c r="E579" s="318">
        <v>0</v>
      </c>
      <c r="F579" s="317">
        <v>0</v>
      </c>
      <c r="G579" s="317">
        <v>2.5</v>
      </c>
      <c r="H579" s="319">
        <v>9.4499999999999993</v>
      </c>
      <c r="I579" s="320">
        <v>0</v>
      </c>
      <c r="J579" s="320">
        <v>0</v>
      </c>
      <c r="K579" s="57">
        <f t="shared" si="46"/>
        <v>0.13248599999999999</v>
      </c>
      <c r="L579" s="310" t="e">
        <f t="shared" si="47"/>
        <v>#DIV/0!</v>
      </c>
      <c r="M579" s="405" t="e">
        <f t="shared" si="48"/>
        <v>#DIV/0!</v>
      </c>
      <c r="N579" s="63" t="e">
        <f t="shared" si="49"/>
        <v>#DIV/0!</v>
      </c>
    </row>
    <row r="580" spans="1:14" ht="18" x14ac:dyDescent="0.25">
      <c r="A580" s="317" t="s">
        <v>5076</v>
      </c>
      <c r="B580" s="317"/>
      <c r="C580" s="317">
        <v>1.17</v>
      </c>
      <c r="D580" s="317">
        <v>13.18</v>
      </c>
      <c r="E580" s="318">
        <v>7.87</v>
      </c>
      <c r="F580" s="317">
        <v>0.91</v>
      </c>
      <c r="G580" s="317">
        <v>0.9</v>
      </c>
      <c r="H580" s="319">
        <v>150.66</v>
      </c>
      <c r="I580" s="320">
        <v>198</v>
      </c>
      <c r="J580" s="320">
        <v>2</v>
      </c>
      <c r="K580" s="57">
        <f t="shared" si="46"/>
        <v>9.4830999999999999E-2</v>
      </c>
      <c r="L580" s="310">
        <f t="shared" si="47"/>
        <v>8.6483516483516473E-2</v>
      </c>
      <c r="M580" s="405">
        <f t="shared" si="48"/>
        <v>251.66312941585872</v>
      </c>
      <c r="N580" s="63">
        <f t="shared" si="49"/>
        <v>-0.40134257906710247</v>
      </c>
    </row>
    <row r="581" spans="1:14" ht="18" x14ac:dyDescent="0.25">
      <c r="A581" s="317" t="s">
        <v>987</v>
      </c>
      <c r="B581" s="317" t="s">
        <v>988</v>
      </c>
      <c r="C581" s="317">
        <v>0.92</v>
      </c>
      <c r="D581" s="317">
        <v>1.46</v>
      </c>
      <c r="E581" s="318">
        <v>11.04</v>
      </c>
      <c r="F581" s="317">
        <v>1.68</v>
      </c>
      <c r="G581" s="317">
        <v>3.6</v>
      </c>
      <c r="H581" s="319">
        <v>19.760000000000002</v>
      </c>
      <c r="I581" s="320">
        <v>22</v>
      </c>
      <c r="J581" s="320">
        <v>3</v>
      </c>
      <c r="K581" s="57">
        <f t="shared" ref="K581:K644" si="50">$P$14+C581*($Q$15-$P$14)</f>
        <v>8.3755999999999997E-2</v>
      </c>
      <c r="L581" s="310">
        <f t="shared" ref="L581:L644" si="51">E581/F581/100</f>
        <v>6.5714285714285711E-2</v>
      </c>
      <c r="M581" s="405">
        <f t="shared" ref="M581:M644" si="52">(D581-G581*H581/100)+(D581-G581*H581/100)*(1+L581)/(1+K581)+(D581-G581*H581/100)*(1+L581)^2/(1+K581)^2+(D581-G581*H581/100)*(1+L581)^3/(1+K581)^3+(D581-G581*H581/100)*(1+L581)^4/(1+K581)^4+((D581-G581*H581/100)*(1+L581)^5/(K581-$T$22-$T$19))/((1+K581)^5)</f>
        <v>18.03485846722181</v>
      </c>
      <c r="N581" s="63">
        <f t="shared" ref="N581:N644" si="53">(H581-M581)/M581</f>
        <v>9.5655950719747598E-2</v>
      </c>
    </row>
    <row r="582" spans="1:14" ht="18" x14ac:dyDescent="0.25">
      <c r="A582" s="317" t="s">
        <v>4162</v>
      </c>
      <c r="B582" s="317" t="s">
        <v>4163</v>
      </c>
      <c r="C582" s="317">
        <v>2.52</v>
      </c>
      <c r="D582" s="317">
        <v>-0.14000000000000001</v>
      </c>
      <c r="E582" s="318">
        <v>0</v>
      </c>
      <c r="F582" s="317">
        <v>4.67</v>
      </c>
      <c r="G582" s="317">
        <v>0</v>
      </c>
      <c r="H582" s="319">
        <v>2.0299999999999998</v>
      </c>
      <c r="I582" s="320">
        <v>4</v>
      </c>
      <c r="J582" s="320">
        <v>1</v>
      </c>
      <c r="K582" s="57">
        <f t="shared" si="50"/>
        <v>0.154636</v>
      </c>
      <c r="L582" s="310">
        <f t="shared" si="51"/>
        <v>0</v>
      </c>
      <c r="M582" s="405">
        <f t="shared" si="52"/>
        <v>-1.111001726813083</v>
      </c>
      <c r="N582" s="63">
        <f t="shared" si="53"/>
        <v>-2.8271798783095239</v>
      </c>
    </row>
    <row r="583" spans="1:14" ht="18" x14ac:dyDescent="0.25">
      <c r="A583" s="317" t="s">
        <v>4566</v>
      </c>
      <c r="B583" s="317" t="s">
        <v>4567</v>
      </c>
      <c r="C583" s="317">
        <v>0.84</v>
      </c>
      <c r="D583" s="317">
        <v>-0.56999999999999995</v>
      </c>
      <c r="E583" s="318">
        <v>59.85</v>
      </c>
      <c r="F583" s="317">
        <v>12.91</v>
      </c>
      <c r="G583" s="317">
        <v>0</v>
      </c>
      <c r="H583" s="319">
        <v>29.33</v>
      </c>
      <c r="I583" s="320">
        <v>29.25</v>
      </c>
      <c r="J583" s="320">
        <v>2.8</v>
      </c>
      <c r="K583" s="57">
        <f t="shared" si="50"/>
        <v>8.0212000000000006E-2</v>
      </c>
      <c r="L583" s="310">
        <f t="shared" si="51"/>
        <v>4.6359411309062744E-2</v>
      </c>
      <c r="M583" s="405">
        <f t="shared" si="52"/>
        <v>-13.671851637963266</v>
      </c>
      <c r="N583" s="63">
        <f t="shared" si="53"/>
        <v>-3.1452836657880359</v>
      </c>
    </row>
    <row r="584" spans="1:14" ht="18" x14ac:dyDescent="0.25">
      <c r="A584" s="317" t="s">
        <v>4647</v>
      </c>
      <c r="B584" s="317" t="s">
        <v>4648</v>
      </c>
      <c r="C584" s="317">
        <v>2.8</v>
      </c>
      <c r="D584" s="317">
        <v>-0.27</v>
      </c>
      <c r="E584" s="318">
        <v>8.52</v>
      </c>
      <c r="F584" s="317">
        <v>0.47</v>
      </c>
      <c r="G584" s="317">
        <v>0</v>
      </c>
      <c r="H584" s="319">
        <v>17.64</v>
      </c>
      <c r="I584" s="320">
        <v>21</v>
      </c>
      <c r="J584" s="320">
        <v>2.1</v>
      </c>
      <c r="K584" s="57">
        <f t="shared" si="50"/>
        <v>0.16704000000000002</v>
      </c>
      <c r="L584" s="310">
        <f t="shared" si="51"/>
        <v>0.18127659574468086</v>
      </c>
      <c r="M584" s="405">
        <f t="shared" si="52"/>
        <v>-3.5725600626886092</v>
      </c>
      <c r="N584" s="63">
        <f t="shared" si="53"/>
        <v>-5.9376356703502493</v>
      </c>
    </row>
    <row r="585" spans="1:14" ht="18" x14ac:dyDescent="0.25">
      <c r="A585" s="317" t="s">
        <v>150</v>
      </c>
      <c r="B585" s="317" t="s">
        <v>151</v>
      </c>
      <c r="C585" s="317">
        <v>1.22</v>
      </c>
      <c r="D585" s="317">
        <v>0.14000000000000001</v>
      </c>
      <c r="E585" s="318">
        <v>11.85</v>
      </c>
      <c r="F585" s="317">
        <v>1.66</v>
      </c>
      <c r="G585" s="317">
        <v>0</v>
      </c>
      <c r="H585" s="319">
        <v>6.99</v>
      </c>
      <c r="I585" s="320">
        <v>9.8699999999999992</v>
      </c>
      <c r="J585" s="320">
        <v>1.8</v>
      </c>
      <c r="K585" s="57">
        <f t="shared" si="50"/>
        <v>9.7045999999999993E-2</v>
      </c>
      <c r="L585" s="310">
        <f t="shared" si="51"/>
        <v>7.1385542168674695E-2</v>
      </c>
      <c r="M585" s="405">
        <f t="shared" si="52"/>
        <v>2.705406764714545</v>
      </c>
      <c r="N585" s="63">
        <f t="shared" si="53"/>
        <v>1.5837149855495147</v>
      </c>
    </row>
    <row r="586" spans="1:14" ht="18" x14ac:dyDescent="0.25">
      <c r="A586" s="317" t="s">
        <v>414</v>
      </c>
      <c r="B586" s="317"/>
      <c r="C586" s="317">
        <v>2.0499999999999998</v>
      </c>
      <c r="D586" s="317">
        <v>1.3</v>
      </c>
      <c r="E586" s="318">
        <v>12.8</v>
      </c>
      <c r="F586" s="317">
        <v>2.08</v>
      </c>
      <c r="G586" s="317">
        <v>0</v>
      </c>
      <c r="H586" s="319">
        <v>22.01</v>
      </c>
      <c r="I586" s="320">
        <v>25</v>
      </c>
      <c r="J586" s="320">
        <v>1.5</v>
      </c>
      <c r="K586" s="57">
        <f t="shared" si="50"/>
        <v>0.13381500000000002</v>
      </c>
      <c r="L586" s="310">
        <f t="shared" si="51"/>
        <v>6.1538461538461542E-2</v>
      </c>
      <c r="M586" s="405">
        <f t="shared" si="52"/>
        <v>15.28351184035407</v>
      </c>
      <c r="N586" s="63">
        <f t="shared" si="53"/>
        <v>0.4401140411908171</v>
      </c>
    </row>
    <row r="587" spans="1:14" ht="18" x14ac:dyDescent="0.25">
      <c r="A587" s="317" t="s">
        <v>1609</v>
      </c>
      <c r="B587" s="317"/>
      <c r="C587" s="317">
        <v>2.75</v>
      </c>
      <c r="D587" s="317">
        <v>0.69</v>
      </c>
      <c r="E587" s="318">
        <v>16.88</v>
      </c>
      <c r="F587" s="317">
        <v>1.5</v>
      </c>
      <c r="G587" s="317">
        <v>0</v>
      </c>
      <c r="H587" s="319">
        <v>49.12</v>
      </c>
      <c r="I587" s="320">
        <v>61</v>
      </c>
      <c r="J587" s="320">
        <v>1.9</v>
      </c>
      <c r="K587" s="57">
        <f t="shared" si="50"/>
        <v>0.164825</v>
      </c>
      <c r="L587" s="310">
        <f t="shared" si="51"/>
        <v>0.11253333333333332</v>
      </c>
      <c r="M587" s="405">
        <f t="shared" si="52"/>
        <v>7.4109084870177107</v>
      </c>
      <c r="N587" s="63">
        <f t="shared" si="53"/>
        <v>5.6280672721903775</v>
      </c>
    </row>
    <row r="588" spans="1:14" ht="18" x14ac:dyDescent="0.25">
      <c r="A588" s="317" t="s">
        <v>152</v>
      </c>
      <c r="B588" s="317" t="s">
        <v>153</v>
      </c>
      <c r="C588" s="317">
        <v>1.32</v>
      </c>
      <c r="D588" s="317">
        <v>1.94</v>
      </c>
      <c r="E588" s="318">
        <v>18.52</v>
      </c>
      <c r="F588" s="317">
        <v>1.22</v>
      </c>
      <c r="G588" s="317">
        <v>0</v>
      </c>
      <c r="H588" s="319">
        <v>59.45</v>
      </c>
      <c r="I588" s="320">
        <v>67</v>
      </c>
      <c r="J588" s="320">
        <v>2.4</v>
      </c>
      <c r="K588" s="57">
        <f t="shared" si="50"/>
        <v>0.10147600000000001</v>
      </c>
      <c r="L588" s="310">
        <f t="shared" si="51"/>
        <v>0.15180327868852458</v>
      </c>
      <c r="M588" s="405">
        <f t="shared" si="52"/>
        <v>47.673376410306147</v>
      </c>
      <c r="N588" s="63">
        <f t="shared" si="53"/>
        <v>0.24702726084129328</v>
      </c>
    </row>
    <row r="589" spans="1:14" ht="18" x14ac:dyDescent="0.25">
      <c r="A589" s="317" t="s">
        <v>4649</v>
      </c>
      <c r="B589" s="317" t="s">
        <v>4650</v>
      </c>
      <c r="C589" s="317">
        <v>0.92</v>
      </c>
      <c r="D589" s="317">
        <v>6.93</v>
      </c>
      <c r="E589" s="318">
        <v>16.600000000000001</v>
      </c>
      <c r="F589" s="317">
        <v>1.42</v>
      </c>
      <c r="G589" s="317">
        <v>1.5</v>
      </c>
      <c r="H589" s="319">
        <v>147.58000000000001</v>
      </c>
      <c r="I589" s="320">
        <v>160</v>
      </c>
      <c r="J589" s="320">
        <v>2.5</v>
      </c>
      <c r="K589" s="57">
        <f t="shared" si="50"/>
        <v>8.3755999999999997E-2</v>
      </c>
      <c r="L589" s="310">
        <f t="shared" si="51"/>
        <v>0.11690140845070424</v>
      </c>
      <c r="M589" s="405">
        <f t="shared" si="52"/>
        <v>139.88146298637551</v>
      </c>
      <c r="N589" s="63">
        <f t="shared" si="53"/>
        <v>5.5036148816761672E-2</v>
      </c>
    </row>
    <row r="590" spans="1:14" ht="18" x14ac:dyDescent="0.25">
      <c r="A590" s="317" t="s">
        <v>154</v>
      </c>
      <c r="B590" s="317" t="s">
        <v>155</v>
      </c>
      <c r="C590" s="317">
        <v>1.84</v>
      </c>
      <c r="D590" s="317">
        <v>0.28999999999999998</v>
      </c>
      <c r="E590" s="318">
        <v>13.3</v>
      </c>
      <c r="F590" s="317">
        <v>0</v>
      </c>
      <c r="G590" s="317">
        <v>0</v>
      </c>
      <c r="H590" s="319">
        <v>6.25</v>
      </c>
      <c r="I590" s="320">
        <v>3.5</v>
      </c>
      <c r="J590" s="320">
        <v>2</v>
      </c>
      <c r="K590" s="57">
        <f t="shared" si="50"/>
        <v>0.12451200000000001</v>
      </c>
      <c r="L590" s="310" t="e">
        <f t="shared" si="51"/>
        <v>#DIV/0!</v>
      </c>
      <c r="M590" s="405" t="e">
        <f t="shared" si="52"/>
        <v>#DIV/0!</v>
      </c>
      <c r="N590" s="63" t="e">
        <f t="shared" si="53"/>
        <v>#DIV/0!</v>
      </c>
    </row>
    <row r="591" spans="1:14" ht="18" x14ac:dyDescent="0.25">
      <c r="A591" s="317" t="s">
        <v>156</v>
      </c>
      <c r="B591" s="317" t="s">
        <v>157</v>
      </c>
      <c r="C591" s="317"/>
      <c r="D591" s="317"/>
      <c r="E591" s="318"/>
      <c r="F591" s="317"/>
      <c r="G591" s="317"/>
      <c r="H591" s="319"/>
      <c r="I591" s="320"/>
      <c r="J591" s="320"/>
      <c r="K591" s="57">
        <f t="shared" si="50"/>
        <v>4.2999999999999997E-2</v>
      </c>
      <c r="L591" s="310" t="e">
        <f t="shared" si="51"/>
        <v>#DIV/0!</v>
      </c>
      <c r="M591" s="405" t="e">
        <f t="shared" si="52"/>
        <v>#DIV/0!</v>
      </c>
      <c r="N591" s="63" t="e">
        <f t="shared" si="53"/>
        <v>#DIV/0!</v>
      </c>
    </row>
    <row r="592" spans="1:14" ht="18" x14ac:dyDescent="0.25">
      <c r="A592" s="317" t="s">
        <v>158</v>
      </c>
      <c r="B592" s="317" t="s">
        <v>159</v>
      </c>
      <c r="C592" s="317">
        <v>1.47</v>
      </c>
      <c r="D592" s="317">
        <v>2.35</v>
      </c>
      <c r="E592" s="318">
        <v>12.45</v>
      </c>
      <c r="F592" s="317">
        <v>0.83</v>
      </c>
      <c r="G592" s="317">
        <v>0.7</v>
      </c>
      <c r="H592" s="319">
        <v>46.83</v>
      </c>
      <c r="I592" s="320">
        <v>60</v>
      </c>
      <c r="J592" s="320">
        <v>1.6</v>
      </c>
      <c r="K592" s="57">
        <f t="shared" si="50"/>
        <v>0.10812100000000001</v>
      </c>
      <c r="L592" s="310">
        <f t="shared" si="51"/>
        <v>0.15</v>
      </c>
      <c r="M592" s="405">
        <f t="shared" si="52"/>
        <v>44.65771170017544</v>
      </c>
      <c r="N592" s="63">
        <f t="shared" si="53"/>
        <v>4.8643072318817988E-2</v>
      </c>
    </row>
    <row r="593" spans="1:14" ht="18" x14ac:dyDescent="0.25">
      <c r="A593" s="317" t="s">
        <v>1917</v>
      </c>
      <c r="B593" s="317"/>
      <c r="C593" s="317">
        <v>0.45</v>
      </c>
      <c r="D593" s="317">
        <v>2.2799999999999998</v>
      </c>
      <c r="E593" s="318">
        <v>19.57</v>
      </c>
      <c r="F593" s="317">
        <v>1.93</v>
      </c>
      <c r="G593" s="317">
        <v>0</v>
      </c>
      <c r="H593" s="319">
        <v>62.23</v>
      </c>
      <c r="I593" s="320">
        <v>61</v>
      </c>
      <c r="J593" s="320">
        <v>2.5</v>
      </c>
      <c r="K593" s="57">
        <f t="shared" si="50"/>
        <v>6.2935000000000005E-2</v>
      </c>
      <c r="L593" s="310">
        <f t="shared" si="51"/>
        <v>0.10139896373056995</v>
      </c>
      <c r="M593" s="405">
        <f t="shared" si="52"/>
        <v>113.36860508775389</v>
      </c>
      <c r="N593" s="63">
        <f t="shared" si="53"/>
        <v>-0.45108259952717633</v>
      </c>
    </row>
    <row r="594" spans="1:14" ht="18" x14ac:dyDescent="0.25">
      <c r="A594" s="317" t="s">
        <v>4651</v>
      </c>
      <c r="B594" s="317" t="s">
        <v>4652</v>
      </c>
      <c r="C594" s="317">
        <v>1.92</v>
      </c>
      <c r="D594" s="317">
        <v>3.28</v>
      </c>
      <c r="E594" s="318">
        <v>15.76</v>
      </c>
      <c r="F594" s="317">
        <v>0.74</v>
      </c>
      <c r="G594" s="317">
        <v>0.2</v>
      </c>
      <c r="H594" s="319">
        <v>46.48</v>
      </c>
      <c r="I594" s="320">
        <v>59</v>
      </c>
      <c r="J594" s="320">
        <v>2.2999999999999998</v>
      </c>
      <c r="K594" s="57">
        <f t="shared" si="50"/>
        <v>0.128056</v>
      </c>
      <c r="L594" s="310">
        <f t="shared" si="51"/>
        <v>0.21297297297297299</v>
      </c>
      <c r="M594" s="405">
        <f t="shared" si="52"/>
        <v>68.288388433776049</v>
      </c>
      <c r="N594" s="63">
        <f t="shared" si="53"/>
        <v>-0.31935719869747914</v>
      </c>
    </row>
    <row r="595" spans="1:14" ht="18" x14ac:dyDescent="0.25">
      <c r="A595" s="317" t="s">
        <v>4653</v>
      </c>
      <c r="B595" s="317" t="s">
        <v>4654</v>
      </c>
      <c r="C595" s="317">
        <v>0.76</v>
      </c>
      <c r="D595" s="317">
        <v>2.48</v>
      </c>
      <c r="E595" s="318">
        <v>13.36</v>
      </c>
      <c r="F595" s="317">
        <v>1.1299999999999999</v>
      </c>
      <c r="G595" s="317">
        <v>2.5</v>
      </c>
      <c r="H595" s="319">
        <v>47.42</v>
      </c>
      <c r="I595" s="320">
        <v>54</v>
      </c>
      <c r="J595" s="320">
        <v>2</v>
      </c>
      <c r="K595" s="57">
        <f t="shared" si="50"/>
        <v>7.6668E-2</v>
      </c>
      <c r="L595" s="310">
        <f t="shared" si="51"/>
        <v>0.11823008849557523</v>
      </c>
      <c r="M595" s="405">
        <f t="shared" si="52"/>
        <v>45.459562434927051</v>
      </c>
      <c r="N595" s="63">
        <f t="shared" si="53"/>
        <v>4.3124866586193238E-2</v>
      </c>
    </row>
    <row r="596" spans="1:14" ht="18" x14ac:dyDescent="0.25">
      <c r="A596" s="317" t="s">
        <v>4655</v>
      </c>
      <c r="B596" s="317" t="s">
        <v>4656</v>
      </c>
      <c r="C596" s="317">
        <v>1.83</v>
      </c>
      <c r="D596" s="317">
        <v>0.33</v>
      </c>
      <c r="E596" s="318">
        <v>9.85</v>
      </c>
      <c r="F596" s="317">
        <v>1.97</v>
      </c>
      <c r="G596" s="317">
        <v>0.6</v>
      </c>
      <c r="H596" s="319">
        <v>6.7</v>
      </c>
      <c r="I596" s="320">
        <v>8</v>
      </c>
      <c r="J596" s="320">
        <v>2.2000000000000002</v>
      </c>
      <c r="K596" s="57">
        <f t="shared" si="50"/>
        <v>0.12406900000000001</v>
      </c>
      <c r="L596" s="310">
        <f t="shared" si="51"/>
        <v>0.05</v>
      </c>
      <c r="M596" s="405">
        <f t="shared" si="52"/>
        <v>3.6104356118228975</v>
      </c>
      <c r="N596" s="63">
        <f t="shared" si="53"/>
        <v>0.85573175105515631</v>
      </c>
    </row>
    <row r="597" spans="1:14" ht="18" x14ac:dyDescent="0.25">
      <c r="A597" s="317" t="s">
        <v>2150</v>
      </c>
      <c r="B597" s="317" t="s">
        <v>574</v>
      </c>
      <c r="C597" s="317">
        <v>2.13</v>
      </c>
      <c r="D597" s="317">
        <v>2.2799999999999998</v>
      </c>
      <c r="E597" s="318">
        <v>9.93</v>
      </c>
      <c r="F597" s="317">
        <v>0.97</v>
      </c>
      <c r="G597" s="317">
        <v>0</v>
      </c>
      <c r="H597" s="319">
        <v>31.96</v>
      </c>
      <c r="I597" s="320">
        <v>38.5</v>
      </c>
      <c r="J597" s="320">
        <v>1.3</v>
      </c>
      <c r="K597" s="57">
        <f t="shared" si="50"/>
        <v>0.13735900000000001</v>
      </c>
      <c r="L597" s="310">
        <f t="shared" si="51"/>
        <v>0.10237113402061855</v>
      </c>
      <c r="M597" s="405">
        <f t="shared" si="52"/>
        <v>29.960696265616974</v>
      </c>
      <c r="N597" s="63">
        <f t="shared" si="53"/>
        <v>6.6730883576875899E-2</v>
      </c>
    </row>
    <row r="598" spans="1:14" ht="18" x14ac:dyDescent="0.25">
      <c r="A598" s="317" t="s">
        <v>4657</v>
      </c>
      <c r="B598" s="317" t="s">
        <v>4658</v>
      </c>
      <c r="C598" s="317">
        <v>0.66</v>
      </c>
      <c r="D598" s="317">
        <v>-0.34</v>
      </c>
      <c r="E598" s="318">
        <v>11.09</v>
      </c>
      <c r="F598" s="317">
        <v>-3.41</v>
      </c>
      <c r="G598" s="317">
        <v>3.4</v>
      </c>
      <c r="H598" s="319">
        <v>9.5399999999999991</v>
      </c>
      <c r="I598" s="320">
        <v>10</v>
      </c>
      <c r="J598" s="320">
        <v>3.2</v>
      </c>
      <c r="K598" s="57">
        <f t="shared" si="50"/>
        <v>7.2237999999999997E-2</v>
      </c>
      <c r="L598" s="310">
        <f t="shared" si="51"/>
        <v>-3.2521994134897356E-2</v>
      </c>
      <c r="M598" s="405">
        <f t="shared" si="52"/>
        <v>-13.697585067068754</v>
      </c>
      <c r="N598" s="63">
        <f t="shared" si="53"/>
        <v>-1.6964731340078134</v>
      </c>
    </row>
    <row r="599" spans="1:14" ht="18" x14ac:dyDescent="0.25">
      <c r="A599" s="317" t="s">
        <v>4659</v>
      </c>
      <c r="B599" s="317" t="s">
        <v>3916</v>
      </c>
      <c r="C599" s="317">
        <v>0.87</v>
      </c>
      <c r="D599" s="317">
        <v>0.84</v>
      </c>
      <c r="E599" s="318">
        <v>13.71</v>
      </c>
      <c r="F599" s="317">
        <v>1.34</v>
      </c>
      <c r="G599" s="317">
        <v>5.3</v>
      </c>
      <c r="H599" s="319">
        <v>52.5</v>
      </c>
      <c r="I599" s="320">
        <v>55</v>
      </c>
      <c r="J599" s="320">
        <v>2.1</v>
      </c>
      <c r="K599" s="57">
        <f t="shared" si="50"/>
        <v>8.1541000000000002E-2</v>
      </c>
      <c r="L599" s="310">
        <f t="shared" si="51"/>
        <v>0.10231343283582089</v>
      </c>
      <c r="M599" s="405">
        <f t="shared" si="52"/>
        <v>-57.003205589005653</v>
      </c>
      <c r="N599" s="63">
        <f t="shared" si="53"/>
        <v>-1.9210008359622115</v>
      </c>
    </row>
    <row r="600" spans="1:14" ht="18" x14ac:dyDescent="0.25">
      <c r="A600" s="317" t="s">
        <v>415</v>
      </c>
      <c r="B600" s="317"/>
      <c r="C600" s="317">
        <v>1.27</v>
      </c>
      <c r="D600" s="317">
        <v>2.0299999999999998</v>
      </c>
      <c r="E600" s="318">
        <v>13.55</v>
      </c>
      <c r="F600" s="317">
        <v>2.02</v>
      </c>
      <c r="G600" s="317">
        <v>4.8</v>
      </c>
      <c r="H600" s="319">
        <v>37.93</v>
      </c>
      <c r="I600" s="320">
        <v>38.5</v>
      </c>
      <c r="J600" s="320">
        <v>2.6</v>
      </c>
      <c r="K600" s="57">
        <f t="shared" si="50"/>
        <v>9.9261000000000002E-2</v>
      </c>
      <c r="L600" s="310">
        <f t="shared" si="51"/>
        <v>6.7079207920792083E-2</v>
      </c>
      <c r="M600" s="405">
        <f t="shared" si="52"/>
        <v>3.839849864706264</v>
      </c>
      <c r="N600" s="63">
        <f t="shared" si="53"/>
        <v>8.8779903736943417</v>
      </c>
    </row>
    <row r="601" spans="1:14" ht="18" x14ac:dyDescent="0.25">
      <c r="A601" s="317" t="s">
        <v>5267</v>
      </c>
      <c r="B601" s="317" t="s">
        <v>5268</v>
      </c>
      <c r="C601" s="317">
        <v>0.86</v>
      </c>
      <c r="D601" s="317">
        <v>2.0099999999999998</v>
      </c>
      <c r="E601" s="318">
        <v>13.91</v>
      </c>
      <c r="F601" s="317">
        <v>1.25</v>
      </c>
      <c r="G601" s="317">
        <v>2.7</v>
      </c>
      <c r="H601" s="319">
        <v>37.28</v>
      </c>
      <c r="I601" s="320">
        <v>43</v>
      </c>
      <c r="J601" s="320">
        <v>2.1</v>
      </c>
      <c r="K601" s="57">
        <f t="shared" si="50"/>
        <v>8.1098000000000003E-2</v>
      </c>
      <c r="L601" s="310">
        <f t="shared" si="51"/>
        <v>0.11128</v>
      </c>
      <c r="M601" s="405">
        <f t="shared" si="52"/>
        <v>30.839707918867212</v>
      </c>
      <c r="N601" s="63">
        <f t="shared" si="53"/>
        <v>0.2088311633195698</v>
      </c>
    </row>
    <row r="602" spans="1:14" ht="18" x14ac:dyDescent="0.25">
      <c r="A602" s="317" t="s">
        <v>3464</v>
      </c>
      <c r="B602" s="317" t="s">
        <v>3465</v>
      </c>
      <c r="C602" s="317">
        <v>1.55</v>
      </c>
      <c r="D602" s="317">
        <v>5.78</v>
      </c>
      <c r="E602" s="318">
        <v>21.33</v>
      </c>
      <c r="F602" s="317">
        <v>1.01</v>
      </c>
      <c r="G602" s="317">
        <v>0.4</v>
      </c>
      <c r="H602" s="319">
        <v>159.94999999999999</v>
      </c>
      <c r="I602" s="320">
        <v>195</v>
      </c>
      <c r="J602" s="320">
        <v>1</v>
      </c>
      <c r="K602" s="57">
        <f t="shared" si="50"/>
        <v>0.11166500000000001</v>
      </c>
      <c r="L602" s="310">
        <f t="shared" si="51"/>
        <v>0.21118811881188115</v>
      </c>
      <c r="M602" s="405">
        <f t="shared" si="52"/>
        <v>135.03094335677483</v>
      </c>
      <c r="N602" s="63">
        <f t="shared" si="53"/>
        <v>0.18454330558429674</v>
      </c>
    </row>
    <row r="603" spans="1:14" ht="18" x14ac:dyDescent="0.25">
      <c r="A603" s="317" t="s">
        <v>3917</v>
      </c>
      <c r="B603" s="317" t="s">
        <v>3918</v>
      </c>
      <c r="C603" s="317">
        <v>1.06</v>
      </c>
      <c r="D603" s="317">
        <v>6.47</v>
      </c>
      <c r="E603" s="318">
        <v>9.6</v>
      </c>
      <c r="F603" s="317">
        <v>0.94</v>
      </c>
      <c r="G603" s="317">
        <v>0.5</v>
      </c>
      <c r="H603" s="319">
        <v>77.7</v>
      </c>
      <c r="I603" s="320">
        <v>96</v>
      </c>
      <c r="J603" s="320">
        <v>2.2999999999999998</v>
      </c>
      <c r="K603" s="57">
        <f t="shared" si="50"/>
        <v>8.995800000000001E-2</v>
      </c>
      <c r="L603" s="310">
        <f t="shared" si="51"/>
        <v>0.10212765957446809</v>
      </c>
      <c r="M603" s="405">
        <f t="shared" si="52"/>
        <v>150.23632356254396</v>
      </c>
      <c r="N603" s="63">
        <f t="shared" si="53"/>
        <v>-0.48281482029441969</v>
      </c>
    </row>
    <row r="604" spans="1:14" ht="18" x14ac:dyDescent="0.25">
      <c r="A604" s="317" t="s">
        <v>3253</v>
      </c>
      <c r="B604" s="317" t="s">
        <v>3254</v>
      </c>
      <c r="C604" s="317">
        <v>2.42</v>
      </c>
      <c r="D604" s="317">
        <v>0.4</v>
      </c>
      <c r="E604" s="318">
        <v>18.22</v>
      </c>
      <c r="F604" s="317">
        <v>1.94</v>
      </c>
      <c r="G604" s="317">
        <v>0</v>
      </c>
      <c r="H604" s="319">
        <v>15.85</v>
      </c>
      <c r="I604" s="320">
        <v>18</v>
      </c>
      <c r="J604" s="320">
        <v>1.5</v>
      </c>
      <c r="K604" s="57">
        <f t="shared" si="50"/>
        <v>0.15020600000000001</v>
      </c>
      <c r="L604" s="310">
        <f t="shared" si="51"/>
        <v>9.3917525773195884E-2</v>
      </c>
      <c r="M604" s="405">
        <f t="shared" si="52"/>
        <v>4.5389060537682671</v>
      </c>
      <c r="N604" s="63">
        <f t="shared" si="53"/>
        <v>2.4920308577087855</v>
      </c>
    </row>
    <row r="605" spans="1:14" ht="18" x14ac:dyDescent="0.25">
      <c r="A605" s="317" t="s">
        <v>160</v>
      </c>
      <c r="B605" s="317" t="s">
        <v>161</v>
      </c>
      <c r="C605" s="317">
        <v>1.0900000000000001</v>
      </c>
      <c r="D605" s="317">
        <v>1.08</v>
      </c>
      <c r="E605" s="318">
        <v>10.4</v>
      </c>
      <c r="F605" s="317">
        <v>0.63</v>
      </c>
      <c r="G605" s="317">
        <v>0</v>
      </c>
      <c r="H605" s="319">
        <v>13.41</v>
      </c>
      <c r="I605" s="320">
        <v>18</v>
      </c>
      <c r="J605" s="320">
        <v>2.6</v>
      </c>
      <c r="K605" s="57">
        <f t="shared" si="50"/>
        <v>9.1287000000000007E-2</v>
      </c>
      <c r="L605" s="310">
        <f t="shared" si="51"/>
        <v>0.1650793650793651</v>
      </c>
      <c r="M605" s="405">
        <f t="shared" si="52"/>
        <v>33.276004952217235</v>
      </c>
      <c r="N605" s="63">
        <f t="shared" si="53"/>
        <v>-0.59700691175950582</v>
      </c>
    </row>
    <row r="606" spans="1:14" ht="18" x14ac:dyDescent="0.25">
      <c r="A606" s="317" t="s">
        <v>1610</v>
      </c>
      <c r="B606" s="317"/>
      <c r="C606" s="317"/>
      <c r="D606" s="317"/>
      <c r="E606" s="318"/>
      <c r="F606" s="317"/>
      <c r="G606" s="317"/>
      <c r="H606" s="319"/>
      <c r="I606" s="320"/>
      <c r="J606" s="320"/>
      <c r="K606" s="57">
        <f t="shared" si="50"/>
        <v>4.2999999999999997E-2</v>
      </c>
      <c r="L606" s="310" t="e">
        <f t="shared" si="51"/>
        <v>#DIV/0!</v>
      </c>
      <c r="M606" s="405" t="e">
        <f t="shared" si="52"/>
        <v>#DIV/0!</v>
      </c>
      <c r="N606" s="63" t="e">
        <f t="shared" si="53"/>
        <v>#DIV/0!</v>
      </c>
    </row>
    <row r="607" spans="1:14" ht="18" x14ac:dyDescent="0.25">
      <c r="A607" s="317" t="s">
        <v>575</v>
      </c>
      <c r="B607" s="317" t="s">
        <v>576</v>
      </c>
      <c r="C607" s="317">
        <v>4.45</v>
      </c>
      <c r="D607" s="317">
        <v>-1.68</v>
      </c>
      <c r="E607" s="318">
        <v>0</v>
      </c>
      <c r="F607" s="317">
        <v>-0.19</v>
      </c>
      <c r="G607" s="317">
        <v>0</v>
      </c>
      <c r="H607" s="319">
        <v>27.97</v>
      </c>
      <c r="I607" s="320">
        <v>36.5</v>
      </c>
      <c r="J607" s="320">
        <v>2.2000000000000002</v>
      </c>
      <c r="K607" s="57">
        <f t="shared" si="50"/>
        <v>0.24013500000000004</v>
      </c>
      <c r="L607" s="310">
        <f t="shared" si="51"/>
        <v>0</v>
      </c>
      <c r="M607" s="405">
        <f t="shared" si="52"/>
        <v>-8.5239395310257091</v>
      </c>
      <c r="N607" s="63">
        <f t="shared" si="53"/>
        <v>-4.2813466001481935</v>
      </c>
    </row>
    <row r="608" spans="1:14" ht="18" x14ac:dyDescent="0.25">
      <c r="A608" s="317" t="s">
        <v>384</v>
      </c>
      <c r="B608" s="317" t="s">
        <v>385</v>
      </c>
      <c r="C608" s="317">
        <v>3.06</v>
      </c>
      <c r="D608" s="317">
        <v>0.02</v>
      </c>
      <c r="E608" s="318">
        <v>78</v>
      </c>
      <c r="F608" s="317">
        <v>-1.32</v>
      </c>
      <c r="G608" s="317">
        <v>0</v>
      </c>
      <c r="H608" s="319">
        <v>0.78</v>
      </c>
      <c r="I608" s="320">
        <v>6.5</v>
      </c>
      <c r="J608" s="320">
        <v>1</v>
      </c>
      <c r="K608" s="57">
        <f t="shared" si="50"/>
        <v>0.17855799999999999</v>
      </c>
      <c r="L608" s="310">
        <f t="shared" si="51"/>
        <v>-0.59090909090909083</v>
      </c>
      <c r="M608" s="405">
        <f t="shared" si="52"/>
        <v>3.1185677092557675E-2</v>
      </c>
      <c r="N608" s="63">
        <f t="shared" si="53"/>
        <v>24.011481959650752</v>
      </c>
    </row>
    <row r="609" spans="1:14" ht="18" x14ac:dyDescent="0.25">
      <c r="A609" s="317" t="s">
        <v>162</v>
      </c>
      <c r="B609" s="317" t="s">
        <v>163</v>
      </c>
      <c r="C609" s="317">
        <v>1.02</v>
      </c>
      <c r="D609" s="317">
        <v>1.6</v>
      </c>
      <c r="E609" s="318">
        <v>17.170000000000002</v>
      </c>
      <c r="F609" s="317">
        <v>1.22</v>
      </c>
      <c r="G609" s="317">
        <v>0</v>
      </c>
      <c r="H609" s="319">
        <v>36.06</v>
      </c>
      <c r="I609" s="320">
        <v>38</v>
      </c>
      <c r="J609" s="320">
        <v>2</v>
      </c>
      <c r="K609" s="57">
        <f t="shared" si="50"/>
        <v>8.8186E-2</v>
      </c>
      <c r="L609" s="310">
        <f t="shared" si="51"/>
        <v>0.14073770491803281</v>
      </c>
      <c r="M609" s="405">
        <f t="shared" si="52"/>
        <v>47.624097359993982</v>
      </c>
      <c r="N609" s="63">
        <f t="shared" si="53"/>
        <v>-0.24282029478858433</v>
      </c>
    </row>
    <row r="610" spans="1:14" ht="18" x14ac:dyDescent="0.25">
      <c r="A610" s="317" t="s">
        <v>3919</v>
      </c>
      <c r="B610" s="317" t="s">
        <v>3920</v>
      </c>
      <c r="C610" s="317">
        <v>3.31</v>
      </c>
      <c r="D610" s="317">
        <v>2.4900000000000002</v>
      </c>
      <c r="E610" s="318">
        <v>6.76</v>
      </c>
      <c r="F610" s="317">
        <v>0.88</v>
      </c>
      <c r="G610" s="317">
        <v>1.4</v>
      </c>
      <c r="H610" s="319">
        <v>27.37</v>
      </c>
      <c r="I610" s="320">
        <v>32</v>
      </c>
      <c r="J610" s="320">
        <v>2.6</v>
      </c>
      <c r="K610" s="57">
        <f t="shared" si="50"/>
        <v>0.189633</v>
      </c>
      <c r="L610" s="310">
        <f t="shared" si="51"/>
        <v>7.6818181818181813E-2</v>
      </c>
      <c r="M610" s="405">
        <f t="shared" si="52"/>
        <v>17.049600197382397</v>
      </c>
      <c r="N610" s="63">
        <f t="shared" si="53"/>
        <v>0.60531623516908517</v>
      </c>
    </row>
    <row r="611" spans="1:14" ht="18" x14ac:dyDescent="0.25">
      <c r="A611" s="317" t="s">
        <v>164</v>
      </c>
      <c r="B611" s="317" t="s">
        <v>165</v>
      </c>
      <c r="C611" s="317">
        <v>1.84</v>
      </c>
      <c r="D611" s="317">
        <v>4.67</v>
      </c>
      <c r="E611" s="318">
        <v>16.5</v>
      </c>
      <c r="F611" s="317">
        <v>1.34</v>
      </c>
      <c r="G611" s="317">
        <v>1.1000000000000001</v>
      </c>
      <c r="H611" s="319">
        <v>102.96</v>
      </c>
      <c r="I611" s="320">
        <v>90</v>
      </c>
      <c r="J611" s="320">
        <v>1</v>
      </c>
      <c r="K611" s="57">
        <f t="shared" si="50"/>
        <v>0.12451200000000001</v>
      </c>
      <c r="L611" s="310">
        <f t="shared" si="51"/>
        <v>0.12313432835820894</v>
      </c>
      <c r="M611" s="405">
        <f t="shared" si="52"/>
        <v>57.365353078340917</v>
      </c>
      <c r="N611" s="63">
        <f t="shared" si="53"/>
        <v>0.79481158007330333</v>
      </c>
    </row>
    <row r="612" spans="1:14" ht="18" x14ac:dyDescent="0.25">
      <c r="A612" s="317" t="s">
        <v>5058</v>
      </c>
      <c r="B612" s="317"/>
      <c r="C612" s="317">
        <v>1.46</v>
      </c>
      <c r="D612" s="317">
        <v>8.2899999999999991</v>
      </c>
      <c r="E612" s="318">
        <v>19.22</v>
      </c>
      <c r="F612" s="317">
        <v>1.35</v>
      </c>
      <c r="G612" s="317">
        <v>0</v>
      </c>
      <c r="H612" s="319">
        <v>26.14</v>
      </c>
      <c r="I612" s="320">
        <v>29</v>
      </c>
      <c r="J612" s="320">
        <v>1.8</v>
      </c>
      <c r="K612" s="57">
        <f t="shared" si="50"/>
        <v>0.10767800000000001</v>
      </c>
      <c r="L612" s="310">
        <f t="shared" si="51"/>
        <v>0.14237037037037037</v>
      </c>
      <c r="M612" s="405">
        <f t="shared" si="52"/>
        <v>179.06745114938479</v>
      </c>
      <c r="N612" s="63">
        <f t="shared" si="53"/>
        <v>-0.85402148837092107</v>
      </c>
    </row>
    <row r="613" spans="1:14" ht="18" x14ac:dyDescent="0.25">
      <c r="A613" s="317" t="s">
        <v>4877</v>
      </c>
      <c r="B613" s="317" t="s">
        <v>4878</v>
      </c>
      <c r="C613" s="317">
        <v>2.96</v>
      </c>
      <c r="D613" s="317">
        <v>-0.8</v>
      </c>
      <c r="E613" s="318">
        <v>14.75</v>
      </c>
      <c r="F613" s="317">
        <v>1.97</v>
      </c>
      <c r="G613" s="317">
        <v>0</v>
      </c>
      <c r="H613" s="319">
        <v>16.809999999999999</v>
      </c>
      <c r="I613" s="320">
        <v>21</v>
      </c>
      <c r="J613" s="320">
        <v>2</v>
      </c>
      <c r="K613" s="57">
        <f t="shared" si="50"/>
        <v>0.174128</v>
      </c>
      <c r="L613" s="310">
        <f t="shared" si="51"/>
        <v>7.487309644670051E-2</v>
      </c>
      <c r="M613" s="405">
        <f t="shared" si="52"/>
        <v>-7.1025766755032418</v>
      </c>
      <c r="N613" s="63">
        <f t="shared" si="53"/>
        <v>-3.3667467129186539</v>
      </c>
    </row>
    <row r="614" spans="1:14" ht="18" x14ac:dyDescent="0.25">
      <c r="A614" s="317" t="s">
        <v>577</v>
      </c>
      <c r="B614" s="317" t="s">
        <v>246</v>
      </c>
      <c r="C614" s="317">
        <v>2.25</v>
      </c>
      <c r="D614" s="317">
        <v>0.6</v>
      </c>
      <c r="E614" s="318">
        <v>13.09</v>
      </c>
      <c r="F614" s="317">
        <v>1.1399999999999999</v>
      </c>
      <c r="G614" s="317">
        <v>0</v>
      </c>
      <c r="H614" s="319">
        <v>11.26</v>
      </c>
      <c r="I614" s="320">
        <v>12.5</v>
      </c>
      <c r="J614" s="320">
        <v>1.9</v>
      </c>
      <c r="K614" s="57">
        <f t="shared" si="50"/>
        <v>0.142675</v>
      </c>
      <c r="L614" s="310">
        <f t="shared" si="51"/>
        <v>0.11482456140350879</v>
      </c>
      <c r="M614" s="405">
        <f t="shared" si="52"/>
        <v>7.8290138053632576</v>
      </c>
      <c r="N614" s="63">
        <f t="shared" si="53"/>
        <v>0.43823989584567452</v>
      </c>
    </row>
    <row r="615" spans="1:14" ht="18" x14ac:dyDescent="0.25">
      <c r="A615" s="317" t="s">
        <v>1611</v>
      </c>
      <c r="B615" s="317"/>
      <c r="C615" s="317">
        <v>1.57</v>
      </c>
      <c r="D615" s="317">
        <v>1.3</v>
      </c>
      <c r="E615" s="318">
        <v>19.809999999999999</v>
      </c>
      <c r="F615" s="317">
        <v>1.07</v>
      </c>
      <c r="G615" s="317">
        <v>0</v>
      </c>
      <c r="H615" s="319">
        <v>41.41</v>
      </c>
      <c r="I615" s="320">
        <v>49.5</v>
      </c>
      <c r="J615" s="320">
        <v>2</v>
      </c>
      <c r="K615" s="57">
        <f t="shared" si="50"/>
        <v>0.11255100000000001</v>
      </c>
      <c r="L615" s="310">
        <f t="shared" si="51"/>
        <v>0.18514018691588785</v>
      </c>
      <c r="M615" s="405">
        <f t="shared" si="52"/>
        <v>30.69922457741286</v>
      </c>
      <c r="N615" s="63">
        <f t="shared" si="53"/>
        <v>0.3488940053055169</v>
      </c>
    </row>
    <row r="616" spans="1:14" ht="18" x14ac:dyDescent="0.25">
      <c r="A616" s="317" t="s">
        <v>3921</v>
      </c>
      <c r="B616" s="317" t="s">
        <v>3922</v>
      </c>
      <c r="C616" s="317">
        <v>0.56999999999999995</v>
      </c>
      <c r="D616" s="317">
        <v>2.97</v>
      </c>
      <c r="E616" s="318">
        <v>15.46</v>
      </c>
      <c r="F616" s="317">
        <v>2.38</v>
      </c>
      <c r="G616" s="317">
        <v>3.5</v>
      </c>
      <c r="H616" s="319">
        <v>51.31</v>
      </c>
      <c r="I616" s="320">
        <v>52</v>
      </c>
      <c r="J616" s="320">
        <v>2.4</v>
      </c>
      <c r="K616" s="57">
        <f t="shared" si="50"/>
        <v>6.8251000000000006E-2</v>
      </c>
      <c r="L616" s="310">
        <f t="shared" si="51"/>
        <v>6.4957983193277322E-2</v>
      </c>
      <c r="M616" s="405">
        <f t="shared" si="52"/>
        <v>41.683598976431547</v>
      </c>
      <c r="N616" s="63">
        <f t="shared" si="53"/>
        <v>0.23093977631373308</v>
      </c>
    </row>
    <row r="617" spans="1:14" ht="18" x14ac:dyDescent="0.25">
      <c r="A617" s="317" t="s">
        <v>1219</v>
      </c>
      <c r="B617" s="317" t="s">
        <v>1220</v>
      </c>
      <c r="C617" s="317">
        <v>0.77</v>
      </c>
      <c r="D617" s="317">
        <v>1.94</v>
      </c>
      <c r="E617" s="318">
        <v>10.08</v>
      </c>
      <c r="F617" s="317">
        <v>1.78</v>
      </c>
      <c r="G617" s="317">
        <v>1.1000000000000001</v>
      </c>
      <c r="H617" s="319">
        <v>53.64</v>
      </c>
      <c r="I617" s="320">
        <v>67</v>
      </c>
      <c r="J617" s="320">
        <v>2.2999999999999998</v>
      </c>
      <c r="K617" s="57">
        <f t="shared" si="50"/>
        <v>7.7110999999999999E-2</v>
      </c>
      <c r="L617" s="310">
        <f t="shared" si="51"/>
        <v>5.6629213483146063E-2</v>
      </c>
      <c r="M617" s="405">
        <f t="shared" si="52"/>
        <v>36.329332774170148</v>
      </c>
      <c r="N617" s="63">
        <f t="shared" si="53"/>
        <v>0.47649284762360383</v>
      </c>
    </row>
    <row r="618" spans="1:14" ht="18" x14ac:dyDescent="0.25">
      <c r="A618" s="317" t="s">
        <v>5059</v>
      </c>
      <c r="B618" s="317"/>
      <c r="C618" s="317">
        <v>2.4500000000000002</v>
      </c>
      <c r="D618" s="317">
        <v>1</v>
      </c>
      <c r="E618" s="318">
        <v>13.22</v>
      </c>
      <c r="F618" s="317">
        <v>1.8</v>
      </c>
      <c r="G618" s="317">
        <v>1.1000000000000001</v>
      </c>
      <c r="H618" s="319">
        <v>36.74</v>
      </c>
      <c r="I618" s="320">
        <v>43</v>
      </c>
      <c r="J618" s="320">
        <v>2.1</v>
      </c>
      <c r="K618" s="57">
        <f t="shared" si="50"/>
        <v>0.15153500000000003</v>
      </c>
      <c r="L618" s="310">
        <f t="shared" si="51"/>
        <v>7.3444444444444451E-2</v>
      </c>
      <c r="M618" s="405">
        <f t="shared" si="52"/>
        <v>6.2320098921074587</v>
      </c>
      <c r="N618" s="63">
        <f t="shared" si="53"/>
        <v>4.8953693328583201</v>
      </c>
    </row>
    <row r="619" spans="1:14" ht="18" x14ac:dyDescent="0.25">
      <c r="A619" s="317" t="s">
        <v>166</v>
      </c>
      <c r="B619" s="317" t="s">
        <v>167</v>
      </c>
      <c r="C619" s="317">
        <v>1.1399999999999999</v>
      </c>
      <c r="D619" s="317">
        <v>1.65</v>
      </c>
      <c r="E619" s="318">
        <v>7.23</v>
      </c>
      <c r="F619" s="317">
        <v>0.61</v>
      </c>
      <c r="G619" s="317">
        <v>0</v>
      </c>
      <c r="H619" s="319">
        <v>16.55</v>
      </c>
      <c r="I619" s="320">
        <v>22.5</v>
      </c>
      <c r="J619" s="320">
        <v>1.9</v>
      </c>
      <c r="K619" s="57">
        <f t="shared" si="50"/>
        <v>9.3502000000000002E-2</v>
      </c>
      <c r="L619" s="310">
        <f t="shared" si="51"/>
        <v>0.11852459016393445</v>
      </c>
      <c r="M619" s="405">
        <f t="shared" si="52"/>
        <v>40.767791199709549</v>
      </c>
      <c r="N619" s="63">
        <f t="shared" si="53"/>
        <v>-0.59404226932662685</v>
      </c>
    </row>
    <row r="620" spans="1:14" ht="18" x14ac:dyDescent="0.25">
      <c r="A620" s="317" t="s">
        <v>3923</v>
      </c>
      <c r="B620" s="317" t="s">
        <v>3924</v>
      </c>
      <c r="C620" s="317">
        <v>1.37</v>
      </c>
      <c r="D620" s="317">
        <v>2.84</v>
      </c>
      <c r="E620" s="318">
        <v>13.26</v>
      </c>
      <c r="F620" s="317">
        <v>0.98</v>
      </c>
      <c r="G620" s="317">
        <v>2.2000000000000002</v>
      </c>
      <c r="H620" s="319">
        <v>60.46</v>
      </c>
      <c r="I620" s="320">
        <v>69</v>
      </c>
      <c r="J620" s="320">
        <v>2.1</v>
      </c>
      <c r="K620" s="57">
        <f t="shared" si="50"/>
        <v>0.10369100000000001</v>
      </c>
      <c r="L620" s="310">
        <f t="shared" si="51"/>
        <v>0.1353061224489796</v>
      </c>
      <c r="M620" s="405">
        <f t="shared" si="52"/>
        <v>33.682980067345405</v>
      </c>
      <c r="N620" s="63">
        <f t="shared" si="53"/>
        <v>0.79497181897554481</v>
      </c>
    </row>
    <row r="621" spans="1:14" ht="18" x14ac:dyDescent="0.25">
      <c r="A621" s="317" t="s">
        <v>3925</v>
      </c>
      <c r="B621" s="317" t="s">
        <v>3926</v>
      </c>
      <c r="C621" s="317">
        <v>2.2000000000000002</v>
      </c>
      <c r="D621" s="317">
        <v>2.48</v>
      </c>
      <c r="E621" s="318">
        <v>24.87</v>
      </c>
      <c r="F621" s="317">
        <v>1.34</v>
      </c>
      <c r="G621" s="317">
        <v>0.5</v>
      </c>
      <c r="H621" s="319">
        <v>58.19</v>
      </c>
      <c r="I621" s="320">
        <v>70</v>
      </c>
      <c r="J621" s="320">
        <v>2.2000000000000002</v>
      </c>
      <c r="K621" s="57">
        <f t="shared" si="50"/>
        <v>0.14046000000000003</v>
      </c>
      <c r="L621" s="310">
        <f t="shared" si="51"/>
        <v>0.18559701492537314</v>
      </c>
      <c r="M621" s="405">
        <f t="shared" si="52"/>
        <v>37.290924027067092</v>
      </c>
      <c r="N621" s="63">
        <f t="shared" si="53"/>
        <v>0.56043330966439997</v>
      </c>
    </row>
    <row r="622" spans="1:14" ht="18" x14ac:dyDescent="0.25">
      <c r="A622" s="317" t="s">
        <v>2129</v>
      </c>
      <c r="B622" s="317" t="s">
        <v>1750</v>
      </c>
      <c r="C622" s="317">
        <v>1</v>
      </c>
      <c r="D622" s="317">
        <v>3.92</v>
      </c>
      <c r="E622" s="318">
        <v>7.21</v>
      </c>
      <c r="F622" s="317">
        <v>0.8</v>
      </c>
      <c r="G622" s="317">
        <v>0.8</v>
      </c>
      <c r="H622" s="319">
        <v>41.07</v>
      </c>
      <c r="I622" s="320">
        <v>54</v>
      </c>
      <c r="J622" s="320">
        <v>1.9</v>
      </c>
      <c r="K622" s="57">
        <f t="shared" si="50"/>
        <v>8.7300000000000003E-2</v>
      </c>
      <c r="L622" s="310">
        <f t="shared" si="51"/>
        <v>9.0124999999999997E-2</v>
      </c>
      <c r="M622" s="405">
        <f t="shared" si="52"/>
        <v>88.973544105442215</v>
      </c>
      <c r="N622" s="63">
        <f t="shared" si="53"/>
        <v>-0.53840211252765091</v>
      </c>
    </row>
    <row r="623" spans="1:14" ht="18" x14ac:dyDescent="0.25">
      <c r="A623" s="317" t="s">
        <v>1612</v>
      </c>
      <c r="B623" s="317"/>
      <c r="C623" s="317">
        <v>1.63</v>
      </c>
      <c r="D623" s="317">
        <v>-7.0000000000000007E-2</v>
      </c>
      <c r="E623" s="318">
        <v>7.65</v>
      </c>
      <c r="F623" s="317">
        <v>1.54</v>
      </c>
      <c r="G623" s="317">
        <v>7.5</v>
      </c>
      <c r="H623" s="319">
        <v>23.48</v>
      </c>
      <c r="I623" s="320">
        <v>25.5</v>
      </c>
      <c r="J623" s="320">
        <v>2.5</v>
      </c>
      <c r="K623" s="57">
        <f t="shared" si="50"/>
        <v>0.11520900000000001</v>
      </c>
      <c r="L623" s="310">
        <f t="shared" si="51"/>
        <v>4.9675324675324671E-2</v>
      </c>
      <c r="M623" s="405">
        <f t="shared" si="52"/>
        <v>-25.217266984758059</v>
      </c>
      <c r="N623" s="63">
        <f t="shared" si="53"/>
        <v>-1.9311080385591308</v>
      </c>
    </row>
    <row r="624" spans="1:14" ht="18" x14ac:dyDescent="0.25">
      <c r="A624" s="317" t="s">
        <v>3927</v>
      </c>
      <c r="B624" s="317" t="s">
        <v>3928</v>
      </c>
      <c r="C624" s="317">
        <v>0.49</v>
      </c>
      <c r="D624" s="317">
        <v>1.38</v>
      </c>
      <c r="E624" s="318">
        <v>10.57</v>
      </c>
      <c r="F624" s="317">
        <v>1.26</v>
      </c>
      <c r="G624" s="317">
        <v>3.4</v>
      </c>
      <c r="H624" s="319">
        <v>17.12</v>
      </c>
      <c r="I624" s="320">
        <v>20</v>
      </c>
      <c r="J624" s="320">
        <v>2.4</v>
      </c>
      <c r="K624" s="57">
        <f t="shared" si="50"/>
        <v>6.4707000000000001E-2</v>
      </c>
      <c r="L624" s="310">
        <f t="shared" si="51"/>
        <v>8.3888888888888888E-2</v>
      </c>
      <c r="M624" s="405">
        <f t="shared" si="52"/>
        <v>34.526955325094455</v>
      </c>
      <c r="N624" s="63">
        <f t="shared" si="53"/>
        <v>-0.50415552605772185</v>
      </c>
    </row>
    <row r="625" spans="1:14" ht="18" x14ac:dyDescent="0.25">
      <c r="A625" s="317" t="s">
        <v>1613</v>
      </c>
      <c r="B625" s="317"/>
      <c r="C625" s="317">
        <v>2.1800000000000002</v>
      </c>
      <c r="D625" s="317">
        <v>2.46</v>
      </c>
      <c r="E625" s="318">
        <v>5.41</v>
      </c>
      <c r="F625" s="317">
        <v>0.33</v>
      </c>
      <c r="G625" s="317">
        <v>0</v>
      </c>
      <c r="H625" s="319">
        <v>18.170000000000002</v>
      </c>
      <c r="I625" s="320">
        <v>24</v>
      </c>
      <c r="J625" s="320">
        <v>2</v>
      </c>
      <c r="K625" s="57">
        <f t="shared" si="50"/>
        <v>0.13957400000000003</v>
      </c>
      <c r="L625" s="310">
        <f t="shared" si="51"/>
        <v>0.16393939393939394</v>
      </c>
      <c r="M625" s="405">
        <f t="shared" si="52"/>
        <v>39.238534755910408</v>
      </c>
      <c r="N625" s="63">
        <f t="shared" si="53"/>
        <v>-0.53693479858436621</v>
      </c>
    </row>
    <row r="626" spans="1:14" ht="18" x14ac:dyDescent="0.25">
      <c r="A626" s="317" t="s">
        <v>3929</v>
      </c>
      <c r="B626" s="317" t="s">
        <v>3930</v>
      </c>
      <c r="C626" s="317">
        <v>0.5</v>
      </c>
      <c r="D626" s="317">
        <v>1.6</v>
      </c>
      <c r="E626" s="318">
        <v>16.52</v>
      </c>
      <c r="F626" s="317">
        <v>1.72</v>
      </c>
      <c r="G626" s="317">
        <v>1.7</v>
      </c>
      <c r="H626" s="319">
        <v>28.91</v>
      </c>
      <c r="I626" s="320">
        <v>27</v>
      </c>
      <c r="J626" s="320">
        <v>3</v>
      </c>
      <c r="K626" s="57">
        <f t="shared" si="50"/>
        <v>6.515E-2</v>
      </c>
      <c r="L626" s="310">
        <f t="shared" si="51"/>
        <v>9.6046511627906964E-2</v>
      </c>
      <c r="M626" s="405">
        <f t="shared" si="52"/>
        <v>49.746926233228528</v>
      </c>
      <c r="N626" s="63">
        <f t="shared" si="53"/>
        <v>-0.4188585669703242</v>
      </c>
    </row>
    <row r="627" spans="1:14" ht="18" x14ac:dyDescent="0.25">
      <c r="A627" s="317" t="s">
        <v>3931</v>
      </c>
      <c r="B627" s="317" t="s">
        <v>3932</v>
      </c>
      <c r="C627" s="317">
        <v>0.9</v>
      </c>
      <c r="D627" s="317">
        <v>4.8899999999999997</v>
      </c>
      <c r="E627" s="318">
        <v>9.4600000000000009</v>
      </c>
      <c r="F627" s="317">
        <v>1.2</v>
      </c>
      <c r="G627" s="317">
        <v>1.9</v>
      </c>
      <c r="H627" s="319">
        <v>48.05</v>
      </c>
      <c r="I627" s="320">
        <v>57</v>
      </c>
      <c r="J627" s="320">
        <v>1.8</v>
      </c>
      <c r="K627" s="57">
        <f t="shared" si="50"/>
        <v>8.2869999999999999E-2</v>
      </c>
      <c r="L627" s="310">
        <f t="shared" si="51"/>
        <v>7.8833333333333352E-2</v>
      </c>
      <c r="M627" s="405">
        <f t="shared" si="52"/>
        <v>103.02052981513719</v>
      </c>
      <c r="N627" s="63">
        <f t="shared" si="53"/>
        <v>-0.53358811019296637</v>
      </c>
    </row>
    <row r="628" spans="1:14" ht="18" x14ac:dyDescent="0.25">
      <c r="A628" s="317" t="s">
        <v>2982</v>
      </c>
      <c r="B628" s="317" t="s">
        <v>2983</v>
      </c>
      <c r="C628" s="317">
        <v>2.4900000000000002</v>
      </c>
      <c r="D628" s="317">
        <v>-1.88</v>
      </c>
      <c r="E628" s="318">
        <v>0</v>
      </c>
      <c r="F628" s="317">
        <v>-0.98</v>
      </c>
      <c r="G628" s="317">
        <v>10.3</v>
      </c>
      <c r="H628" s="319">
        <v>1.75</v>
      </c>
      <c r="I628" s="320">
        <v>4.88</v>
      </c>
      <c r="J628" s="320">
        <v>2</v>
      </c>
      <c r="K628" s="57">
        <f t="shared" si="50"/>
        <v>0.15330700000000003</v>
      </c>
      <c r="L628" s="310">
        <f t="shared" si="51"/>
        <v>0</v>
      </c>
      <c r="M628" s="405">
        <f t="shared" si="52"/>
        <v>-16.510476203474756</v>
      </c>
      <c r="N628" s="63">
        <f t="shared" si="53"/>
        <v>-1.1059933086382874</v>
      </c>
    </row>
    <row r="629" spans="1:14" ht="18" x14ac:dyDescent="0.25">
      <c r="A629" s="317" t="s">
        <v>168</v>
      </c>
      <c r="B629" s="317" t="s">
        <v>169</v>
      </c>
      <c r="C629" s="317">
        <v>2.82</v>
      </c>
      <c r="D629" s="317">
        <v>1.66</v>
      </c>
      <c r="E629" s="318">
        <v>16.05</v>
      </c>
      <c r="F629" s="317">
        <v>0.95</v>
      </c>
      <c r="G629" s="317">
        <v>0</v>
      </c>
      <c r="H629" s="319">
        <v>34.340000000000003</v>
      </c>
      <c r="I629" s="320">
        <v>39</v>
      </c>
      <c r="J629" s="320">
        <v>1.7</v>
      </c>
      <c r="K629" s="57">
        <f t="shared" si="50"/>
        <v>0.16792600000000002</v>
      </c>
      <c r="L629" s="310">
        <f t="shared" si="51"/>
        <v>0.16894736842105262</v>
      </c>
      <c r="M629" s="405">
        <f t="shared" si="52"/>
        <v>20.952456801649483</v>
      </c>
      <c r="N629" s="63">
        <f t="shared" si="53"/>
        <v>0.63894861233154221</v>
      </c>
    </row>
    <row r="630" spans="1:14" ht="18" x14ac:dyDescent="0.25">
      <c r="A630" s="317" t="s">
        <v>4928</v>
      </c>
      <c r="B630" s="317" t="s">
        <v>2214</v>
      </c>
      <c r="C630" s="317">
        <v>2.5299999999999998</v>
      </c>
      <c r="D630" s="317">
        <v>1.82</v>
      </c>
      <c r="E630" s="318">
        <v>4.6500000000000004</v>
      </c>
      <c r="F630" s="317">
        <v>0.28000000000000003</v>
      </c>
      <c r="G630" s="317">
        <v>0</v>
      </c>
      <c r="H630" s="319">
        <v>5.95</v>
      </c>
      <c r="I630" s="320">
        <v>9.1</v>
      </c>
      <c r="J630" s="320">
        <v>2.4</v>
      </c>
      <c r="K630" s="57">
        <f t="shared" si="50"/>
        <v>0.15507900000000002</v>
      </c>
      <c r="L630" s="310">
        <f t="shared" si="51"/>
        <v>0.16607142857142856</v>
      </c>
      <c r="M630" s="405">
        <f t="shared" si="52"/>
        <v>25.300061325062721</v>
      </c>
      <c r="N630" s="63">
        <f t="shared" si="53"/>
        <v>-0.76482270443724909</v>
      </c>
    </row>
    <row r="631" spans="1:14" ht="18" x14ac:dyDescent="0.25">
      <c r="A631" s="317" t="s">
        <v>3933</v>
      </c>
      <c r="B631" s="317" t="s">
        <v>3934</v>
      </c>
      <c r="C631" s="317">
        <v>0.83</v>
      </c>
      <c r="D631" s="317">
        <v>2.15</v>
      </c>
      <c r="E631" s="318">
        <v>12.42</v>
      </c>
      <c r="F631" s="317">
        <v>1.41</v>
      </c>
      <c r="G631" s="317">
        <v>0</v>
      </c>
      <c r="H631" s="319">
        <v>55.88</v>
      </c>
      <c r="I631" s="320">
        <v>64</v>
      </c>
      <c r="J631" s="320">
        <v>1.9</v>
      </c>
      <c r="K631" s="57">
        <f t="shared" si="50"/>
        <v>7.9769000000000007E-2</v>
      </c>
      <c r="L631" s="310">
        <f t="shared" si="51"/>
        <v>8.8085106382978728E-2</v>
      </c>
      <c r="M631" s="405">
        <f t="shared" si="52"/>
        <v>61.959362242375008</v>
      </c>
      <c r="N631" s="63">
        <f t="shared" si="53"/>
        <v>-9.8118541288296723E-2</v>
      </c>
    </row>
    <row r="632" spans="1:14" ht="18" x14ac:dyDescent="0.25">
      <c r="A632" s="317" t="s">
        <v>3935</v>
      </c>
      <c r="B632" s="317" t="s">
        <v>3936</v>
      </c>
      <c r="C632" s="317">
        <v>2.42</v>
      </c>
      <c r="D632" s="317">
        <v>-0.17</v>
      </c>
      <c r="E632" s="318">
        <v>13.99</v>
      </c>
      <c r="F632" s="317">
        <v>1.83</v>
      </c>
      <c r="G632" s="317">
        <v>0.5</v>
      </c>
      <c r="H632" s="319">
        <v>17.2</v>
      </c>
      <c r="I632" s="320">
        <v>19</v>
      </c>
      <c r="J632" s="320">
        <v>2.2999999999999998</v>
      </c>
      <c r="K632" s="57">
        <f t="shared" si="50"/>
        <v>0.15020600000000001</v>
      </c>
      <c r="L632" s="310">
        <f t="shared" si="51"/>
        <v>7.6448087431693984E-2</v>
      </c>
      <c r="M632" s="405">
        <f t="shared" si="52"/>
        <v>-2.7353366847389076</v>
      </c>
      <c r="N632" s="63">
        <f t="shared" si="53"/>
        <v>-7.2880741869777426</v>
      </c>
    </row>
    <row r="633" spans="1:14" ht="18" x14ac:dyDescent="0.25">
      <c r="A633" s="317" t="s">
        <v>3937</v>
      </c>
      <c r="B633" s="317" t="s">
        <v>3938</v>
      </c>
      <c r="C633" s="317">
        <v>0.31</v>
      </c>
      <c r="D633" s="317">
        <v>2.21</v>
      </c>
      <c r="E633" s="318">
        <v>18.57</v>
      </c>
      <c r="F633" s="317">
        <v>2.68</v>
      </c>
      <c r="G633" s="317">
        <v>2.5</v>
      </c>
      <c r="H633" s="319">
        <v>56.46</v>
      </c>
      <c r="I633" s="320">
        <v>60</v>
      </c>
      <c r="J633" s="320">
        <v>2.6</v>
      </c>
      <c r="K633" s="57">
        <f t="shared" si="50"/>
        <v>5.6732999999999999E-2</v>
      </c>
      <c r="L633" s="310">
        <f t="shared" si="51"/>
        <v>6.9291044776119401E-2</v>
      </c>
      <c r="M633" s="405">
        <f t="shared" si="52"/>
        <v>44.945488931028514</v>
      </c>
      <c r="N633" s="63">
        <f t="shared" si="53"/>
        <v>0.25618835933993683</v>
      </c>
    </row>
    <row r="634" spans="1:14" ht="18" x14ac:dyDescent="0.25">
      <c r="A634" s="317" t="s">
        <v>3129</v>
      </c>
      <c r="B634" s="317" t="s">
        <v>3130</v>
      </c>
      <c r="C634" s="317"/>
      <c r="D634" s="317"/>
      <c r="E634" s="318"/>
      <c r="F634" s="317"/>
      <c r="G634" s="317"/>
      <c r="H634" s="319"/>
      <c r="I634" s="320"/>
      <c r="J634" s="320"/>
      <c r="K634" s="57">
        <f t="shared" si="50"/>
        <v>4.2999999999999997E-2</v>
      </c>
      <c r="L634" s="310" t="e">
        <f t="shared" si="51"/>
        <v>#DIV/0!</v>
      </c>
      <c r="M634" s="405" t="e">
        <f t="shared" si="52"/>
        <v>#DIV/0!</v>
      </c>
      <c r="N634" s="63" t="e">
        <f t="shared" si="53"/>
        <v>#DIV/0!</v>
      </c>
    </row>
    <row r="635" spans="1:14" ht="18" x14ac:dyDescent="0.25">
      <c r="A635" s="317" t="s">
        <v>2186</v>
      </c>
      <c r="B635" s="317" t="s">
        <v>2187</v>
      </c>
      <c r="C635" s="317">
        <v>2.61</v>
      </c>
      <c r="D635" s="317">
        <v>-0.12</v>
      </c>
      <c r="E635" s="318">
        <v>12.73</v>
      </c>
      <c r="F635" s="317">
        <v>1.61</v>
      </c>
      <c r="G635" s="317">
        <v>0</v>
      </c>
      <c r="H635" s="319">
        <v>16.68</v>
      </c>
      <c r="I635" s="320">
        <v>20.5</v>
      </c>
      <c r="J635" s="320">
        <v>1.6</v>
      </c>
      <c r="K635" s="57">
        <f t="shared" si="50"/>
        <v>0.15862300000000001</v>
      </c>
      <c r="L635" s="310">
        <f t="shared" si="51"/>
        <v>7.9068322981366457E-2</v>
      </c>
      <c r="M635" s="405">
        <f t="shared" si="52"/>
        <v>-1.2087846806717251</v>
      </c>
      <c r="N635" s="63">
        <f t="shared" si="53"/>
        <v>-14.798983612805944</v>
      </c>
    </row>
    <row r="636" spans="1:14" ht="18" x14ac:dyDescent="0.25">
      <c r="A636" s="317" t="s">
        <v>3939</v>
      </c>
      <c r="B636" s="317" t="s">
        <v>3940</v>
      </c>
      <c r="C636" s="317">
        <v>1.18</v>
      </c>
      <c r="D636" s="317">
        <v>6.47</v>
      </c>
      <c r="E636" s="318">
        <v>10.92</v>
      </c>
      <c r="F636" s="317">
        <v>2.98</v>
      </c>
      <c r="G636" s="317">
        <v>1.3</v>
      </c>
      <c r="H636" s="319">
        <v>75.66</v>
      </c>
      <c r="I636" s="320">
        <v>84</v>
      </c>
      <c r="J636" s="320">
        <v>2.1</v>
      </c>
      <c r="K636" s="57">
        <f t="shared" si="50"/>
        <v>9.5273999999999998E-2</v>
      </c>
      <c r="L636" s="310">
        <f t="shared" si="51"/>
        <v>3.6644295302013422E-2</v>
      </c>
      <c r="M636" s="405">
        <f t="shared" si="52"/>
        <v>94.948995587656015</v>
      </c>
      <c r="N636" s="63">
        <f t="shared" si="53"/>
        <v>-0.20315112833235396</v>
      </c>
    </row>
    <row r="637" spans="1:14" ht="18" x14ac:dyDescent="0.25">
      <c r="A637" s="317" t="s">
        <v>3757</v>
      </c>
      <c r="B637" s="317" t="s">
        <v>3758</v>
      </c>
      <c r="C637" s="317">
        <v>2.34</v>
      </c>
      <c r="D637" s="317">
        <v>0.11</v>
      </c>
      <c r="E637" s="318">
        <v>11.4</v>
      </c>
      <c r="F637" s="317">
        <v>2.11</v>
      </c>
      <c r="G637" s="317">
        <v>1.9</v>
      </c>
      <c r="H637" s="319">
        <v>20.63</v>
      </c>
      <c r="I637" s="320">
        <v>21</v>
      </c>
      <c r="J637" s="320">
        <v>2.1</v>
      </c>
      <c r="K637" s="57">
        <f t="shared" si="50"/>
        <v>0.14666200000000001</v>
      </c>
      <c r="L637" s="310">
        <f t="shared" si="51"/>
        <v>5.4028436018957349E-2</v>
      </c>
      <c r="M637" s="405">
        <f t="shared" si="52"/>
        <v>-2.8719329463169085</v>
      </c>
      <c r="N637" s="63">
        <f t="shared" si="53"/>
        <v>-8.183315343924308</v>
      </c>
    </row>
    <row r="638" spans="1:14" ht="18" x14ac:dyDescent="0.25">
      <c r="A638" s="317" t="s">
        <v>170</v>
      </c>
      <c r="B638" s="317" t="s">
        <v>171</v>
      </c>
      <c r="C638" s="317">
        <v>1.75</v>
      </c>
      <c r="D638" s="317">
        <v>0.49</v>
      </c>
      <c r="E638" s="318">
        <v>17.28</v>
      </c>
      <c r="F638" s="317">
        <v>1.39</v>
      </c>
      <c r="G638" s="317">
        <v>2.1</v>
      </c>
      <c r="H638" s="319">
        <v>16.760000000000002</v>
      </c>
      <c r="I638" s="320">
        <v>16</v>
      </c>
      <c r="J638" s="320">
        <v>1.5</v>
      </c>
      <c r="K638" s="57">
        <f t="shared" si="50"/>
        <v>0.12052500000000001</v>
      </c>
      <c r="L638" s="310">
        <f t="shared" si="51"/>
        <v>0.12431654676258994</v>
      </c>
      <c r="M638" s="405">
        <f t="shared" si="52"/>
        <v>2.355830876631043</v>
      </c>
      <c r="N638" s="63">
        <f t="shared" si="53"/>
        <v>6.1142628132829504</v>
      </c>
    </row>
    <row r="639" spans="1:14" ht="18" x14ac:dyDescent="0.25">
      <c r="A639" s="317" t="s">
        <v>247</v>
      </c>
      <c r="B639" s="317" t="s">
        <v>248</v>
      </c>
      <c r="C639" s="317">
        <v>3.48</v>
      </c>
      <c r="D639" s="317">
        <v>-0.55000000000000004</v>
      </c>
      <c r="E639" s="318">
        <v>54.47</v>
      </c>
      <c r="F639" s="317">
        <v>-1.53</v>
      </c>
      <c r="G639" s="317">
        <v>0</v>
      </c>
      <c r="H639" s="319">
        <v>9.26</v>
      </c>
      <c r="I639" s="320">
        <v>10</v>
      </c>
      <c r="J639" s="320">
        <v>2.2999999999999998</v>
      </c>
      <c r="K639" s="57">
        <f t="shared" si="50"/>
        <v>0.19716400000000001</v>
      </c>
      <c r="L639" s="310">
        <f t="shared" si="51"/>
        <v>-0.3560130718954248</v>
      </c>
      <c r="M639" s="405">
        <f t="shared" si="52"/>
        <v>-1.290388799168942</v>
      </c>
      <c r="N639" s="63">
        <f t="shared" si="53"/>
        <v>-8.1761317255417758</v>
      </c>
    </row>
    <row r="640" spans="1:14" ht="18" x14ac:dyDescent="0.25">
      <c r="A640" s="317" t="s">
        <v>4801</v>
      </c>
      <c r="B640" s="317"/>
      <c r="C640" s="317">
        <v>0.54</v>
      </c>
      <c r="D640" s="317">
        <v>0.75</v>
      </c>
      <c r="E640" s="318">
        <v>15.81</v>
      </c>
      <c r="F640" s="317">
        <v>0.22</v>
      </c>
      <c r="G640" s="317">
        <v>0.4</v>
      </c>
      <c r="H640" s="319">
        <v>19.61</v>
      </c>
      <c r="I640" s="320">
        <v>25.5</v>
      </c>
      <c r="J640" s="320">
        <v>2.1</v>
      </c>
      <c r="K640" s="57">
        <f t="shared" si="50"/>
        <v>6.6922000000000009E-2</v>
      </c>
      <c r="L640" s="310">
        <f t="shared" si="51"/>
        <v>0.71863636363636363</v>
      </c>
      <c r="M640" s="405">
        <f t="shared" si="52"/>
        <v>246.36943977629602</v>
      </c>
      <c r="N640" s="63">
        <f t="shared" si="53"/>
        <v>-0.92040408900630721</v>
      </c>
    </row>
    <row r="641" spans="1:14" ht="18" x14ac:dyDescent="0.25">
      <c r="A641" s="317" t="s">
        <v>173</v>
      </c>
      <c r="B641" s="317" t="s">
        <v>174</v>
      </c>
      <c r="C641" s="317">
        <v>1.08</v>
      </c>
      <c r="D641" s="317">
        <v>3.48</v>
      </c>
      <c r="E641" s="318">
        <v>0</v>
      </c>
      <c r="F641" s="317">
        <v>0</v>
      </c>
      <c r="G641" s="317">
        <v>2.6</v>
      </c>
      <c r="H641" s="319">
        <v>27.89</v>
      </c>
      <c r="I641" s="320">
        <v>28</v>
      </c>
      <c r="J641" s="320">
        <v>0</v>
      </c>
      <c r="K641" s="57">
        <f t="shared" si="50"/>
        <v>9.0844000000000008E-2</v>
      </c>
      <c r="L641" s="310" t="e">
        <f t="shared" si="51"/>
        <v>#DIV/0!</v>
      </c>
      <c r="M641" s="405" t="e">
        <f t="shared" si="52"/>
        <v>#DIV/0!</v>
      </c>
      <c r="N641" s="63" t="e">
        <f t="shared" si="53"/>
        <v>#DIV/0!</v>
      </c>
    </row>
    <row r="642" spans="1:14" ht="18" x14ac:dyDescent="0.25">
      <c r="A642" s="317" t="s">
        <v>1766</v>
      </c>
      <c r="B642" s="317"/>
      <c r="C642" s="317">
        <v>0.72</v>
      </c>
      <c r="D642" s="317">
        <v>11.91</v>
      </c>
      <c r="E642" s="318">
        <v>11.62</v>
      </c>
      <c r="F642" s="317">
        <v>1.17</v>
      </c>
      <c r="G642" s="317">
        <v>1.7</v>
      </c>
      <c r="H642" s="319">
        <v>169.57</v>
      </c>
      <c r="I642" s="320">
        <v>180</v>
      </c>
      <c r="J642" s="320">
        <v>2.1</v>
      </c>
      <c r="K642" s="57">
        <f t="shared" si="50"/>
        <v>7.489599999999999E-2</v>
      </c>
      <c r="L642" s="310">
        <f t="shared" si="51"/>
        <v>9.9316239316239313E-2</v>
      </c>
      <c r="M642" s="405">
        <f t="shared" si="52"/>
        <v>306.91210884685768</v>
      </c>
      <c r="N642" s="63">
        <f t="shared" si="53"/>
        <v>-0.4474965466917708</v>
      </c>
    </row>
    <row r="643" spans="1:14" ht="18" x14ac:dyDescent="0.25">
      <c r="A643" s="317" t="s">
        <v>5078</v>
      </c>
      <c r="B643" s="317" t="s">
        <v>2501</v>
      </c>
      <c r="C643" s="317">
        <v>2.14</v>
      </c>
      <c r="D643" s="317">
        <v>1.88</v>
      </c>
      <c r="E643" s="318">
        <v>16.989999999999998</v>
      </c>
      <c r="F643" s="317">
        <v>1</v>
      </c>
      <c r="G643" s="317">
        <v>1</v>
      </c>
      <c r="H643" s="319">
        <v>46.05</v>
      </c>
      <c r="I643" s="320">
        <v>60</v>
      </c>
      <c r="J643" s="320">
        <v>1</v>
      </c>
      <c r="K643" s="57">
        <f t="shared" si="50"/>
        <v>0.13780200000000004</v>
      </c>
      <c r="L643" s="310">
        <f t="shared" si="51"/>
        <v>0.1699</v>
      </c>
      <c r="M643" s="405">
        <f t="shared" si="52"/>
        <v>23.53408419859786</v>
      </c>
      <c r="N643" s="63">
        <f t="shared" si="53"/>
        <v>0.95673643433057898</v>
      </c>
    </row>
    <row r="644" spans="1:14" ht="18" x14ac:dyDescent="0.25">
      <c r="A644" s="317" t="s">
        <v>175</v>
      </c>
      <c r="B644" s="317" t="s">
        <v>176</v>
      </c>
      <c r="C644" s="317">
        <v>1.6</v>
      </c>
      <c r="D644" s="317">
        <v>0.48</v>
      </c>
      <c r="E644" s="318">
        <v>12.21</v>
      </c>
      <c r="F644" s="317">
        <v>0.45</v>
      </c>
      <c r="G644" s="317">
        <v>0</v>
      </c>
      <c r="H644" s="319">
        <v>9.52</v>
      </c>
      <c r="I644" s="320">
        <v>12.8</v>
      </c>
      <c r="J644" s="320">
        <v>1.8</v>
      </c>
      <c r="K644" s="57">
        <f t="shared" si="50"/>
        <v>0.11388000000000001</v>
      </c>
      <c r="L644" s="310">
        <f t="shared" si="51"/>
        <v>0.27133333333333332</v>
      </c>
      <c r="M644" s="405">
        <f t="shared" si="52"/>
        <v>15.119082685513561</v>
      </c>
      <c r="N644" s="63">
        <f t="shared" si="53"/>
        <v>-0.37033216908578426</v>
      </c>
    </row>
    <row r="645" spans="1:14" ht="18" x14ac:dyDescent="0.25">
      <c r="A645" s="317" t="s">
        <v>3941</v>
      </c>
      <c r="B645" s="317" t="s">
        <v>3942</v>
      </c>
      <c r="C645" s="317">
        <v>0.98</v>
      </c>
      <c r="D645" s="317">
        <v>5.35</v>
      </c>
      <c r="E645" s="318">
        <v>15.51</v>
      </c>
      <c r="F645" s="317">
        <v>1.28</v>
      </c>
      <c r="G645" s="317">
        <v>0</v>
      </c>
      <c r="H645" s="319">
        <v>114.61</v>
      </c>
      <c r="I645" s="320">
        <v>140</v>
      </c>
      <c r="J645" s="320">
        <v>2.2000000000000002</v>
      </c>
      <c r="K645" s="57">
        <f t="shared" ref="K645:K708" si="54">$P$14+C645*($Q$15-$P$14)</f>
        <v>8.6414000000000005E-2</v>
      </c>
      <c r="L645" s="310">
        <f t="shared" ref="L645:L708" si="55">E645/F645/100</f>
        <v>0.121171875</v>
      </c>
      <c r="M645" s="405">
        <f t="shared" ref="M645:M708" si="56">(D645-G645*H645/100)+(D645-G645*H645/100)*(1+L645)/(1+K645)+(D645-G645*H645/100)*(1+L645)^2/(1+K645)^2+(D645-G645*H645/100)*(1+L645)^3/(1+K645)^3+(D645-G645*H645/100)*(1+L645)^4/(1+K645)^4+((D645-G645*H645/100)*(1+L645)^5/(K645-$T$22-$T$19))/((1+K645)^5)</f>
        <v>152.73593685160284</v>
      </c>
      <c r="N645" s="63">
        <f t="shared" ref="N645:N708" si="57">(H645-M645)/M645</f>
        <v>-0.24961994955153047</v>
      </c>
    </row>
    <row r="646" spans="1:14" ht="18" x14ac:dyDescent="0.25">
      <c r="A646" s="317" t="s">
        <v>177</v>
      </c>
      <c r="B646" s="317" t="s">
        <v>4568</v>
      </c>
      <c r="C646" s="317">
        <v>1.83</v>
      </c>
      <c r="D646" s="317">
        <v>0.15</v>
      </c>
      <c r="E646" s="318">
        <v>12.59</v>
      </c>
      <c r="F646" s="317">
        <v>0.3</v>
      </c>
      <c r="G646" s="317">
        <v>0</v>
      </c>
      <c r="H646" s="319">
        <v>14.48</v>
      </c>
      <c r="I646" s="320">
        <v>13</v>
      </c>
      <c r="J646" s="320">
        <v>2</v>
      </c>
      <c r="K646" s="57">
        <f t="shared" si="54"/>
        <v>0.12406900000000001</v>
      </c>
      <c r="L646" s="310">
        <f t="shared" si="55"/>
        <v>0.41966666666666669</v>
      </c>
      <c r="M646" s="405">
        <f t="shared" si="56"/>
        <v>6.735667519278536</v>
      </c>
      <c r="N646" s="63">
        <f t="shared" si="57"/>
        <v>1.1497498144847518</v>
      </c>
    </row>
    <row r="647" spans="1:14" ht="18" x14ac:dyDescent="0.25">
      <c r="A647" s="317" t="s">
        <v>1614</v>
      </c>
      <c r="B647" s="317"/>
      <c r="C647" s="317">
        <v>1.51</v>
      </c>
      <c r="D647" s="317">
        <v>1.41</v>
      </c>
      <c r="E647" s="318">
        <v>13.55</v>
      </c>
      <c r="F647" s="317">
        <v>1.1399999999999999</v>
      </c>
      <c r="G647" s="317">
        <v>0</v>
      </c>
      <c r="H647" s="319">
        <v>23.84</v>
      </c>
      <c r="I647" s="320">
        <v>25.5</v>
      </c>
      <c r="J647" s="320">
        <v>1.7</v>
      </c>
      <c r="K647" s="57">
        <f t="shared" si="54"/>
        <v>0.109893</v>
      </c>
      <c r="L647" s="310">
        <f t="shared" si="55"/>
        <v>0.11885964912280704</v>
      </c>
      <c r="M647" s="405">
        <f t="shared" si="56"/>
        <v>27.029823792823077</v>
      </c>
      <c r="N647" s="63">
        <f t="shared" si="57"/>
        <v>-0.11801126848892129</v>
      </c>
    </row>
    <row r="648" spans="1:14" ht="18" x14ac:dyDescent="0.25">
      <c r="A648" s="317" t="s">
        <v>4569</v>
      </c>
      <c r="B648" s="317" t="s">
        <v>4570</v>
      </c>
      <c r="C648" s="317">
        <v>1.53</v>
      </c>
      <c r="D648" s="317">
        <v>1.21</v>
      </c>
      <c r="E648" s="318">
        <v>6.34</v>
      </c>
      <c r="F648" s="317">
        <v>0</v>
      </c>
      <c r="G648" s="317">
        <v>0</v>
      </c>
      <c r="H648" s="319">
        <v>10.65</v>
      </c>
      <c r="I648" s="320">
        <v>13</v>
      </c>
      <c r="J648" s="320">
        <v>2</v>
      </c>
      <c r="K648" s="57">
        <f t="shared" si="54"/>
        <v>0.110779</v>
      </c>
      <c r="L648" s="310" t="e">
        <f t="shared" si="55"/>
        <v>#DIV/0!</v>
      </c>
      <c r="M648" s="405" t="e">
        <f t="shared" si="56"/>
        <v>#DIV/0!</v>
      </c>
      <c r="N648" s="63" t="e">
        <f t="shared" si="57"/>
        <v>#DIV/0!</v>
      </c>
    </row>
    <row r="649" spans="1:14" ht="18" x14ac:dyDescent="0.25">
      <c r="A649" s="317" t="s">
        <v>4571</v>
      </c>
      <c r="B649" s="317" t="s">
        <v>4572</v>
      </c>
      <c r="C649" s="317">
        <v>1.5</v>
      </c>
      <c r="D649" s="317">
        <v>0.27</v>
      </c>
      <c r="E649" s="318">
        <v>14.22</v>
      </c>
      <c r="F649" s="317">
        <v>1.1100000000000001</v>
      </c>
      <c r="G649" s="317">
        <v>0</v>
      </c>
      <c r="H649" s="319">
        <v>7.97</v>
      </c>
      <c r="I649" s="320">
        <v>9</v>
      </c>
      <c r="J649" s="320">
        <v>1.8</v>
      </c>
      <c r="K649" s="57">
        <f t="shared" si="54"/>
        <v>0.10945000000000001</v>
      </c>
      <c r="L649" s="310">
        <f t="shared" si="55"/>
        <v>0.1281081081081081</v>
      </c>
      <c r="M649" s="405">
        <f t="shared" si="56"/>
        <v>5.3918221529814341</v>
      </c>
      <c r="N649" s="63">
        <f t="shared" si="57"/>
        <v>0.4781644820374778</v>
      </c>
    </row>
    <row r="650" spans="1:14" ht="18" x14ac:dyDescent="0.25">
      <c r="A650" s="317" t="s">
        <v>3943</v>
      </c>
      <c r="B650" s="317" t="s">
        <v>3944</v>
      </c>
      <c r="C650" s="317">
        <v>0.88</v>
      </c>
      <c r="D650" s="317">
        <v>3.26</v>
      </c>
      <c r="E650" s="318">
        <v>14.89</v>
      </c>
      <c r="F650" s="317">
        <v>3.24</v>
      </c>
      <c r="G650" s="317">
        <v>1.7</v>
      </c>
      <c r="H650" s="319">
        <v>63</v>
      </c>
      <c r="I650" s="320">
        <v>67.5</v>
      </c>
      <c r="J650" s="320">
        <v>2.1</v>
      </c>
      <c r="K650" s="57">
        <f t="shared" si="54"/>
        <v>8.1984000000000001E-2</v>
      </c>
      <c r="L650" s="310">
        <f t="shared" si="55"/>
        <v>4.5956790123456791E-2</v>
      </c>
      <c r="M650" s="405">
        <f t="shared" si="56"/>
        <v>50.428650505741345</v>
      </c>
      <c r="N650" s="63">
        <f t="shared" si="57"/>
        <v>0.24928982568802621</v>
      </c>
    </row>
    <row r="651" spans="1:14" ht="18" x14ac:dyDescent="0.25">
      <c r="A651" s="317" t="s">
        <v>3466</v>
      </c>
      <c r="B651" s="317" t="s">
        <v>3704</v>
      </c>
      <c r="C651" s="317">
        <v>1.48</v>
      </c>
      <c r="D651" s="317">
        <v>7.06</v>
      </c>
      <c r="E651" s="318">
        <v>0</v>
      </c>
      <c r="F651" s="317">
        <v>0</v>
      </c>
      <c r="G651" s="317">
        <v>0.6</v>
      </c>
      <c r="H651" s="319">
        <v>29.73</v>
      </c>
      <c r="I651" s="320"/>
      <c r="J651" s="320"/>
      <c r="K651" s="57">
        <f t="shared" si="54"/>
        <v>0.10856400000000001</v>
      </c>
      <c r="L651" s="310" t="e">
        <f t="shared" si="55"/>
        <v>#DIV/0!</v>
      </c>
      <c r="M651" s="405" t="e">
        <f t="shared" si="56"/>
        <v>#DIV/0!</v>
      </c>
      <c r="N651" s="63" t="e">
        <f t="shared" si="57"/>
        <v>#DIV/0!</v>
      </c>
    </row>
    <row r="652" spans="1:14" ht="18" x14ac:dyDescent="0.25">
      <c r="A652" s="317" t="s">
        <v>382</v>
      </c>
      <c r="B652" s="317" t="s">
        <v>383</v>
      </c>
      <c r="C652" s="317">
        <v>1.98</v>
      </c>
      <c r="D652" s="317">
        <v>-0.25</v>
      </c>
      <c r="E652" s="318">
        <v>0</v>
      </c>
      <c r="F652" s="317">
        <v>0</v>
      </c>
      <c r="G652" s="317">
        <v>0</v>
      </c>
      <c r="H652" s="319">
        <v>0.84</v>
      </c>
      <c r="I652" s="320">
        <v>0</v>
      </c>
      <c r="J652" s="320">
        <v>0</v>
      </c>
      <c r="K652" s="57">
        <f t="shared" si="54"/>
        <v>0.130714</v>
      </c>
      <c r="L652" s="310" t="e">
        <f t="shared" si="55"/>
        <v>#DIV/0!</v>
      </c>
      <c r="M652" s="405" t="e">
        <f t="shared" si="56"/>
        <v>#DIV/0!</v>
      </c>
      <c r="N652" s="63" t="e">
        <f t="shared" si="57"/>
        <v>#DIV/0!</v>
      </c>
    </row>
    <row r="653" spans="1:14" ht="18" x14ac:dyDescent="0.25">
      <c r="A653" s="317" t="s">
        <v>249</v>
      </c>
      <c r="B653" s="317" t="s">
        <v>250</v>
      </c>
      <c r="C653" s="317">
        <v>2.65</v>
      </c>
      <c r="D653" s="317">
        <v>0.13</v>
      </c>
      <c r="E653" s="318">
        <v>16.329999999999998</v>
      </c>
      <c r="F653" s="317">
        <v>1.37</v>
      </c>
      <c r="G653" s="317">
        <v>0.4</v>
      </c>
      <c r="H653" s="319">
        <v>18.940000000000001</v>
      </c>
      <c r="I653" s="320">
        <v>21</v>
      </c>
      <c r="J653" s="320">
        <v>2</v>
      </c>
      <c r="K653" s="57">
        <f t="shared" si="54"/>
        <v>0.16039500000000001</v>
      </c>
      <c r="L653" s="310">
        <f t="shared" si="55"/>
        <v>0.11919708029197079</v>
      </c>
      <c r="M653" s="405">
        <f t="shared" si="56"/>
        <v>0.6165467096964411</v>
      </c>
      <c r="N653" s="63">
        <f t="shared" si="57"/>
        <v>29.719489216518852</v>
      </c>
    </row>
    <row r="654" spans="1:14" ht="18" x14ac:dyDescent="0.25">
      <c r="A654" s="317" t="s">
        <v>3945</v>
      </c>
      <c r="B654" s="317" t="s">
        <v>3946</v>
      </c>
      <c r="C654" s="317">
        <v>1.74</v>
      </c>
      <c r="D654" s="317">
        <v>0.62</v>
      </c>
      <c r="E654" s="318">
        <v>16.96</v>
      </c>
      <c r="F654" s="317">
        <v>1.64</v>
      </c>
      <c r="G654" s="317">
        <v>1.4</v>
      </c>
      <c r="H654" s="319">
        <v>17.809999999999999</v>
      </c>
      <c r="I654" s="320">
        <v>20</v>
      </c>
      <c r="J654" s="320">
        <v>2.2999999999999998</v>
      </c>
      <c r="K654" s="57">
        <f t="shared" si="54"/>
        <v>0.12008200000000001</v>
      </c>
      <c r="L654" s="310">
        <f t="shared" si="55"/>
        <v>0.10341463414634147</v>
      </c>
      <c r="M654" s="405">
        <f t="shared" si="56"/>
        <v>5.8889020217665831</v>
      </c>
      <c r="N654" s="63">
        <f t="shared" si="57"/>
        <v>2.0243328780425629</v>
      </c>
    </row>
    <row r="655" spans="1:14" ht="18" x14ac:dyDescent="0.25">
      <c r="A655" s="317" t="s">
        <v>3705</v>
      </c>
      <c r="B655" s="317" t="s">
        <v>3706</v>
      </c>
      <c r="C655" s="317">
        <v>1.77</v>
      </c>
      <c r="D655" s="317">
        <v>0.9</v>
      </c>
      <c r="E655" s="318">
        <v>15.27</v>
      </c>
      <c r="F655" s="317">
        <v>0.83</v>
      </c>
      <c r="G655" s="317">
        <v>0.9</v>
      </c>
      <c r="H655" s="319">
        <v>18.170000000000002</v>
      </c>
      <c r="I655" s="320">
        <v>23</v>
      </c>
      <c r="J655" s="320">
        <v>1.9</v>
      </c>
      <c r="K655" s="57">
        <f t="shared" si="54"/>
        <v>0.12141100000000001</v>
      </c>
      <c r="L655" s="310">
        <f t="shared" si="55"/>
        <v>0.18397590361445781</v>
      </c>
      <c r="M655" s="405">
        <f t="shared" si="56"/>
        <v>15.428600802094333</v>
      </c>
      <c r="N655" s="63">
        <f t="shared" si="57"/>
        <v>0.1776829430659416</v>
      </c>
    </row>
    <row r="656" spans="1:14" ht="18" x14ac:dyDescent="0.25">
      <c r="A656" s="317" t="s">
        <v>4573</v>
      </c>
      <c r="B656" s="317" t="s">
        <v>4574</v>
      </c>
      <c r="C656" s="317">
        <v>1.56</v>
      </c>
      <c r="D656" s="317">
        <v>0.95</v>
      </c>
      <c r="E656" s="318">
        <v>15.93</v>
      </c>
      <c r="F656" s="317">
        <v>1.46</v>
      </c>
      <c r="G656" s="317">
        <v>3.1</v>
      </c>
      <c r="H656" s="319">
        <v>21.03</v>
      </c>
      <c r="I656" s="320">
        <v>26.5</v>
      </c>
      <c r="J656" s="320">
        <v>1.6</v>
      </c>
      <c r="K656" s="57">
        <f t="shared" si="54"/>
        <v>0.11210800000000001</v>
      </c>
      <c r="L656" s="310">
        <f t="shared" si="55"/>
        <v>0.1091095890410959</v>
      </c>
      <c r="M656" s="405">
        <f t="shared" si="56"/>
        <v>5.346231271551602</v>
      </c>
      <c r="N656" s="63">
        <f t="shared" si="57"/>
        <v>2.9336120964135919</v>
      </c>
    </row>
    <row r="657" spans="1:14" ht="18" x14ac:dyDescent="0.25">
      <c r="A657" s="317" t="s">
        <v>3707</v>
      </c>
      <c r="B657" s="317" t="s">
        <v>3708</v>
      </c>
      <c r="C657" s="317">
        <v>1.44</v>
      </c>
      <c r="D657" s="317">
        <v>6.19</v>
      </c>
      <c r="E657" s="318">
        <v>0</v>
      </c>
      <c r="F657" s="317">
        <v>0</v>
      </c>
      <c r="G657" s="317">
        <v>0</v>
      </c>
      <c r="H657" s="319">
        <v>22.3</v>
      </c>
      <c r="I657" s="320"/>
      <c r="J657" s="320"/>
      <c r="K657" s="57">
        <f t="shared" si="54"/>
        <v>0.106792</v>
      </c>
      <c r="L657" s="310" t="e">
        <f t="shared" si="55"/>
        <v>#DIV/0!</v>
      </c>
      <c r="M657" s="405" t="e">
        <f t="shared" si="56"/>
        <v>#DIV/0!</v>
      </c>
      <c r="N657" s="63" t="e">
        <f t="shared" si="57"/>
        <v>#DIV/0!</v>
      </c>
    </row>
    <row r="658" spans="1:14" ht="18" x14ac:dyDescent="0.25">
      <c r="A658" s="317" t="s">
        <v>4575</v>
      </c>
      <c r="B658" s="317" t="s">
        <v>4576</v>
      </c>
      <c r="C658" s="317">
        <v>1.99</v>
      </c>
      <c r="D658" s="317">
        <v>0.73</v>
      </c>
      <c r="E658" s="318">
        <v>17.850000000000001</v>
      </c>
      <c r="F658" s="317">
        <v>0</v>
      </c>
      <c r="G658" s="317">
        <v>0</v>
      </c>
      <c r="H658" s="319">
        <v>16.239999999999998</v>
      </c>
      <c r="I658" s="320">
        <v>19</v>
      </c>
      <c r="J658" s="320">
        <v>2</v>
      </c>
      <c r="K658" s="57">
        <f t="shared" si="54"/>
        <v>0.13115700000000002</v>
      </c>
      <c r="L658" s="310" t="e">
        <f t="shared" si="55"/>
        <v>#DIV/0!</v>
      </c>
      <c r="M658" s="405" t="e">
        <f t="shared" si="56"/>
        <v>#DIV/0!</v>
      </c>
      <c r="N658" s="63" t="e">
        <f t="shared" si="57"/>
        <v>#DIV/0!</v>
      </c>
    </row>
    <row r="659" spans="1:14" ht="18" x14ac:dyDescent="0.25">
      <c r="A659" s="317" t="s">
        <v>4577</v>
      </c>
      <c r="B659" s="317" t="s">
        <v>4578</v>
      </c>
      <c r="C659" s="317">
        <v>1.1499999999999999</v>
      </c>
      <c r="D659" s="317">
        <v>0.7</v>
      </c>
      <c r="E659" s="318">
        <v>0</v>
      </c>
      <c r="F659" s="317">
        <v>0</v>
      </c>
      <c r="G659" s="317">
        <v>2.1</v>
      </c>
      <c r="H659" s="319">
        <v>31.06</v>
      </c>
      <c r="I659" s="320">
        <v>33.5</v>
      </c>
      <c r="J659" s="320">
        <v>0</v>
      </c>
      <c r="K659" s="57">
        <f t="shared" si="54"/>
        <v>9.3945000000000001E-2</v>
      </c>
      <c r="L659" s="310" t="e">
        <f t="shared" si="55"/>
        <v>#DIV/0!</v>
      </c>
      <c r="M659" s="405" t="e">
        <f t="shared" si="56"/>
        <v>#DIV/0!</v>
      </c>
      <c r="N659" s="63" t="e">
        <f t="shared" si="57"/>
        <v>#DIV/0!</v>
      </c>
    </row>
    <row r="660" spans="1:14" ht="18" x14ac:dyDescent="0.25">
      <c r="A660" s="317" t="s">
        <v>4579</v>
      </c>
      <c r="B660" s="317" t="s">
        <v>4580</v>
      </c>
      <c r="C660" s="317">
        <v>1.51</v>
      </c>
      <c r="D660" s="317">
        <v>2.0099999999999998</v>
      </c>
      <c r="E660" s="318">
        <v>20.09</v>
      </c>
      <c r="F660" s="317">
        <v>1.8</v>
      </c>
      <c r="G660" s="317">
        <v>0</v>
      </c>
      <c r="H660" s="319">
        <v>56.24</v>
      </c>
      <c r="I660" s="320">
        <v>64</v>
      </c>
      <c r="J660" s="320">
        <v>2.4</v>
      </c>
      <c r="K660" s="57">
        <f t="shared" si="54"/>
        <v>0.109893</v>
      </c>
      <c r="L660" s="310">
        <f t="shared" si="55"/>
        <v>0.11161111111111112</v>
      </c>
      <c r="M660" s="405">
        <f t="shared" si="56"/>
        <v>37.493848999303445</v>
      </c>
      <c r="N660" s="63">
        <f t="shared" si="57"/>
        <v>0.49997936997732134</v>
      </c>
    </row>
    <row r="661" spans="1:14" ht="18" x14ac:dyDescent="0.25">
      <c r="A661" s="317" t="s">
        <v>3549</v>
      </c>
      <c r="B661" s="317" t="s">
        <v>3550</v>
      </c>
      <c r="C661" s="317"/>
      <c r="D661" s="317"/>
      <c r="E661" s="318"/>
      <c r="F661" s="317"/>
      <c r="G661" s="317"/>
      <c r="H661" s="319">
        <v>51.54</v>
      </c>
      <c r="I661" s="320"/>
      <c r="J661" s="320"/>
      <c r="K661" s="57">
        <f t="shared" si="54"/>
        <v>4.2999999999999997E-2</v>
      </c>
      <c r="L661" s="310" t="e">
        <f t="shared" si="55"/>
        <v>#DIV/0!</v>
      </c>
      <c r="M661" s="405" t="e">
        <f t="shared" si="56"/>
        <v>#DIV/0!</v>
      </c>
      <c r="N661" s="63" t="e">
        <f t="shared" si="57"/>
        <v>#DIV/0!</v>
      </c>
    </row>
    <row r="662" spans="1:14" ht="18" x14ac:dyDescent="0.25">
      <c r="A662" s="317" t="s">
        <v>4581</v>
      </c>
      <c r="B662" s="317" t="s">
        <v>4582</v>
      </c>
      <c r="C662" s="317">
        <v>1.07</v>
      </c>
      <c r="D662" s="317">
        <v>1.94</v>
      </c>
      <c r="E662" s="318">
        <v>8.19</v>
      </c>
      <c r="F662" s="317">
        <v>0.94</v>
      </c>
      <c r="G662" s="317">
        <v>0</v>
      </c>
      <c r="H662" s="319">
        <v>18.920000000000002</v>
      </c>
      <c r="I662" s="320">
        <v>22.5</v>
      </c>
      <c r="J662" s="320">
        <v>2.4</v>
      </c>
      <c r="K662" s="57">
        <f t="shared" si="54"/>
        <v>9.0401000000000009E-2</v>
      </c>
      <c r="L662" s="310">
        <f t="shared" si="55"/>
        <v>8.7127659574468094E-2</v>
      </c>
      <c r="M662" s="405">
        <f t="shared" si="56"/>
        <v>44.770983615403935</v>
      </c>
      <c r="N662" s="63">
        <f t="shared" si="57"/>
        <v>-0.57740486198542273</v>
      </c>
    </row>
    <row r="663" spans="1:14" ht="18" x14ac:dyDescent="0.25">
      <c r="A663" s="317" t="s">
        <v>571</v>
      </c>
      <c r="B663" s="317" t="s">
        <v>251</v>
      </c>
      <c r="C663" s="317">
        <v>3.47</v>
      </c>
      <c r="D663" s="317">
        <v>1.24</v>
      </c>
      <c r="E663" s="318">
        <v>0</v>
      </c>
      <c r="F663" s="317">
        <v>0</v>
      </c>
      <c r="G663" s="317">
        <v>0</v>
      </c>
      <c r="H663" s="319">
        <v>3.46</v>
      </c>
      <c r="I663" s="320">
        <v>3</v>
      </c>
      <c r="J663" s="320">
        <v>0</v>
      </c>
      <c r="K663" s="57">
        <f t="shared" si="54"/>
        <v>0.19672100000000003</v>
      </c>
      <c r="L663" s="310" t="e">
        <f t="shared" si="55"/>
        <v>#DIV/0!</v>
      </c>
      <c r="M663" s="405" t="e">
        <f t="shared" si="56"/>
        <v>#DIV/0!</v>
      </c>
      <c r="N663" s="63" t="e">
        <f t="shared" si="57"/>
        <v>#DIV/0!</v>
      </c>
    </row>
    <row r="664" spans="1:14" ht="18" x14ac:dyDescent="0.25">
      <c r="A664" s="317" t="s">
        <v>4583</v>
      </c>
      <c r="B664" s="317" t="s">
        <v>4584</v>
      </c>
      <c r="C664" s="317">
        <v>1.02</v>
      </c>
      <c r="D664" s="317">
        <v>1.36</v>
      </c>
      <c r="E664" s="318">
        <v>0</v>
      </c>
      <c r="F664" s="317">
        <v>0</v>
      </c>
      <c r="G664" s="317">
        <v>3.6</v>
      </c>
      <c r="H664" s="319">
        <v>18.41</v>
      </c>
      <c r="I664" s="320">
        <v>0</v>
      </c>
      <c r="J664" s="320">
        <v>2</v>
      </c>
      <c r="K664" s="57">
        <f t="shared" si="54"/>
        <v>8.8186E-2</v>
      </c>
      <c r="L664" s="310" t="e">
        <f t="shared" si="55"/>
        <v>#DIV/0!</v>
      </c>
      <c r="M664" s="405" t="e">
        <f t="shared" si="56"/>
        <v>#DIV/0!</v>
      </c>
      <c r="N664" s="63" t="e">
        <f t="shared" si="57"/>
        <v>#DIV/0!</v>
      </c>
    </row>
    <row r="665" spans="1:14" ht="18" x14ac:dyDescent="0.25">
      <c r="A665" s="317" t="s">
        <v>3008</v>
      </c>
      <c r="B665" s="317" t="s">
        <v>3009</v>
      </c>
      <c r="C665" s="317">
        <v>1.48</v>
      </c>
      <c r="D665" s="317">
        <v>-0.22</v>
      </c>
      <c r="E665" s="318">
        <v>55.23</v>
      </c>
      <c r="F665" s="317">
        <v>-17.600000000000001</v>
      </c>
      <c r="G665" s="317">
        <v>0</v>
      </c>
      <c r="H665" s="319">
        <v>7.18</v>
      </c>
      <c r="I665" s="320">
        <v>8</v>
      </c>
      <c r="J665" s="320">
        <v>1.8</v>
      </c>
      <c r="K665" s="57">
        <f t="shared" si="54"/>
        <v>0.10856400000000001</v>
      </c>
      <c r="L665" s="310">
        <f t="shared" si="55"/>
        <v>-3.1380681818181815E-2</v>
      </c>
      <c r="M665" s="405">
        <f t="shared" si="56"/>
        <v>-2.3992326103612625</v>
      </c>
      <c r="N665" s="63">
        <f t="shared" si="57"/>
        <v>-3.9926235451254883</v>
      </c>
    </row>
    <row r="666" spans="1:14" ht="18" x14ac:dyDescent="0.25">
      <c r="A666" s="317" t="s">
        <v>2718</v>
      </c>
      <c r="B666" s="317" t="s">
        <v>2719</v>
      </c>
      <c r="C666" s="317">
        <v>2.5099999999999998</v>
      </c>
      <c r="D666" s="317">
        <v>-0.26</v>
      </c>
      <c r="E666" s="318">
        <v>0</v>
      </c>
      <c r="F666" s="317">
        <v>-0.9</v>
      </c>
      <c r="G666" s="317">
        <v>0</v>
      </c>
      <c r="H666" s="319">
        <v>19.48</v>
      </c>
      <c r="I666" s="320">
        <v>22.5</v>
      </c>
      <c r="J666" s="320">
        <v>1.7</v>
      </c>
      <c r="K666" s="57">
        <f t="shared" si="54"/>
        <v>0.154193</v>
      </c>
      <c r="L666" s="310">
        <f t="shared" si="55"/>
        <v>0</v>
      </c>
      <c r="M666" s="405">
        <f t="shared" si="56"/>
        <v>-2.0700056270421339</v>
      </c>
      <c r="N666" s="63">
        <f t="shared" si="57"/>
        <v>-10.410602437750519</v>
      </c>
    </row>
    <row r="667" spans="1:14" ht="18" x14ac:dyDescent="0.25">
      <c r="A667" s="317" t="s">
        <v>4017</v>
      </c>
      <c r="B667" s="317" t="s">
        <v>452</v>
      </c>
      <c r="C667" s="317">
        <v>1.08</v>
      </c>
      <c r="D667" s="317">
        <v>2.62</v>
      </c>
      <c r="E667" s="318">
        <v>18.48</v>
      </c>
      <c r="F667" s="317">
        <v>1.22</v>
      </c>
      <c r="G667" s="317">
        <v>0.7</v>
      </c>
      <c r="H667" s="319">
        <v>63.94</v>
      </c>
      <c r="I667" s="320">
        <v>70</v>
      </c>
      <c r="J667" s="320">
        <v>2.6</v>
      </c>
      <c r="K667" s="57">
        <f t="shared" si="54"/>
        <v>9.0844000000000008E-2</v>
      </c>
      <c r="L667" s="310">
        <f t="shared" si="55"/>
        <v>0.15147540983606558</v>
      </c>
      <c r="M667" s="405">
        <f t="shared" si="56"/>
        <v>64.051415079896216</v>
      </c>
      <c r="N667" s="63">
        <f t="shared" si="57"/>
        <v>-1.7394632071319898E-3</v>
      </c>
    </row>
    <row r="668" spans="1:14" ht="18" x14ac:dyDescent="0.25">
      <c r="A668" s="317" t="s">
        <v>398</v>
      </c>
      <c r="B668" s="317" t="s">
        <v>399</v>
      </c>
      <c r="C668" s="317">
        <v>2.93</v>
      </c>
      <c r="D668" s="317">
        <v>-0.17</v>
      </c>
      <c r="E668" s="318">
        <v>0</v>
      </c>
      <c r="F668" s="317">
        <v>0</v>
      </c>
      <c r="G668" s="317">
        <v>0</v>
      </c>
      <c r="H668" s="319">
        <v>0.89</v>
      </c>
      <c r="I668" s="320">
        <v>2.75</v>
      </c>
      <c r="J668" s="320">
        <v>1.5</v>
      </c>
      <c r="K668" s="57">
        <f t="shared" si="54"/>
        <v>0.17279900000000004</v>
      </c>
      <c r="L668" s="310" t="e">
        <f t="shared" si="55"/>
        <v>#DIV/0!</v>
      </c>
      <c r="M668" s="405" t="e">
        <f t="shared" si="56"/>
        <v>#DIV/0!</v>
      </c>
      <c r="N668" s="63" t="e">
        <f t="shared" si="57"/>
        <v>#DIV/0!</v>
      </c>
    </row>
    <row r="669" spans="1:14" ht="18" x14ac:dyDescent="0.25">
      <c r="A669" s="317" t="s">
        <v>4929</v>
      </c>
      <c r="B669" s="317" t="s">
        <v>4181</v>
      </c>
      <c r="C669" s="317">
        <v>-0.19</v>
      </c>
      <c r="D669" s="317">
        <v>-0.49</v>
      </c>
      <c r="E669" s="318">
        <v>0</v>
      </c>
      <c r="F669" s="317">
        <v>0</v>
      </c>
      <c r="G669" s="317">
        <v>0</v>
      </c>
      <c r="H669" s="319">
        <v>6.61</v>
      </c>
      <c r="I669" s="320">
        <v>10</v>
      </c>
      <c r="J669" s="320">
        <v>2</v>
      </c>
      <c r="K669" s="57">
        <f t="shared" si="54"/>
        <v>3.4582999999999996E-2</v>
      </c>
      <c r="L669" s="310" t="e">
        <f t="shared" si="55"/>
        <v>#DIV/0!</v>
      </c>
      <c r="M669" s="405" t="e">
        <f t="shared" si="56"/>
        <v>#DIV/0!</v>
      </c>
      <c r="N669" s="63" t="e">
        <f t="shared" si="57"/>
        <v>#DIV/0!</v>
      </c>
    </row>
    <row r="670" spans="1:14" ht="18" x14ac:dyDescent="0.25">
      <c r="A670" s="317" t="s">
        <v>4585</v>
      </c>
      <c r="B670" s="317" t="s">
        <v>4586</v>
      </c>
      <c r="C670" s="317">
        <v>1.18</v>
      </c>
      <c r="D670" s="317">
        <v>1.4</v>
      </c>
      <c r="E670" s="318">
        <v>11.37</v>
      </c>
      <c r="F670" s="317">
        <v>0.68</v>
      </c>
      <c r="G670" s="317">
        <v>0</v>
      </c>
      <c r="H670" s="319">
        <v>25.25</v>
      </c>
      <c r="I670" s="320">
        <v>33.5</v>
      </c>
      <c r="J670" s="320">
        <v>1.8</v>
      </c>
      <c r="K670" s="57">
        <f t="shared" si="54"/>
        <v>9.5273999999999998E-2</v>
      </c>
      <c r="L670" s="310">
        <f t="shared" si="55"/>
        <v>0.16720588235294115</v>
      </c>
      <c r="M670" s="405">
        <f t="shared" si="56"/>
        <v>40.444735283816676</v>
      </c>
      <c r="N670" s="63">
        <f t="shared" si="57"/>
        <v>-0.37569130264271033</v>
      </c>
    </row>
    <row r="671" spans="1:14" ht="18" x14ac:dyDescent="0.25">
      <c r="A671" s="317" t="s">
        <v>5269</v>
      </c>
      <c r="B671" s="317" t="s">
        <v>5270</v>
      </c>
      <c r="C671" s="317">
        <v>1.07</v>
      </c>
      <c r="D671" s="317">
        <v>2.0099999999999998</v>
      </c>
      <c r="E671" s="318">
        <v>9.83</v>
      </c>
      <c r="F671" s="317">
        <v>0.86</v>
      </c>
      <c r="G671" s="317">
        <v>3.2</v>
      </c>
      <c r="H671" s="319">
        <v>23.59</v>
      </c>
      <c r="I671" s="320">
        <v>26.7</v>
      </c>
      <c r="J671" s="320">
        <v>2.1</v>
      </c>
      <c r="K671" s="57">
        <f t="shared" si="54"/>
        <v>9.0401000000000009E-2</v>
      </c>
      <c r="L671" s="310">
        <f t="shared" si="55"/>
        <v>0.11430232558139534</v>
      </c>
      <c r="M671" s="405">
        <f t="shared" si="56"/>
        <v>32.2703843516272</v>
      </c>
      <c r="N671" s="63">
        <f t="shared" si="57"/>
        <v>-0.26898918392304494</v>
      </c>
    </row>
    <row r="672" spans="1:14" ht="18" x14ac:dyDescent="0.25">
      <c r="A672" s="317" t="s">
        <v>4942</v>
      </c>
      <c r="B672" s="317" t="s">
        <v>172</v>
      </c>
      <c r="C672" s="317">
        <v>1.33</v>
      </c>
      <c r="D672" s="317">
        <v>0.75</v>
      </c>
      <c r="E672" s="318">
        <v>0</v>
      </c>
      <c r="F672" s="317">
        <v>0</v>
      </c>
      <c r="G672" s="317">
        <v>0</v>
      </c>
      <c r="H672" s="319">
        <v>25.75</v>
      </c>
      <c r="I672" s="320">
        <v>21</v>
      </c>
      <c r="J672" s="320">
        <v>0</v>
      </c>
      <c r="K672" s="57">
        <f t="shared" si="54"/>
        <v>0.10191900000000001</v>
      </c>
      <c r="L672" s="310" t="e">
        <f t="shared" si="55"/>
        <v>#DIV/0!</v>
      </c>
      <c r="M672" s="405" t="e">
        <f t="shared" si="56"/>
        <v>#DIV/0!</v>
      </c>
      <c r="N672" s="63" t="e">
        <f t="shared" si="57"/>
        <v>#DIV/0!</v>
      </c>
    </row>
    <row r="673" spans="1:14" ht="18" x14ac:dyDescent="0.25">
      <c r="A673" s="317" t="s">
        <v>3947</v>
      </c>
      <c r="B673" s="317" t="s">
        <v>3948</v>
      </c>
      <c r="C673" s="317">
        <v>0.7</v>
      </c>
      <c r="D673" s="317">
        <v>1.65</v>
      </c>
      <c r="E673" s="318">
        <v>19.559999999999999</v>
      </c>
      <c r="F673" s="317">
        <v>1.67</v>
      </c>
      <c r="G673" s="317">
        <v>0</v>
      </c>
      <c r="H673" s="319">
        <v>54.96</v>
      </c>
      <c r="I673" s="320">
        <v>56.5</v>
      </c>
      <c r="J673" s="320">
        <v>2</v>
      </c>
      <c r="K673" s="57">
        <f t="shared" si="54"/>
        <v>7.4009999999999992E-2</v>
      </c>
      <c r="L673" s="310">
        <f t="shared" si="55"/>
        <v>0.11712574850299401</v>
      </c>
      <c r="M673" s="405">
        <f t="shared" si="56"/>
        <v>61.790704543322455</v>
      </c>
      <c r="N673" s="63">
        <f t="shared" si="57"/>
        <v>-0.11054582714028351</v>
      </c>
    </row>
    <row r="674" spans="1:14" ht="18" x14ac:dyDescent="0.25">
      <c r="A674" s="317" t="s">
        <v>4375</v>
      </c>
      <c r="B674" s="317" t="s">
        <v>4376</v>
      </c>
      <c r="C674" s="317">
        <v>2.29</v>
      </c>
      <c r="D674" s="317">
        <v>0.24</v>
      </c>
      <c r="E674" s="318">
        <v>21.28</v>
      </c>
      <c r="F674" s="317">
        <v>1.1299999999999999</v>
      </c>
      <c r="G674" s="317">
        <v>0</v>
      </c>
      <c r="H674" s="319">
        <v>9.15</v>
      </c>
      <c r="I674" s="320">
        <v>10</v>
      </c>
      <c r="J674" s="320">
        <v>1.7</v>
      </c>
      <c r="K674" s="57">
        <f t="shared" si="54"/>
        <v>0.14444699999999999</v>
      </c>
      <c r="L674" s="310">
        <f t="shared" si="55"/>
        <v>0.18831858407079649</v>
      </c>
      <c r="M674" s="405">
        <f t="shared" si="56"/>
        <v>3.9666331682998965</v>
      </c>
      <c r="N674" s="63">
        <f t="shared" si="57"/>
        <v>1.3067421694357739</v>
      </c>
    </row>
    <row r="675" spans="1:14" ht="18" x14ac:dyDescent="0.25">
      <c r="A675" s="317" t="s">
        <v>4755</v>
      </c>
      <c r="B675" s="317" t="s">
        <v>4756</v>
      </c>
      <c r="C675" s="317">
        <v>3.57</v>
      </c>
      <c r="D675" s="317">
        <v>-0.27</v>
      </c>
      <c r="E675" s="318">
        <v>14.55</v>
      </c>
      <c r="F675" s="317">
        <v>0</v>
      </c>
      <c r="G675" s="317">
        <v>0</v>
      </c>
      <c r="H675" s="319">
        <v>10.039999999999999</v>
      </c>
      <c r="I675" s="320">
        <v>14</v>
      </c>
      <c r="J675" s="320">
        <v>2.2999999999999998</v>
      </c>
      <c r="K675" s="57">
        <f t="shared" si="54"/>
        <v>0.20115100000000002</v>
      </c>
      <c r="L675" s="310" t="e">
        <f t="shared" si="55"/>
        <v>#DIV/0!</v>
      </c>
      <c r="M675" s="405" t="e">
        <f t="shared" si="56"/>
        <v>#DIV/0!</v>
      </c>
      <c r="N675" s="63" t="e">
        <f t="shared" si="57"/>
        <v>#DIV/0!</v>
      </c>
    </row>
    <row r="676" spans="1:14" ht="18" x14ac:dyDescent="0.25">
      <c r="A676" s="317" t="s">
        <v>1221</v>
      </c>
      <c r="B676" s="317" t="s">
        <v>1222</v>
      </c>
      <c r="C676" s="317">
        <v>2.4500000000000002</v>
      </c>
      <c r="D676" s="317">
        <v>1.48</v>
      </c>
      <c r="E676" s="318">
        <v>9.6300000000000008</v>
      </c>
      <c r="F676" s="317">
        <v>4.4000000000000004</v>
      </c>
      <c r="G676" s="317">
        <v>3.3</v>
      </c>
      <c r="H676" s="319">
        <v>31.6</v>
      </c>
      <c r="I676" s="320">
        <v>37</v>
      </c>
      <c r="J676" s="320">
        <v>2</v>
      </c>
      <c r="K676" s="57">
        <f t="shared" si="54"/>
        <v>0.15153500000000003</v>
      </c>
      <c r="L676" s="310">
        <f t="shared" si="55"/>
        <v>2.1886363636363634E-2</v>
      </c>
      <c r="M676" s="405">
        <f t="shared" si="56"/>
        <v>3.828679189972692</v>
      </c>
      <c r="N676" s="63">
        <f t="shared" si="57"/>
        <v>7.2534990350615889</v>
      </c>
    </row>
    <row r="677" spans="1:14" ht="18" x14ac:dyDescent="0.25">
      <c r="A677" s="317" t="s">
        <v>4587</v>
      </c>
      <c r="B677" s="317" t="s">
        <v>4588</v>
      </c>
      <c r="C677" s="317">
        <v>1.21</v>
      </c>
      <c r="D677" s="317">
        <v>1.57</v>
      </c>
      <c r="E677" s="318">
        <v>22.38</v>
      </c>
      <c r="F677" s="317">
        <v>1.26</v>
      </c>
      <c r="G677" s="317">
        <v>0</v>
      </c>
      <c r="H677" s="319">
        <v>50.36</v>
      </c>
      <c r="I677" s="320">
        <v>51</v>
      </c>
      <c r="J677" s="320">
        <v>1.7</v>
      </c>
      <c r="K677" s="57">
        <f t="shared" si="54"/>
        <v>9.6602999999999994E-2</v>
      </c>
      <c r="L677" s="310">
        <f t="shared" si="55"/>
        <v>0.17761904761904762</v>
      </c>
      <c r="M677" s="405">
        <f t="shared" si="56"/>
        <v>46.097167955827672</v>
      </c>
      <c r="N677" s="63">
        <f t="shared" si="57"/>
        <v>9.2474922716665811E-2</v>
      </c>
    </row>
    <row r="678" spans="1:14" ht="18" x14ac:dyDescent="0.25">
      <c r="A678" s="317" t="s">
        <v>4589</v>
      </c>
      <c r="B678" s="317" t="s">
        <v>4590</v>
      </c>
      <c r="C678" s="317">
        <v>1.77</v>
      </c>
      <c r="D678" s="317">
        <v>0.51</v>
      </c>
      <c r="E678" s="318">
        <v>14.24</v>
      </c>
      <c r="F678" s="317">
        <v>1.1200000000000001</v>
      </c>
      <c r="G678" s="317">
        <v>2.1</v>
      </c>
      <c r="H678" s="319">
        <v>11.39</v>
      </c>
      <c r="I678" s="320">
        <v>15</v>
      </c>
      <c r="J678" s="320">
        <v>2</v>
      </c>
      <c r="K678" s="57">
        <f t="shared" si="54"/>
        <v>0.12141100000000001</v>
      </c>
      <c r="L678" s="310">
        <f t="shared" si="55"/>
        <v>0.12714285714285714</v>
      </c>
      <c r="M678" s="405">
        <f t="shared" si="56"/>
        <v>4.6204953358357779</v>
      </c>
      <c r="N678" s="63">
        <f t="shared" si="57"/>
        <v>1.4651036679251883</v>
      </c>
    </row>
    <row r="679" spans="1:14" ht="18" x14ac:dyDescent="0.25">
      <c r="A679" s="317" t="s">
        <v>1615</v>
      </c>
      <c r="B679" s="317"/>
      <c r="C679" s="317">
        <v>1.57</v>
      </c>
      <c r="D679" s="317">
        <v>2.02</v>
      </c>
      <c r="E679" s="318">
        <v>10.79</v>
      </c>
      <c r="F679" s="317">
        <v>0.88</v>
      </c>
      <c r="G679" s="317">
        <v>2.2000000000000002</v>
      </c>
      <c r="H679" s="319">
        <v>45</v>
      </c>
      <c r="I679" s="320">
        <v>56</v>
      </c>
      <c r="J679" s="320">
        <v>1.5</v>
      </c>
      <c r="K679" s="57">
        <f t="shared" si="54"/>
        <v>0.11255100000000001</v>
      </c>
      <c r="L679" s="310">
        <f t="shared" si="55"/>
        <v>0.12261363636363636</v>
      </c>
      <c r="M679" s="405">
        <f t="shared" si="56"/>
        <v>19.318678261889382</v>
      </c>
      <c r="N679" s="63">
        <f t="shared" si="57"/>
        <v>1.3293519044091666</v>
      </c>
    </row>
    <row r="680" spans="1:14" ht="18" x14ac:dyDescent="0.25">
      <c r="A680" s="317" t="s">
        <v>4927</v>
      </c>
      <c r="B680" s="317" t="s">
        <v>1120</v>
      </c>
      <c r="C680" s="317">
        <v>0.43</v>
      </c>
      <c r="D680" s="317">
        <v>3.82</v>
      </c>
      <c r="E680" s="318">
        <v>20.79</v>
      </c>
      <c r="F680" s="317">
        <v>2.63</v>
      </c>
      <c r="G680" s="317">
        <v>0</v>
      </c>
      <c r="H680" s="319">
        <v>28.48</v>
      </c>
      <c r="I680" s="320">
        <v>28</v>
      </c>
      <c r="J680" s="320">
        <v>2.5</v>
      </c>
      <c r="K680" s="57">
        <f t="shared" si="54"/>
        <v>6.2049E-2</v>
      </c>
      <c r="L680" s="310">
        <f t="shared" si="55"/>
        <v>7.9049429657794684E-2</v>
      </c>
      <c r="M680" s="405">
        <f t="shared" si="56"/>
        <v>178.48687726806855</v>
      </c>
      <c r="N680" s="63">
        <f t="shared" si="57"/>
        <v>-0.84043644868509848</v>
      </c>
    </row>
    <row r="681" spans="1:14" ht="18" x14ac:dyDescent="0.25">
      <c r="A681" s="317" t="s">
        <v>3949</v>
      </c>
      <c r="B681" s="317" t="s">
        <v>4023</v>
      </c>
      <c r="C681" s="317">
        <v>1</v>
      </c>
      <c r="D681" s="317">
        <v>-0.27</v>
      </c>
      <c r="E681" s="318">
        <v>21.98</v>
      </c>
      <c r="F681" s="317">
        <v>1.74</v>
      </c>
      <c r="G681" s="317">
        <v>2.2000000000000002</v>
      </c>
      <c r="H681" s="319">
        <v>32.08</v>
      </c>
      <c r="I681" s="320">
        <v>28</v>
      </c>
      <c r="J681" s="320">
        <v>2.5</v>
      </c>
      <c r="K681" s="57">
        <f t="shared" si="54"/>
        <v>8.7300000000000003E-2</v>
      </c>
      <c r="L681" s="310">
        <f t="shared" si="55"/>
        <v>0.12632183908045977</v>
      </c>
      <c r="M681" s="405">
        <f t="shared" si="56"/>
        <v>-27.929522729912254</v>
      </c>
      <c r="N681" s="63">
        <f t="shared" si="57"/>
        <v>-2.1486053775506382</v>
      </c>
    </row>
    <row r="682" spans="1:14" ht="18" x14ac:dyDescent="0.25">
      <c r="A682" s="317" t="s">
        <v>4591</v>
      </c>
      <c r="B682" s="317" t="s">
        <v>4592</v>
      </c>
      <c r="C682" s="317">
        <v>1.69</v>
      </c>
      <c r="D682" s="317">
        <v>1.02</v>
      </c>
      <c r="E682" s="318">
        <v>11.36</v>
      </c>
      <c r="F682" s="317">
        <v>0.92</v>
      </c>
      <c r="G682" s="317">
        <v>4.0999999999999996</v>
      </c>
      <c r="H682" s="319">
        <v>12.95</v>
      </c>
      <c r="I682" s="320">
        <v>22.11</v>
      </c>
      <c r="J682" s="320">
        <v>2</v>
      </c>
      <c r="K682" s="57">
        <f t="shared" si="54"/>
        <v>0.117867</v>
      </c>
      <c r="L682" s="310">
        <f t="shared" si="55"/>
        <v>0.1234782608695652</v>
      </c>
      <c r="M682" s="405">
        <f t="shared" si="56"/>
        <v>8.595076839523184</v>
      </c>
      <c r="N682" s="63">
        <f t="shared" si="57"/>
        <v>0.50667646628257568</v>
      </c>
    </row>
    <row r="683" spans="1:14" ht="18" x14ac:dyDescent="0.25">
      <c r="A683" s="317" t="s">
        <v>1121</v>
      </c>
      <c r="B683" s="317" t="s">
        <v>2729</v>
      </c>
      <c r="C683" s="317">
        <v>0.91</v>
      </c>
      <c r="D683" s="317">
        <v>0.56000000000000005</v>
      </c>
      <c r="E683" s="318">
        <v>18.440000000000001</v>
      </c>
      <c r="F683" s="317">
        <v>1.43</v>
      </c>
      <c r="G683" s="317">
        <v>0</v>
      </c>
      <c r="H683" s="319">
        <v>14.75</v>
      </c>
      <c r="I683" s="320">
        <v>16</v>
      </c>
      <c r="J683" s="320">
        <v>2</v>
      </c>
      <c r="K683" s="57">
        <f t="shared" si="54"/>
        <v>8.3312999999999998E-2</v>
      </c>
      <c r="L683" s="310">
        <f t="shared" si="55"/>
        <v>0.12895104895104897</v>
      </c>
      <c r="M683" s="405">
        <f t="shared" si="56"/>
        <v>17.594403988971038</v>
      </c>
      <c r="N683" s="63">
        <f t="shared" si="57"/>
        <v>-0.16166526531697456</v>
      </c>
    </row>
    <row r="684" spans="1:14" ht="18" x14ac:dyDescent="0.25">
      <c r="A684" s="317" t="s">
        <v>938</v>
      </c>
      <c r="B684" s="317" t="s">
        <v>939</v>
      </c>
      <c r="C684" s="317">
        <v>2.11</v>
      </c>
      <c r="D684" s="317">
        <v>-0.14000000000000001</v>
      </c>
      <c r="E684" s="318">
        <v>0</v>
      </c>
      <c r="F684" s="317">
        <v>0</v>
      </c>
      <c r="G684" s="317">
        <v>0</v>
      </c>
      <c r="H684" s="319">
        <v>1.03</v>
      </c>
      <c r="I684" s="320">
        <v>2.5</v>
      </c>
      <c r="J684" s="320">
        <v>2</v>
      </c>
      <c r="K684" s="57">
        <f t="shared" si="54"/>
        <v>0.13647300000000001</v>
      </c>
      <c r="L684" s="310" t="e">
        <f t="shared" si="55"/>
        <v>#DIV/0!</v>
      </c>
      <c r="M684" s="405" t="e">
        <f t="shared" si="56"/>
        <v>#DIV/0!</v>
      </c>
      <c r="N684" s="63" t="e">
        <f t="shared" si="57"/>
        <v>#DIV/0!</v>
      </c>
    </row>
    <row r="685" spans="1:14" ht="18" x14ac:dyDescent="0.25">
      <c r="A685" s="317" t="s">
        <v>1918</v>
      </c>
      <c r="B685" s="317"/>
      <c r="C685" s="317">
        <v>1.77</v>
      </c>
      <c r="D685" s="317">
        <v>9.94</v>
      </c>
      <c r="E685" s="318">
        <v>26.83</v>
      </c>
      <c r="F685" s="317">
        <v>1.42</v>
      </c>
      <c r="G685" s="317">
        <v>0</v>
      </c>
      <c r="H685" s="319">
        <v>351.25</v>
      </c>
      <c r="I685" s="320">
        <v>370</v>
      </c>
      <c r="J685" s="320">
        <v>2.5</v>
      </c>
      <c r="K685" s="57">
        <f t="shared" si="54"/>
        <v>0.12141100000000001</v>
      </c>
      <c r="L685" s="310">
        <f t="shared" si="55"/>
        <v>0.18894366197183099</v>
      </c>
      <c r="M685" s="405">
        <f t="shared" si="56"/>
        <v>211.96060354583994</v>
      </c>
      <c r="N685" s="63">
        <f t="shared" si="57"/>
        <v>0.65714757423794767</v>
      </c>
    </row>
    <row r="686" spans="1:14" ht="18" x14ac:dyDescent="0.25">
      <c r="A686" s="317" t="s">
        <v>2497</v>
      </c>
      <c r="B686" s="317" t="s">
        <v>2497</v>
      </c>
      <c r="C686" s="317">
        <v>0.75</v>
      </c>
      <c r="D686" s="317">
        <v>2.98</v>
      </c>
      <c r="E686" s="318">
        <v>17.25</v>
      </c>
      <c r="F686" s="317">
        <v>1.27</v>
      </c>
      <c r="G686" s="317">
        <v>1.9</v>
      </c>
      <c r="H686" s="319">
        <v>69.87</v>
      </c>
      <c r="I686" s="320">
        <v>73.5</v>
      </c>
      <c r="J686" s="320">
        <v>2</v>
      </c>
      <c r="K686" s="57">
        <f t="shared" si="54"/>
        <v>7.6225000000000001E-2</v>
      </c>
      <c r="L686" s="310">
        <f t="shared" si="55"/>
        <v>0.13582677165354329</v>
      </c>
      <c r="M686" s="405">
        <f t="shared" si="56"/>
        <v>63.017254905534514</v>
      </c>
      <c r="N686" s="63">
        <f t="shared" si="57"/>
        <v>0.1087439480621306</v>
      </c>
    </row>
    <row r="687" spans="1:14" ht="18" x14ac:dyDescent="0.25">
      <c r="A687" s="317" t="s">
        <v>4024</v>
      </c>
      <c r="B687" s="317" t="s">
        <v>4025</v>
      </c>
      <c r="C687" s="317">
        <v>1.02</v>
      </c>
      <c r="D687" s="317">
        <v>4.3099999999999996</v>
      </c>
      <c r="E687" s="318">
        <v>11.29</v>
      </c>
      <c r="F687" s="317">
        <v>1.2</v>
      </c>
      <c r="G687" s="317">
        <v>1.7</v>
      </c>
      <c r="H687" s="319">
        <v>58.02</v>
      </c>
      <c r="I687" s="320">
        <v>66</v>
      </c>
      <c r="J687" s="320">
        <v>2.6</v>
      </c>
      <c r="K687" s="57">
        <f t="shared" si="54"/>
        <v>8.8186E-2</v>
      </c>
      <c r="L687" s="310">
        <f t="shared" si="55"/>
        <v>9.4083333333333338E-2</v>
      </c>
      <c r="M687" s="405">
        <f t="shared" si="56"/>
        <v>82.232716434777316</v>
      </c>
      <c r="N687" s="63">
        <f t="shared" si="57"/>
        <v>-0.29444140342830061</v>
      </c>
    </row>
    <row r="688" spans="1:14" ht="18" x14ac:dyDescent="0.25">
      <c r="A688" s="317" t="s">
        <v>4593</v>
      </c>
      <c r="B688" s="317" t="s">
        <v>4594</v>
      </c>
      <c r="C688" s="317">
        <v>1.69</v>
      </c>
      <c r="D688" s="317">
        <v>1.87</v>
      </c>
      <c r="E688" s="318">
        <v>9.68</v>
      </c>
      <c r="F688" s="317">
        <v>0.99</v>
      </c>
      <c r="G688" s="317">
        <v>0.4</v>
      </c>
      <c r="H688" s="319">
        <v>22.37</v>
      </c>
      <c r="I688" s="320">
        <v>29.3</v>
      </c>
      <c r="J688" s="320">
        <v>2</v>
      </c>
      <c r="K688" s="57">
        <f t="shared" si="54"/>
        <v>0.117867</v>
      </c>
      <c r="L688" s="310">
        <f t="shared" si="55"/>
        <v>9.7777777777777769E-2</v>
      </c>
      <c r="M688" s="405">
        <f t="shared" si="56"/>
        <v>28.451990396722181</v>
      </c>
      <c r="N688" s="63">
        <f t="shared" si="57"/>
        <v>-0.21376326618691877</v>
      </c>
    </row>
    <row r="689" spans="1:14" ht="18" x14ac:dyDescent="0.25">
      <c r="A689" s="317" t="s">
        <v>4595</v>
      </c>
      <c r="B689" s="317" t="s">
        <v>4596</v>
      </c>
      <c r="C689" s="317">
        <v>1.1299999999999999</v>
      </c>
      <c r="D689" s="317">
        <v>3.03</v>
      </c>
      <c r="E689" s="318">
        <v>12.68</v>
      </c>
      <c r="F689" s="317">
        <v>1.08</v>
      </c>
      <c r="G689" s="317">
        <v>2.2999999999999998</v>
      </c>
      <c r="H689" s="319">
        <v>57.96</v>
      </c>
      <c r="I689" s="320">
        <v>66</v>
      </c>
      <c r="J689" s="320">
        <v>2.1</v>
      </c>
      <c r="K689" s="57">
        <f t="shared" si="54"/>
        <v>9.3059000000000003E-2</v>
      </c>
      <c r="L689" s="310">
        <f t="shared" si="55"/>
        <v>0.1174074074074074</v>
      </c>
      <c r="M689" s="405">
        <f t="shared" si="56"/>
        <v>42.07408023585252</v>
      </c>
      <c r="N689" s="63">
        <f t="shared" si="57"/>
        <v>0.37757022078906044</v>
      </c>
    </row>
    <row r="690" spans="1:14" ht="18" x14ac:dyDescent="0.25">
      <c r="A690" s="317" t="s">
        <v>5079</v>
      </c>
      <c r="B690" s="317"/>
      <c r="C690" s="317">
        <v>1.7</v>
      </c>
      <c r="D690" s="317">
        <v>1.18</v>
      </c>
      <c r="E690" s="318">
        <v>11.67</v>
      </c>
      <c r="F690" s="317">
        <v>1.03</v>
      </c>
      <c r="G690" s="317">
        <v>1.9</v>
      </c>
      <c r="H690" s="319">
        <v>24.62</v>
      </c>
      <c r="I690" s="320">
        <v>30</v>
      </c>
      <c r="J690" s="320">
        <v>2.2000000000000002</v>
      </c>
      <c r="K690" s="57">
        <f t="shared" si="54"/>
        <v>0.11831</v>
      </c>
      <c r="L690" s="310">
        <f t="shared" si="55"/>
        <v>0.11330097087378639</v>
      </c>
      <c r="M690" s="405">
        <f t="shared" si="56"/>
        <v>11.990181050455515</v>
      </c>
      <c r="N690" s="63">
        <f t="shared" si="57"/>
        <v>1.0533468090596239</v>
      </c>
    </row>
    <row r="691" spans="1:14" ht="18" x14ac:dyDescent="0.25">
      <c r="A691" s="317" t="s">
        <v>1808</v>
      </c>
      <c r="B691" s="317" t="s">
        <v>1809</v>
      </c>
      <c r="C691" s="317"/>
      <c r="D691" s="317"/>
      <c r="E691" s="318"/>
      <c r="F691" s="317"/>
      <c r="G691" s="317"/>
      <c r="H691" s="319">
        <v>61.77</v>
      </c>
      <c r="I691" s="320"/>
      <c r="J691" s="320"/>
      <c r="K691" s="57">
        <f t="shared" si="54"/>
        <v>4.2999999999999997E-2</v>
      </c>
      <c r="L691" s="310" t="e">
        <f t="shared" si="55"/>
        <v>#DIV/0!</v>
      </c>
      <c r="M691" s="405" t="e">
        <f t="shared" si="56"/>
        <v>#DIV/0!</v>
      </c>
      <c r="N691" s="63" t="e">
        <f t="shared" si="57"/>
        <v>#DIV/0!</v>
      </c>
    </row>
    <row r="692" spans="1:14" ht="18" x14ac:dyDescent="0.25">
      <c r="A692" s="317" t="s">
        <v>2250</v>
      </c>
      <c r="B692" s="317" t="s">
        <v>2251</v>
      </c>
      <c r="C692" s="317"/>
      <c r="D692" s="317"/>
      <c r="E692" s="318"/>
      <c r="F692" s="317"/>
      <c r="G692" s="317"/>
      <c r="H692" s="319">
        <v>84.05</v>
      </c>
      <c r="I692" s="320"/>
      <c r="J692" s="320"/>
      <c r="K692" s="57">
        <f t="shared" si="54"/>
        <v>4.2999999999999997E-2</v>
      </c>
      <c r="L692" s="310" t="e">
        <f t="shared" si="55"/>
        <v>#DIV/0!</v>
      </c>
      <c r="M692" s="405" t="e">
        <f t="shared" si="56"/>
        <v>#DIV/0!</v>
      </c>
      <c r="N692" s="63" t="e">
        <f t="shared" si="57"/>
        <v>#DIV/0!</v>
      </c>
    </row>
    <row r="693" spans="1:14" ht="18" x14ac:dyDescent="0.25">
      <c r="A693" s="317" t="s">
        <v>4597</v>
      </c>
      <c r="B693" s="317" t="s">
        <v>4598</v>
      </c>
      <c r="C693" s="317">
        <v>2.41</v>
      </c>
      <c r="D693" s="317">
        <v>2.97</v>
      </c>
      <c r="E693" s="318">
        <v>9.43</v>
      </c>
      <c r="F693" s="317">
        <v>0.36</v>
      </c>
      <c r="G693" s="317">
        <v>0</v>
      </c>
      <c r="H693" s="319">
        <v>48.47</v>
      </c>
      <c r="I693" s="320">
        <v>57.52</v>
      </c>
      <c r="J693" s="320">
        <v>1</v>
      </c>
      <c r="K693" s="57">
        <f t="shared" si="54"/>
        <v>0.14976300000000003</v>
      </c>
      <c r="L693" s="310">
        <f t="shared" si="55"/>
        <v>0.26194444444444442</v>
      </c>
      <c r="M693" s="405">
        <f t="shared" si="56"/>
        <v>59.627520619172259</v>
      </c>
      <c r="N693" s="63">
        <f t="shared" si="57"/>
        <v>-0.18712031798928666</v>
      </c>
    </row>
    <row r="694" spans="1:14" ht="18" x14ac:dyDescent="0.25">
      <c r="A694" s="317" t="s">
        <v>3551</v>
      </c>
      <c r="B694" s="317" t="s">
        <v>3552</v>
      </c>
      <c r="C694" s="317"/>
      <c r="D694" s="317"/>
      <c r="E694" s="318"/>
      <c r="F694" s="317"/>
      <c r="G694" s="317"/>
      <c r="H694" s="319">
        <v>48.46</v>
      </c>
      <c r="I694" s="320"/>
      <c r="J694" s="320"/>
      <c r="K694" s="57">
        <f t="shared" si="54"/>
        <v>4.2999999999999997E-2</v>
      </c>
      <c r="L694" s="310" t="e">
        <f t="shared" si="55"/>
        <v>#DIV/0!</v>
      </c>
      <c r="M694" s="405" t="e">
        <f t="shared" si="56"/>
        <v>#DIV/0!</v>
      </c>
      <c r="N694" s="63" t="e">
        <f t="shared" si="57"/>
        <v>#DIV/0!</v>
      </c>
    </row>
    <row r="695" spans="1:14" ht="18" x14ac:dyDescent="0.25">
      <c r="A695" s="317" t="s">
        <v>3553</v>
      </c>
      <c r="B695" s="317" t="s">
        <v>4274</v>
      </c>
      <c r="C695" s="317"/>
      <c r="D695" s="317"/>
      <c r="E695" s="318"/>
      <c r="F695" s="317"/>
      <c r="G695" s="317"/>
      <c r="H695" s="319">
        <v>57.51</v>
      </c>
      <c r="I695" s="320"/>
      <c r="J695" s="320"/>
      <c r="K695" s="57">
        <f t="shared" si="54"/>
        <v>4.2999999999999997E-2</v>
      </c>
      <c r="L695" s="310" t="e">
        <f t="shared" si="55"/>
        <v>#DIV/0!</v>
      </c>
      <c r="M695" s="405" t="e">
        <f t="shared" si="56"/>
        <v>#DIV/0!</v>
      </c>
      <c r="N695" s="63" t="e">
        <f t="shared" si="57"/>
        <v>#DIV/0!</v>
      </c>
    </row>
    <row r="696" spans="1:14" ht="18" x14ac:dyDescent="0.25">
      <c r="A696" s="317" t="s">
        <v>4275</v>
      </c>
      <c r="B696" s="317" t="s">
        <v>4276</v>
      </c>
      <c r="C696" s="317"/>
      <c r="D696" s="317"/>
      <c r="E696" s="318"/>
      <c r="F696" s="317"/>
      <c r="G696" s="317"/>
      <c r="H696" s="319">
        <v>99.54</v>
      </c>
      <c r="I696" s="320"/>
      <c r="J696" s="320"/>
      <c r="K696" s="57">
        <f t="shared" si="54"/>
        <v>4.2999999999999997E-2</v>
      </c>
      <c r="L696" s="310" t="e">
        <f t="shared" si="55"/>
        <v>#DIV/0!</v>
      </c>
      <c r="M696" s="405" t="e">
        <f t="shared" si="56"/>
        <v>#DIV/0!</v>
      </c>
      <c r="N696" s="63" t="e">
        <f t="shared" si="57"/>
        <v>#DIV/0!</v>
      </c>
    </row>
    <row r="697" spans="1:14" ht="18" x14ac:dyDescent="0.25">
      <c r="A697" s="317" t="s">
        <v>4599</v>
      </c>
      <c r="B697" s="317" t="s">
        <v>4600</v>
      </c>
      <c r="C697" s="317">
        <v>1.6</v>
      </c>
      <c r="D697" s="317">
        <v>1.19</v>
      </c>
      <c r="E697" s="318">
        <v>9.49</v>
      </c>
      <c r="F697" s="317">
        <v>1.08</v>
      </c>
      <c r="G697" s="317">
        <v>0.9</v>
      </c>
      <c r="H697" s="319">
        <v>35.299999999999997</v>
      </c>
      <c r="I697" s="320">
        <v>43.5</v>
      </c>
      <c r="J697" s="320">
        <v>2</v>
      </c>
      <c r="K697" s="57">
        <f t="shared" si="54"/>
        <v>0.11388000000000001</v>
      </c>
      <c r="L697" s="310">
        <f t="shared" si="55"/>
        <v>8.7870370370370363E-2</v>
      </c>
      <c r="M697" s="405">
        <f t="shared" si="56"/>
        <v>14.115048012371021</v>
      </c>
      <c r="N697" s="63">
        <f t="shared" si="57"/>
        <v>1.5008770759448777</v>
      </c>
    </row>
    <row r="698" spans="1:14" ht="18" x14ac:dyDescent="0.25">
      <c r="A698" s="317" t="s">
        <v>4601</v>
      </c>
      <c r="B698" s="317" t="s">
        <v>4602</v>
      </c>
      <c r="C698" s="317"/>
      <c r="D698" s="317"/>
      <c r="E698" s="318"/>
      <c r="F698" s="317"/>
      <c r="G698" s="317"/>
      <c r="H698" s="319"/>
      <c r="I698" s="320"/>
      <c r="J698" s="320"/>
      <c r="K698" s="57">
        <f t="shared" si="54"/>
        <v>4.2999999999999997E-2</v>
      </c>
      <c r="L698" s="310" t="e">
        <f t="shared" si="55"/>
        <v>#DIV/0!</v>
      </c>
      <c r="M698" s="405" t="e">
        <f t="shared" si="56"/>
        <v>#DIV/0!</v>
      </c>
      <c r="N698" s="63" t="e">
        <f t="shared" si="57"/>
        <v>#DIV/0!</v>
      </c>
    </row>
    <row r="699" spans="1:14" ht="18" x14ac:dyDescent="0.25">
      <c r="A699" s="317" t="s">
        <v>2592</v>
      </c>
      <c r="B699" s="317" t="s">
        <v>2593</v>
      </c>
      <c r="C699" s="317">
        <v>2.96</v>
      </c>
      <c r="D699" s="317">
        <v>1.63</v>
      </c>
      <c r="E699" s="318">
        <v>5.0599999999999996</v>
      </c>
      <c r="F699" s="317">
        <v>0.34</v>
      </c>
      <c r="G699" s="317">
        <v>0</v>
      </c>
      <c r="H699" s="319">
        <v>6.17</v>
      </c>
      <c r="I699" s="320">
        <v>8.75</v>
      </c>
      <c r="J699" s="320">
        <v>2.6</v>
      </c>
      <c r="K699" s="57">
        <f t="shared" si="54"/>
        <v>0.174128</v>
      </c>
      <c r="L699" s="310">
        <f t="shared" si="55"/>
        <v>0.14882352941176469</v>
      </c>
      <c r="M699" s="405">
        <f t="shared" si="56"/>
        <v>18.388867082036526</v>
      </c>
      <c r="N699" s="63">
        <f t="shared" si="57"/>
        <v>-0.66447090119938557</v>
      </c>
    </row>
    <row r="700" spans="1:14" ht="18" x14ac:dyDescent="0.25">
      <c r="A700" s="317" t="s">
        <v>4603</v>
      </c>
      <c r="B700" s="317" t="s">
        <v>4604</v>
      </c>
      <c r="C700" s="317">
        <v>2.2000000000000002</v>
      </c>
      <c r="D700" s="317">
        <v>1.25</v>
      </c>
      <c r="E700" s="318">
        <v>7.59</v>
      </c>
      <c r="F700" s="317">
        <v>0.88</v>
      </c>
      <c r="G700" s="317">
        <v>1.4</v>
      </c>
      <c r="H700" s="319">
        <v>19.57</v>
      </c>
      <c r="I700" s="320">
        <v>25.5</v>
      </c>
      <c r="J700" s="320">
        <v>1.9</v>
      </c>
      <c r="K700" s="57">
        <f t="shared" si="54"/>
        <v>0.14046000000000003</v>
      </c>
      <c r="L700" s="310">
        <f t="shared" si="55"/>
        <v>8.6249999999999993E-2</v>
      </c>
      <c r="M700" s="405">
        <f t="shared" si="56"/>
        <v>11.761849454549189</v>
      </c>
      <c r="N700" s="63">
        <f t="shared" si="57"/>
        <v>0.66385397769487808</v>
      </c>
    </row>
    <row r="701" spans="1:14" ht="18" x14ac:dyDescent="0.25">
      <c r="A701" s="317" t="s">
        <v>4605</v>
      </c>
      <c r="B701" s="317" t="s">
        <v>4606</v>
      </c>
      <c r="C701" s="317">
        <v>1.88</v>
      </c>
      <c r="D701" s="317">
        <v>2.2200000000000002</v>
      </c>
      <c r="E701" s="318">
        <v>12.21</v>
      </c>
      <c r="F701" s="317">
        <v>1.03</v>
      </c>
      <c r="G701" s="317">
        <v>1.6</v>
      </c>
      <c r="H701" s="319">
        <v>39.79</v>
      </c>
      <c r="I701" s="320">
        <v>47.5</v>
      </c>
      <c r="J701" s="320">
        <v>2</v>
      </c>
      <c r="K701" s="57">
        <f t="shared" si="54"/>
        <v>0.12628400000000001</v>
      </c>
      <c r="L701" s="310">
        <f t="shared" si="55"/>
        <v>0.11854368932038836</v>
      </c>
      <c r="M701" s="405">
        <f t="shared" si="56"/>
        <v>24.75187633360261</v>
      </c>
      <c r="N701" s="63">
        <f t="shared" si="57"/>
        <v>0.6075548965951304</v>
      </c>
    </row>
    <row r="702" spans="1:14" ht="18" x14ac:dyDescent="0.25">
      <c r="A702" s="317" t="s">
        <v>4026</v>
      </c>
      <c r="B702" s="317" t="s">
        <v>4027</v>
      </c>
      <c r="C702" s="317">
        <v>1.93</v>
      </c>
      <c r="D702" s="317">
        <v>1.64</v>
      </c>
      <c r="E702" s="318">
        <v>16.079999999999998</v>
      </c>
      <c r="F702" s="317">
        <v>1.63</v>
      </c>
      <c r="G702" s="317">
        <v>2.1</v>
      </c>
      <c r="H702" s="319">
        <v>38.42</v>
      </c>
      <c r="I702" s="320">
        <v>32</v>
      </c>
      <c r="J702" s="320">
        <v>2.7</v>
      </c>
      <c r="K702" s="57">
        <f t="shared" si="54"/>
        <v>0.128499</v>
      </c>
      <c r="L702" s="310">
        <f t="shared" si="55"/>
        <v>9.8650306748466254E-2</v>
      </c>
      <c r="M702" s="405">
        <f t="shared" si="56"/>
        <v>11.828865785975687</v>
      </c>
      <c r="N702" s="63">
        <f t="shared" si="57"/>
        <v>2.2479868057638108</v>
      </c>
    </row>
    <row r="703" spans="1:14" ht="18" x14ac:dyDescent="0.25">
      <c r="A703" s="317" t="s">
        <v>4607</v>
      </c>
      <c r="B703" s="317" t="s">
        <v>4608</v>
      </c>
      <c r="C703" s="317">
        <v>1.39</v>
      </c>
      <c r="D703" s="317">
        <v>0.42</v>
      </c>
      <c r="E703" s="318">
        <v>12.49</v>
      </c>
      <c r="F703" s="317">
        <v>1.65</v>
      </c>
      <c r="G703" s="317">
        <v>0</v>
      </c>
      <c r="H703" s="319">
        <v>32.979999999999997</v>
      </c>
      <c r="I703" s="320">
        <v>38</v>
      </c>
      <c r="J703" s="320">
        <v>1.8</v>
      </c>
      <c r="K703" s="57">
        <f t="shared" si="54"/>
        <v>0.104577</v>
      </c>
      <c r="L703" s="310">
        <f t="shared" si="55"/>
        <v>7.5696969696969707E-2</v>
      </c>
      <c r="M703" s="405">
        <f t="shared" si="56"/>
        <v>7.3576611446650961</v>
      </c>
      <c r="N703" s="63">
        <f t="shared" si="57"/>
        <v>3.4824026754634096</v>
      </c>
    </row>
    <row r="704" spans="1:14" ht="18" x14ac:dyDescent="0.25">
      <c r="A704" s="317" t="s">
        <v>4028</v>
      </c>
      <c r="B704" s="317" t="s">
        <v>4029</v>
      </c>
      <c r="C704" s="317">
        <v>2.56</v>
      </c>
      <c r="D704" s="317">
        <v>0.06</v>
      </c>
      <c r="E704" s="318">
        <v>19.2</v>
      </c>
      <c r="F704" s="317">
        <v>1.53</v>
      </c>
      <c r="G704" s="317">
        <v>0</v>
      </c>
      <c r="H704" s="319">
        <v>22.08</v>
      </c>
      <c r="I704" s="320">
        <v>24</v>
      </c>
      <c r="J704" s="320">
        <v>2.1</v>
      </c>
      <c r="K704" s="57">
        <f t="shared" si="54"/>
        <v>0.15640800000000002</v>
      </c>
      <c r="L704" s="310">
        <f t="shared" si="55"/>
        <v>0.12549019607843137</v>
      </c>
      <c r="M704" s="405">
        <f t="shared" si="56"/>
        <v>0.71954163033940022</v>
      </c>
      <c r="N704" s="63">
        <f t="shared" si="57"/>
        <v>29.686202255712566</v>
      </c>
    </row>
    <row r="705" spans="1:14" ht="18" x14ac:dyDescent="0.25">
      <c r="A705" s="317" t="s">
        <v>4030</v>
      </c>
      <c r="B705" s="317" t="s">
        <v>992</v>
      </c>
      <c r="C705" s="317">
        <v>1.27</v>
      </c>
      <c r="D705" s="317">
        <v>1.91</v>
      </c>
      <c r="E705" s="318">
        <v>15.78</v>
      </c>
      <c r="F705" s="317">
        <v>1.42</v>
      </c>
      <c r="G705" s="317">
        <v>0</v>
      </c>
      <c r="H705" s="319">
        <v>47.35</v>
      </c>
      <c r="I705" s="320">
        <v>56.25</v>
      </c>
      <c r="J705" s="320">
        <v>2.2000000000000002</v>
      </c>
      <c r="K705" s="57">
        <f t="shared" si="54"/>
        <v>9.9261000000000002E-2</v>
      </c>
      <c r="L705" s="310">
        <f t="shared" si="55"/>
        <v>0.11112676056338028</v>
      </c>
      <c r="M705" s="405">
        <f t="shared" si="56"/>
        <v>41.615876390365685</v>
      </c>
      <c r="N705" s="63">
        <f t="shared" si="57"/>
        <v>0.13778692429415709</v>
      </c>
    </row>
    <row r="706" spans="1:14" ht="18" x14ac:dyDescent="0.25">
      <c r="A706" s="317" t="s">
        <v>4609</v>
      </c>
      <c r="B706" s="317" t="s">
        <v>4610</v>
      </c>
      <c r="C706" s="317">
        <v>2.1</v>
      </c>
      <c r="D706" s="317">
        <v>-4.01</v>
      </c>
      <c r="E706" s="318">
        <v>21.16</v>
      </c>
      <c r="F706" s="317">
        <v>-2.02</v>
      </c>
      <c r="G706" s="317">
        <v>0</v>
      </c>
      <c r="H706" s="319">
        <v>29.84</v>
      </c>
      <c r="I706" s="320">
        <v>33.75</v>
      </c>
      <c r="J706" s="320">
        <v>1</v>
      </c>
      <c r="K706" s="57">
        <f t="shared" si="54"/>
        <v>0.13603000000000001</v>
      </c>
      <c r="L706" s="310">
        <f t="shared" si="55"/>
        <v>-0.10475247524752476</v>
      </c>
      <c r="M706" s="405">
        <f t="shared" si="56"/>
        <v>-25.353120755586289</v>
      </c>
      <c r="N706" s="63">
        <f t="shared" si="57"/>
        <v>-2.176975421987255</v>
      </c>
    </row>
    <row r="707" spans="1:14" ht="18" x14ac:dyDescent="0.25">
      <c r="A707" s="317" t="s">
        <v>4971</v>
      </c>
      <c r="B707" s="317"/>
      <c r="C707" s="317">
        <v>0.6</v>
      </c>
      <c r="D707" s="317">
        <v>4.41</v>
      </c>
      <c r="E707" s="318">
        <v>12.49</v>
      </c>
      <c r="F707" s="317">
        <v>2.31</v>
      </c>
      <c r="G707" s="317">
        <v>3.3</v>
      </c>
      <c r="H707" s="319">
        <v>65.45</v>
      </c>
      <c r="I707" s="320">
        <v>67</v>
      </c>
      <c r="J707" s="320">
        <v>2.2999999999999998</v>
      </c>
      <c r="K707" s="57">
        <f t="shared" si="54"/>
        <v>6.9580000000000003E-2</v>
      </c>
      <c r="L707" s="310">
        <f t="shared" si="55"/>
        <v>5.4069264069264066E-2</v>
      </c>
      <c r="M707" s="405">
        <f t="shared" si="56"/>
        <v>73.217965731645734</v>
      </c>
      <c r="N707" s="63">
        <f t="shared" si="57"/>
        <v>-0.10609371148218501</v>
      </c>
    </row>
    <row r="708" spans="1:14" ht="18" x14ac:dyDescent="0.25">
      <c r="A708" s="317" t="s">
        <v>993</v>
      </c>
      <c r="B708" s="317" t="s">
        <v>994</v>
      </c>
      <c r="C708" s="317">
        <v>1.43</v>
      </c>
      <c r="D708" s="317">
        <v>1.1499999999999999</v>
      </c>
      <c r="E708" s="318">
        <v>20.22</v>
      </c>
      <c r="F708" s="317">
        <v>1.28</v>
      </c>
      <c r="G708" s="317">
        <v>0</v>
      </c>
      <c r="H708" s="319">
        <v>38.21</v>
      </c>
      <c r="I708" s="320">
        <v>46.5</v>
      </c>
      <c r="J708" s="320">
        <v>2.2000000000000002</v>
      </c>
      <c r="K708" s="57">
        <f t="shared" si="54"/>
        <v>0.106349</v>
      </c>
      <c r="L708" s="310">
        <f t="shared" si="55"/>
        <v>0.15796874999999999</v>
      </c>
      <c r="M708" s="405">
        <f t="shared" si="56"/>
        <v>26.845706754357213</v>
      </c>
      <c r="N708" s="63">
        <f t="shared" si="57"/>
        <v>0.42331883267697162</v>
      </c>
    </row>
    <row r="709" spans="1:14" ht="18" x14ac:dyDescent="0.25">
      <c r="A709" s="317" t="s">
        <v>995</v>
      </c>
      <c r="B709" s="317" t="s">
        <v>996</v>
      </c>
      <c r="C709" s="317">
        <v>2.7</v>
      </c>
      <c r="D709" s="317">
        <v>0.92</v>
      </c>
      <c r="E709" s="318">
        <v>10.93</v>
      </c>
      <c r="F709" s="317">
        <v>1.07</v>
      </c>
      <c r="G709" s="317">
        <v>1.6</v>
      </c>
      <c r="H709" s="319">
        <v>11.7</v>
      </c>
      <c r="I709" s="320">
        <v>14</v>
      </c>
      <c r="J709" s="320">
        <v>2.9</v>
      </c>
      <c r="K709" s="57">
        <f t="shared" ref="K709:K772" si="58">$P$14+C709*($Q$15-$P$14)</f>
        <v>0.16261000000000003</v>
      </c>
      <c r="L709" s="310">
        <f t="shared" ref="L709:L772" si="59">E709/F709/100</f>
        <v>0.10214953271028036</v>
      </c>
      <c r="M709" s="405">
        <f t="shared" ref="M709:M772" si="60">(D709-G709*H709/100)+(D709-G709*H709/100)*(1+L709)/(1+K709)+(D709-G709*H709/100)*(1+L709)^2/(1+K709)^2+(D709-G709*H709/100)*(1+L709)^3/(1+K709)^3+(D709-G709*H709/100)*(1+L709)^4/(1+K709)^4+((D709-G709*H709/100)*(1+L709)^5/(K709-$T$22-$T$19))/((1+K709)^5)</f>
        <v>7.7337122723038778</v>
      </c>
      <c r="N709" s="63">
        <f t="shared" ref="N709:N772" si="61">(H709-M709)/M709</f>
        <v>0.51285690339169576</v>
      </c>
    </row>
    <row r="710" spans="1:14" ht="18" x14ac:dyDescent="0.25">
      <c r="A710" s="317" t="s">
        <v>5080</v>
      </c>
      <c r="B710" s="317"/>
      <c r="C710" s="317">
        <v>2.08</v>
      </c>
      <c r="D710" s="317">
        <v>4.63</v>
      </c>
      <c r="E710" s="318">
        <v>14.37</v>
      </c>
      <c r="F710" s="317">
        <v>1.26</v>
      </c>
      <c r="G710" s="317">
        <v>0.7</v>
      </c>
      <c r="H710" s="319">
        <v>92.84</v>
      </c>
      <c r="I710" s="320">
        <v>110</v>
      </c>
      <c r="J710" s="320">
        <v>2.4</v>
      </c>
      <c r="K710" s="57">
        <f t="shared" si="58"/>
        <v>0.13514400000000001</v>
      </c>
      <c r="L710" s="310">
        <f t="shared" si="59"/>
        <v>0.11404761904761904</v>
      </c>
      <c r="M710" s="405">
        <f t="shared" si="60"/>
        <v>55.725056914494132</v>
      </c>
      <c r="N710" s="63">
        <f t="shared" si="61"/>
        <v>0.66603688072415845</v>
      </c>
    </row>
    <row r="711" spans="1:14" ht="18" x14ac:dyDescent="0.25">
      <c r="A711" s="317" t="s">
        <v>338</v>
      </c>
      <c r="B711" s="317"/>
      <c r="C711" s="317">
        <v>1.17</v>
      </c>
      <c r="D711" s="317">
        <v>4.5</v>
      </c>
      <c r="E711" s="318">
        <v>8.0500000000000007</v>
      </c>
      <c r="F711" s="317">
        <v>1.04</v>
      </c>
      <c r="G711" s="317">
        <v>2.2000000000000002</v>
      </c>
      <c r="H711" s="319">
        <v>45.62</v>
      </c>
      <c r="I711" s="320">
        <v>55</v>
      </c>
      <c r="J711" s="320">
        <v>1.7</v>
      </c>
      <c r="K711" s="57">
        <f t="shared" si="58"/>
        <v>9.4830999999999999E-2</v>
      </c>
      <c r="L711" s="310">
        <f t="shared" si="59"/>
        <v>7.7403846153846156E-2</v>
      </c>
      <c r="M711" s="405">
        <f t="shared" si="60"/>
        <v>71.782844634009209</v>
      </c>
      <c r="N711" s="63">
        <f t="shared" si="61"/>
        <v>-0.36447210705291277</v>
      </c>
    </row>
    <row r="712" spans="1:14" ht="18" x14ac:dyDescent="0.25">
      <c r="A712" s="317" t="s">
        <v>4611</v>
      </c>
      <c r="B712" s="317" t="s">
        <v>4612</v>
      </c>
      <c r="C712" s="317">
        <v>1.56</v>
      </c>
      <c r="D712" s="317">
        <v>1.52</v>
      </c>
      <c r="E712" s="318">
        <v>7.43</v>
      </c>
      <c r="F712" s="317">
        <v>-0.38</v>
      </c>
      <c r="G712" s="317">
        <v>0</v>
      </c>
      <c r="H712" s="319">
        <v>23.02</v>
      </c>
      <c r="I712" s="320">
        <v>28.5</v>
      </c>
      <c r="J712" s="320">
        <v>2.2999999999999998</v>
      </c>
      <c r="K712" s="57">
        <f t="shared" si="58"/>
        <v>0.11210800000000001</v>
      </c>
      <c r="L712" s="310">
        <f t="shared" si="59"/>
        <v>-0.19552631578947366</v>
      </c>
      <c r="M712" s="405">
        <f t="shared" si="60"/>
        <v>8.3623005452700951</v>
      </c>
      <c r="N712" s="63">
        <f t="shared" si="61"/>
        <v>1.7528309793912666</v>
      </c>
    </row>
    <row r="713" spans="1:14" ht="18" x14ac:dyDescent="0.25">
      <c r="A713" s="317" t="s">
        <v>1616</v>
      </c>
      <c r="B713" s="317"/>
      <c r="C713" s="317">
        <v>1.24</v>
      </c>
      <c r="D713" s="317">
        <v>0.1</v>
      </c>
      <c r="E713" s="318">
        <v>13.86</v>
      </c>
      <c r="F713" s="317">
        <v>0</v>
      </c>
      <c r="G713" s="317">
        <v>0</v>
      </c>
      <c r="H713" s="319">
        <v>5.27</v>
      </c>
      <c r="I713" s="320">
        <v>8.15</v>
      </c>
      <c r="J713" s="320">
        <v>2</v>
      </c>
      <c r="K713" s="57">
        <f t="shared" si="58"/>
        <v>9.7932000000000005E-2</v>
      </c>
      <c r="L713" s="310" t="e">
        <f t="shared" si="59"/>
        <v>#DIV/0!</v>
      </c>
      <c r="M713" s="405" t="e">
        <f t="shared" si="60"/>
        <v>#DIV/0!</v>
      </c>
      <c r="N713" s="63" t="e">
        <f t="shared" si="61"/>
        <v>#DIV/0!</v>
      </c>
    </row>
    <row r="714" spans="1:14" ht="18" x14ac:dyDescent="0.25">
      <c r="A714" s="317" t="s">
        <v>1617</v>
      </c>
      <c r="B714" s="317"/>
      <c r="C714" s="317">
        <v>1.55</v>
      </c>
      <c r="D714" s="317">
        <v>0.81</v>
      </c>
      <c r="E714" s="318">
        <v>7.48</v>
      </c>
      <c r="F714" s="317">
        <v>0.3</v>
      </c>
      <c r="G714" s="317">
        <v>1.1000000000000001</v>
      </c>
      <c r="H714" s="319">
        <v>11.59</v>
      </c>
      <c r="I714" s="320">
        <v>15.5</v>
      </c>
      <c r="J714" s="320">
        <v>2</v>
      </c>
      <c r="K714" s="57">
        <f t="shared" si="58"/>
        <v>0.11166500000000001</v>
      </c>
      <c r="L714" s="310">
        <f t="shared" si="59"/>
        <v>0.24933333333333338</v>
      </c>
      <c r="M714" s="405">
        <f t="shared" si="60"/>
        <v>20.540048044025589</v>
      </c>
      <c r="N714" s="63">
        <f t="shared" si="61"/>
        <v>-0.43573647076394534</v>
      </c>
    </row>
    <row r="715" spans="1:14" ht="18" x14ac:dyDescent="0.25">
      <c r="A715" s="317" t="s">
        <v>3186</v>
      </c>
      <c r="B715" s="317" t="s">
        <v>3187</v>
      </c>
      <c r="C715" s="317">
        <v>2.41</v>
      </c>
      <c r="D715" s="317">
        <v>0.53</v>
      </c>
      <c r="E715" s="318">
        <v>10.64</v>
      </c>
      <c r="F715" s="317">
        <v>2.2000000000000002</v>
      </c>
      <c r="G715" s="317">
        <v>2.2999999999999998</v>
      </c>
      <c r="H715" s="319">
        <v>5.75</v>
      </c>
      <c r="I715" s="320">
        <v>0</v>
      </c>
      <c r="J715" s="320">
        <v>3</v>
      </c>
      <c r="K715" s="57">
        <f t="shared" si="58"/>
        <v>0.14976300000000003</v>
      </c>
      <c r="L715" s="310">
        <f t="shared" si="59"/>
        <v>4.8363636363636359E-2</v>
      </c>
      <c r="M715" s="405">
        <f t="shared" si="60"/>
        <v>3.871136104494127</v>
      </c>
      <c r="N715" s="63">
        <f t="shared" si="61"/>
        <v>0.48535206326758679</v>
      </c>
    </row>
    <row r="716" spans="1:14" ht="18" x14ac:dyDescent="0.25">
      <c r="A716" s="317" t="s">
        <v>997</v>
      </c>
      <c r="B716" s="317" t="s">
        <v>998</v>
      </c>
      <c r="C716" s="317">
        <v>1.83</v>
      </c>
      <c r="D716" s="317">
        <v>2.75</v>
      </c>
      <c r="E716" s="318">
        <v>13.98</v>
      </c>
      <c r="F716" s="317">
        <v>1.49</v>
      </c>
      <c r="G716" s="317">
        <v>1.9</v>
      </c>
      <c r="H716" s="319">
        <v>48.08</v>
      </c>
      <c r="I716" s="320">
        <v>49</v>
      </c>
      <c r="J716" s="320">
        <v>2.2000000000000002</v>
      </c>
      <c r="K716" s="57">
        <f t="shared" si="58"/>
        <v>0.12406900000000001</v>
      </c>
      <c r="L716" s="310">
        <f t="shared" si="59"/>
        <v>9.3825503355704692E-2</v>
      </c>
      <c r="M716" s="405">
        <f t="shared" si="60"/>
        <v>26.895836861121097</v>
      </c>
      <c r="N716" s="63">
        <f t="shared" si="61"/>
        <v>0.78763725584242272</v>
      </c>
    </row>
    <row r="717" spans="1:14" ht="18" x14ac:dyDescent="0.25">
      <c r="A717" s="317" t="s">
        <v>999</v>
      </c>
      <c r="B717" s="317" t="s">
        <v>1000</v>
      </c>
      <c r="C717" s="317">
        <v>0.5</v>
      </c>
      <c r="D717" s="317">
        <v>3.3</v>
      </c>
      <c r="E717" s="318">
        <v>15.04</v>
      </c>
      <c r="F717" s="317">
        <v>1.98</v>
      </c>
      <c r="G717" s="317">
        <v>2.8</v>
      </c>
      <c r="H717" s="319">
        <v>56.99</v>
      </c>
      <c r="I717" s="320">
        <v>56.5</v>
      </c>
      <c r="J717" s="320">
        <v>2.2000000000000002</v>
      </c>
      <c r="K717" s="57">
        <f t="shared" si="58"/>
        <v>6.515E-2</v>
      </c>
      <c r="L717" s="310">
        <f t="shared" si="59"/>
        <v>7.5959595959595963E-2</v>
      </c>
      <c r="M717" s="405">
        <f t="shared" si="60"/>
        <v>70.1894990662189</v>
      </c>
      <c r="N717" s="63">
        <f t="shared" si="61"/>
        <v>-0.18805518263873192</v>
      </c>
    </row>
    <row r="718" spans="1:14" ht="18" x14ac:dyDescent="0.25">
      <c r="A718" s="317" t="s">
        <v>4613</v>
      </c>
      <c r="B718" s="317" t="s">
        <v>4614</v>
      </c>
      <c r="C718" s="317">
        <v>1.55</v>
      </c>
      <c r="D718" s="317">
        <v>1.49</v>
      </c>
      <c r="E718" s="318">
        <v>12.06</v>
      </c>
      <c r="F718" s="317">
        <v>0.56999999999999995</v>
      </c>
      <c r="G718" s="317">
        <v>0</v>
      </c>
      <c r="H718" s="319">
        <v>30.87</v>
      </c>
      <c r="I718" s="320">
        <v>36</v>
      </c>
      <c r="J718" s="320">
        <v>1.3</v>
      </c>
      <c r="K718" s="57">
        <f t="shared" si="58"/>
        <v>0.11166500000000001</v>
      </c>
      <c r="L718" s="310">
        <f t="shared" si="59"/>
        <v>0.21157894736842106</v>
      </c>
      <c r="M718" s="405">
        <f t="shared" si="60"/>
        <v>39.196740632249259</v>
      </c>
      <c r="N718" s="63">
        <f t="shared" si="61"/>
        <v>-0.21243451618521572</v>
      </c>
    </row>
    <row r="719" spans="1:14" ht="18" x14ac:dyDescent="0.25">
      <c r="A719" s="317" t="s">
        <v>4615</v>
      </c>
      <c r="B719" s="317" t="s">
        <v>4616</v>
      </c>
      <c r="C719" s="317">
        <v>1.3</v>
      </c>
      <c r="D719" s="317">
        <v>1.47</v>
      </c>
      <c r="E719" s="318">
        <v>15.04</v>
      </c>
      <c r="F719" s="317">
        <v>1.02</v>
      </c>
      <c r="G719" s="317">
        <v>1.5</v>
      </c>
      <c r="H719" s="319">
        <v>35.630000000000003</v>
      </c>
      <c r="I719" s="320">
        <v>38</v>
      </c>
      <c r="J719" s="320">
        <v>1.6</v>
      </c>
      <c r="K719" s="57">
        <f t="shared" si="58"/>
        <v>0.10059000000000001</v>
      </c>
      <c r="L719" s="310">
        <f t="shared" si="59"/>
        <v>0.14745098039215684</v>
      </c>
      <c r="M719" s="405">
        <f t="shared" si="60"/>
        <v>22.935457913532453</v>
      </c>
      <c r="N719" s="63">
        <f t="shared" si="61"/>
        <v>0.55348980318275987</v>
      </c>
    </row>
    <row r="720" spans="1:14" ht="18" x14ac:dyDescent="0.25">
      <c r="A720" s="317" t="s">
        <v>1618</v>
      </c>
      <c r="B720" s="317"/>
      <c r="C720" s="317">
        <v>2.08</v>
      </c>
      <c r="D720" s="317">
        <v>0.24</v>
      </c>
      <c r="E720" s="318">
        <v>8.5299999999999994</v>
      </c>
      <c r="F720" s="317">
        <v>0.8</v>
      </c>
      <c r="G720" s="317">
        <v>0</v>
      </c>
      <c r="H720" s="319">
        <v>51.37</v>
      </c>
      <c r="I720" s="320">
        <v>63</v>
      </c>
      <c r="J720" s="320">
        <v>1</v>
      </c>
      <c r="K720" s="57">
        <f t="shared" si="58"/>
        <v>0.13514400000000001</v>
      </c>
      <c r="L720" s="310">
        <f t="shared" si="59"/>
        <v>0.10662499999999998</v>
      </c>
      <c r="M720" s="405">
        <f t="shared" si="60"/>
        <v>3.2727337736355664</v>
      </c>
      <c r="N720" s="63">
        <f t="shared" si="61"/>
        <v>14.696357709822161</v>
      </c>
    </row>
    <row r="721" spans="1:14" ht="18" x14ac:dyDescent="0.25">
      <c r="A721" s="317" t="s">
        <v>4617</v>
      </c>
      <c r="B721" s="317" t="s">
        <v>4618</v>
      </c>
      <c r="C721" s="317">
        <v>1.02</v>
      </c>
      <c r="D721" s="317">
        <v>2.48</v>
      </c>
      <c r="E721" s="318">
        <v>14.37</v>
      </c>
      <c r="F721" s="317">
        <v>1.35</v>
      </c>
      <c r="G721" s="317">
        <v>0.5</v>
      </c>
      <c r="H721" s="319">
        <v>36.51</v>
      </c>
      <c r="I721" s="320">
        <v>44.75</v>
      </c>
      <c r="J721" s="320">
        <v>2</v>
      </c>
      <c r="K721" s="57">
        <f t="shared" si="58"/>
        <v>8.8186E-2</v>
      </c>
      <c r="L721" s="310">
        <f t="shared" si="59"/>
        <v>0.10644444444444444</v>
      </c>
      <c r="M721" s="405">
        <f t="shared" si="60"/>
        <v>59.722922730335966</v>
      </c>
      <c r="N721" s="63">
        <f t="shared" si="61"/>
        <v>-0.3886769379179274</v>
      </c>
    </row>
    <row r="722" spans="1:14" ht="18" x14ac:dyDescent="0.25">
      <c r="A722" s="317" t="s">
        <v>4890</v>
      </c>
      <c r="B722" s="317" t="s">
        <v>4891</v>
      </c>
      <c r="C722" s="317">
        <v>2.44</v>
      </c>
      <c r="D722" s="317">
        <v>0.47</v>
      </c>
      <c r="E722" s="318">
        <v>12.87</v>
      </c>
      <c r="F722" s="317">
        <v>1.72</v>
      </c>
      <c r="G722" s="317">
        <v>0</v>
      </c>
      <c r="H722" s="319">
        <v>16.96</v>
      </c>
      <c r="I722" s="320">
        <v>22</v>
      </c>
      <c r="J722" s="320">
        <v>1.9</v>
      </c>
      <c r="K722" s="57">
        <f t="shared" si="58"/>
        <v>0.151092</v>
      </c>
      <c r="L722" s="310">
        <f t="shared" si="59"/>
        <v>7.4825581395348839E-2</v>
      </c>
      <c r="M722" s="405">
        <f t="shared" si="60"/>
        <v>4.9571840770432276</v>
      </c>
      <c r="N722" s="63">
        <f t="shared" si="61"/>
        <v>2.4212971994608679</v>
      </c>
    </row>
    <row r="723" spans="1:14" ht="18" x14ac:dyDescent="0.25">
      <c r="A723" s="317" t="s">
        <v>1619</v>
      </c>
      <c r="B723" s="317"/>
      <c r="C723" s="317">
        <v>3.52</v>
      </c>
      <c r="D723" s="317">
        <v>-0.34</v>
      </c>
      <c r="E723" s="318">
        <v>0</v>
      </c>
      <c r="F723" s="317">
        <v>-0.46</v>
      </c>
      <c r="G723" s="317">
        <v>0</v>
      </c>
      <c r="H723" s="319">
        <v>4.6100000000000003</v>
      </c>
      <c r="I723" s="320">
        <v>9</v>
      </c>
      <c r="J723" s="320">
        <v>1.3</v>
      </c>
      <c r="K723" s="57">
        <f t="shared" si="58"/>
        <v>0.198936</v>
      </c>
      <c r="L723" s="310">
        <f t="shared" si="59"/>
        <v>0</v>
      </c>
      <c r="M723" s="405">
        <f t="shared" si="60"/>
        <v>-2.064276805697387</v>
      </c>
      <c r="N723" s="63">
        <f t="shared" si="61"/>
        <v>-3.2332276307501191</v>
      </c>
    </row>
    <row r="724" spans="1:14" ht="18" x14ac:dyDescent="0.25">
      <c r="A724" s="317" t="s">
        <v>1001</v>
      </c>
      <c r="B724" s="317" t="s">
        <v>1002</v>
      </c>
      <c r="C724" s="317">
        <v>0.77</v>
      </c>
      <c r="D724" s="317">
        <v>0.44</v>
      </c>
      <c r="E724" s="318">
        <v>11.13</v>
      </c>
      <c r="F724" s="317">
        <v>0.68</v>
      </c>
      <c r="G724" s="317">
        <v>0.5</v>
      </c>
      <c r="H724" s="319">
        <v>8.57</v>
      </c>
      <c r="I724" s="320">
        <v>9.25</v>
      </c>
      <c r="J724" s="320">
        <v>3</v>
      </c>
      <c r="K724" s="57">
        <f t="shared" si="58"/>
        <v>7.7110999999999999E-2</v>
      </c>
      <c r="L724" s="310">
        <f t="shared" si="59"/>
        <v>0.16367647058823528</v>
      </c>
      <c r="M724" s="405">
        <f t="shared" si="60"/>
        <v>16.550187539774981</v>
      </c>
      <c r="N724" s="63">
        <f t="shared" si="61"/>
        <v>-0.48218109435897549</v>
      </c>
    </row>
    <row r="725" spans="1:14" ht="18" x14ac:dyDescent="0.25">
      <c r="A725" s="317" t="s">
        <v>2720</v>
      </c>
      <c r="B725" s="317" t="s">
        <v>2721</v>
      </c>
      <c r="C725" s="317">
        <v>3.01</v>
      </c>
      <c r="D725" s="317">
        <v>2.3199999999999998</v>
      </c>
      <c r="E725" s="318">
        <v>0</v>
      </c>
      <c r="F725" s="317">
        <v>0</v>
      </c>
      <c r="G725" s="317">
        <v>5.9</v>
      </c>
      <c r="H725" s="319">
        <v>10.06</v>
      </c>
      <c r="I725" s="320">
        <v>12</v>
      </c>
      <c r="J725" s="320">
        <v>1.7</v>
      </c>
      <c r="K725" s="57">
        <f t="shared" si="58"/>
        <v>0.17634300000000003</v>
      </c>
      <c r="L725" s="310" t="e">
        <f t="shared" si="59"/>
        <v>#DIV/0!</v>
      </c>
      <c r="M725" s="405" t="e">
        <f t="shared" si="60"/>
        <v>#DIV/0!</v>
      </c>
      <c r="N725" s="63" t="e">
        <f t="shared" si="61"/>
        <v>#DIV/0!</v>
      </c>
    </row>
    <row r="726" spans="1:14" ht="18" x14ac:dyDescent="0.25">
      <c r="A726" s="317" t="s">
        <v>4619</v>
      </c>
      <c r="B726" s="317" t="s">
        <v>4620</v>
      </c>
      <c r="C726" s="317">
        <v>1.51</v>
      </c>
      <c r="D726" s="317">
        <v>0.51</v>
      </c>
      <c r="E726" s="318">
        <v>13.79</v>
      </c>
      <c r="F726" s="317">
        <v>0.5</v>
      </c>
      <c r="G726" s="317">
        <v>0</v>
      </c>
      <c r="H726" s="319">
        <v>14.48</v>
      </c>
      <c r="I726" s="320">
        <v>22</v>
      </c>
      <c r="J726" s="320">
        <v>1.8</v>
      </c>
      <c r="K726" s="57">
        <f t="shared" si="58"/>
        <v>0.109893</v>
      </c>
      <c r="L726" s="310">
        <f t="shared" si="59"/>
        <v>0.27579999999999999</v>
      </c>
      <c r="M726" s="405">
        <f t="shared" si="60"/>
        <v>17.285858989528016</v>
      </c>
      <c r="N726" s="63">
        <f t="shared" si="61"/>
        <v>-0.16232106204428945</v>
      </c>
    </row>
    <row r="727" spans="1:14" ht="18" x14ac:dyDescent="0.25">
      <c r="A727" s="317" t="s">
        <v>5271</v>
      </c>
      <c r="B727" s="317" t="s">
        <v>5272</v>
      </c>
      <c r="C727" s="317">
        <v>0.56000000000000005</v>
      </c>
      <c r="D727" s="317">
        <v>2.4</v>
      </c>
      <c r="E727" s="318">
        <v>13.48</v>
      </c>
      <c r="F727" s="317">
        <v>1.67</v>
      </c>
      <c r="G727" s="317">
        <v>3.5</v>
      </c>
      <c r="H727" s="319">
        <v>33.71</v>
      </c>
      <c r="I727" s="320">
        <v>35</v>
      </c>
      <c r="J727" s="320">
        <v>2.1</v>
      </c>
      <c r="K727" s="57">
        <f t="shared" si="58"/>
        <v>6.7808000000000007E-2</v>
      </c>
      <c r="L727" s="310">
        <f t="shared" si="59"/>
        <v>8.0718562874251512E-2</v>
      </c>
      <c r="M727" s="405">
        <f t="shared" si="60"/>
        <v>46.985664529829464</v>
      </c>
      <c r="N727" s="63">
        <f t="shared" si="61"/>
        <v>-0.28254712714345531</v>
      </c>
    </row>
    <row r="728" spans="1:14" ht="18" x14ac:dyDescent="0.25">
      <c r="A728" s="317" t="s">
        <v>4621</v>
      </c>
      <c r="B728" s="317" t="s">
        <v>4622</v>
      </c>
      <c r="C728" s="317">
        <v>1.27</v>
      </c>
      <c r="D728" s="317">
        <v>1.02</v>
      </c>
      <c r="E728" s="318">
        <v>14.34</v>
      </c>
      <c r="F728" s="317">
        <v>1.4</v>
      </c>
      <c r="G728" s="317">
        <v>0</v>
      </c>
      <c r="H728" s="319">
        <v>20.22</v>
      </c>
      <c r="I728" s="320">
        <v>27</v>
      </c>
      <c r="J728" s="320">
        <v>2.2999999999999998</v>
      </c>
      <c r="K728" s="57">
        <f t="shared" si="58"/>
        <v>9.9261000000000002E-2</v>
      </c>
      <c r="L728" s="310">
        <f t="shared" si="59"/>
        <v>0.10242857142857144</v>
      </c>
      <c r="M728" s="405">
        <f t="shared" si="60"/>
        <v>21.486802967375141</v>
      </c>
      <c r="N728" s="63">
        <f t="shared" si="61"/>
        <v>-5.8957257126554106E-2</v>
      </c>
    </row>
    <row r="729" spans="1:14" ht="18" x14ac:dyDescent="0.25">
      <c r="A729" s="317" t="s">
        <v>1003</v>
      </c>
      <c r="B729" s="317" t="s">
        <v>1004</v>
      </c>
      <c r="C729" s="317"/>
      <c r="D729" s="317"/>
      <c r="E729" s="318"/>
      <c r="F729" s="317"/>
      <c r="G729" s="317"/>
      <c r="H729" s="319"/>
      <c r="I729" s="320"/>
      <c r="J729" s="320"/>
      <c r="K729" s="57">
        <f t="shared" si="58"/>
        <v>4.2999999999999997E-2</v>
      </c>
      <c r="L729" s="310" t="e">
        <f t="shared" si="59"/>
        <v>#DIV/0!</v>
      </c>
      <c r="M729" s="405" t="e">
        <f t="shared" si="60"/>
        <v>#DIV/0!</v>
      </c>
      <c r="N729" s="63" t="e">
        <f t="shared" si="61"/>
        <v>#DIV/0!</v>
      </c>
    </row>
    <row r="730" spans="1:14" ht="18" x14ac:dyDescent="0.25">
      <c r="A730" s="317" t="s">
        <v>4623</v>
      </c>
      <c r="B730" s="317" t="s">
        <v>4624</v>
      </c>
      <c r="C730" s="317">
        <v>3.02</v>
      </c>
      <c r="D730" s="317">
        <v>1.59</v>
      </c>
      <c r="E730" s="318">
        <v>7.51</v>
      </c>
      <c r="F730" s="317">
        <v>0.64</v>
      </c>
      <c r="G730" s="317">
        <v>0</v>
      </c>
      <c r="H730" s="319">
        <v>7.13</v>
      </c>
      <c r="I730" s="320">
        <v>12.5</v>
      </c>
      <c r="J730" s="320">
        <v>1.8</v>
      </c>
      <c r="K730" s="57">
        <f t="shared" si="58"/>
        <v>0.176786</v>
      </c>
      <c r="L730" s="310">
        <f t="shared" si="59"/>
        <v>0.11734375</v>
      </c>
      <c r="M730" s="405">
        <f t="shared" si="60"/>
        <v>15.901745388977474</v>
      </c>
      <c r="N730" s="63">
        <f t="shared" si="61"/>
        <v>-0.55162154684338849</v>
      </c>
    </row>
    <row r="731" spans="1:14" ht="18" x14ac:dyDescent="0.25">
      <c r="A731" s="317" t="s">
        <v>1005</v>
      </c>
      <c r="B731" s="317" t="s">
        <v>1006</v>
      </c>
      <c r="C731" s="317">
        <v>1.94</v>
      </c>
      <c r="D731" s="317">
        <v>0.23</v>
      </c>
      <c r="E731" s="318">
        <v>15.35</v>
      </c>
      <c r="F731" s="317">
        <v>2.5</v>
      </c>
      <c r="G731" s="317">
        <v>3.7</v>
      </c>
      <c r="H731" s="319">
        <v>19.34</v>
      </c>
      <c r="I731" s="320">
        <v>19</v>
      </c>
      <c r="J731" s="320">
        <v>2.5</v>
      </c>
      <c r="K731" s="57">
        <f t="shared" si="58"/>
        <v>0.128942</v>
      </c>
      <c r="L731" s="310">
        <f t="shared" si="59"/>
        <v>6.1399999999999996E-2</v>
      </c>
      <c r="M731" s="405">
        <f t="shared" si="60"/>
        <v>-5.9920883157491849</v>
      </c>
      <c r="N731" s="63">
        <f t="shared" si="61"/>
        <v>-4.2275892778763122</v>
      </c>
    </row>
    <row r="732" spans="1:14" ht="18" x14ac:dyDescent="0.25">
      <c r="A732" s="317" t="s">
        <v>4625</v>
      </c>
      <c r="B732" s="317" t="s">
        <v>4626</v>
      </c>
      <c r="C732" s="317">
        <v>1.65</v>
      </c>
      <c r="D732" s="317">
        <v>1.28</v>
      </c>
      <c r="E732" s="318">
        <v>10.45</v>
      </c>
      <c r="F732" s="317">
        <v>0.99</v>
      </c>
      <c r="G732" s="317">
        <v>0</v>
      </c>
      <c r="H732" s="319">
        <v>15.26</v>
      </c>
      <c r="I732" s="320">
        <v>17</v>
      </c>
      <c r="J732" s="320">
        <v>2.6</v>
      </c>
      <c r="K732" s="57">
        <f t="shared" si="58"/>
        <v>0.116095</v>
      </c>
      <c r="L732" s="310">
        <f t="shared" si="59"/>
        <v>0.10555555555555556</v>
      </c>
      <c r="M732" s="405">
        <f t="shared" si="60"/>
        <v>21.520847765484341</v>
      </c>
      <c r="N732" s="63">
        <f t="shared" si="61"/>
        <v>-0.2909201270186782</v>
      </c>
    </row>
    <row r="733" spans="1:14" ht="18" x14ac:dyDescent="0.25">
      <c r="A733" s="317" t="s">
        <v>4627</v>
      </c>
      <c r="B733" s="317" t="s">
        <v>4628</v>
      </c>
      <c r="C733" s="317">
        <v>1.81</v>
      </c>
      <c r="D733" s="317">
        <v>0.11</v>
      </c>
      <c r="E733" s="318">
        <v>14.58</v>
      </c>
      <c r="F733" s="317">
        <v>0.38</v>
      </c>
      <c r="G733" s="317">
        <v>0</v>
      </c>
      <c r="H733" s="319">
        <v>5.54</v>
      </c>
      <c r="I733" s="320">
        <v>6.5</v>
      </c>
      <c r="J733" s="320">
        <v>2.4</v>
      </c>
      <c r="K733" s="57">
        <f t="shared" si="58"/>
        <v>0.12318300000000001</v>
      </c>
      <c r="L733" s="310">
        <f t="shared" si="59"/>
        <v>0.38368421052631574</v>
      </c>
      <c r="M733" s="405">
        <f t="shared" si="60"/>
        <v>4.451559596495315</v>
      </c>
      <c r="N733" s="63">
        <f t="shared" si="61"/>
        <v>0.24450765622942741</v>
      </c>
    </row>
    <row r="734" spans="1:14" ht="18" x14ac:dyDescent="0.25">
      <c r="A734" s="317" t="s">
        <v>1007</v>
      </c>
      <c r="B734" s="317" t="s">
        <v>1008</v>
      </c>
      <c r="C734" s="317">
        <v>1.84</v>
      </c>
      <c r="D734" s="317">
        <v>3.89</v>
      </c>
      <c r="E734" s="318">
        <v>10.57</v>
      </c>
      <c r="F734" s="317">
        <v>0.93</v>
      </c>
      <c r="G734" s="317">
        <v>2.2999999999999998</v>
      </c>
      <c r="H734" s="319">
        <v>45.46</v>
      </c>
      <c r="I734" s="320">
        <v>50</v>
      </c>
      <c r="J734" s="320">
        <v>2.5</v>
      </c>
      <c r="K734" s="57">
        <f t="shared" si="58"/>
        <v>0.12451200000000001</v>
      </c>
      <c r="L734" s="310">
        <f t="shared" si="59"/>
        <v>0.11365591397849462</v>
      </c>
      <c r="M734" s="405">
        <f t="shared" si="60"/>
        <v>44.564570883431195</v>
      </c>
      <c r="N734" s="63">
        <f t="shared" si="61"/>
        <v>2.0092847273476624E-2</v>
      </c>
    </row>
    <row r="735" spans="1:14" ht="18" x14ac:dyDescent="0.25">
      <c r="A735" s="317" t="s">
        <v>4902</v>
      </c>
      <c r="B735" s="317" t="s">
        <v>4903</v>
      </c>
      <c r="C735" s="317">
        <v>2.79</v>
      </c>
      <c r="D735" s="317">
        <v>1.92</v>
      </c>
      <c r="E735" s="318">
        <v>7.58</v>
      </c>
      <c r="F735" s="317">
        <v>0.54</v>
      </c>
      <c r="G735" s="317">
        <v>0</v>
      </c>
      <c r="H735" s="319">
        <v>11.22</v>
      </c>
      <c r="I735" s="320">
        <v>9.75</v>
      </c>
      <c r="J735" s="320">
        <v>2.5</v>
      </c>
      <c r="K735" s="57">
        <f t="shared" si="58"/>
        <v>0.166597</v>
      </c>
      <c r="L735" s="310">
        <f t="shared" si="59"/>
        <v>0.14037037037037037</v>
      </c>
      <c r="M735" s="405">
        <f t="shared" si="60"/>
        <v>22.299752938232476</v>
      </c>
      <c r="N735" s="63">
        <f t="shared" si="61"/>
        <v>-0.49685541220667351</v>
      </c>
    </row>
    <row r="736" spans="1:14" ht="18" x14ac:dyDescent="0.25">
      <c r="A736" s="317" t="s">
        <v>1009</v>
      </c>
      <c r="B736" s="317" t="s">
        <v>1010</v>
      </c>
      <c r="C736" s="317">
        <v>0.4</v>
      </c>
      <c r="D736" s="317">
        <v>4.45</v>
      </c>
      <c r="E736" s="318">
        <v>12.52</v>
      </c>
      <c r="F736" s="317">
        <v>1.45</v>
      </c>
      <c r="G736" s="317">
        <v>4.3</v>
      </c>
      <c r="H736" s="319">
        <v>66.98</v>
      </c>
      <c r="I736" s="320">
        <v>69</v>
      </c>
      <c r="J736" s="320">
        <v>2.6</v>
      </c>
      <c r="K736" s="57">
        <f t="shared" si="58"/>
        <v>6.0719999999999996E-2</v>
      </c>
      <c r="L736" s="310">
        <f t="shared" si="59"/>
        <v>8.6344827586206901E-2</v>
      </c>
      <c r="M736" s="405">
        <f t="shared" si="60"/>
        <v>79.794003384726508</v>
      </c>
      <c r="N736" s="63">
        <f t="shared" si="61"/>
        <v>-0.16058855103363887</v>
      </c>
    </row>
    <row r="737" spans="1:14" ht="18" x14ac:dyDescent="0.25">
      <c r="A737" s="317" t="s">
        <v>1223</v>
      </c>
      <c r="B737" s="317" t="s">
        <v>1224</v>
      </c>
      <c r="C737" s="317">
        <v>0.32</v>
      </c>
      <c r="D737" s="317">
        <v>1.41</v>
      </c>
      <c r="E737" s="318">
        <v>30.93</v>
      </c>
      <c r="F737" s="317">
        <v>10.09</v>
      </c>
      <c r="G737" s="317">
        <v>5.9</v>
      </c>
      <c r="H737" s="319">
        <v>72.69</v>
      </c>
      <c r="I737" s="320">
        <v>76.5</v>
      </c>
      <c r="J737" s="320">
        <v>2.6</v>
      </c>
      <c r="K737" s="57">
        <f t="shared" si="58"/>
        <v>5.7175999999999998E-2</v>
      </c>
      <c r="L737" s="310">
        <f t="shared" si="59"/>
        <v>3.0654112983151634E-2</v>
      </c>
      <c r="M737" s="405">
        <f t="shared" si="60"/>
        <v>-133.41352096193555</v>
      </c>
      <c r="N737" s="63">
        <f t="shared" si="61"/>
        <v>-1.5448473248880024</v>
      </c>
    </row>
    <row r="738" spans="1:14" ht="18" x14ac:dyDescent="0.25">
      <c r="A738" s="317" t="s">
        <v>2722</v>
      </c>
      <c r="B738" s="317" t="s">
        <v>2723</v>
      </c>
      <c r="C738" s="317">
        <v>2.5299999999999998</v>
      </c>
      <c r="D738" s="317">
        <v>-0.04</v>
      </c>
      <c r="E738" s="318">
        <v>0</v>
      </c>
      <c r="F738" s="317">
        <v>0</v>
      </c>
      <c r="G738" s="317">
        <v>0</v>
      </c>
      <c r="H738" s="319">
        <v>2.11</v>
      </c>
      <c r="I738" s="320">
        <v>4.59</v>
      </c>
      <c r="J738" s="320">
        <v>0</v>
      </c>
      <c r="K738" s="57">
        <f t="shared" si="58"/>
        <v>0.15507900000000002</v>
      </c>
      <c r="L738" s="310" t="e">
        <f t="shared" si="59"/>
        <v>#DIV/0!</v>
      </c>
      <c r="M738" s="405" t="e">
        <f t="shared" si="60"/>
        <v>#DIV/0!</v>
      </c>
      <c r="N738" s="63" t="e">
        <f t="shared" si="61"/>
        <v>#DIV/0!</v>
      </c>
    </row>
    <row r="739" spans="1:14" ht="18" x14ac:dyDescent="0.25">
      <c r="A739" s="317" t="s">
        <v>5136</v>
      </c>
      <c r="B739" s="317" t="s">
        <v>5137</v>
      </c>
      <c r="C739" s="317">
        <v>0</v>
      </c>
      <c r="D739" s="317">
        <v>0</v>
      </c>
      <c r="E739" s="318">
        <v>0</v>
      </c>
      <c r="F739" s="317">
        <v>0</v>
      </c>
      <c r="G739" s="317">
        <v>0</v>
      </c>
      <c r="H739" s="319">
        <v>0.56999999999999995</v>
      </c>
      <c r="I739" s="320"/>
      <c r="J739" s="320"/>
      <c r="K739" s="57">
        <f t="shared" si="58"/>
        <v>4.2999999999999997E-2</v>
      </c>
      <c r="L739" s="310" t="e">
        <f t="shared" si="59"/>
        <v>#DIV/0!</v>
      </c>
      <c r="M739" s="405" t="e">
        <f t="shared" si="60"/>
        <v>#DIV/0!</v>
      </c>
      <c r="N739" s="63" t="e">
        <f t="shared" si="61"/>
        <v>#DIV/0!</v>
      </c>
    </row>
    <row r="740" spans="1:14" ht="18" x14ac:dyDescent="0.25">
      <c r="A740" s="317" t="s">
        <v>4629</v>
      </c>
      <c r="B740" s="317" t="s">
        <v>4630</v>
      </c>
      <c r="C740" s="317">
        <v>0.97</v>
      </c>
      <c r="D740" s="317">
        <v>0.76</v>
      </c>
      <c r="E740" s="318">
        <v>12.71</v>
      </c>
      <c r="F740" s="317">
        <v>1.65</v>
      </c>
      <c r="G740" s="317">
        <v>1.2</v>
      </c>
      <c r="H740" s="319">
        <v>19.7</v>
      </c>
      <c r="I740" s="320">
        <v>26</v>
      </c>
      <c r="J740" s="320">
        <v>2</v>
      </c>
      <c r="K740" s="57">
        <f t="shared" si="58"/>
        <v>8.5970999999999992E-2</v>
      </c>
      <c r="L740" s="310">
        <f t="shared" si="59"/>
        <v>7.7030303030303046E-2</v>
      </c>
      <c r="M740" s="405">
        <f t="shared" si="60"/>
        <v>12.62904200125779</v>
      </c>
      <c r="N740" s="63">
        <f t="shared" si="61"/>
        <v>0.55989662541608276</v>
      </c>
    </row>
    <row r="741" spans="1:14" ht="18" x14ac:dyDescent="0.25">
      <c r="A741" s="317" t="s">
        <v>4631</v>
      </c>
      <c r="B741" s="317" t="s">
        <v>4632</v>
      </c>
      <c r="C741" s="317">
        <v>1.78</v>
      </c>
      <c r="D741" s="317">
        <v>0.33</v>
      </c>
      <c r="E741" s="318">
        <v>9.61</v>
      </c>
      <c r="F741" s="317">
        <v>1.51</v>
      </c>
      <c r="G741" s="317">
        <v>0</v>
      </c>
      <c r="H741" s="319">
        <v>15.09</v>
      </c>
      <c r="I741" s="320">
        <v>18.25</v>
      </c>
      <c r="J741" s="320">
        <v>1.5</v>
      </c>
      <c r="K741" s="57">
        <f t="shared" si="58"/>
        <v>0.121854</v>
      </c>
      <c r="L741" s="310">
        <f t="shared" si="59"/>
        <v>6.3642384105960265E-2</v>
      </c>
      <c r="M741" s="405">
        <f t="shared" si="60"/>
        <v>4.4321838238206119</v>
      </c>
      <c r="N741" s="63">
        <f t="shared" si="61"/>
        <v>2.4046421808814289</v>
      </c>
    </row>
    <row r="742" spans="1:14" ht="18" x14ac:dyDescent="0.25">
      <c r="A742" s="317" t="s">
        <v>5273</v>
      </c>
      <c r="B742" s="317" t="s">
        <v>5274</v>
      </c>
      <c r="C742" s="317">
        <v>0.6</v>
      </c>
      <c r="D742" s="317">
        <v>5.0599999999999996</v>
      </c>
      <c r="E742" s="318">
        <v>15.69</v>
      </c>
      <c r="F742" s="317">
        <v>1.84</v>
      </c>
      <c r="G742" s="317">
        <v>2.8</v>
      </c>
      <c r="H742" s="319">
        <v>67.150000000000006</v>
      </c>
      <c r="I742" s="320">
        <v>74</v>
      </c>
      <c r="J742" s="320">
        <v>1.8</v>
      </c>
      <c r="K742" s="57">
        <f t="shared" si="58"/>
        <v>6.9580000000000003E-2</v>
      </c>
      <c r="L742" s="310">
        <f t="shared" si="59"/>
        <v>8.5271739130434787E-2</v>
      </c>
      <c r="M742" s="405">
        <f t="shared" si="60"/>
        <v>118.21869136641779</v>
      </c>
      <c r="N742" s="63">
        <f t="shared" si="61"/>
        <v>-0.43198491521218774</v>
      </c>
    </row>
    <row r="743" spans="1:14" ht="18" x14ac:dyDescent="0.25">
      <c r="A743" s="317" t="s">
        <v>1879</v>
      </c>
      <c r="B743" s="317" t="s">
        <v>1880</v>
      </c>
      <c r="C743" s="317">
        <v>3.58</v>
      </c>
      <c r="D743" s="317">
        <v>-0.02</v>
      </c>
      <c r="E743" s="318">
        <v>7.66</v>
      </c>
      <c r="F743" s="317">
        <v>0.94</v>
      </c>
      <c r="G743" s="317">
        <v>0</v>
      </c>
      <c r="H743" s="319">
        <v>6.28</v>
      </c>
      <c r="I743" s="320">
        <v>8</v>
      </c>
      <c r="J743" s="320">
        <v>2.2000000000000002</v>
      </c>
      <c r="K743" s="57">
        <f t="shared" si="58"/>
        <v>0.201594</v>
      </c>
      <c r="L743" s="310">
        <f t="shared" si="59"/>
        <v>8.1489361702127672E-2</v>
      </c>
      <c r="M743" s="405">
        <f t="shared" si="60"/>
        <v>-0.15324528546467214</v>
      </c>
      <c r="N743" s="63">
        <f t="shared" si="61"/>
        <v>-41.980053519804613</v>
      </c>
    </row>
    <row r="744" spans="1:14" ht="18" x14ac:dyDescent="0.25">
      <c r="A744" s="317" t="s">
        <v>5081</v>
      </c>
      <c r="B744" s="317"/>
      <c r="C744" s="317">
        <v>2.04</v>
      </c>
      <c r="D744" s="317">
        <v>2.13</v>
      </c>
      <c r="E744" s="318">
        <v>12.57</v>
      </c>
      <c r="F744" s="317">
        <v>0.68</v>
      </c>
      <c r="G744" s="317">
        <v>1.9</v>
      </c>
      <c r="H744" s="319">
        <v>43.24</v>
      </c>
      <c r="I744" s="320">
        <v>47</v>
      </c>
      <c r="J744" s="320">
        <v>1.4</v>
      </c>
      <c r="K744" s="57">
        <f t="shared" si="58"/>
        <v>0.13337199999999999</v>
      </c>
      <c r="L744" s="310">
        <f t="shared" si="59"/>
        <v>0.18485294117647058</v>
      </c>
      <c r="M744" s="405">
        <f t="shared" si="60"/>
        <v>23.943666897127457</v>
      </c>
      <c r="N744" s="63">
        <f t="shared" si="61"/>
        <v>0.80590551087175133</v>
      </c>
    </row>
    <row r="745" spans="1:14" ht="18" x14ac:dyDescent="0.25">
      <c r="A745" s="317" t="s">
        <v>1011</v>
      </c>
      <c r="B745" s="317" t="s">
        <v>1012</v>
      </c>
      <c r="C745" s="317">
        <v>0.28000000000000003</v>
      </c>
      <c r="D745" s="317">
        <v>1.74</v>
      </c>
      <c r="E745" s="318">
        <v>11.45</v>
      </c>
      <c r="F745" s="317">
        <v>1.37</v>
      </c>
      <c r="G745" s="317">
        <v>1.7</v>
      </c>
      <c r="H745" s="319">
        <v>24.5</v>
      </c>
      <c r="I745" s="320">
        <v>26</v>
      </c>
      <c r="J745" s="320">
        <v>2.2999999999999998</v>
      </c>
      <c r="K745" s="57">
        <f t="shared" si="58"/>
        <v>5.5404000000000002E-2</v>
      </c>
      <c r="L745" s="310">
        <f t="shared" si="59"/>
        <v>8.3576642335766407E-2</v>
      </c>
      <c r="M745" s="405">
        <f t="shared" si="60"/>
        <v>84.790663538011188</v>
      </c>
      <c r="N745" s="63">
        <f t="shared" si="61"/>
        <v>-0.71105309266725125</v>
      </c>
    </row>
    <row r="746" spans="1:14" ht="18" x14ac:dyDescent="0.25">
      <c r="A746" s="317" t="s">
        <v>4633</v>
      </c>
      <c r="B746" s="317" t="s">
        <v>4634</v>
      </c>
      <c r="C746" s="317">
        <v>1.98</v>
      </c>
      <c r="D746" s="317">
        <v>1.38</v>
      </c>
      <c r="E746" s="318">
        <v>10.8</v>
      </c>
      <c r="F746" s="317">
        <v>2.3199999999999998</v>
      </c>
      <c r="G746" s="317">
        <v>0</v>
      </c>
      <c r="H746" s="319">
        <v>16.100000000000001</v>
      </c>
      <c r="I746" s="320">
        <v>20.5</v>
      </c>
      <c r="J746" s="320">
        <v>2</v>
      </c>
      <c r="K746" s="57">
        <f t="shared" si="58"/>
        <v>0.130714</v>
      </c>
      <c r="L746" s="310">
        <f t="shared" si="59"/>
        <v>4.6551724137931044E-2</v>
      </c>
      <c r="M746" s="405">
        <f t="shared" si="60"/>
        <v>15.843501251794386</v>
      </c>
      <c r="N746" s="63">
        <f t="shared" si="61"/>
        <v>1.6189524280598337E-2</v>
      </c>
    </row>
    <row r="747" spans="1:14" ht="18" x14ac:dyDescent="0.25">
      <c r="A747" s="317" t="s">
        <v>1013</v>
      </c>
      <c r="B747" s="317" t="s">
        <v>1014</v>
      </c>
      <c r="C747" s="317">
        <v>0.88</v>
      </c>
      <c r="D747" s="317">
        <v>3.65</v>
      </c>
      <c r="E747" s="318">
        <v>10.71</v>
      </c>
      <c r="F747" s="317">
        <v>0.9</v>
      </c>
      <c r="G747" s="317">
        <v>0</v>
      </c>
      <c r="H747" s="319">
        <v>53.45</v>
      </c>
      <c r="I747" s="320">
        <v>62</v>
      </c>
      <c r="J747" s="320">
        <v>1.7</v>
      </c>
      <c r="K747" s="57">
        <f t="shared" si="58"/>
        <v>8.1984000000000001E-2</v>
      </c>
      <c r="L747" s="310">
        <f t="shared" si="59"/>
        <v>0.11900000000000001</v>
      </c>
      <c r="M747" s="405">
        <f t="shared" si="60"/>
        <v>113.4566020304939</v>
      </c>
      <c r="N747" s="63">
        <f t="shared" si="61"/>
        <v>-0.52889475761283444</v>
      </c>
    </row>
    <row r="748" spans="1:14" ht="18" x14ac:dyDescent="0.25">
      <c r="A748" s="317" t="s">
        <v>4635</v>
      </c>
      <c r="B748" s="317" t="s">
        <v>4636</v>
      </c>
      <c r="C748" s="317">
        <v>1.37</v>
      </c>
      <c r="D748" s="317">
        <v>1.9</v>
      </c>
      <c r="E748" s="318">
        <v>16.8</v>
      </c>
      <c r="F748" s="317">
        <v>0.72</v>
      </c>
      <c r="G748" s="317">
        <v>0</v>
      </c>
      <c r="H748" s="319">
        <v>56.62</v>
      </c>
      <c r="I748" s="320">
        <v>62</v>
      </c>
      <c r="J748" s="320">
        <v>2</v>
      </c>
      <c r="K748" s="57">
        <f t="shared" si="58"/>
        <v>0.10369100000000001</v>
      </c>
      <c r="L748" s="310">
        <f t="shared" si="59"/>
        <v>0.23333333333333336</v>
      </c>
      <c r="M748" s="405">
        <f t="shared" si="60"/>
        <v>60.918554489331299</v>
      </c>
      <c r="N748" s="63">
        <f t="shared" si="61"/>
        <v>-7.0562319236975826E-2</v>
      </c>
    </row>
    <row r="749" spans="1:14" ht="18" x14ac:dyDescent="0.25">
      <c r="A749" s="317" t="s">
        <v>4637</v>
      </c>
      <c r="B749" s="317" t="s">
        <v>2326</v>
      </c>
      <c r="C749" s="317">
        <v>1.25</v>
      </c>
      <c r="D749" s="317">
        <v>0.86</v>
      </c>
      <c r="E749" s="318">
        <v>13.03</v>
      </c>
      <c r="F749" s="317">
        <v>0.63</v>
      </c>
      <c r="G749" s="317">
        <v>0</v>
      </c>
      <c r="H749" s="319">
        <v>13.03</v>
      </c>
      <c r="I749" s="320">
        <v>22</v>
      </c>
      <c r="J749" s="320">
        <v>2</v>
      </c>
      <c r="K749" s="57">
        <f t="shared" si="58"/>
        <v>9.8375000000000004E-2</v>
      </c>
      <c r="L749" s="310">
        <f t="shared" si="59"/>
        <v>0.2068253968253968</v>
      </c>
      <c r="M749" s="405">
        <f t="shared" si="60"/>
        <v>27.315058009690929</v>
      </c>
      <c r="N749" s="63">
        <f t="shared" si="61"/>
        <v>-0.52297373868372632</v>
      </c>
    </row>
    <row r="750" spans="1:14" ht="18" x14ac:dyDescent="0.25">
      <c r="A750" s="317" t="s">
        <v>2327</v>
      </c>
      <c r="B750" s="317" t="s">
        <v>2328</v>
      </c>
      <c r="C750" s="317">
        <v>1.1399999999999999</v>
      </c>
      <c r="D750" s="317">
        <v>2.69</v>
      </c>
      <c r="E750" s="318">
        <v>16.13</v>
      </c>
      <c r="F750" s="317">
        <v>1.07</v>
      </c>
      <c r="G750" s="317">
        <v>0</v>
      </c>
      <c r="H750" s="319">
        <v>47.26</v>
      </c>
      <c r="I750" s="320">
        <v>49.62</v>
      </c>
      <c r="J750" s="320">
        <v>4</v>
      </c>
      <c r="K750" s="57">
        <f t="shared" si="58"/>
        <v>9.3502000000000002E-2</v>
      </c>
      <c r="L750" s="310">
        <f t="shared" si="59"/>
        <v>0.15074766355140184</v>
      </c>
      <c r="M750" s="405">
        <f t="shared" si="60"/>
        <v>75.310963244327326</v>
      </c>
      <c r="N750" s="63">
        <f t="shared" si="61"/>
        <v>-0.37246852298679395</v>
      </c>
    </row>
    <row r="751" spans="1:14" ht="18" x14ac:dyDescent="0.25">
      <c r="A751" s="317" t="s">
        <v>2724</v>
      </c>
      <c r="B751" s="317" t="s">
        <v>2725</v>
      </c>
      <c r="C751" s="317">
        <v>2.85</v>
      </c>
      <c r="D751" s="317">
        <v>2.85</v>
      </c>
      <c r="E751" s="318">
        <v>10.68</v>
      </c>
      <c r="F751" s="317">
        <v>0.82</v>
      </c>
      <c r="G751" s="317">
        <v>2.1</v>
      </c>
      <c r="H751" s="319">
        <v>41.76</v>
      </c>
      <c r="I751" s="320">
        <v>54.75</v>
      </c>
      <c r="J751" s="320">
        <v>1</v>
      </c>
      <c r="K751" s="57">
        <f t="shared" si="58"/>
        <v>0.16925500000000004</v>
      </c>
      <c r="L751" s="310">
        <f t="shared" si="59"/>
        <v>0.13024390243902439</v>
      </c>
      <c r="M751" s="405">
        <f t="shared" si="60"/>
        <v>21.724399048838954</v>
      </c>
      <c r="N751" s="63">
        <f t="shared" si="61"/>
        <v>0.92226260924956782</v>
      </c>
    </row>
    <row r="752" spans="1:14" ht="18" x14ac:dyDescent="0.25">
      <c r="A752" s="317" t="s">
        <v>2329</v>
      </c>
      <c r="B752" s="317" t="s">
        <v>2330</v>
      </c>
      <c r="C752" s="317">
        <v>1.06</v>
      </c>
      <c r="D752" s="317">
        <v>0</v>
      </c>
      <c r="E752" s="318">
        <v>16.62</v>
      </c>
      <c r="F752" s="317">
        <v>0.28999999999999998</v>
      </c>
      <c r="G752" s="317">
        <v>0</v>
      </c>
      <c r="H752" s="319">
        <v>109</v>
      </c>
      <c r="I752" s="320">
        <v>117.65</v>
      </c>
      <c r="J752" s="320">
        <v>1</v>
      </c>
      <c r="K752" s="57">
        <f t="shared" si="58"/>
        <v>8.995800000000001E-2</v>
      </c>
      <c r="L752" s="310">
        <f t="shared" si="59"/>
        <v>0.57310344827586213</v>
      </c>
      <c r="M752" s="405">
        <f t="shared" si="60"/>
        <v>0</v>
      </c>
      <c r="N752" s="63" t="e">
        <f t="shared" si="61"/>
        <v>#DIV/0!</v>
      </c>
    </row>
    <row r="753" spans="1:14" ht="18" x14ac:dyDescent="0.25">
      <c r="A753" s="317" t="s">
        <v>2331</v>
      </c>
      <c r="B753" s="317" t="s">
        <v>2332</v>
      </c>
      <c r="C753" s="317">
        <v>1.21</v>
      </c>
      <c r="D753" s="317">
        <v>3.06</v>
      </c>
      <c r="E753" s="318">
        <v>12.83</v>
      </c>
      <c r="F753" s="317">
        <v>0</v>
      </c>
      <c r="G753" s="317">
        <v>0.6</v>
      </c>
      <c r="H753" s="319">
        <v>41.94</v>
      </c>
      <c r="I753" s="320">
        <v>46</v>
      </c>
      <c r="J753" s="320">
        <v>1.7</v>
      </c>
      <c r="K753" s="57">
        <f t="shared" si="58"/>
        <v>9.6602999999999994E-2</v>
      </c>
      <c r="L753" s="310" t="e">
        <f t="shared" si="59"/>
        <v>#DIV/0!</v>
      </c>
      <c r="M753" s="405" t="e">
        <f t="shared" si="60"/>
        <v>#DIV/0!</v>
      </c>
      <c r="N753" s="63" t="e">
        <f t="shared" si="61"/>
        <v>#DIV/0!</v>
      </c>
    </row>
    <row r="754" spans="1:14" ht="18" x14ac:dyDescent="0.25">
      <c r="A754" s="317" t="s">
        <v>2333</v>
      </c>
      <c r="B754" s="317" t="s">
        <v>2334</v>
      </c>
      <c r="C754" s="317">
        <v>1.43</v>
      </c>
      <c r="D754" s="317">
        <v>1.1499999999999999</v>
      </c>
      <c r="E754" s="318">
        <v>13.53</v>
      </c>
      <c r="F754" s="317">
        <v>0.94</v>
      </c>
      <c r="G754" s="317">
        <v>0</v>
      </c>
      <c r="H754" s="319">
        <v>19.079999999999998</v>
      </c>
      <c r="I754" s="320">
        <v>22</v>
      </c>
      <c r="J754" s="320">
        <v>2.5</v>
      </c>
      <c r="K754" s="57">
        <f t="shared" si="58"/>
        <v>0.106349</v>
      </c>
      <c r="L754" s="310">
        <f t="shared" si="59"/>
        <v>0.14393617021276595</v>
      </c>
      <c r="M754" s="405">
        <f t="shared" si="60"/>
        <v>25.473357808389999</v>
      </c>
      <c r="N754" s="63">
        <f t="shared" si="61"/>
        <v>-0.25098213814137454</v>
      </c>
    </row>
    <row r="755" spans="1:14" ht="18" x14ac:dyDescent="0.25">
      <c r="A755" s="317" t="s">
        <v>2335</v>
      </c>
      <c r="B755" s="317" t="s">
        <v>2336</v>
      </c>
      <c r="C755" s="317">
        <v>1.64</v>
      </c>
      <c r="D755" s="317">
        <v>1.54</v>
      </c>
      <c r="E755" s="318">
        <v>23.02</v>
      </c>
      <c r="F755" s="317">
        <v>1.1299999999999999</v>
      </c>
      <c r="G755" s="317">
        <v>0</v>
      </c>
      <c r="H755" s="319">
        <v>46.04</v>
      </c>
      <c r="I755" s="320">
        <v>48</v>
      </c>
      <c r="J755" s="320">
        <v>1.9</v>
      </c>
      <c r="K755" s="57">
        <f t="shared" si="58"/>
        <v>0.115652</v>
      </c>
      <c r="L755" s="310">
        <f t="shared" si="59"/>
        <v>0.20371681415929208</v>
      </c>
      <c r="M755" s="405">
        <f t="shared" si="60"/>
        <v>37.283858049337752</v>
      </c>
      <c r="N755" s="63">
        <f t="shared" si="61"/>
        <v>0.2348507479852337</v>
      </c>
    </row>
    <row r="756" spans="1:14" ht="18" x14ac:dyDescent="0.25">
      <c r="A756" s="317" t="s">
        <v>4934</v>
      </c>
      <c r="B756" s="317" t="s">
        <v>4935</v>
      </c>
      <c r="C756" s="317">
        <v>2.4700000000000002</v>
      </c>
      <c r="D756" s="317">
        <v>3.51</v>
      </c>
      <c r="E756" s="318">
        <v>9.52</v>
      </c>
      <c r="F756" s="317">
        <v>1.17</v>
      </c>
      <c r="G756" s="317">
        <v>0</v>
      </c>
      <c r="H756" s="319">
        <v>15.9</v>
      </c>
      <c r="I756" s="320">
        <v>23</v>
      </c>
      <c r="J756" s="320">
        <v>1.3</v>
      </c>
      <c r="K756" s="57">
        <f t="shared" si="58"/>
        <v>0.15242100000000003</v>
      </c>
      <c r="L756" s="310">
        <f t="shared" si="59"/>
        <v>8.1367521367521359E-2</v>
      </c>
      <c r="M756" s="405">
        <f t="shared" si="60"/>
        <v>37.447669495211386</v>
      </c>
      <c r="N756" s="63">
        <f t="shared" si="61"/>
        <v>-0.57540748958935328</v>
      </c>
    </row>
    <row r="757" spans="1:14" ht="18" x14ac:dyDescent="0.25">
      <c r="A757" s="317" t="s">
        <v>2337</v>
      </c>
      <c r="B757" s="317" t="s">
        <v>2338</v>
      </c>
      <c r="C757" s="317">
        <v>2.2999999999999998</v>
      </c>
      <c r="D757" s="317">
        <v>9.8800000000000008</v>
      </c>
      <c r="E757" s="318">
        <v>0</v>
      </c>
      <c r="F757" s="317">
        <v>-28.44</v>
      </c>
      <c r="G757" s="317">
        <v>0</v>
      </c>
      <c r="H757" s="319">
        <v>85.04</v>
      </c>
      <c r="I757" s="320">
        <v>87</v>
      </c>
      <c r="J757" s="320">
        <v>1.9</v>
      </c>
      <c r="K757" s="57">
        <f t="shared" si="58"/>
        <v>0.14489000000000002</v>
      </c>
      <c r="L757" s="310">
        <f t="shared" si="59"/>
        <v>0</v>
      </c>
      <c r="M757" s="405">
        <f t="shared" si="60"/>
        <v>84.507732058753959</v>
      </c>
      <c r="N757" s="63">
        <f t="shared" si="61"/>
        <v>6.2984525590627418E-3</v>
      </c>
    </row>
    <row r="758" spans="1:14" ht="18" x14ac:dyDescent="0.25">
      <c r="A758" s="317" t="s">
        <v>2339</v>
      </c>
      <c r="B758" s="317" t="s">
        <v>2340</v>
      </c>
      <c r="C758" s="317">
        <v>1</v>
      </c>
      <c r="D758" s="317">
        <v>2.2599999999999998</v>
      </c>
      <c r="E758" s="318">
        <v>5.57</v>
      </c>
      <c r="F758" s="317">
        <v>2.77</v>
      </c>
      <c r="G758" s="317">
        <v>0</v>
      </c>
      <c r="H758" s="319">
        <v>9.8000000000000007</v>
      </c>
      <c r="I758" s="320">
        <v>12</v>
      </c>
      <c r="J758" s="320">
        <v>2.2999999999999998</v>
      </c>
      <c r="K758" s="57">
        <f t="shared" si="58"/>
        <v>8.7300000000000003E-2</v>
      </c>
      <c r="L758" s="310">
        <f t="shared" si="59"/>
        <v>2.0108303249097473E-2</v>
      </c>
      <c r="M758" s="405">
        <f t="shared" si="60"/>
        <v>42.011061542665153</v>
      </c>
      <c r="N758" s="63">
        <f t="shared" si="61"/>
        <v>-0.76672810350085008</v>
      </c>
    </row>
    <row r="759" spans="1:14" ht="18" x14ac:dyDescent="0.25">
      <c r="A759" s="317" t="s">
        <v>2726</v>
      </c>
      <c r="B759" s="317" t="s">
        <v>2727</v>
      </c>
      <c r="C759" s="317">
        <v>2.1800000000000002</v>
      </c>
      <c r="D759" s="317">
        <v>1.64</v>
      </c>
      <c r="E759" s="318">
        <v>9.35</v>
      </c>
      <c r="F759" s="317">
        <v>1.1399999999999999</v>
      </c>
      <c r="G759" s="317">
        <v>0.6</v>
      </c>
      <c r="H759" s="319">
        <v>14.77</v>
      </c>
      <c r="I759" s="320">
        <v>18.5</v>
      </c>
      <c r="J759" s="320">
        <v>1.3</v>
      </c>
      <c r="K759" s="57">
        <f t="shared" si="58"/>
        <v>0.13957400000000003</v>
      </c>
      <c r="L759" s="310">
        <f t="shared" si="59"/>
        <v>8.2017543859649128E-2</v>
      </c>
      <c r="M759" s="405">
        <f t="shared" si="60"/>
        <v>18.571090766247554</v>
      </c>
      <c r="N759" s="63">
        <f t="shared" si="61"/>
        <v>-0.20467784117214766</v>
      </c>
    </row>
    <row r="760" spans="1:14" ht="18" x14ac:dyDescent="0.25">
      <c r="A760" s="317" t="s">
        <v>4743</v>
      </c>
      <c r="B760" s="317" t="s">
        <v>4744</v>
      </c>
      <c r="C760" s="317">
        <v>2.02</v>
      </c>
      <c r="D760" s="317">
        <v>0.39</v>
      </c>
      <c r="E760" s="318">
        <v>0</v>
      </c>
      <c r="F760" s="317">
        <v>0.16</v>
      </c>
      <c r="G760" s="317">
        <v>0</v>
      </c>
      <c r="H760" s="319">
        <v>1E-3</v>
      </c>
      <c r="I760" s="320">
        <v>4.5</v>
      </c>
      <c r="J760" s="320">
        <v>1</v>
      </c>
      <c r="K760" s="57">
        <f t="shared" si="58"/>
        <v>0.13248599999999999</v>
      </c>
      <c r="L760" s="310">
        <f t="shared" si="59"/>
        <v>0</v>
      </c>
      <c r="M760" s="405">
        <f t="shared" si="60"/>
        <v>3.71395915001865</v>
      </c>
      <c r="N760" s="63">
        <f t="shared" si="61"/>
        <v>-0.99973074555760932</v>
      </c>
    </row>
    <row r="761" spans="1:14" ht="18" x14ac:dyDescent="0.25">
      <c r="A761" s="317" t="s">
        <v>985</v>
      </c>
      <c r="B761" s="317"/>
      <c r="C761" s="317">
        <v>0.64</v>
      </c>
      <c r="D761" s="317">
        <v>1.33</v>
      </c>
      <c r="E761" s="318">
        <v>10.92</v>
      </c>
      <c r="F761" s="317">
        <v>0.66</v>
      </c>
      <c r="G761" s="317">
        <v>0</v>
      </c>
      <c r="H761" s="319">
        <v>16.27</v>
      </c>
      <c r="I761" s="320">
        <v>24</v>
      </c>
      <c r="J761" s="320">
        <v>2</v>
      </c>
      <c r="K761" s="57">
        <f t="shared" si="58"/>
        <v>7.1351999999999999E-2</v>
      </c>
      <c r="L761" s="310">
        <f t="shared" si="59"/>
        <v>0.16545454545454544</v>
      </c>
      <c r="M761" s="405">
        <f t="shared" si="60"/>
        <v>65.238443297506876</v>
      </c>
      <c r="N761" s="63">
        <f t="shared" si="61"/>
        <v>-0.75060716998098942</v>
      </c>
    </row>
    <row r="762" spans="1:14" ht="18" x14ac:dyDescent="0.25">
      <c r="A762" s="317" t="s">
        <v>3089</v>
      </c>
      <c r="B762" s="317" t="s">
        <v>3090</v>
      </c>
      <c r="C762" s="317">
        <v>1.33</v>
      </c>
      <c r="D762" s="317">
        <v>4.5</v>
      </c>
      <c r="E762" s="318">
        <v>7.72</v>
      </c>
      <c r="F762" s="317">
        <v>1.01</v>
      </c>
      <c r="G762" s="317">
        <v>2.6</v>
      </c>
      <c r="H762" s="319">
        <v>43.16</v>
      </c>
      <c r="I762" s="320">
        <v>50</v>
      </c>
      <c r="J762" s="320">
        <v>2</v>
      </c>
      <c r="K762" s="57">
        <f t="shared" si="58"/>
        <v>0.10191900000000001</v>
      </c>
      <c r="L762" s="310">
        <f t="shared" si="59"/>
        <v>7.6435643564356434E-2</v>
      </c>
      <c r="M762" s="405">
        <f t="shared" si="60"/>
        <v>61.71072906171424</v>
      </c>
      <c r="N762" s="63">
        <f t="shared" si="61"/>
        <v>-0.30060784151751729</v>
      </c>
    </row>
    <row r="763" spans="1:14" ht="18" x14ac:dyDescent="0.25">
      <c r="A763" s="317" t="s">
        <v>1196</v>
      </c>
      <c r="B763" s="317" t="s">
        <v>1197</v>
      </c>
      <c r="C763" s="317">
        <v>1.05</v>
      </c>
      <c r="D763" s="317">
        <v>5.3</v>
      </c>
      <c r="E763" s="318">
        <v>8.06</v>
      </c>
      <c r="F763" s="317">
        <v>1.1299999999999999</v>
      </c>
      <c r="G763" s="317">
        <v>1.6</v>
      </c>
      <c r="H763" s="319">
        <v>44.03</v>
      </c>
      <c r="I763" s="320">
        <v>53.5</v>
      </c>
      <c r="J763" s="320">
        <v>2.7</v>
      </c>
      <c r="K763" s="57">
        <f t="shared" si="58"/>
        <v>8.9515000000000011E-2</v>
      </c>
      <c r="L763" s="310">
        <f t="shared" si="59"/>
        <v>7.1327433628318587E-2</v>
      </c>
      <c r="M763" s="405">
        <f t="shared" si="60"/>
        <v>101.16444220860998</v>
      </c>
      <c r="N763" s="63">
        <f t="shared" si="61"/>
        <v>-0.56476802482431265</v>
      </c>
    </row>
    <row r="764" spans="1:14" ht="18" x14ac:dyDescent="0.25">
      <c r="A764" s="317" t="s">
        <v>562</v>
      </c>
      <c r="B764" s="317"/>
      <c r="C764" s="317">
        <v>1.17</v>
      </c>
      <c r="D764" s="317">
        <v>1.32</v>
      </c>
      <c r="E764" s="318">
        <v>10.02</v>
      </c>
      <c r="F764" s="317">
        <v>1.07</v>
      </c>
      <c r="G764" s="317">
        <v>1.4</v>
      </c>
      <c r="H764" s="319">
        <v>17.62</v>
      </c>
      <c r="I764" s="320">
        <v>23</v>
      </c>
      <c r="J764" s="320">
        <v>2.4</v>
      </c>
      <c r="K764" s="57">
        <f t="shared" si="58"/>
        <v>9.4830999999999999E-2</v>
      </c>
      <c r="L764" s="310">
        <f t="shared" si="59"/>
        <v>9.3644859813084111E-2</v>
      </c>
      <c r="M764" s="405">
        <f t="shared" si="60"/>
        <v>23.500492707983085</v>
      </c>
      <c r="N764" s="63">
        <f t="shared" si="61"/>
        <v>-0.25022848588980812</v>
      </c>
    </row>
    <row r="765" spans="1:14" ht="18" x14ac:dyDescent="0.25">
      <c r="A765" s="317" t="s">
        <v>3091</v>
      </c>
      <c r="B765" s="317" t="s">
        <v>3092</v>
      </c>
      <c r="C765" s="317">
        <v>1.33</v>
      </c>
      <c r="D765" s="317">
        <v>3.79</v>
      </c>
      <c r="E765" s="318">
        <v>9.7799999999999994</v>
      </c>
      <c r="F765" s="317">
        <v>0.74</v>
      </c>
      <c r="G765" s="317">
        <v>0.3</v>
      </c>
      <c r="H765" s="319">
        <v>47.75</v>
      </c>
      <c r="I765" s="320">
        <v>54</v>
      </c>
      <c r="J765" s="320">
        <v>1.5</v>
      </c>
      <c r="K765" s="57">
        <f t="shared" si="58"/>
        <v>0.10191900000000001</v>
      </c>
      <c r="L765" s="310">
        <f t="shared" si="59"/>
        <v>0.13216216216216214</v>
      </c>
      <c r="M765" s="405">
        <f t="shared" si="60"/>
        <v>82.604254139400794</v>
      </c>
      <c r="N765" s="63">
        <f t="shared" si="61"/>
        <v>-0.42194260456103944</v>
      </c>
    </row>
    <row r="766" spans="1:14" ht="18" x14ac:dyDescent="0.25">
      <c r="A766" s="317" t="s">
        <v>3263</v>
      </c>
      <c r="B766" s="317" t="s">
        <v>3264</v>
      </c>
      <c r="C766" s="317">
        <v>3.54</v>
      </c>
      <c r="D766" s="317">
        <v>1.1599999999999999</v>
      </c>
      <c r="E766" s="318">
        <v>6.12</v>
      </c>
      <c r="F766" s="317">
        <v>0.34</v>
      </c>
      <c r="G766" s="317">
        <v>0</v>
      </c>
      <c r="H766" s="319">
        <v>9.74</v>
      </c>
      <c r="I766" s="320">
        <v>12</v>
      </c>
      <c r="J766" s="320">
        <v>2.7</v>
      </c>
      <c r="K766" s="57">
        <f t="shared" si="58"/>
        <v>0.199822</v>
      </c>
      <c r="L766" s="310">
        <f t="shared" si="59"/>
        <v>0.18</v>
      </c>
      <c r="M766" s="405">
        <f t="shared" si="60"/>
        <v>12.126458059327899</v>
      </c>
      <c r="N766" s="63">
        <f t="shared" si="61"/>
        <v>-0.19679761787426381</v>
      </c>
    </row>
    <row r="767" spans="1:14" ht="18" x14ac:dyDescent="0.25">
      <c r="A767" s="317" t="s">
        <v>1590</v>
      </c>
      <c r="B767" s="317"/>
      <c r="C767" s="317">
        <v>1.1599999999999999</v>
      </c>
      <c r="D767" s="317">
        <v>2.14</v>
      </c>
      <c r="E767" s="318">
        <v>0</v>
      </c>
      <c r="F767" s="317">
        <v>0</v>
      </c>
      <c r="G767" s="317">
        <v>0</v>
      </c>
      <c r="H767" s="319">
        <v>3.31</v>
      </c>
      <c r="I767" s="320">
        <v>23.75</v>
      </c>
      <c r="J767" s="320">
        <v>1.5</v>
      </c>
      <c r="K767" s="57">
        <f t="shared" si="58"/>
        <v>9.4388E-2</v>
      </c>
      <c r="L767" s="310" t="e">
        <f t="shared" si="59"/>
        <v>#DIV/0!</v>
      </c>
      <c r="M767" s="405" t="e">
        <f t="shared" si="60"/>
        <v>#DIV/0!</v>
      </c>
      <c r="N767" s="63" t="e">
        <f t="shared" si="61"/>
        <v>#DIV/0!</v>
      </c>
    </row>
    <row r="768" spans="1:14" ht="18" x14ac:dyDescent="0.25">
      <c r="A768" s="317" t="s">
        <v>1500</v>
      </c>
      <c r="B768" s="317" t="s">
        <v>1501</v>
      </c>
      <c r="C768" s="317">
        <v>2.31</v>
      </c>
      <c r="D768" s="317">
        <v>0.88</v>
      </c>
      <c r="E768" s="318">
        <v>4.33</v>
      </c>
      <c r="F768" s="317">
        <v>0.35</v>
      </c>
      <c r="G768" s="317">
        <v>0</v>
      </c>
      <c r="H768" s="319">
        <v>5.32</v>
      </c>
      <c r="I768" s="320">
        <v>8.6</v>
      </c>
      <c r="J768" s="320">
        <v>2</v>
      </c>
      <c r="K768" s="57">
        <f t="shared" si="58"/>
        <v>0.14533300000000002</v>
      </c>
      <c r="L768" s="310">
        <f t="shared" si="59"/>
        <v>0.12371428571428572</v>
      </c>
      <c r="M768" s="405">
        <f t="shared" si="60"/>
        <v>11.554321552921254</v>
      </c>
      <c r="N768" s="63">
        <f t="shared" si="61"/>
        <v>-0.53956621549493256</v>
      </c>
    </row>
    <row r="769" spans="1:14" ht="18" x14ac:dyDescent="0.25">
      <c r="A769" s="317" t="s">
        <v>3093</v>
      </c>
      <c r="B769" s="317" t="s">
        <v>3094</v>
      </c>
      <c r="C769" s="317">
        <v>1.29</v>
      </c>
      <c r="D769" s="317">
        <v>4.3499999999999996</v>
      </c>
      <c r="E769" s="318">
        <v>13.18</v>
      </c>
      <c r="F769" s="317">
        <v>0.97</v>
      </c>
      <c r="G769" s="317">
        <v>1.3</v>
      </c>
      <c r="H769" s="319">
        <v>78.58</v>
      </c>
      <c r="I769" s="320">
        <v>86</v>
      </c>
      <c r="J769" s="320">
        <v>1.8</v>
      </c>
      <c r="K769" s="57">
        <f t="shared" si="58"/>
        <v>0.10014700000000001</v>
      </c>
      <c r="L769" s="310">
        <f t="shared" si="59"/>
        <v>0.13587628865979381</v>
      </c>
      <c r="M769" s="405">
        <f t="shared" si="60"/>
        <v>78.638106983009266</v>
      </c>
      <c r="N769" s="63">
        <f t="shared" si="61"/>
        <v>-7.3891635033663822E-4</v>
      </c>
    </row>
    <row r="770" spans="1:14" ht="18" x14ac:dyDescent="0.25">
      <c r="A770" s="317" t="s">
        <v>1198</v>
      </c>
      <c r="B770" s="317" t="s">
        <v>1199</v>
      </c>
      <c r="C770" s="317">
        <v>0.91</v>
      </c>
      <c r="D770" s="317">
        <v>1.55</v>
      </c>
      <c r="E770" s="318">
        <v>16.84</v>
      </c>
      <c r="F770" s="317">
        <v>1.87</v>
      </c>
      <c r="G770" s="317">
        <v>1.6</v>
      </c>
      <c r="H770" s="319">
        <v>30.98</v>
      </c>
      <c r="I770" s="320">
        <v>30</v>
      </c>
      <c r="J770" s="320">
        <v>2.6</v>
      </c>
      <c r="K770" s="57">
        <f t="shared" si="58"/>
        <v>8.3312999999999998E-2</v>
      </c>
      <c r="L770" s="310">
        <f t="shared" si="59"/>
        <v>9.0053475935828867E-2</v>
      </c>
      <c r="M770" s="405">
        <f t="shared" si="60"/>
        <v>28.323493936494643</v>
      </c>
      <c r="N770" s="63">
        <f t="shared" si="61"/>
        <v>9.3791608812868466E-2</v>
      </c>
    </row>
    <row r="771" spans="1:14" ht="18" x14ac:dyDescent="0.25">
      <c r="A771" s="317" t="s">
        <v>3751</v>
      </c>
      <c r="B771" s="317" t="s">
        <v>3752</v>
      </c>
      <c r="C771" s="317">
        <v>2.39</v>
      </c>
      <c r="D771" s="317">
        <v>2.2999999999999998</v>
      </c>
      <c r="E771" s="318">
        <v>9</v>
      </c>
      <c r="F771" s="317">
        <v>2</v>
      </c>
      <c r="G771" s="317">
        <v>1.6</v>
      </c>
      <c r="H771" s="319">
        <v>25.66</v>
      </c>
      <c r="I771" s="320">
        <v>30</v>
      </c>
      <c r="J771" s="320">
        <v>1.9</v>
      </c>
      <c r="K771" s="57">
        <f t="shared" si="58"/>
        <v>0.14887700000000004</v>
      </c>
      <c r="L771" s="310">
        <f t="shared" si="59"/>
        <v>4.4999999999999998E-2</v>
      </c>
      <c r="M771" s="405">
        <f t="shared" si="60"/>
        <v>18.30821663578212</v>
      </c>
      <c r="N771" s="63">
        <f t="shared" si="61"/>
        <v>0.40155649840025037</v>
      </c>
    </row>
    <row r="772" spans="1:14" ht="18" x14ac:dyDescent="0.25">
      <c r="A772" s="317" t="s">
        <v>3753</v>
      </c>
      <c r="B772" s="317" t="s">
        <v>3754</v>
      </c>
      <c r="C772" s="317">
        <v>2.52</v>
      </c>
      <c r="D772" s="317">
        <v>0.93</v>
      </c>
      <c r="E772" s="318">
        <v>13.08</v>
      </c>
      <c r="F772" s="317">
        <v>0.27</v>
      </c>
      <c r="G772" s="317">
        <v>5.4</v>
      </c>
      <c r="H772" s="319">
        <v>20.010000000000002</v>
      </c>
      <c r="I772" s="320">
        <v>25</v>
      </c>
      <c r="J772" s="320">
        <v>2.4</v>
      </c>
      <c r="K772" s="57">
        <f t="shared" si="58"/>
        <v>0.154636</v>
      </c>
      <c r="L772" s="310">
        <f t="shared" si="59"/>
        <v>0.48444444444444446</v>
      </c>
      <c r="M772" s="405">
        <f t="shared" si="60"/>
        <v>-5.7809356894389676</v>
      </c>
      <c r="N772" s="63">
        <f t="shared" si="61"/>
        <v>-4.4613773746965766</v>
      </c>
    </row>
    <row r="773" spans="1:14" ht="18" x14ac:dyDescent="0.25">
      <c r="A773" s="317" t="s">
        <v>1591</v>
      </c>
      <c r="B773" s="317"/>
      <c r="C773" s="317">
        <v>1.23</v>
      </c>
      <c r="D773" s="317">
        <v>0.63</v>
      </c>
      <c r="E773" s="318">
        <v>4.5</v>
      </c>
      <c r="F773" s="317">
        <v>0.26</v>
      </c>
      <c r="G773" s="317">
        <v>0</v>
      </c>
      <c r="H773" s="319">
        <v>4.6399999999999997</v>
      </c>
      <c r="I773" s="320">
        <v>12.25</v>
      </c>
      <c r="J773" s="320">
        <v>2</v>
      </c>
      <c r="K773" s="57">
        <f t="shared" ref="K773:K836" si="62">$P$14+C773*($Q$15-$P$14)</f>
        <v>9.7489000000000006E-2</v>
      </c>
      <c r="L773" s="310">
        <f t="shared" ref="L773:L836" si="63">E773/F773/100</f>
        <v>0.17307692307692307</v>
      </c>
      <c r="M773" s="405">
        <f t="shared" ref="M773:M836" si="64">(D773-G773*H773/100)+(D773-G773*H773/100)*(1+L773)/(1+K773)+(D773-G773*H773/100)*(1+L773)^2/(1+K773)^2+(D773-G773*H773/100)*(1+L773)^3/(1+K773)^3+(D773-G773*H773/100)*(1+L773)^4/(1+K773)^4+((D773-G773*H773/100)*(1+L773)^5/(K773-$T$22-$T$19))/((1+K773)^5)</f>
        <v>17.909519363780593</v>
      </c>
      <c r="N773" s="63">
        <f t="shared" ref="N773:N836" si="65">(H773-M773)/M773</f>
        <v>-0.74091990378124117</v>
      </c>
    </row>
    <row r="774" spans="1:14" ht="18" x14ac:dyDescent="0.25">
      <c r="A774" s="317" t="s">
        <v>3095</v>
      </c>
      <c r="B774" s="317" t="s">
        <v>3096</v>
      </c>
      <c r="C774" s="317">
        <v>1.36</v>
      </c>
      <c r="D774" s="317">
        <v>0.57999999999999996</v>
      </c>
      <c r="E774" s="318">
        <v>15.96</v>
      </c>
      <c r="F774" s="317">
        <v>1.05</v>
      </c>
      <c r="G774" s="317">
        <v>0</v>
      </c>
      <c r="H774" s="319">
        <v>13.25</v>
      </c>
      <c r="I774" s="320">
        <v>17</v>
      </c>
      <c r="J774" s="320">
        <v>1.5</v>
      </c>
      <c r="K774" s="57">
        <f t="shared" si="62"/>
        <v>0.10324800000000001</v>
      </c>
      <c r="L774" s="310">
        <f t="shared" si="63"/>
        <v>0.152</v>
      </c>
      <c r="M774" s="405">
        <f t="shared" si="64"/>
        <v>13.874321963128162</v>
      </c>
      <c r="N774" s="63">
        <f t="shared" si="65"/>
        <v>-4.4998376481916381E-2</v>
      </c>
    </row>
    <row r="775" spans="1:14" ht="18" x14ac:dyDescent="0.25">
      <c r="A775" s="317" t="s">
        <v>2341</v>
      </c>
      <c r="B775" s="317" t="s">
        <v>2342</v>
      </c>
      <c r="C775" s="317">
        <v>2.0099999999999998</v>
      </c>
      <c r="D775" s="317">
        <v>1.87</v>
      </c>
      <c r="E775" s="318">
        <v>25.31</v>
      </c>
      <c r="F775" s="317">
        <v>3.23</v>
      </c>
      <c r="G775" s="317">
        <v>0</v>
      </c>
      <c r="H775" s="319">
        <v>56.45</v>
      </c>
      <c r="I775" s="320">
        <v>54</v>
      </c>
      <c r="J775" s="320">
        <v>2.6</v>
      </c>
      <c r="K775" s="57">
        <f t="shared" si="62"/>
        <v>0.13204299999999999</v>
      </c>
      <c r="L775" s="310">
        <f t="shared" si="63"/>
        <v>7.8359133126934988E-2</v>
      </c>
      <c r="M775" s="405">
        <f t="shared" si="64"/>
        <v>23.775655731570971</v>
      </c>
      <c r="N775" s="63">
        <f t="shared" si="65"/>
        <v>1.3742773127826613</v>
      </c>
    </row>
    <row r="776" spans="1:14" ht="18" x14ac:dyDescent="0.25">
      <c r="A776" s="317" t="s">
        <v>2728</v>
      </c>
      <c r="B776" s="317" t="s">
        <v>2695</v>
      </c>
      <c r="C776" s="317">
        <v>2.97</v>
      </c>
      <c r="D776" s="317">
        <v>0.83</v>
      </c>
      <c r="E776" s="318">
        <v>0</v>
      </c>
      <c r="F776" s="317">
        <v>0</v>
      </c>
      <c r="G776" s="317">
        <v>0</v>
      </c>
      <c r="H776" s="319">
        <v>1.2</v>
      </c>
      <c r="I776" s="320">
        <v>2.5</v>
      </c>
      <c r="J776" s="320">
        <v>2</v>
      </c>
      <c r="K776" s="57">
        <f t="shared" si="62"/>
        <v>0.17457100000000003</v>
      </c>
      <c r="L776" s="310" t="e">
        <f t="shared" si="63"/>
        <v>#DIV/0!</v>
      </c>
      <c r="M776" s="405" t="e">
        <f t="shared" si="64"/>
        <v>#DIV/0!</v>
      </c>
      <c r="N776" s="63" t="e">
        <f t="shared" si="65"/>
        <v>#DIV/0!</v>
      </c>
    </row>
    <row r="777" spans="1:14" ht="18" x14ac:dyDescent="0.25">
      <c r="A777" s="317" t="s">
        <v>2343</v>
      </c>
      <c r="B777" s="317" t="s">
        <v>2344</v>
      </c>
      <c r="C777" s="317">
        <v>1.28</v>
      </c>
      <c r="D777" s="317">
        <v>1.1599999999999999</v>
      </c>
      <c r="E777" s="318">
        <v>14.98</v>
      </c>
      <c r="F777" s="317">
        <v>1.25</v>
      </c>
      <c r="G777" s="317">
        <v>4.0999999999999996</v>
      </c>
      <c r="H777" s="319">
        <v>25.77</v>
      </c>
      <c r="I777" s="320">
        <v>28.5</v>
      </c>
      <c r="J777" s="320">
        <v>2.2999999999999998</v>
      </c>
      <c r="K777" s="57">
        <f t="shared" si="62"/>
        <v>9.9704000000000015E-2</v>
      </c>
      <c r="L777" s="310">
        <f t="shared" si="63"/>
        <v>0.11984</v>
      </c>
      <c r="M777" s="405">
        <f t="shared" si="64"/>
        <v>2.314229285224592</v>
      </c>
      <c r="N777" s="63">
        <f t="shared" si="65"/>
        <v>10.135456700220205</v>
      </c>
    </row>
    <row r="778" spans="1:14" ht="18" x14ac:dyDescent="0.25">
      <c r="A778" s="317" t="s">
        <v>1015</v>
      </c>
      <c r="B778" s="317" t="s">
        <v>1016</v>
      </c>
      <c r="C778" s="317">
        <v>1.76</v>
      </c>
      <c r="D778" s="317">
        <v>0.68</v>
      </c>
      <c r="E778" s="318">
        <v>17.39</v>
      </c>
      <c r="F778" s="317">
        <v>7.05</v>
      </c>
      <c r="G778" s="317">
        <v>0.9</v>
      </c>
      <c r="H778" s="319">
        <v>18.97</v>
      </c>
      <c r="I778" s="320">
        <v>23</v>
      </c>
      <c r="J778" s="320">
        <v>2.2999999999999998</v>
      </c>
      <c r="K778" s="57">
        <f t="shared" si="62"/>
        <v>0.12096800000000001</v>
      </c>
      <c r="L778" s="310">
        <f t="shared" si="63"/>
        <v>2.4666666666666667E-2</v>
      </c>
      <c r="M778" s="405">
        <f t="shared" si="64"/>
        <v>5.9699125169377609</v>
      </c>
      <c r="N778" s="63">
        <f t="shared" si="65"/>
        <v>2.1776010027246717</v>
      </c>
    </row>
    <row r="779" spans="1:14" ht="18" x14ac:dyDescent="0.25">
      <c r="A779" s="317" t="s">
        <v>2345</v>
      </c>
      <c r="B779" s="317" t="s">
        <v>2346</v>
      </c>
      <c r="C779" s="317">
        <v>1.9</v>
      </c>
      <c r="D779" s="317">
        <v>3.52</v>
      </c>
      <c r="E779" s="318">
        <v>13.8</v>
      </c>
      <c r="F779" s="317">
        <v>1.49</v>
      </c>
      <c r="G779" s="317">
        <v>1</v>
      </c>
      <c r="H779" s="319">
        <v>62.36</v>
      </c>
      <c r="I779" s="320">
        <v>61.5</v>
      </c>
      <c r="J779" s="320">
        <v>2.5</v>
      </c>
      <c r="K779" s="57">
        <f t="shared" si="62"/>
        <v>0.12717000000000001</v>
      </c>
      <c r="L779" s="310">
        <f t="shared" si="63"/>
        <v>9.2617449664429544E-2</v>
      </c>
      <c r="M779" s="405">
        <f t="shared" si="64"/>
        <v>40.810364874271094</v>
      </c>
      <c r="N779" s="63">
        <f t="shared" si="65"/>
        <v>0.52804318687468732</v>
      </c>
    </row>
    <row r="780" spans="1:14" ht="18" x14ac:dyDescent="0.25">
      <c r="A780" s="317" t="s">
        <v>1017</v>
      </c>
      <c r="B780" s="317" t="s">
        <v>1018</v>
      </c>
      <c r="C780" s="317">
        <v>0.55000000000000004</v>
      </c>
      <c r="D780" s="317">
        <v>5.27</v>
      </c>
      <c r="E780" s="318">
        <v>13.54</v>
      </c>
      <c r="F780" s="317">
        <v>1.23</v>
      </c>
      <c r="G780" s="317">
        <v>0</v>
      </c>
      <c r="H780" s="319">
        <v>96.69</v>
      </c>
      <c r="I780" s="320">
        <v>95.5</v>
      </c>
      <c r="J780" s="320">
        <v>2.5</v>
      </c>
      <c r="K780" s="57">
        <f t="shared" si="62"/>
        <v>6.7365000000000008E-2</v>
      </c>
      <c r="L780" s="310">
        <f t="shared" si="63"/>
        <v>0.11008130081300813</v>
      </c>
      <c r="M780" s="405">
        <f t="shared" si="64"/>
        <v>232.98922703474901</v>
      </c>
      <c r="N780" s="63">
        <f t="shared" si="65"/>
        <v>-0.5850022714330082</v>
      </c>
    </row>
    <row r="781" spans="1:14" ht="18" x14ac:dyDescent="0.25">
      <c r="A781" s="317" t="s">
        <v>1019</v>
      </c>
      <c r="B781" s="317" t="s">
        <v>1020</v>
      </c>
      <c r="C781" s="317">
        <v>0.78</v>
      </c>
      <c r="D781" s="317">
        <v>1.99</v>
      </c>
      <c r="E781" s="318">
        <v>12.79</v>
      </c>
      <c r="F781" s="317">
        <v>1.29</v>
      </c>
      <c r="G781" s="317">
        <v>0</v>
      </c>
      <c r="H781" s="319">
        <v>55.25</v>
      </c>
      <c r="I781" s="320">
        <v>62.5</v>
      </c>
      <c r="J781" s="320">
        <v>2</v>
      </c>
      <c r="K781" s="57">
        <f t="shared" si="62"/>
        <v>7.7554000000000012E-2</v>
      </c>
      <c r="L781" s="310">
        <f t="shared" si="63"/>
        <v>9.9147286821705427E-2</v>
      </c>
      <c r="M781" s="405">
        <f t="shared" si="64"/>
        <v>63.240874017558347</v>
      </c>
      <c r="N781" s="63">
        <f t="shared" si="65"/>
        <v>-0.12635616034243521</v>
      </c>
    </row>
    <row r="782" spans="1:14" ht="18" x14ac:dyDescent="0.25">
      <c r="A782" s="317" t="s">
        <v>2347</v>
      </c>
      <c r="B782" s="317" t="s">
        <v>2338</v>
      </c>
      <c r="C782" s="317">
        <v>2.5499999999999998</v>
      </c>
      <c r="D782" s="317">
        <v>1.45</v>
      </c>
      <c r="E782" s="318">
        <v>18.29</v>
      </c>
      <c r="F782" s="317">
        <v>-5.5</v>
      </c>
      <c r="G782" s="317">
        <v>0</v>
      </c>
      <c r="H782" s="319">
        <v>17.75</v>
      </c>
      <c r="I782" s="320">
        <v>21</v>
      </c>
      <c r="J782" s="320">
        <v>1.9</v>
      </c>
      <c r="K782" s="57">
        <f t="shared" si="62"/>
        <v>0.15596500000000002</v>
      </c>
      <c r="L782" s="310">
        <f t="shared" si="63"/>
        <v>-3.3254545454545453E-2</v>
      </c>
      <c r="M782" s="405">
        <f t="shared" si="64"/>
        <v>10.179082544919629</v>
      </c>
      <c r="N782" s="63">
        <f t="shared" si="65"/>
        <v>0.74377208571306941</v>
      </c>
    </row>
    <row r="783" spans="1:14" ht="18" x14ac:dyDescent="0.25">
      <c r="A783" s="317" t="s">
        <v>2348</v>
      </c>
      <c r="B783" s="317" t="s">
        <v>2349</v>
      </c>
      <c r="C783" s="317">
        <v>1.42</v>
      </c>
      <c r="D783" s="317">
        <v>-0.02</v>
      </c>
      <c r="E783" s="318">
        <v>13.67</v>
      </c>
      <c r="F783" s="317">
        <v>1.35</v>
      </c>
      <c r="G783" s="317">
        <v>0</v>
      </c>
      <c r="H783" s="319">
        <v>3.28</v>
      </c>
      <c r="I783" s="320">
        <v>5</v>
      </c>
      <c r="J783" s="320">
        <v>1.4</v>
      </c>
      <c r="K783" s="57">
        <f t="shared" si="62"/>
        <v>0.105906</v>
      </c>
      <c r="L783" s="310">
        <f t="shared" si="63"/>
        <v>0.10125925925925924</v>
      </c>
      <c r="M783" s="405">
        <f t="shared" si="64"/>
        <v>-0.37930137503943573</v>
      </c>
      <c r="N783" s="63">
        <f t="shared" si="65"/>
        <v>-9.6474772195565599</v>
      </c>
    </row>
    <row r="784" spans="1:14" ht="18" x14ac:dyDescent="0.25">
      <c r="A784" s="317" t="s">
        <v>2051</v>
      </c>
      <c r="B784" s="317" t="s">
        <v>2052</v>
      </c>
      <c r="C784" s="317">
        <v>0</v>
      </c>
      <c r="D784" s="317">
        <v>1.34</v>
      </c>
      <c r="E784" s="318">
        <v>4.47</v>
      </c>
      <c r="F784" s="317">
        <v>0</v>
      </c>
      <c r="G784" s="317">
        <v>0</v>
      </c>
      <c r="H784" s="319">
        <v>8.0399999999999991</v>
      </c>
      <c r="I784" s="320">
        <v>18</v>
      </c>
      <c r="J784" s="320">
        <v>1.3</v>
      </c>
      <c r="K784" s="57">
        <f t="shared" si="62"/>
        <v>4.2999999999999997E-2</v>
      </c>
      <c r="L784" s="310" t="e">
        <f t="shared" si="63"/>
        <v>#DIV/0!</v>
      </c>
      <c r="M784" s="405" t="e">
        <f t="shared" si="64"/>
        <v>#DIV/0!</v>
      </c>
      <c r="N784" s="63" t="e">
        <f t="shared" si="65"/>
        <v>#DIV/0!</v>
      </c>
    </row>
    <row r="785" spans="1:14" ht="18" x14ac:dyDescent="0.25">
      <c r="A785" s="317" t="s">
        <v>2594</v>
      </c>
      <c r="B785" s="317" t="s">
        <v>2595</v>
      </c>
      <c r="C785" s="317">
        <v>1.46</v>
      </c>
      <c r="D785" s="317">
        <v>0.88</v>
      </c>
      <c r="E785" s="318">
        <v>17.75</v>
      </c>
      <c r="F785" s="317">
        <v>1.1100000000000001</v>
      </c>
      <c r="G785" s="317">
        <v>0</v>
      </c>
      <c r="H785" s="319">
        <v>25.56</v>
      </c>
      <c r="I785" s="320">
        <v>25</v>
      </c>
      <c r="J785" s="320">
        <v>2.6</v>
      </c>
      <c r="K785" s="57">
        <f t="shared" si="62"/>
        <v>0.10767800000000001</v>
      </c>
      <c r="L785" s="310">
        <f t="shared" si="63"/>
        <v>0.15990990990990989</v>
      </c>
      <c r="M785" s="405">
        <f t="shared" si="64"/>
        <v>20.292889701404828</v>
      </c>
      <c r="N785" s="63">
        <f t="shared" si="65"/>
        <v>0.25955447332030496</v>
      </c>
    </row>
    <row r="786" spans="1:14" ht="18" x14ac:dyDescent="0.25">
      <c r="A786" s="317" t="s">
        <v>1021</v>
      </c>
      <c r="B786" s="317" t="s">
        <v>1022</v>
      </c>
      <c r="C786" s="317">
        <v>1</v>
      </c>
      <c r="D786" s="317">
        <v>8.25</v>
      </c>
      <c r="E786" s="318">
        <v>9.23</v>
      </c>
      <c r="F786" s="317">
        <v>1.23</v>
      </c>
      <c r="G786" s="317">
        <v>2.2000000000000002</v>
      </c>
      <c r="H786" s="319">
        <v>82.51</v>
      </c>
      <c r="I786" s="320">
        <v>82</v>
      </c>
      <c r="J786" s="320">
        <v>3.2</v>
      </c>
      <c r="K786" s="57">
        <f t="shared" si="62"/>
        <v>8.7300000000000003E-2</v>
      </c>
      <c r="L786" s="310">
        <f t="shared" si="63"/>
        <v>7.5040650406504067E-2</v>
      </c>
      <c r="M786" s="405">
        <f t="shared" si="64"/>
        <v>149.97710739619438</v>
      </c>
      <c r="N786" s="63">
        <f t="shared" si="65"/>
        <v>-0.44984937079741499</v>
      </c>
    </row>
    <row r="787" spans="1:14" ht="18" x14ac:dyDescent="0.25">
      <c r="A787" s="317" t="s">
        <v>1023</v>
      </c>
      <c r="B787" s="317" t="s">
        <v>1024</v>
      </c>
      <c r="C787" s="317">
        <v>1</v>
      </c>
      <c r="D787" s="317">
        <v>2.36</v>
      </c>
      <c r="E787" s="318">
        <v>14.6</v>
      </c>
      <c r="F787" s="317">
        <v>1.59</v>
      </c>
      <c r="G787" s="317">
        <v>2.8</v>
      </c>
      <c r="H787" s="319">
        <v>34.880000000000003</v>
      </c>
      <c r="I787" s="320">
        <v>35</v>
      </c>
      <c r="J787" s="320">
        <v>2.8</v>
      </c>
      <c r="K787" s="57">
        <f t="shared" si="62"/>
        <v>8.7300000000000003E-2</v>
      </c>
      <c r="L787" s="310">
        <f t="shared" si="63"/>
        <v>9.1823899371069176E-2</v>
      </c>
      <c r="M787" s="405">
        <f t="shared" si="64"/>
        <v>34.506351738335418</v>
      </c>
      <c r="N787" s="63">
        <f t="shared" si="65"/>
        <v>1.0828390798830046E-2</v>
      </c>
    </row>
    <row r="788" spans="1:14" ht="18" x14ac:dyDescent="0.25">
      <c r="A788" s="317" t="s">
        <v>1025</v>
      </c>
      <c r="B788" s="317" t="s">
        <v>1026</v>
      </c>
      <c r="C788" s="317">
        <v>0.84</v>
      </c>
      <c r="D788" s="317">
        <v>4.4000000000000004</v>
      </c>
      <c r="E788" s="318">
        <v>10.29</v>
      </c>
      <c r="F788" s="317">
        <v>-1.66</v>
      </c>
      <c r="G788" s="317">
        <v>5.3</v>
      </c>
      <c r="H788" s="319">
        <v>38.159999999999997</v>
      </c>
      <c r="I788" s="320">
        <v>35.5</v>
      </c>
      <c r="J788" s="320">
        <v>3.1</v>
      </c>
      <c r="K788" s="57">
        <f t="shared" si="62"/>
        <v>8.0212000000000006E-2</v>
      </c>
      <c r="L788" s="310">
        <f t="shared" si="63"/>
        <v>-6.1987951807228915E-2</v>
      </c>
      <c r="M788" s="405">
        <f t="shared" si="64"/>
        <v>35.694431142134924</v>
      </c>
      <c r="N788" s="63">
        <f t="shared" si="65"/>
        <v>6.9074328374843633E-2</v>
      </c>
    </row>
    <row r="789" spans="1:14" ht="18" x14ac:dyDescent="0.25">
      <c r="A789" s="317" t="s">
        <v>1027</v>
      </c>
      <c r="B789" s="317" t="s">
        <v>1028</v>
      </c>
      <c r="C789" s="317">
        <v>2</v>
      </c>
      <c r="D789" s="317">
        <v>1.6</v>
      </c>
      <c r="E789" s="318">
        <v>12.26</v>
      </c>
      <c r="F789" s="317">
        <v>1.3</v>
      </c>
      <c r="G789" s="317">
        <v>0.6</v>
      </c>
      <c r="H789" s="319">
        <v>34.46</v>
      </c>
      <c r="I789" s="320">
        <v>38.5</v>
      </c>
      <c r="J789" s="320">
        <v>2.6</v>
      </c>
      <c r="K789" s="57">
        <f t="shared" si="62"/>
        <v>0.13159999999999999</v>
      </c>
      <c r="L789" s="310">
        <f t="shared" si="63"/>
        <v>9.4307692307692315E-2</v>
      </c>
      <c r="M789" s="405">
        <f t="shared" si="64"/>
        <v>18.847324417910574</v>
      </c>
      <c r="N789" s="63">
        <f t="shared" si="65"/>
        <v>0.82837623186730591</v>
      </c>
    </row>
    <row r="790" spans="1:14" ht="18" x14ac:dyDescent="0.25">
      <c r="A790" s="317" t="s">
        <v>1620</v>
      </c>
      <c r="B790" s="317"/>
      <c r="C790" s="317">
        <v>1.47</v>
      </c>
      <c r="D790" s="317">
        <v>0.1</v>
      </c>
      <c r="E790" s="318">
        <v>0</v>
      </c>
      <c r="F790" s="317">
        <v>0</v>
      </c>
      <c r="G790" s="317">
        <v>0</v>
      </c>
      <c r="H790" s="319">
        <v>2.4</v>
      </c>
      <c r="I790" s="320"/>
      <c r="J790" s="320"/>
      <c r="K790" s="57">
        <f t="shared" si="62"/>
        <v>0.10812100000000001</v>
      </c>
      <c r="L790" s="310" t="e">
        <f t="shared" si="63"/>
        <v>#DIV/0!</v>
      </c>
      <c r="M790" s="405" t="e">
        <f t="shared" si="64"/>
        <v>#DIV/0!</v>
      </c>
      <c r="N790" s="63" t="e">
        <f t="shared" si="65"/>
        <v>#DIV/0!</v>
      </c>
    </row>
    <row r="791" spans="1:14" ht="18" x14ac:dyDescent="0.25">
      <c r="A791" s="317" t="s">
        <v>989</v>
      </c>
      <c r="B791" s="317" t="s">
        <v>990</v>
      </c>
      <c r="C791" s="317">
        <v>1.03</v>
      </c>
      <c r="D791" s="317">
        <v>8.06</v>
      </c>
      <c r="E791" s="318">
        <v>9.24</v>
      </c>
      <c r="F791" s="317">
        <v>1.22</v>
      </c>
      <c r="G791" s="317">
        <v>3.8</v>
      </c>
      <c r="H791" s="319">
        <v>80.09</v>
      </c>
      <c r="I791" s="320">
        <v>85</v>
      </c>
      <c r="J791" s="320">
        <v>2.5</v>
      </c>
      <c r="K791" s="57">
        <f t="shared" si="62"/>
        <v>8.8629000000000013E-2</v>
      </c>
      <c r="L791" s="310">
        <f t="shared" si="63"/>
        <v>7.5737704918032792E-2</v>
      </c>
      <c r="M791" s="405">
        <f t="shared" si="64"/>
        <v>114.3038531745177</v>
      </c>
      <c r="N791" s="63">
        <f t="shared" si="65"/>
        <v>-0.29932370803178798</v>
      </c>
    </row>
    <row r="792" spans="1:14" ht="18" x14ac:dyDescent="0.25">
      <c r="A792" s="317" t="s">
        <v>1029</v>
      </c>
      <c r="B792" s="317" t="s">
        <v>1030</v>
      </c>
      <c r="C792" s="317">
        <v>2.73</v>
      </c>
      <c r="D792" s="317">
        <v>2.54</v>
      </c>
      <c r="E792" s="318">
        <v>7.15</v>
      </c>
      <c r="F792" s="317">
        <v>0.64</v>
      </c>
      <c r="G792" s="317">
        <v>0.6</v>
      </c>
      <c r="H792" s="319">
        <v>30.12</v>
      </c>
      <c r="I792" s="320">
        <v>36</v>
      </c>
      <c r="J792" s="320">
        <v>2.2999999999999998</v>
      </c>
      <c r="K792" s="57">
        <f t="shared" si="62"/>
        <v>0.163939</v>
      </c>
      <c r="L792" s="310">
        <f t="shared" si="63"/>
        <v>0.11171875000000001</v>
      </c>
      <c r="M792" s="405">
        <f t="shared" si="64"/>
        <v>25.443196351101921</v>
      </c>
      <c r="N792" s="63">
        <f t="shared" si="65"/>
        <v>0.1838135265852921</v>
      </c>
    </row>
    <row r="793" spans="1:14" ht="18" x14ac:dyDescent="0.25">
      <c r="A793" s="317" t="s">
        <v>3759</v>
      </c>
      <c r="B793" s="317" t="s">
        <v>3760</v>
      </c>
      <c r="C793" s="317">
        <v>0.55000000000000004</v>
      </c>
      <c r="D793" s="317">
        <v>7.0000000000000007E-2</v>
      </c>
      <c r="E793" s="318">
        <v>15.14</v>
      </c>
      <c r="F793" s="317">
        <v>1.32</v>
      </c>
      <c r="G793" s="317">
        <v>3.2</v>
      </c>
      <c r="H793" s="319">
        <v>19.53</v>
      </c>
      <c r="I793" s="320">
        <v>23</v>
      </c>
      <c r="J793" s="320">
        <v>2.1</v>
      </c>
      <c r="K793" s="57">
        <f t="shared" si="62"/>
        <v>6.7365000000000008E-2</v>
      </c>
      <c r="L793" s="310">
        <f t="shared" si="63"/>
        <v>0.11469696969696969</v>
      </c>
      <c r="M793" s="405">
        <f t="shared" si="64"/>
        <v>-25.012458089494054</v>
      </c>
      <c r="N793" s="63">
        <f t="shared" si="65"/>
        <v>-1.7808109035154429</v>
      </c>
    </row>
    <row r="794" spans="1:14" ht="18" x14ac:dyDescent="0.25">
      <c r="A794" s="317" t="s">
        <v>2191</v>
      </c>
      <c r="B794" s="317" t="s">
        <v>2192</v>
      </c>
      <c r="C794" s="317">
        <v>4.4400000000000004</v>
      </c>
      <c r="D794" s="317">
        <v>-0.63</v>
      </c>
      <c r="E794" s="318">
        <v>6.27</v>
      </c>
      <c r="F794" s="317">
        <v>-0.5</v>
      </c>
      <c r="G794" s="317">
        <v>0</v>
      </c>
      <c r="H794" s="319">
        <v>3.2</v>
      </c>
      <c r="I794" s="320">
        <v>4.5</v>
      </c>
      <c r="J794" s="320">
        <v>2.5</v>
      </c>
      <c r="K794" s="57">
        <f t="shared" si="62"/>
        <v>0.23969200000000002</v>
      </c>
      <c r="L794" s="310">
        <f t="shared" si="63"/>
        <v>-0.12539999999999998</v>
      </c>
      <c r="M794" s="405">
        <f t="shared" si="64"/>
        <v>-2.3058860340376777</v>
      </c>
      <c r="N794" s="63">
        <f t="shared" si="65"/>
        <v>-2.3877528866405862</v>
      </c>
    </row>
    <row r="795" spans="1:14" ht="18" x14ac:dyDescent="0.25">
      <c r="A795" s="317" t="s">
        <v>1031</v>
      </c>
      <c r="B795" s="317" t="s">
        <v>1032</v>
      </c>
      <c r="C795" s="317">
        <v>0.48</v>
      </c>
      <c r="D795" s="317">
        <v>6.78</v>
      </c>
      <c r="E795" s="318">
        <v>12.96</v>
      </c>
      <c r="F795" s="317">
        <v>2.86</v>
      </c>
      <c r="G795" s="317">
        <v>4.9000000000000004</v>
      </c>
      <c r="H795" s="319">
        <v>107.56</v>
      </c>
      <c r="I795" s="320">
        <v>118</v>
      </c>
      <c r="J795" s="320">
        <v>2.2000000000000002</v>
      </c>
      <c r="K795" s="57">
        <f t="shared" si="62"/>
        <v>6.4264000000000002E-2</v>
      </c>
      <c r="L795" s="310">
        <f t="shared" si="63"/>
        <v>4.531468531468532E-2</v>
      </c>
      <c r="M795" s="405">
        <f t="shared" si="64"/>
        <v>56.104594194457647</v>
      </c>
      <c r="N795" s="63">
        <f t="shared" si="65"/>
        <v>0.91713355286375875</v>
      </c>
    </row>
    <row r="796" spans="1:14" ht="18" x14ac:dyDescent="0.25">
      <c r="A796" s="317" t="s">
        <v>2350</v>
      </c>
      <c r="B796" s="317" t="s">
        <v>2351</v>
      </c>
      <c r="C796" s="317">
        <v>1.06</v>
      </c>
      <c r="D796" s="317">
        <v>1.42</v>
      </c>
      <c r="E796" s="318">
        <v>13.04</v>
      </c>
      <c r="F796" s="317">
        <v>1.01</v>
      </c>
      <c r="G796" s="317">
        <v>1.7</v>
      </c>
      <c r="H796" s="319">
        <v>25.94</v>
      </c>
      <c r="I796" s="320">
        <v>29.5</v>
      </c>
      <c r="J796" s="320">
        <v>2.1</v>
      </c>
      <c r="K796" s="57">
        <f t="shared" si="62"/>
        <v>8.995800000000001E-2</v>
      </c>
      <c r="L796" s="310">
        <f t="shared" si="63"/>
        <v>0.12910891089108911</v>
      </c>
      <c r="M796" s="405">
        <f t="shared" si="64"/>
        <v>26.905043601024325</v>
      </c>
      <c r="N796" s="63">
        <f t="shared" si="65"/>
        <v>-3.5868501658461623E-2</v>
      </c>
    </row>
    <row r="797" spans="1:14" ht="18" x14ac:dyDescent="0.25">
      <c r="A797" s="317" t="s">
        <v>2352</v>
      </c>
      <c r="B797" s="317" t="s">
        <v>2353</v>
      </c>
      <c r="C797" s="317">
        <v>1.32</v>
      </c>
      <c r="D797" s="317">
        <v>0.38</v>
      </c>
      <c r="E797" s="318">
        <v>22.72</v>
      </c>
      <c r="F797" s="317">
        <v>1.54</v>
      </c>
      <c r="G797" s="317">
        <v>0</v>
      </c>
      <c r="H797" s="319">
        <v>19.989999999999998</v>
      </c>
      <c r="I797" s="320">
        <v>20.5</v>
      </c>
      <c r="J797" s="320">
        <v>1.2</v>
      </c>
      <c r="K797" s="57">
        <f t="shared" si="62"/>
        <v>0.10147600000000001</v>
      </c>
      <c r="L797" s="310">
        <f t="shared" si="63"/>
        <v>0.14753246753246751</v>
      </c>
      <c r="M797" s="405">
        <f t="shared" si="64"/>
        <v>9.1884817264272218</v>
      </c>
      <c r="N797" s="63">
        <f t="shared" si="65"/>
        <v>1.1755498454664453</v>
      </c>
    </row>
    <row r="798" spans="1:14" ht="18" x14ac:dyDescent="0.25">
      <c r="A798" s="317" t="s">
        <v>1033</v>
      </c>
      <c r="B798" s="317" t="s">
        <v>1034</v>
      </c>
      <c r="C798" s="317">
        <v>1.57</v>
      </c>
      <c r="D798" s="317">
        <v>0.06</v>
      </c>
      <c r="E798" s="318">
        <v>12.83</v>
      </c>
      <c r="F798" s="317">
        <v>0.98</v>
      </c>
      <c r="G798" s="317">
        <v>0</v>
      </c>
      <c r="H798" s="319">
        <v>7.44</v>
      </c>
      <c r="I798" s="320">
        <v>7.5</v>
      </c>
      <c r="J798" s="320">
        <v>2.2999999999999998</v>
      </c>
      <c r="K798" s="57">
        <f t="shared" si="62"/>
        <v>0.11255100000000001</v>
      </c>
      <c r="L798" s="310">
        <f t="shared" si="63"/>
        <v>0.13091836734693879</v>
      </c>
      <c r="M798" s="405">
        <f t="shared" si="64"/>
        <v>1.16073241886067</v>
      </c>
      <c r="N798" s="63">
        <f t="shared" si="65"/>
        <v>5.4097460182104813</v>
      </c>
    </row>
    <row r="799" spans="1:14" ht="18" x14ac:dyDescent="0.25">
      <c r="A799" s="317" t="s">
        <v>1035</v>
      </c>
      <c r="B799" s="317" t="s">
        <v>1036</v>
      </c>
      <c r="C799" s="317">
        <v>1.72</v>
      </c>
      <c r="D799" s="317">
        <v>2.42</v>
      </c>
      <c r="E799" s="318">
        <v>15.12</v>
      </c>
      <c r="F799" s="317">
        <v>1.34</v>
      </c>
      <c r="G799" s="317">
        <v>1.9</v>
      </c>
      <c r="H799" s="319">
        <v>40.97</v>
      </c>
      <c r="I799" s="320">
        <v>40.5</v>
      </c>
      <c r="J799" s="320">
        <v>2.5</v>
      </c>
      <c r="K799" s="57">
        <f t="shared" si="62"/>
        <v>0.11919600000000001</v>
      </c>
      <c r="L799" s="310">
        <f t="shared" si="63"/>
        <v>0.11283582089552237</v>
      </c>
      <c r="M799" s="405">
        <f t="shared" si="64"/>
        <v>27.292136741716721</v>
      </c>
      <c r="N799" s="63">
        <f t="shared" si="65"/>
        <v>0.50116498344287996</v>
      </c>
    </row>
    <row r="800" spans="1:14" ht="18" x14ac:dyDescent="0.25">
      <c r="A800" s="317" t="s">
        <v>2354</v>
      </c>
      <c r="B800" s="317" t="s">
        <v>2355</v>
      </c>
      <c r="C800" s="317">
        <v>2.2799999999999998</v>
      </c>
      <c r="D800" s="317">
        <v>2.0699999999999998</v>
      </c>
      <c r="E800" s="318">
        <v>13.79</v>
      </c>
      <c r="F800" s="317">
        <v>1.1000000000000001</v>
      </c>
      <c r="G800" s="317">
        <v>0</v>
      </c>
      <c r="H800" s="319">
        <v>37.5</v>
      </c>
      <c r="I800" s="320">
        <v>48</v>
      </c>
      <c r="J800" s="320">
        <v>2.2000000000000002</v>
      </c>
      <c r="K800" s="57">
        <f t="shared" si="62"/>
        <v>0.14400400000000002</v>
      </c>
      <c r="L800" s="310">
        <f t="shared" si="63"/>
        <v>0.12536363636363634</v>
      </c>
      <c r="M800" s="405">
        <f t="shared" si="64"/>
        <v>27.672737392421602</v>
      </c>
      <c r="N800" s="63">
        <f t="shared" si="65"/>
        <v>0.35512434018434585</v>
      </c>
    </row>
    <row r="801" spans="1:14" ht="18" x14ac:dyDescent="0.25">
      <c r="A801" s="317" t="s">
        <v>4943</v>
      </c>
      <c r="B801" s="317" t="s">
        <v>3662</v>
      </c>
      <c r="C801" s="317">
        <v>2.92</v>
      </c>
      <c r="D801" s="317">
        <v>0.91</v>
      </c>
      <c r="E801" s="318">
        <v>6.65</v>
      </c>
      <c r="F801" s="317">
        <v>0.4</v>
      </c>
      <c r="G801" s="317">
        <v>0</v>
      </c>
      <c r="H801" s="319">
        <v>8.8000000000000007</v>
      </c>
      <c r="I801" s="320">
        <v>12</v>
      </c>
      <c r="J801" s="320">
        <v>1.6</v>
      </c>
      <c r="K801" s="57">
        <f t="shared" si="62"/>
        <v>0.17235600000000001</v>
      </c>
      <c r="L801" s="310">
        <f t="shared" si="63"/>
        <v>0.16625000000000001</v>
      </c>
      <c r="M801" s="405">
        <f t="shared" si="64"/>
        <v>11.004564679235504</v>
      </c>
      <c r="N801" s="63">
        <f t="shared" si="65"/>
        <v>-0.20033183896817769</v>
      </c>
    </row>
    <row r="802" spans="1:14" ht="18" x14ac:dyDescent="0.25">
      <c r="A802" s="317" t="s">
        <v>2356</v>
      </c>
      <c r="B802" s="317" t="s">
        <v>2357</v>
      </c>
      <c r="C802" s="317">
        <v>1.29</v>
      </c>
      <c r="D802" s="317">
        <v>1.65</v>
      </c>
      <c r="E802" s="318">
        <v>15.51</v>
      </c>
      <c r="F802" s="317">
        <v>2.0699999999999998</v>
      </c>
      <c r="G802" s="317">
        <v>0.5</v>
      </c>
      <c r="H802" s="319">
        <v>84.37</v>
      </c>
      <c r="I802" s="320">
        <v>106</v>
      </c>
      <c r="J802" s="320">
        <v>2.2000000000000002</v>
      </c>
      <c r="K802" s="57">
        <f t="shared" si="62"/>
        <v>0.10014700000000001</v>
      </c>
      <c r="L802" s="310">
        <f t="shared" si="63"/>
        <v>7.4927536231884057E-2</v>
      </c>
      <c r="M802" s="405">
        <f t="shared" si="64"/>
        <v>22.915318786995375</v>
      </c>
      <c r="N802" s="63">
        <f t="shared" si="65"/>
        <v>2.6818165518116488</v>
      </c>
    </row>
    <row r="803" spans="1:14" ht="18" x14ac:dyDescent="0.25">
      <c r="A803" s="317" t="s">
        <v>5233</v>
      </c>
      <c r="B803" s="317" t="s">
        <v>5234</v>
      </c>
      <c r="C803" s="317">
        <v>1.75</v>
      </c>
      <c r="D803" s="317">
        <v>7.85</v>
      </c>
      <c r="E803" s="318">
        <v>0</v>
      </c>
      <c r="F803" s="317">
        <v>0</v>
      </c>
      <c r="G803" s="317">
        <v>0.6</v>
      </c>
      <c r="H803" s="319">
        <v>36.479999999999997</v>
      </c>
      <c r="I803" s="320">
        <v>0</v>
      </c>
      <c r="J803" s="320">
        <v>0</v>
      </c>
      <c r="K803" s="57">
        <f t="shared" si="62"/>
        <v>0.12052500000000001</v>
      </c>
      <c r="L803" s="310" t="e">
        <f t="shared" si="63"/>
        <v>#DIV/0!</v>
      </c>
      <c r="M803" s="405" t="e">
        <f t="shared" si="64"/>
        <v>#DIV/0!</v>
      </c>
      <c r="N803" s="63" t="e">
        <f t="shared" si="65"/>
        <v>#DIV/0!</v>
      </c>
    </row>
    <row r="804" spans="1:14" ht="18" x14ac:dyDescent="0.25">
      <c r="A804" s="317" t="s">
        <v>1621</v>
      </c>
      <c r="B804" s="317"/>
      <c r="C804" s="317">
        <v>2.4500000000000002</v>
      </c>
      <c r="D804" s="317">
        <v>1.69</v>
      </c>
      <c r="E804" s="318">
        <v>37.47</v>
      </c>
      <c r="F804" s="317">
        <v>1.93</v>
      </c>
      <c r="G804" s="317">
        <v>0</v>
      </c>
      <c r="H804" s="319">
        <v>94.79</v>
      </c>
      <c r="I804" s="320">
        <v>84</v>
      </c>
      <c r="J804" s="320">
        <v>2.8</v>
      </c>
      <c r="K804" s="57">
        <f t="shared" si="62"/>
        <v>0.15153500000000003</v>
      </c>
      <c r="L804" s="310">
        <f t="shared" si="63"/>
        <v>0.19414507772020728</v>
      </c>
      <c r="M804" s="405">
        <f t="shared" si="64"/>
        <v>26.640667916688557</v>
      </c>
      <c r="N804" s="63">
        <f t="shared" si="65"/>
        <v>2.5580939748368903</v>
      </c>
    </row>
    <row r="805" spans="1:14" ht="18" x14ac:dyDescent="0.25">
      <c r="A805" s="317" t="s">
        <v>1037</v>
      </c>
      <c r="B805" s="317" t="s">
        <v>1038</v>
      </c>
      <c r="C805" s="317">
        <v>1.24</v>
      </c>
      <c r="D805" s="317">
        <v>0.61</v>
      </c>
      <c r="E805" s="318">
        <v>12.93</v>
      </c>
      <c r="F805" s="317">
        <v>3.21</v>
      </c>
      <c r="G805" s="317">
        <v>0.2</v>
      </c>
      <c r="H805" s="319">
        <v>11.77</v>
      </c>
      <c r="I805" s="320">
        <v>15</v>
      </c>
      <c r="J805" s="320">
        <v>2</v>
      </c>
      <c r="K805" s="57">
        <f t="shared" si="62"/>
        <v>9.7932000000000005E-2</v>
      </c>
      <c r="L805" s="310">
        <f t="shared" si="63"/>
        <v>4.0280373831775698E-2</v>
      </c>
      <c r="M805" s="405">
        <f t="shared" si="64"/>
        <v>9.8710996396230435</v>
      </c>
      <c r="N805" s="63">
        <f t="shared" si="65"/>
        <v>0.19236968825182188</v>
      </c>
    </row>
    <row r="806" spans="1:14" ht="18" x14ac:dyDescent="0.25">
      <c r="A806" s="317" t="s">
        <v>2358</v>
      </c>
      <c r="B806" s="317" t="s">
        <v>2359</v>
      </c>
      <c r="C806" s="317">
        <v>1.36</v>
      </c>
      <c r="D806" s="317">
        <v>1.29</v>
      </c>
      <c r="E806" s="318">
        <v>19.649999999999999</v>
      </c>
      <c r="F806" s="317">
        <v>2.64</v>
      </c>
      <c r="G806" s="317">
        <v>1.9</v>
      </c>
      <c r="H806" s="319">
        <v>32.43</v>
      </c>
      <c r="I806" s="320">
        <v>34.5</v>
      </c>
      <c r="J806" s="320">
        <v>1</v>
      </c>
      <c r="K806" s="57">
        <f t="shared" si="62"/>
        <v>0.10324800000000001</v>
      </c>
      <c r="L806" s="310">
        <f t="shared" si="63"/>
        <v>7.4431818181818168E-2</v>
      </c>
      <c r="M806" s="405">
        <f t="shared" si="64"/>
        <v>11.975766841934282</v>
      </c>
      <c r="N806" s="63">
        <f t="shared" si="65"/>
        <v>1.7079685524974721</v>
      </c>
    </row>
    <row r="807" spans="1:14" ht="18" x14ac:dyDescent="0.25">
      <c r="A807" s="317" t="s">
        <v>2360</v>
      </c>
      <c r="B807" s="317" t="s">
        <v>2361</v>
      </c>
      <c r="C807" s="317">
        <v>1.5</v>
      </c>
      <c r="D807" s="317">
        <v>0.68</v>
      </c>
      <c r="E807" s="318">
        <v>16.75</v>
      </c>
      <c r="F807" s="317">
        <v>1.39</v>
      </c>
      <c r="G807" s="317">
        <v>0</v>
      </c>
      <c r="H807" s="319">
        <v>24.29</v>
      </c>
      <c r="I807" s="320">
        <v>26</v>
      </c>
      <c r="J807" s="320">
        <v>2</v>
      </c>
      <c r="K807" s="57">
        <f t="shared" si="62"/>
        <v>0.10945000000000001</v>
      </c>
      <c r="L807" s="310">
        <f t="shared" si="63"/>
        <v>0.12050359712230216</v>
      </c>
      <c r="M807" s="405">
        <f t="shared" si="64"/>
        <v>13.196901505655362</v>
      </c>
      <c r="N807" s="63">
        <f t="shared" si="65"/>
        <v>0.84058356346683605</v>
      </c>
    </row>
    <row r="808" spans="1:14" ht="18" x14ac:dyDescent="0.25">
      <c r="A808" s="317" t="s">
        <v>4944</v>
      </c>
      <c r="B808" s="317"/>
      <c r="C808" s="317"/>
      <c r="D808" s="317"/>
      <c r="E808" s="318"/>
      <c r="F808" s="317"/>
      <c r="G808" s="317"/>
      <c r="H808" s="319">
        <v>16.16</v>
      </c>
      <c r="I808" s="320"/>
      <c r="J808" s="320"/>
      <c r="K808" s="57">
        <f t="shared" si="62"/>
        <v>4.2999999999999997E-2</v>
      </c>
      <c r="L808" s="310" t="e">
        <f t="shared" si="63"/>
        <v>#DIV/0!</v>
      </c>
      <c r="M808" s="405" t="e">
        <f t="shared" si="64"/>
        <v>#DIV/0!</v>
      </c>
      <c r="N808" s="63" t="e">
        <f t="shared" si="65"/>
        <v>#DIV/0!</v>
      </c>
    </row>
    <row r="809" spans="1:14" ht="18" x14ac:dyDescent="0.25">
      <c r="A809" s="317" t="s">
        <v>2730</v>
      </c>
      <c r="B809" s="317" t="s">
        <v>4953</v>
      </c>
      <c r="C809" s="317">
        <v>4.12</v>
      </c>
      <c r="D809" s="317">
        <v>0.51</v>
      </c>
      <c r="E809" s="318">
        <v>19.28</v>
      </c>
      <c r="F809" s="317">
        <v>1.46</v>
      </c>
      <c r="G809" s="317">
        <v>0</v>
      </c>
      <c r="H809" s="319">
        <v>43.37</v>
      </c>
      <c r="I809" s="320">
        <v>53.5</v>
      </c>
      <c r="J809" s="320">
        <v>2</v>
      </c>
      <c r="K809" s="57">
        <f t="shared" si="62"/>
        <v>0.22551600000000005</v>
      </c>
      <c r="L809" s="310">
        <f t="shared" si="63"/>
        <v>0.13205479452054797</v>
      </c>
      <c r="M809" s="405">
        <f t="shared" si="64"/>
        <v>3.9995580041820431</v>
      </c>
      <c r="N809" s="63">
        <f t="shared" si="65"/>
        <v>9.8436982173158096</v>
      </c>
    </row>
    <row r="810" spans="1:14" ht="18" x14ac:dyDescent="0.25">
      <c r="A810" s="317" t="s">
        <v>1039</v>
      </c>
      <c r="B810" s="317" t="s">
        <v>1040</v>
      </c>
      <c r="C810" s="317">
        <v>1.06</v>
      </c>
      <c r="D810" s="317">
        <v>4.12</v>
      </c>
      <c r="E810" s="318">
        <v>7.4</v>
      </c>
      <c r="F810" s="317">
        <v>-0.81</v>
      </c>
      <c r="G810" s="317">
        <v>0</v>
      </c>
      <c r="H810" s="319">
        <v>31.88</v>
      </c>
      <c r="I810" s="320">
        <v>35</v>
      </c>
      <c r="J810" s="320">
        <v>2.9</v>
      </c>
      <c r="K810" s="57">
        <f t="shared" si="62"/>
        <v>8.995800000000001E-2</v>
      </c>
      <c r="L810" s="310">
        <f t="shared" si="63"/>
        <v>-9.1358024691358022E-2</v>
      </c>
      <c r="M810" s="405">
        <f t="shared" si="64"/>
        <v>45.538494691057252</v>
      </c>
      <c r="N810" s="63">
        <f t="shared" si="65"/>
        <v>-0.29993294209040861</v>
      </c>
    </row>
    <row r="811" spans="1:14" ht="18" x14ac:dyDescent="0.25">
      <c r="A811" s="317" t="s">
        <v>2362</v>
      </c>
      <c r="B811" s="317" t="s">
        <v>2363</v>
      </c>
      <c r="C811" s="317">
        <v>1.44</v>
      </c>
      <c r="D811" s="317">
        <v>1.32</v>
      </c>
      <c r="E811" s="318">
        <v>11.16</v>
      </c>
      <c r="F811" s="317">
        <v>1.31</v>
      </c>
      <c r="G811" s="317">
        <v>0</v>
      </c>
      <c r="H811" s="319">
        <v>37.17</v>
      </c>
      <c r="I811" s="320">
        <v>37</v>
      </c>
      <c r="J811" s="320">
        <v>1.8</v>
      </c>
      <c r="K811" s="57">
        <f t="shared" si="62"/>
        <v>0.106792</v>
      </c>
      <c r="L811" s="310">
        <f t="shared" si="63"/>
        <v>8.5190839694656489E-2</v>
      </c>
      <c r="M811" s="405">
        <f t="shared" si="64"/>
        <v>23.243604409398358</v>
      </c>
      <c r="N811" s="63">
        <f t="shared" si="65"/>
        <v>0.59914957014888026</v>
      </c>
    </row>
    <row r="812" spans="1:14" ht="18" x14ac:dyDescent="0.25">
      <c r="A812" s="317" t="s">
        <v>1887</v>
      </c>
      <c r="B812" s="317" t="s">
        <v>4930</v>
      </c>
      <c r="C812" s="317">
        <v>2.83</v>
      </c>
      <c r="D812" s="317">
        <v>0.52</v>
      </c>
      <c r="E812" s="318">
        <v>15.46</v>
      </c>
      <c r="F812" s="317">
        <v>8.09</v>
      </c>
      <c r="G812" s="317">
        <v>0</v>
      </c>
      <c r="H812" s="319">
        <v>10.98</v>
      </c>
      <c r="I812" s="320">
        <v>13</v>
      </c>
      <c r="J812" s="320">
        <v>1.7</v>
      </c>
      <c r="K812" s="57">
        <f t="shared" si="62"/>
        <v>0.16836899999999999</v>
      </c>
      <c r="L812" s="310">
        <f t="shared" si="63"/>
        <v>1.9110012360939434E-2</v>
      </c>
      <c r="M812" s="405">
        <f t="shared" si="64"/>
        <v>3.9987372637411251</v>
      </c>
      <c r="N812" s="63">
        <f t="shared" si="65"/>
        <v>1.7458668264009347</v>
      </c>
    </row>
    <row r="813" spans="1:14" ht="18" x14ac:dyDescent="0.25">
      <c r="A813" s="317" t="s">
        <v>2364</v>
      </c>
      <c r="B813" s="317" t="s">
        <v>2365</v>
      </c>
      <c r="C813" s="317">
        <v>1.88</v>
      </c>
      <c r="D813" s="317">
        <v>1.98</v>
      </c>
      <c r="E813" s="318">
        <v>10.1</v>
      </c>
      <c r="F813" s="317">
        <v>1.23</v>
      </c>
      <c r="G813" s="317">
        <v>0.8</v>
      </c>
      <c r="H813" s="319">
        <v>26.26</v>
      </c>
      <c r="I813" s="320">
        <v>30.5</v>
      </c>
      <c r="J813" s="320">
        <v>1.9</v>
      </c>
      <c r="K813" s="57">
        <f t="shared" si="62"/>
        <v>0.12628400000000001</v>
      </c>
      <c r="L813" s="310">
        <f t="shared" si="63"/>
        <v>8.2113821138211376E-2</v>
      </c>
      <c r="M813" s="405">
        <f t="shared" si="64"/>
        <v>24.231911295850765</v>
      </c>
      <c r="N813" s="63">
        <f t="shared" si="65"/>
        <v>8.3694954120127826E-2</v>
      </c>
    </row>
    <row r="814" spans="1:14" ht="18" x14ac:dyDescent="0.25">
      <c r="A814" s="317" t="s">
        <v>2366</v>
      </c>
      <c r="B814" s="317" t="s">
        <v>2367</v>
      </c>
      <c r="C814" s="317">
        <v>0.91</v>
      </c>
      <c r="D814" s="317">
        <v>14.05</v>
      </c>
      <c r="E814" s="318">
        <v>14.11</v>
      </c>
      <c r="F814" s="317">
        <v>0.86</v>
      </c>
      <c r="G814" s="317">
        <v>0.2</v>
      </c>
      <c r="H814" s="319">
        <v>278</v>
      </c>
      <c r="I814" s="320">
        <v>293</v>
      </c>
      <c r="J814" s="320">
        <v>1.8</v>
      </c>
      <c r="K814" s="57">
        <f t="shared" si="62"/>
        <v>8.3312999999999998E-2</v>
      </c>
      <c r="L814" s="310">
        <f t="shared" si="63"/>
        <v>0.16406976744186047</v>
      </c>
      <c r="M814" s="405">
        <f t="shared" si="64"/>
        <v>486.89539185440441</v>
      </c>
      <c r="N814" s="63">
        <f t="shared" si="65"/>
        <v>-0.42903546706161905</v>
      </c>
    </row>
    <row r="815" spans="1:14" ht="18" x14ac:dyDescent="0.25">
      <c r="A815" s="317" t="s">
        <v>2368</v>
      </c>
      <c r="B815" s="317" t="s">
        <v>2369</v>
      </c>
      <c r="C815" s="317">
        <v>2.0699999999999998</v>
      </c>
      <c r="D815" s="317">
        <v>0.61</v>
      </c>
      <c r="E815" s="318">
        <v>8.16</v>
      </c>
      <c r="F815" s="317">
        <v>0.64</v>
      </c>
      <c r="G815" s="317">
        <v>0</v>
      </c>
      <c r="H815" s="319">
        <v>9.2200000000000006</v>
      </c>
      <c r="I815" s="320">
        <v>11</v>
      </c>
      <c r="J815" s="320">
        <v>3</v>
      </c>
      <c r="K815" s="57">
        <f t="shared" si="62"/>
        <v>0.13470100000000002</v>
      </c>
      <c r="L815" s="310">
        <f t="shared" si="63"/>
        <v>0.1275</v>
      </c>
      <c r="M815" s="405">
        <f t="shared" si="64"/>
        <v>8.9981829863292848</v>
      </c>
      <c r="N815" s="63">
        <f t="shared" si="65"/>
        <v>2.4651311715678251E-2</v>
      </c>
    </row>
    <row r="816" spans="1:14" ht="18" x14ac:dyDescent="0.25">
      <c r="A816" s="317" t="s">
        <v>2370</v>
      </c>
      <c r="B816" s="317" t="s">
        <v>2371</v>
      </c>
      <c r="C816" s="317">
        <v>1.57</v>
      </c>
      <c r="D816" s="317">
        <v>-3.26</v>
      </c>
      <c r="E816" s="318">
        <v>15.37</v>
      </c>
      <c r="F816" s="317">
        <v>1.89</v>
      </c>
      <c r="G816" s="317">
        <v>1.1000000000000001</v>
      </c>
      <c r="H816" s="319">
        <v>64.849999999999994</v>
      </c>
      <c r="I816" s="320">
        <v>79</v>
      </c>
      <c r="J816" s="320">
        <v>1.9</v>
      </c>
      <c r="K816" s="57">
        <f t="shared" si="62"/>
        <v>0.11255100000000001</v>
      </c>
      <c r="L816" s="310">
        <f t="shared" si="63"/>
        <v>8.1322751322751324E-2</v>
      </c>
      <c r="M816" s="405">
        <f t="shared" si="64"/>
        <v>-63.800006699455693</v>
      </c>
      <c r="N816" s="63">
        <f t="shared" si="65"/>
        <v>-2.0164575735154782</v>
      </c>
    </row>
    <row r="817" spans="1:14" ht="18" x14ac:dyDescent="0.25">
      <c r="A817" s="317" t="s">
        <v>2696</v>
      </c>
      <c r="B817" s="317" t="s">
        <v>2697</v>
      </c>
      <c r="C817" s="317">
        <v>3.17</v>
      </c>
      <c r="D817" s="317">
        <v>-2.0099999999999998</v>
      </c>
      <c r="E817" s="318">
        <v>0</v>
      </c>
      <c r="F817" s="317">
        <v>0</v>
      </c>
      <c r="G817" s="317">
        <v>0</v>
      </c>
      <c r="H817" s="319">
        <v>15.92</v>
      </c>
      <c r="I817" s="320">
        <v>20.5</v>
      </c>
      <c r="J817" s="320">
        <v>1.6</v>
      </c>
      <c r="K817" s="57">
        <f t="shared" si="62"/>
        <v>0.18343100000000001</v>
      </c>
      <c r="L817" s="310" t="e">
        <f t="shared" si="63"/>
        <v>#DIV/0!</v>
      </c>
      <c r="M817" s="405" t="e">
        <f t="shared" si="64"/>
        <v>#DIV/0!</v>
      </c>
      <c r="N817" s="63" t="e">
        <f t="shared" si="65"/>
        <v>#DIV/0!</v>
      </c>
    </row>
    <row r="818" spans="1:14" ht="18" x14ac:dyDescent="0.25">
      <c r="A818" s="317" t="s">
        <v>1041</v>
      </c>
      <c r="B818" s="317" t="s">
        <v>1042</v>
      </c>
      <c r="C818" s="317">
        <v>1.6</v>
      </c>
      <c r="D818" s="317">
        <v>1.25</v>
      </c>
      <c r="E818" s="318">
        <v>19.97</v>
      </c>
      <c r="F818" s="317">
        <v>1.96</v>
      </c>
      <c r="G818" s="317">
        <v>1</v>
      </c>
      <c r="H818" s="319">
        <v>35.549999999999997</v>
      </c>
      <c r="I818" s="320">
        <v>43.5</v>
      </c>
      <c r="J818" s="320">
        <v>2.2999999999999998</v>
      </c>
      <c r="K818" s="57">
        <f t="shared" si="62"/>
        <v>0.11388000000000001</v>
      </c>
      <c r="L818" s="310">
        <f t="shared" si="63"/>
        <v>0.10188775510204082</v>
      </c>
      <c r="M818" s="405">
        <f t="shared" si="64"/>
        <v>15.257735257145477</v>
      </c>
      <c r="N818" s="63">
        <f t="shared" si="65"/>
        <v>1.3299657125294058</v>
      </c>
    </row>
    <row r="819" spans="1:14" ht="18" x14ac:dyDescent="0.25">
      <c r="A819" s="317" t="s">
        <v>1043</v>
      </c>
      <c r="B819" s="317" t="s">
        <v>1044</v>
      </c>
      <c r="C819" s="317">
        <v>2.27</v>
      </c>
      <c r="D819" s="317">
        <v>-3.11</v>
      </c>
      <c r="E819" s="318">
        <v>24.96</v>
      </c>
      <c r="F819" s="317">
        <v>3.75</v>
      </c>
      <c r="G819" s="317">
        <v>2.2000000000000002</v>
      </c>
      <c r="H819" s="319">
        <v>13.48</v>
      </c>
      <c r="I819" s="320">
        <v>12.5</v>
      </c>
      <c r="J819" s="320">
        <v>3.2</v>
      </c>
      <c r="K819" s="57">
        <f t="shared" si="62"/>
        <v>0.14356099999999999</v>
      </c>
      <c r="L819" s="310">
        <f t="shared" si="63"/>
        <v>6.6560000000000008E-2</v>
      </c>
      <c r="M819" s="405">
        <f t="shared" si="64"/>
        <v>-37.239026915560473</v>
      </c>
      <c r="N819" s="63">
        <f t="shared" si="65"/>
        <v>-1.3619858282163473</v>
      </c>
    </row>
    <row r="820" spans="1:14" ht="18" x14ac:dyDescent="0.25">
      <c r="A820" s="317" t="s">
        <v>2372</v>
      </c>
      <c r="B820" s="317" t="s">
        <v>2373</v>
      </c>
      <c r="C820" s="317">
        <v>1.03</v>
      </c>
      <c r="D820" s="317">
        <v>1.85</v>
      </c>
      <c r="E820" s="318">
        <v>11.71</v>
      </c>
      <c r="F820" s="317">
        <v>1.52</v>
      </c>
      <c r="G820" s="317">
        <v>3.4</v>
      </c>
      <c r="H820" s="319">
        <v>26.71</v>
      </c>
      <c r="I820" s="320">
        <v>31</v>
      </c>
      <c r="J820" s="320">
        <v>1.8</v>
      </c>
      <c r="K820" s="57">
        <f t="shared" si="62"/>
        <v>8.8629000000000013E-2</v>
      </c>
      <c r="L820" s="310">
        <f t="shared" si="63"/>
        <v>7.7039473684210533E-2</v>
      </c>
      <c r="M820" s="405">
        <f t="shared" si="64"/>
        <v>21.573762558060764</v>
      </c>
      <c r="N820" s="63">
        <f t="shared" si="65"/>
        <v>0.23807796290129032</v>
      </c>
    </row>
    <row r="821" spans="1:14" ht="18" x14ac:dyDescent="0.25">
      <c r="A821" s="317" t="s">
        <v>1751</v>
      </c>
      <c r="B821" s="317" t="s">
        <v>1752</v>
      </c>
      <c r="C821" s="317">
        <v>2.69</v>
      </c>
      <c r="D821" s="317">
        <v>0.26</v>
      </c>
      <c r="E821" s="318">
        <v>6.25</v>
      </c>
      <c r="F821" s="317">
        <v>0.73</v>
      </c>
      <c r="G821" s="317">
        <v>0</v>
      </c>
      <c r="H821" s="319">
        <v>9.5</v>
      </c>
      <c r="I821" s="320">
        <v>12</v>
      </c>
      <c r="J821" s="320">
        <v>2.5</v>
      </c>
      <c r="K821" s="57">
        <f t="shared" si="62"/>
        <v>0.16216700000000001</v>
      </c>
      <c r="L821" s="310">
        <f t="shared" si="63"/>
        <v>8.5616438356164379E-2</v>
      </c>
      <c r="M821" s="405">
        <f t="shared" si="64"/>
        <v>2.6054287910431162</v>
      </c>
      <c r="N821" s="63">
        <f t="shared" si="65"/>
        <v>2.6462328322535176</v>
      </c>
    </row>
    <row r="822" spans="1:14" ht="18" x14ac:dyDescent="0.25">
      <c r="A822" s="317" t="s">
        <v>1409</v>
      </c>
      <c r="B822" s="317"/>
      <c r="C822" s="317">
        <v>1.45</v>
      </c>
      <c r="D822" s="317">
        <v>1.44</v>
      </c>
      <c r="E822" s="318">
        <v>9.18</v>
      </c>
      <c r="F822" s="317">
        <v>0.65</v>
      </c>
      <c r="G822" s="317">
        <v>0</v>
      </c>
      <c r="H822" s="319">
        <v>20.83</v>
      </c>
      <c r="I822" s="320">
        <v>25.6</v>
      </c>
      <c r="J822" s="320">
        <v>1.9</v>
      </c>
      <c r="K822" s="57">
        <f t="shared" si="62"/>
        <v>0.107235</v>
      </c>
      <c r="L822" s="310">
        <f t="shared" si="63"/>
        <v>0.14123076923076922</v>
      </c>
      <c r="M822" s="405">
        <f t="shared" si="64"/>
        <v>31.170501272723641</v>
      </c>
      <c r="N822" s="63">
        <f t="shared" si="65"/>
        <v>-0.33173997370944758</v>
      </c>
    </row>
    <row r="823" spans="1:14" ht="18" x14ac:dyDescent="0.25">
      <c r="A823" s="317" t="s">
        <v>5275</v>
      </c>
      <c r="B823" s="317" t="s">
        <v>5276</v>
      </c>
      <c r="C823" s="317">
        <v>0.39</v>
      </c>
      <c r="D823" s="317">
        <v>4.58</v>
      </c>
      <c r="E823" s="318">
        <v>14.17</v>
      </c>
      <c r="F823" s="317">
        <v>1.5</v>
      </c>
      <c r="G823" s="317">
        <v>3.1</v>
      </c>
      <c r="H823" s="319">
        <v>78.64</v>
      </c>
      <c r="I823" s="320">
        <v>87</v>
      </c>
      <c r="J823" s="320">
        <v>2</v>
      </c>
      <c r="K823" s="57">
        <f t="shared" si="62"/>
        <v>6.0276999999999997E-2</v>
      </c>
      <c r="L823" s="310">
        <f t="shared" si="63"/>
        <v>9.4466666666666671E-2</v>
      </c>
      <c r="M823" s="405">
        <f t="shared" si="64"/>
        <v>114.83665860092655</v>
      </c>
      <c r="N823" s="63">
        <f t="shared" si="65"/>
        <v>-0.31520125229971208</v>
      </c>
    </row>
    <row r="824" spans="1:14" ht="18" x14ac:dyDescent="0.25">
      <c r="A824" s="317" t="s">
        <v>2596</v>
      </c>
      <c r="B824" s="317" t="s">
        <v>2597</v>
      </c>
      <c r="C824" s="317">
        <v>0.8</v>
      </c>
      <c r="D824" s="317">
        <v>3</v>
      </c>
      <c r="E824" s="318">
        <v>0</v>
      </c>
      <c r="F824" s="317">
        <v>0</v>
      </c>
      <c r="G824" s="317">
        <v>0</v>
      </c>
      <c r="H824" s="319">
        <v>58.01</v>
      </c>
      <c r="I824" s="320">
        <v>0</v>
      </c>
      <c r="J824" s="320">
        <v>0</v>
      </c>
      <c r="K824" s="57">
        <f t="shared" si="62"/>
        <v>7.844000000000001E-2</v>
      </c>
      <c r="L824" s="310" t="e">
        <f t="shared" si="63"/>
        <v>#DIV/0!</v>
      </c>
      <c r="M824" s="405" t="e">
        <f t="shared" si="64"/>
        <v>#DIV/0!</v>
      </c>
      <c r="N824" s="63" t="e">
        <f t="shared" si="65"/>
        <v>#DIV/0!</v>
      </c>
    </row>
    <row r="825" spans="1:14" ht="18" x14ac:dyDescent="0.25">
      <c r="A825" s="317" t="s">
        <v>1045</v>
      </c>
      <c r="B825" s="317" t="s">
        <v>1046</v>
      </c>
      <c r="C825" s="317">
        <v>1.0900000000000001</v>
      </c>
      <c r="D825" s="317">
        <v>1.92</v>
      </c>
      <c r="E825" s="318">
        <v>16.78</v>
      </c>
      <c r="F825" s="317">
        <v>1.35</v>
      </c>
      <c r="G825" s="317">
        <v>3.4</v>
      </c>
      <c r="H825" s="319">
        <v>40.950000000000003</v>
      </c>
      <c r="I825" s="320">
        <v>40</v>
      </c>
      <c r="J825" s="320">
        <v>2.2999999999999998</v>
      </c>
      <c r="K825" s="57">
        <f t="shared" si="62"/>
        <v>9.1287000000000007E-2</v>
      </c>
      <c r="L825" s="310">
        <f t="shared" si="63"/>
        <v>0.12429629629629631</v>
      </c>
      <c r="M825" s="405">
        <f t="shared" si="64"/>
        <v>13.881318999220159</v>
      </c>
      <c r="N825" s="63">
        <f t="shared" si="65"/>
        <v>1.9500078488435098</v>
      </c>
    </row>
    <row r="826" spans="1:14" ht="18" x14ac:dyDescent="0.25">
      <c r="A826" s="317" t="s">
        <v>4068</v>
      </c>
      <c r="B826" s="317" t="s">
        <v>1053</v>
      </c>
      <c r="C826" s="317">
        <v>0.77</v>
      </c>
      <c r="D826" s="317">
        <v>4.2300000000000004</v>
      </c>
      <c r="E826" s="318">
        <v>12.91</v>
      </c>
      <c r="F826" s="317">
        <v>1</v>
      </c>
      <c r="G826" s="317">
        <v>0.9</v>
      </c>
      <c r="H826" s="319">
        <v>83.29</v>
      </c>
      <c r="I826" s="320">
        <v>88</v>
      </c>
      <c r="J826" s="320">
        <v>2</v>
      </c>
      <c r="K826" s="57">
        <f t="shared" si="62"/>
        <v>7.7110999999999999E-2</v>
      </c>
      <c r="L826" s="310">
        <f t="shared" si="63"/>
        <v>0.12909999999999999</v>
      </c>
      <c r="M826" s="405">
        <f t="shared" si="64"/>
        <v>126.32412577638752</v>
      </c>
      <c r="N826" s="63">
        <f t="shared" si="65"/>
        <v>-0.34066434667091472</v>
      </c>
    </row>
    <row r="827" spans="1:14" ht="18" x14ac:dyDescent="0.25">
      <c r="A827" s="317" t="s">
        <v>1054</v>
      </c>
      <c r="B827" s="317" t="s">
        <v>1055</v>
      </c>
      <c r="C827" s="317">
        <v>1.33</v>
      </c>
      <c r="D827" s="317">
        <v>2.35</v>
      </c>
      <c r="E827" s="318">
        <v>14.81</v>
      </c>
      <c r="F827" s="317">
        <v>1.43</v>
      </c>
      <c r="G827" s="317">
        <v>1.4</v>
      </c>
      <c r="H827" s="319">
        <v>38.200000000000003</v>
      </c>
      <c r="I827" s="320">
        <v>43</v>
      </c>
      <c r="J827" s="320">
        <v>2.4</v>
      </c>
      <c r="K827" s="57">
        <f t="shared" si="62"/>
        <v>0.10191900000000001</v>
      </c>
      <c r="L827" s="310">
        <f t="shared" si="63"/>
        <v>0.10356643356643357</v>
      </c>
      <c r="M827" s="405">
        <f t="shared" si="64"/>
        <v>36.846466680986737</v>
      </c>
      <c r="N827" s="63">
        <f t="shared" si="65"/>
        <v>3.6734412847018172E-2</v>
      </c>
    </row>
    <row r="828" spans="1:14" ht="18" x14ac:dyDescent="0.25">
      <c r="A828" s="317" t="s">
        <v>2374</v>
      </c>
      <c r="B828" s="317" t="s">
        <v>2559</v>
      </c>
      <c r="C828" s="317">
        <v>1.26</v>
      </c>
      <c r="D828" s="317">
        <v>1.57</v>
      </c>
      <c r="E828" s="318">
        <v>24.14</v>
      </c>
      <c r="F828" s="317">
        <v>1.49</v>
      </c>
      <c r="G828" s="317">
        <v>0</v>
      </c>
      <c r="H828" s="319">
        <v>50.45</v>
      </c>
      <c r="I828" s="320">
        <v>58</v>
      </c>
      <c r="J828" s="320">
        <v>1.6</v>
      </c>
      <c r="K828" s="57">
        <f t="shared" si="62"/>
        <v>9.8818000000000003E-2</v>
      </c>
      <c r="L828" s="310">
        <f t="shared" si="63"/>
        <v>0.16201342281879197</v>
      </c>
      <c r="M828" s="405">
        <f t="shared" si="64"/>
        <v>41.861784081513939</v>
      </c>
      <c r="N828" s="63">
        <f t="shared" si="65"/>
        <v>0.20515647163443756</v>
      </c>
    </row>
    <row r="829" spans="1:14" ht="18" x14ac:dyDescent="0.25">
      <c r="A829" s="317" t="s">
        <v>2560</v>
      </c>
      <c r="B829" s="317" t="s">
        <v>2561</v>
      </c>
      <c r="C829" s="317">
        <v>1.66</v>
      </c>
      <c r="D829" s="317">
        <v>0.44</v>
      </c>
      <c r="E829" s="318">
        <v>16.79</v>
      </c>
      <c r="F829" s="317">
        <v>1.67</v>
      </c>
      <c r="G829" s="317">
        <v>3.1</v>
      </c>
      <c r="H829" s="319">
        <v>10.41</v>
      </c>
      <c r="I829" s="320">
        <v>15.5</v>
      </c>
      <c r="J829" s="320">
        <v>1</v>
      </c>
      <c r="K829" s="57">
        <f t="shared" si="62"/>
        <v>0.116538</v>
      </c>
      <c r="L829" s="310">
        <f t="shared" si="63"/>
        <v>0.10053892215568862</v>
      </c>
      <c r="M829" s="405">
        <f t="shared" si="64"/>
        <v>1.924821074540608</v>
      </c>
      <c r="N829" s="63">
        <f t="shared" si="65"/>
        <v>4.4082948995581459</v>
      </c>
    </row>
    <row r="830" spans="1:14" ht="18" x14ac:dyDescent="0.25">
      <c r="A830" s="317" t="s">
        <v>2562</v>
      </c>
      <c r="B830" s="317" t="s">
        <v>2563</v>
      </c>
      <c r="C830" s="317">
        <v>1.07</v>
      </c>
      <c r="D830" s="317">
        <v>4.26</v>
      </c>
      <c r="E830" s="318">
        <v>14.61</v>
      </c>
      <c r="F830" s="317">
        <v>1.1100000000000001</v>
      </c>
      <c r="G830" s="317">
        <v>0</v>
      </c>
      <c r="H830" s="319">
        <v>72.78</v>
      </c>
      <c r="I830" s="320">
        <v>73.25</v>
      </c>
      <c r="J830" s="320">
        <v>1.6</v>
      </c>
      <c r="K830" s="57">
        <f t="shared" si="62"/>
        <v>9.0401000000000009E-2</v>
      </c>
      <c r="L830" s="310">
        <f t="shared" si="63"/>
        <v>0.13162162162162161</v>
      </c>
      <c r="M830" s="405">
        <f t="shared" si="64"/>
        <v>117.24336252797424</v>
      </c>
      <c r="N830" s="63">
        <f t="shared" si="65"/>
        <v>-0.37923991234356907</v>
      </c>
    </row>
    <row r="831" spans="1:14" ht="18" x14ac:dyDescent="0.25">
      <c r="A831" s="317" t="s">
        <v>4277</v>
      </c>
      <c r="B831" s="317" t="s">
        <v>4278</v>
      </c>
      <c r="C831" s="317">
        <v>1.56</v>
      </c>
      <c r="D831" s="317">
        <v>0.51</v>
      </c>
      <c r="E831" s="318">
        <v>13.65</v>
      </c>
      <c r="F831" s="317">
        <v>2.52</v>
      </c>
      <c r="G831" s="317">
        <v>0</v>
      </c>
      <c r="H831" s="319">
        <v>9.01</v>
      </c>
      <c r="I831" s="320">
        <v>13</v>
      </c>
      <c r="J831" s="320">
        <v>2.2999999999999998</v>
      </c>
      <c r="K831" s="57">
        <f t="shared" si="62"/>
        <v>0.11210800000000001</v>
      </c>
      <c r="L831" s="310">
        <f t="shared" si="63"/>
        <v>5.4166666666666669E-2</v>
      </c>
      <c r="M831" s="405">
        <f t="shared" si="64"/>
        <v>7.4258149534797191</v>
      </c>
      <c r="N831" s="63">
        <f t="shared" si="65"/>
        <v>0.21333484020874172</v>
      </c>
    </row>
    <row r="832" spans="1:14" ht="18" x14ac:dyDescent="0.25">
      <c r="A832" s="317" t="s">
        <v>1056</v>
      </c>
      <c r="B832" s="317" t="s">
        <v>1057</v>
      </c>
      <c r="C832" s="317">
        <v>1.67</v>
      </c>
      <c r="D832" s="317">
        <v>2.85</v>
      </c>
      <c r="E832" s="318">
        <v>12.27</v>
      </c>
      <c r="F832" s="317">
        <v>0.95</v>
      </c>
      <c r="G832" s="317">
        <v>3.1</v>
      </c>
      <c r="H832" s="319">
        <v>33.14</v>
      </c>
      <c r="I832" s="320">
        <v>37</v>
      </c>
      <c r="J832" s="320">
        <v>2.6</v>
      </c>
      <c r="K832" s="57">
        <f t="shared" si="62"/>
        <v>0.116981</v>
      </c>
      <c r="L832" s="310">
        <f t="shared" si="63"/>
        <v>0.12915789473684211</v>
      </c>
      <c r="M832" s="405">
        <f t="shared" si="64"/>
        <v>33.075301010918423</v>
      </c>
      <c r="N832" s="63">
        <f t="shared" si="65"/>
        <v>1.9561118751487642E-3</v>
      </c>
    </row>
    <row r="833" spans="1:14" ht="18" x14ac:dyDescent="0.25">
      <c r="A833" s="317" t="s">
        <v>2564</v>
      </c>
      <c r="B833" s="317" t="s">
        <v>2565</v>
      </c>
      <c r="C833" s="317">
        <v>1.49</v>
      </c>
      <c r="D833" s="317">
        <v>0.85</v>
      </c>
      <c r="E833" s="318">
        <v>13.04</v>
      </c>
      <c r="F833" s="317">
        <v>0.87</v>
      </c>
      <c r="G833" s="317">
        <v>0</v>
      </c>
      <c r="H833" s="319">
        <v>21.64</v>
      </c>
      <c r="I833" s="320">
        <v>30</v>
      </c>
      <c r="J833" s="320">
        <v>1.6</v>
      </c>
      <c r="K833" s="57">
        <f t="shared" si="62"/>
        <v>0.10900700000000001</v>
      </c>
      <c r="L833" s="310">
        <f t="shared" si="63"/>
        <v>0.14988505747126435</v>
      </c>
      <c r="M833" s="405">
        <f t="shared" si="64"/>
        <v>18.527673321969182</v>
      </c>
      <c r="N833" s="63">
        <f t="shared" si="65"/>
        <v>0.16798259684017519</v>
      </c>
    </row>
    <row r="834" spans="1:14" ht="18" x14ac:dyDescent="0.25">
      <c r="A834" s="317" t="s">
        <v>2566</v>
      </c>
      <c r="B834" s="317" t="s">
        <v>2567</v>
      </c>
      <c r="C834" s="317">
        <v>1.42</v>
      </c>
      <c r="D834" s="317">
        <v>-0.05</v>
      </c>
      <c r="E834" s="318">
        <v>20.27</v>
      </c>
      <c r="F834" s="317">
        <v>0.95</v>
      </c>
      <c r="G834" s="317">
        <v>0</v>
      </c>
      <c r="H834" s="319">
        <v>21.49</v>
      </c>
      <c r="I834" s="320">
        <v>25</v>
      </c>
      <c r="J834" s="320">
        <v>2.1</v>
      </c>
      <c r="K834" s="57">
        <f t="shared" si="62"/>
        <v>0.105906</v>
      </c>
      <c r="L834" s="310">
        <f t="shared" si="63"/>
        <v>0.2133684210526316</v>
      </c>
      <c r="M834" s="405">
        <f t="shared" si="64"/>
        <v>-1.440717284249299</v>
      </c>
      <c r="N834" s="63">
        <f t="shared" si="65"/>
        <v>-15.916181151527997</v>
      </c>
    </row>
    <row r="835" spans="1:14" ht="18" x14ac:dyDescent="0.25">
      <c r="A835" s="317" t="s">
        <v>4975</v>
      </c>
      <c r="B835" s="317"/>
      <c r="C835" s="317">
        <v>0.96</v>
      </c>
      <c r="D835" s="317">
        <v>3</v>
      </c>
      <c r="E835" s="318">
        <v>11.79</v>
      </c>
      <c r="F835" s="317">
        <v>1.5</v>
      </c>
      <c r="G835" s="317">
        <v>2.2000000000000002</v>
      </c>
      <c r="H835" s="319">
        <v>42.69</v>
      </c>
      <c r="I835" s="320">
        <v>43</v>
      </c>
      <c r="J835" s="320">
        <v>2.5</v>
      </c>
      <c r="K835" s="57">
        <f t="shared" si="62"/>
        <v>8.5527999999999993E-2</v>
      </c>
      <c r="L835" s="310">
        <f t="shared" si="63"/>
        <v>7.8599999999999989E-2</v>
      </c>
      <c r="M835" s="405">
        <f t="shared" si="64"/>
        <v>50.471663274093494</v>
      </c>
      <c r="N835" s="63">
        <f t="shared" si="65"/>
        <v>-0.1541788554071237</v>
      </c>
    </row>
    <row r="836" spans="1:14" ht="18" x14ac:dyDescent="0.25">
      <c r="A836" s="317" t="s">
        <v>2568</v>
      </c>
      <c r="B836" s="317" t="s">
        <v>2569</v>
      </c>
      <c r="C836" s="317">
        <v>1.1299999999999999</v>
      </c>
      <c r="D836" s="317">
        <v>1.27</v>
      </c>
      <c r="E836" s="318">
        <v>15.52</v>
      </c>
      <c r="F836" s="317">
        <v>2.5099999999999998</v>
      </c>
      <c r="G836" s="317">
        <v>2.7</v>
      </c>
      <c r="H836" s="319">
        <v>23.12</v>
      </c>
      <c r="I836" s="320">
        <v>23.75</v>
      </c>
      <c r="J836" s="320">
        <v>2.4</v>
      </c>
      <c r="K836" s="57">
        <f t="shared" si="62"/>
        <v>9.3059000000000003E-2</v>
      </c>
      <c r="L836" s="310">
        <f t="shared" si="63"/>
        <v>6.1832669322709172E-2</v>
      </c>
      <c r="M836" s="405">
        <f t="shared" si="64"/>
        <v>12.840117247861453</v>
      </c>
      <c r="N836" s="63">
        <f t="shared" si="65"/>
        <v>0.80060661080417173</v>
      </c>
    </row>
    <row r="837" spans="1:14" ht="18" x14ac:dyDescent="0.25">
      <c r="A837" s="317" t="s">
        <v>3798</v>
      </c>
      <c r="B837" s="317" t="s">
        <v>1091</v>
      </c>
      <c r="C837" s="317">
        <v>1.74</v>
      </c>
      <c r="D837" s="317">
        <v>0.28999999999999998</v>
      </c>
      <c r="E837" s="318">
        <v>9.2799999999999994</v>
      </c>
      <c r="F837" s="317">
        <v>1.02</v>
      </c>
      <c r="G837" s="317">
        <v>0</v>
      </c>
      <c r="H837" s="319">
        <v>6.03</v>
      </c>
      <c r="I837" s="320">
        <v>8.75</v>
      </c>
      <c r="J837" s="320">
        <v>1.3</v>
      </c>
      <c r="K837" s="57">
        <f t="shared" ref="K837:K900" si="66">$P$14+C837*($Q$15-$P$14)</f>
        <v>0.12008200000000001</v>
      </c>
      <c r="L837" s="310">
        <f t="shared" ref="L837:L900" si="67">E837/F837/100</f>
        <v>9.0980392156862738E-2</v>
      </c>
      <c r="M837" s="405">
        <f t="shared" ref="M837:M900" si="68">(D837-G837*H837/100)+(D837-G837*H837/100)*(1+L837)/(1+K837)+(D837-G837*H837/100)*(1+L837)^2/(1+K837)^2+(D837-G837*H837/100)*(1+L837)^3/(1+K837)^3+(D837-G837*H837/100)*(1+L837)^4/(1+K837)^4+((D837-G837*H837/100)*(1+L837)^5/(K837-$T$22-$T$19))/((1+K837)^5)</f>
        <v>4.4002290856814632</v>
      </c>
      <c r="N837" s="63">
        <f t="shared" ref="N837:N900" si="69">(H837-M837)/M837</f>
        <v>0.37038319655262553</v>
      </c>
    </row>
    <row r="838" spans="1:14" ht="18" x14ac:dyDescent="0.25">
      <c r="A838" s="317" t="s">
        <v>2698</v>
      </c>
      <c r="B838" s="317" t="s">
        <v>2699</v>
      </c>
      <c r="C838" s="317">
        <v>2.46</v>
      </c>
      <c r="D838" s="317">
        <v>1.58</v>
      </c>
      <c r="E838" s="318">
        <v>16.47</v>
      </c>
      <c r="F838" s="317">
        <v>1.27</v>
      </c>
      <c r="G838" s="317">
        <v>0</v>
      </c>
      <c r="H838" s="319">
        <v>34.25</v>
      </c>
      <c r="I838" s="320">
        <v>35</v>
      </c>
      <c r="J838" s="320">
        <v>1.7</v>
      </c>
      <c r="K838" s="57">
        <f t="shared" si="66"/>
        <v>0.151978</v>
      </c>
      <c r="L838" s="310">
        <f t="shared" si="67"/>
        <v>0.12968503937007872</v>
      </c>
      <c r="M838" s="405">
        <f t="shared" si="68"/>
        <v>19.955233237075959</v>
      </c>
      <c r="N838" s="63">
        <f t="shared" si="69"/>
        <v>0.71634175321814753</v>
      </c>
    </row>
    <row r="839" spans="1:14" ht="18" x14ac:dyDescent="0.25">
      <c r="A839" s="317" t="s">
        <v>789</v>
      </c>
      <c r="B839" s="317" t="s">
        <v>790</v>
      </c>
      <c r="C839" s="317">
        <v>2.11</v>
      </c>
      <c r="D839" s="317">
        <v>1.35</v>
      </c>
      <c r="E839" s="318">
        <v>9.39</v>
      </c>
      <c r="F839" s="317">
        <v>0.67</v>
      </c>
      <c r="G839" s="317">
        <v>0</v>
      </c>
      <c r="H839" s="319">
        <v>19.62</v>
      </c>
      <c r="I839" s="320">
        <v>30</v>
      </c>
      <c r="J839" s="320">
        <v>1.5</v>
      </c>
      <c r="K839" s="57">
        <f t="shared" si="66"/>
        <v>0.13647300000000001</v>
      </c>
      <c r="L839" s="310">
        <f t="shared" si="67"/>
        <v>0.14014925373134329</v>
      </c>
      <c r="M839" s="405">
        <f t="shared" si="68"/>
        <v>20.448987855287719</v>
      </c>
      <c r="N839" s="63">
        <f t="shared" si="69"/>
        <v>-4.0539309874613537E-2</v>
      </c>
    </row>
    <row r="840" spans="1:14" ht="18" x14ac:dyDescent="0.25">
      <c r="A840" s="317" t="s">
        <v>1058</v>
      </c>
      <c r="B840" s="317" t="s">
        <v>1059</v>
      </c>
      <c r="C840" s="317">
        <v>2.1</v>
      </c>
      <c r="D840" s="317">
        <v>-1.71</v>
      </c>
      <c r="E840" s="318">
        <v>11.42</v>
      </c>
      <c r="F840" s="317">
        <v>1.7</v>
      </c>
      <c r="G840" s="317">
        <v>0.4</v>
      </c>
      <c r="H840" s="319">
        <v>62.8</v>
      </c>
      <c r="I840" s="320">
        <v>63</v>
      </c>
      <c r="J840" s="320">
        <v>2.9</v>
      </c>
      <c r="K840" s="57">
        <f t="shared" si="66"/>
        <v>0.13603000000000001</v>
      </c>
      <c r="L840" s="310">
        <f t="shared" si="67"/>
        <v>6.7176470588235296E-2</v>
      </c>
      <c r="M840" s="405">
        <f t="shared" si="68"/>
        <v>-23.029690670391382</v>
      </c>
      <c r="N840" s="63">
        <f t="shared" si="69"/>
        <v>-3.7269146120464476</v>
      </c>
    </row>
    <row r="841" spans="1:14" ht="18" x14ac:dyDescent="0.25">
      <c r="A841" s="317" t="s">
        <v>2570</v>
      </c>
      <c r="B841" s="317" t="s">
        <v>199</v>
      </c>
      <c r="C841" s="317">
        <v>1.45</v>
      </c>
      <c r="D841" s="317">
        <v>0.68</v>
      </c>
      <c r="E841" s="318">
        <v>21.67</v>
      </c>
      <c r="F841" s="317">
        <v>2.64</v>
      </c>
      <c r="G841" s="317">
        <v>2.2999999999999998</v>
      </c>
      <c r="H841" s="319">
        <v>11.92</v>
      </c>
      <c r="I841" s="320">
        <v>14</v>
      </c>
      <c r="J841" s="320">
        <v>1</v>
      </c>
      <c r="K841" s="57">
        <f t="shared" si="66"/>
        <v>0.107235</v>
      </c>
      <c r="L841" s="310">
        <f t="shared" si="67"/>
        <v>8.2083333333333341E-2</v>
      </c>
      <c r="M841" s="405">
        <f t="shared" si="68"/>
        <v>7.0179372916801297</v>
      </c>
      <c r="N841" s="63">
        <f t="shared" si="69"/>
        <v>0.69850477491888385</v>
      </c>
    </row>
    <row r="842" spans="1:14" ht="18" x14ac:dyDescent="0.25">
      <c r="A842" s="317" t="s">
        <v>2891</v>
      </c>
      <c r="B842" s="317"/>
      <c r="C842" s="317">
        <v>1.61</v>
      </c>
      <c r="D842" s="317">
        <v>1.27</v>
      </c>
      <c r="E842" s="318">
        <v>41.79</v>
      </c>
      <c r="F842" s="317">
        <v>1.61</v>
      </c>
      <c r="G842" s="317">
        <v>0.4</v>
      </c>
      <c r="H842" s="319">
        <v>89.02</v>
      </c>
      <c r="I842" s="320">
        <v>78</v>
      </c>
      <c r="J842" s="320">
        <v>2.4</v>
      </c>
      <c r="K842" s="57">
        <f t="shared" si="66"/>
        <v>0.11432300000000001</v>
      </c>
      <c r="L842" s="310">
        <f t="shared" si="67"/>
        <v>0.25956521739130434</v>
      </c>
      <c r="M842" s="405">
        <f t="shared" si="68"/>
        <v>27.457584679896964</v>
      </c>
      <c r="N842" s="63">
        <f t="shared" si="69"/>
        <v>2.2420914307577777</v>
      </c>
    </row>
    <row r="843" spans="1:14" ht="18" x14ac:dyDescent="0.25">
      <c r="A843" s="317" t="s">
        <v>200</v>
      </c>
      <c r="B843" s="317" t="s">
        <v>201</v>
      </c>
      <c r="C843" s="317">
        <v>1.93</v>
      </c>
      <c r="D843" s="317">
        <v>3</v>
      </c>
      <c r="E843" s="318">
        <v>7.83</v>
      </c>
      <c r="F843" s="317">
        <v>0.68</v>
      </c>
      <c r="G843" s="317">
        <v>1.6</v>
      </c>
      <c r="H843" s="319">
        <v>45.27</v>
      </c>
      <c r="I843" s="320">
        <v>56</v>
      </c>
      <c r="J843" s="320">
        <v>1.7</v>
      </c>
      <c r="K843" s="57">
        <f t="shared" si="66"/>
        <v>0.128499</v>
      </c>
      <c r="L843" s="310">
        <f t="shared" si="67"/>
        <v>0.11514705882352941</v>
      </c>
      <c r="M843" s="405">
        <f t="shared" si="68"/>
        <v>34.293147462032749</v>
      </c>
      <c r="N843" s="63">
        <f t="shared" si="69"/>
        <v>0.32008880345906265</v>
      </c>
    </row>
    <row r="844" spans="1:14" ht="18" x14ac:dyDescent="0.25">
      <c r="A844" s="317" t="s">
        <v>596</v>
      </c>
      <c r="B844" s="317" t="s">
        <v>597</v>
      </c>
      <c r="C844" s="317">
        <v>1.45</v>
      </c>
      <c r="D844" s="317">
        <v>3.98</v>
      </c>
      <c r="E844" s="318">
        <v>13.44</v>
      </c>
      <c r="F844" s="317">
        <v>1.4</v>
      </c>
      <c r="G844" s="317">
        <v>0.6</v>
      </c>
      <c r="H844" s="319">
        <v>70.17</v>
      </c>
      <c r="I844" s="320">
        <v>93.5</v>
      </c>
      <c r="J844" s="320">
        <v>1.7</v>
      </c>
      <c r="K844" s="57">
        <f t="shared" si="66"/>
        <v>0.107235</v>
      </c>
      <c r="L844" s="310">
        <f t="shared" si="67"/>
        <v>9.6000000000000002E-2</v>
      </c>
      <c r="M844" s="405">
        <f t="shared" si="68"/>
        <v>64.914703209421276</v>
      </c>
      <c r="N844" s="63">
        <f t="shared" si="69"/>
        <v>8.0956956294240712E-2</v>
      </c>
    </row>
    <row r="845" spans="1:14" ht="18" x14ac:dyDescent="0.25">
      <c r="A845" s="317" t="s">
        <v>277</v>
      </c>
      <c r="B845" s="317" t="s">
        <v>278</v>
      </c>
      <c r="C845" s="317"/>
      <c r="D845" s="317"/>
      <c r="E845" s="318"/>
      <c r="F845" s="317"/>
      <c r="G845" s="317"/>
      <c r="H845" s="319"/>
      <c r="I845" s="320"/>
      <c r="J845" s="320"/>
      <c r="K845" s="57">
        <f t="shared" si="66"/>
        <v>4.2999999999999997E-2</v>
      </c>
      <c r="L845" s="310" t="e">
        <f t="shared" si="67"/>
        <v>#DIV/0!</v>
      </c>
      <c r="M845" s="405" t="e">
        <f t="shared" si="68"/>
        <v>#DIV/0!</v>
      </c>
      <c r="N845" s="63" t="e">
        <f t="shared" si="69"/>
        <v>#DIV/0!</v>
      </c>
    </row>
    <row r="846" spans="1:14" ht="18" x14ac:dyDescent="0.25">
      <c r="A846" s="317" t="s">
        <v>598</v>
      </c>
      <c r="B846" s="317" t="s">
        <v>599</v>
      </c>
      <c r="C846" s="317">
        <v>1.86</v>
      </c>
      <c r="D846" s="317">
        <v>10.210000000000001</v>
      </c>
      <c r="E846" s="318">
        <v>11.83</v>
      </c>
      <c r="F846" s="317">
        <v>1.1299999999999999</v>
      </c>
      <c r="G846" s="317">
        <v>1.9</v>
      </c>
      <c r="H846" s="319">
        <v>22.47</v>
      </c>
      <c r="I846" s="320">
        <v>25</v>
      </c>
      <c r="J846" s="320">
        <v>2.5</v>
      </c>
      <c r="K846" s="57">
        <f t="shared" si="66"/>
        <v>0.12539800000000001</v>
      </c>
      <c r="L846" s="310">
        <f t="shared" si="67"/>
        <v>0.10469026548672568</v>
      </c>
      <c r="M846" s="405">
        <f t="shared" si="68"/>
        <v>146.87655120519102</v>
      </c>
      <c r="N846" s="63">
        <f t="shared" si="69"/>
        <v>-0.84701438169930388</v>
      </c>
    </row>
    <row r="847" spans="1:14" ht="18" x14ac:dyDescent="0.25">
      <c r="A847" s="317" t="s">
        <v>600</v>
      </c>
      <c r="B847" s="317" t="s">
        <v>601</v>
      </c>
      <c r="C847" s="317">
        <v>1.39</v>
      </c>
      <c r="D847" s="317">
        <v>7.51</v>
      </c>
      <c r="E847" s="318">
        <v>8.92</v>
      </c>
      <c r="F847" s="317">
        <v>0.39</v>
      </c>
      <c r="G847" s="317">
        <v>0</v>
      </c>
      <c r="H847" s="319">
        <v>39.869999999999997</v>
      </c>
      <c r="I847" s="320">
        <v>50</v>
      </c>
      <c r="J847" s="320">
        <v>2</v>
      </c>
      <c r="K847" s="57">
        <f t="shared" si="66"/>
        <v>0.104577</v>
      </c>
      <c r="L847" s="310">
        <f t="shared" si="67"/>
        <v>0.22871794871794873</v>
      </c>
      <c r="M847" s="405">
        <f t="shared" si="68"/>
        <v>233.52074942461766</v>
      </c>
      <c r="N847" s="63">
        <f t="shared" si="69"/>
        <v>-0.82926570723056725</v>
      </c>
    </row>
    <row r="848" spans="1:14" ht="18" x14ac:dyDescent="0.25">
      <c r="A848" s="317" t="s">
        <v>279</v>
      </c>
      <c r="B848" s="317" t="s">
        <v>280</v>
      </c>
      <c r="C848" s="317">
        <v>0.72</v>
      </c>
      <c r="D848" s="317">
        <v>1.84</v>
      </c>
      <c r="E848" s="318">
        <v>28.42</v>
      </c>
      <c r="F848" s="317">
        <v>0</v>
      </c>
      <c r="G848" s="317">
        <v>0</v>
      </c>
      <c r="H848" s="319">
        <v>24.15</v>
      </c>
      <c r="I848" s="320">
        <v>23.5</v>
      </c>
      <c r="J848" s="320">
        <v>2.2999999999999998</v>
      </c>
      <c r="K848" s="57">
        <f t="shared" si="66"/>
        <v>7.489599999999999E-2</v>
      </c>
      <c r="L848" s="310" t="e">
        <f t="shared" si="67"/>
        <v>#DIV/0!</v>
      </c>
      <c r="M848" s="405" t="e">
        <f t="shared" si="68"/>
        <v>#DIV/0!</v>
      </c>
      <c r="N848" s="63" t="e">
        <f t="shared" si="69"/>
        <v>#DIV/0!</v>
      </c>
    </row>
    <row r="849" spans="1:14" ht="18" x14ac:dyDescent="0.25">
      <c r="A849" s="317" t="s">
        <v>602</v>
      </c>
      <c r="B849" s="317" t="s">
        <v>603</v>
      </c>
      <c r="C849" s="317">
        <v>1.0900000000000001</v>
      </c>
      <c r="D849" s="317">
        <v>4.2300000000000004</v>
      </c>
      <c r="E849" s="318">
        <v>13.02</v>
      </c>
      <c r="F849" s="317">
        <v>1.1399999999999999</v>
      </c>
      <c r="G849" s="317">
        <v>2.1</v>
      </c>
      <c r="H849" s="319">
        <v>72.67</v>
      </c>
      <c r="I849" s="320">
        <v>81</v>
      </c>
      <c r="J849" s="320">
        <v>2</v>
      </c>
      <c r="K849" s="57">
        <f t="shared" si="66"/>
        <v>9.1287000000000007E-2</v>
      </c>
      <c r="L849" s="310">
        <f t="shared" si="67"/>
        <v>0.11421052631578948</v>
      </c>
      <c r="M849" s="405">
        <f t="shared" si="68"/>
        <v>68.363942215739257</v>
      </c>
      <c r="N849" s="63">
        <f t="shared" si="69"/>
        <v>6.298726557739924E-2</v>
      </c>
    </row>
    <row r="850" spans="1:14" ht="18" x14ac:dyDescent="0.25">
      <c r="A850" s="317" t="s">
        <v>281</v>
      </c>
      <c r="B850" s="317" t="s">
        <v>282</v>
      </c>
      <c r="C850" s="317">
        <v>1.1200000000000001</v>
      </c>
      <c r="D850" s="317">
        <v>1.27</v>
      </c>
      <c r="E850" s="318">
        <v>19.71</v>
      </c>
      <c r="F850" s="317">
        <v>2.1</v>
      </c>
      <c r="G850" s="317">
        <v>1.7</v>
      </c>
      <c r="H850" s="319">
        <v>24.25</v>
      </c>
      <c r="I850" s="320">
        <v>25</v>
      </c>
      <c r="J850" s="320">
        <v>3.1</v>
      </c>
      <c r="K850" s="57">
        <f t="shared" si="66"/>
        <v>9.2616000000000004E-2</v>
      </c>
      <c r="L850" s="310">
        <f t="shared" si="67"/>
        <v>9.3857142857142861E-2</v>
      </c>
      <c r="M850" s="405">
        <f t="shared" si="68"/>
        <v>19.535060141614228</v>
      </c>
      <c r="N850" s="63">
        <f t="shared" si="69"/>
        <v>0.24135783684340201</v>
      </c>
    </row>
    <row r="851" spans="1:14" ht="18" x14ac:dyDescent="0.25">
      <c r="A851" s="317" t="s">
        <v>3315</v>
      </c>
      <c r="B851" s="317" t="s">
        <v>3316</v>
      </c>
      <c r="C851" s="317">
        <v>1.36</v>
      </c>
      <c r="D851" s="317">
        <v>1.63</v>
      </c>
      <c r="E851" s="318">
        <v>23.36</v>
      </c>
      <c r="F851" s="317">
        <v>1.33</v>
      </c>
      <c r="G851" s="317">
        <v>0</v>
      </c>
      <c r="H851" s="319">
        <v>52.56</v>
      </c>
      <c r="I851" s="320">
        <v>60</v>
      </c>
      <c r="J851" s="320">
        <v>2.4</v>
      </c>
      <c r="K851" s="57">
        <f t="shared" si="66"/>
        <v>0.10324800000000001</v>
      </c>
      <c r="L851" s="310">
        <f t="shared" si="67"/>
        <v>0.17563909774436087</v>
      </c>
      <c r="M851" s="405">
        <f t="shared" si="68"/>
        <v>42.597300618575332</v>
      </c>
      <c r="N851" s="63">
        <f t="shared" si="69"/>
        <v>0.23388100271030443</v>
      </c>
    </row>
    <row r="852" spans="1:14" ht="18" x14ac:dyDescent="0.25">
      <c r="A852" s="317" t="s">
        <v>604</v>
      </c>
      <c r="B852" s="317" t="s">
        <v>605</v>
      </c>
      <c r="C852" s="317">
        <v>0.98</v>
      </c>
      <c r="D852" s="317">
        <v>2.66</v>
      </c>
      <c r="E852" s="318">
        <v>12.48</v>
      </c>
      <c r="F852" s="317">
        <v>0.86</v>
      </c>
      <c r="G852" s="317">
        <v>0</v>
      </c>
      <c r="H852" s="319">
        <v>46.91</v>
      </c>
      <c r="I852" s="320">
        <v>54</v>
      </c>
      <c r="J852" s="320">
        <v>1.8</v>
      </c>
      <c r="K852" s="57">
        <f t="shared" si="66"/>
        <v>8.6414000000000005E-2</v>
      </c>
      <c r="L852" s="310">
        <f t="shared" si="67"/>
        <v>0.14511627906976746</v>
      </c>
      <c r="M852" s="405">
        <f t="shared" si="68"/>
        <v>83.460914434328345</v>
      </c>
      <c r="N852" s="63">
        <f t="shared" si="69"/>
        <v>-0.43794049804101565</v>
      </c>
    </row>
    <row r="853" spans="1:14" ht="18" x14ac:dyDescent="0.25">
      <c r="A853" s="317" t="s">
        <v>3317</v>
      </c>
      <c r="B853" s="317" t="s">
        <v>3318</v>
      </c>
      <c r="C853" s="317">
        <v>0.74</v>
      </c>
      <c r="D853" s="317">
        <v>2.74</v>
      </c>
      <c r="E853" s="318">
        <v>13.7</v>
      </c>
      <c r="F853" s="317">
        <v>3</v>
      </c>
      <c r="G853" s="317">
        <v>2.2000000000000002</v>
      </c>
      <c r="H853" s="319">
        <v>49.03</v>
      </c>
      <c r="I853" s="320">
        <v>56</v>
      </c>
      <c r="J853" s="320">
        <v>2.8</v>
      </c>
      <c r="K853" s="57">
        <f t="shared" si="66"/>
        <v>7.5782000000000002E-2</v>
      </c>
      <c r="L853" s="310">
        <f t="shared" si="67"/>
        <v>4.5666666666666661E-2</v>
      </c>
      <c r="M853" s="405">
        <f t="shared" si="68"/>
        <v>44.088512693412042</v>
      </c>
      <c r="N853" s="63">
        <f t="shared" si="69"/>
        <v>0.1120810615896858</v>
      </c>
    </row>
    <row r="854" spans="1:14" ht="18" x14ac:dyDescent="0.25">
      <c r="A854" s="317" t="s">
        <v>404</v>
      </c>
      <c r="B854" s="317" t="s">
        <v>3424</v>
      </c>
      <c r="C854" s="317">
        <v>2.4900000000000002</v>
      </c>
      <c r="D854" s="317">
        <v>0.13</v>
      </c>
      <c r="E854" s="318">
        <v>13</v>
      </c>
      <c r="F854" s="317">
        <v>0</v>
      </c>
      <c r="G854" s="317">
        <v>0</v>
      </c>
      <c r="H854" s="319">
        <v>1.56</v>
      </c>
      <c r="I854" s="320">
        <v>2.4</v>
      </c>
      <c r="J854" s="320">
        <v>1</v>
      </c>
      <c r="K854" s="57">
        <f t="shared" si="66"/>
        <v>0.15330700000000003</v>
      </c>
      <c r="L854" s="310" t="e">
        <f t="shared" si="67"/>
        <v>#DIV/0!</v>
      </c>
      <c r="M854" s="405" t="e">
        <f t="shared" si="68"/>
        <v>#DIV/0!</v>
      </c>
      <c r="N854" s="63" t="e">
        <f t="shared" si="69"/>
        <v>#DIV/0!</v>
      </c>
    </row>
    <row r="855" spans="1:14" ht="18" x14ac:dyDescent="0.25">
      <c r="A855" s="317" t="s">
        <v>3319</v>
      </c>
      <c r="B855" s="317" t="s">
        <v>3320</v>
      </c>
      <c r="C855" s="317">
        <v>0.45</v>
      </c>
      <c r="D855" s="317">
        <v>2.19</v>
      </c>
      <c r="E855" s="318">
        <v>14.44</v>
      </c>
      <c r="F855" s="317">
        <v>2.0099999999999998</v>
      </c>
      <c r="G855" s="317">
        <v>3.1</v>
      </c>
      <c r="H855" s="319">
        <v>35.53</v>
      </c>
      <c r="I855" s="320">
        <v>35</v>
      </c>
      <c r="J855" s="320">
        <v>2.4</v>
      </c>
      <c r="K855" s="57">
        <f t="shared" si="66"/>
        <v>6.2935000000000005E-2</v>
      </c>
      <c r="L855" s="310">
        <f t="shared" si="67"/>
        <v>7.184079601990051E-2</v>
      </c>
      <c r="M855" s="405">
        <f t="shared" si="68"/>
        <v>47.671206694360272</v>
      </c>
      <c r="N855" s="63">
        <f t="shared" si="69"/>
        <v>-0.25468637226245489</v>
      </c>
    </row>
    <row r="856" spans="1:14" ht="18" x14ac:dyDescent="0.25">
      <c r="A856" s="317" t="s">
        <v>3321</v>
      </c>
      <c r="B856" s="317" t="s">
        <v>3322</v>
      </c>
      <c r="C856" s="317">
        <v>0.98</v>
      </c>
      <c r="D856" s="317">
        <v>0.42</v>
      </c>
      <c r="E856" s="318">
        <v>11.58</v>
      </c>
      <c r="F856" s="317">
        <v>1.06</v>
      </c>
      <c r="G856" s="317">
        <v>3.1</v>
      </c>
      <c r="H856" s="319">
        <v>45.4</v>
      </c>
      <c r="I856" s="320">
        <v>52.5</v>
      </c>
      <c r="J856" s="320">
        <v>2.6</v>
      </c>
      <c r="K856" s="57">
        <f t="shared" si="66"/>
        <v>8.6414000000000005E-2</v>
      </c>
      <c r="L856" s="310">
        <f t="shared" si="67"/>
        <v>0.10924528301886792</v>
      </c>
      <c r="M856" s="405">
        <f t="shared" si="68"/>
        <v>-26.881084443004475</v>
      </c>
      <c r="N856" s="63">
        <f t="shared" si="69"/>
        <v>-2.6889199576847758</v>
      </c>
    </row>
    <row r="857" spans="1:14" ht="18" x14ac:dyDescent="0.25">
      <c r="A857" s="317" t="s">
        <v>606</v>
      </c>
      <c r="B857" s="317" t="s">
        <v>607</v>
      </c>
      <c r="C857" s="317">
        <v>1.31</v>
      </c>
      <c r="D857" s="317">
        <v>2.11</v>
      </c>
      <c r="E857" s="318">
        <v>13.63</v>
      </c>
      <c r="F857" s="317">
        <v>1.02</v>
      </c>
      <c r="G857" s="317">
        <v>1.7</v>
      </c>
      <c r="H857" s="319">
        <v>35.86</v>
      </c>
      <c r="I857" s="320">
        <v>37</v>
      </c>
      <c r="J857" s="320">
        <v>1.6</v>
      </c>
      <c r="K857" s="57">
        <f t="shared" si="66"/>
        <v>0.10103300000000001</v>
      </c>
      <c r="L857" s="310">
        <f t="shared" si="67"/>
        <v>0.13362745098039217</v>
      </c>
      <c r="M857" s="405">
        <f t="shared" si="68"/>
        <v>34.653650367200093</v>
      </c>
      <c r="N857" s="63">
        <f t="shared" si="69"/>
        <v>3.4811617824300665E-2</v>
      </c>
    </row>
    <row r="858" spans="1:14" ht="18" x14ac:dyDescent="0.25">
      <c r="A858" s="317" t="s">
        <v>402</v>
      </c>
      <c r="B858" s="317" t="s">
        <v>403</v>
      </c>
      <c r="C858" s="317">
        <v>2.37</v>
      </c>
      <c r="D858" s="317">
        <v>-0.34</v>
      </c>
      <c r="E858" s="318">
        <v>0</v>
      </c>
      <c r="F858" s="317">
        <v>0</v>
      </c>
      <c r="G858" s="317">
        <v>0</v>
      </c>
      <c r="H858" s="319">
        <v>2.34</v>
      </c>
      <c r="I858" s="320">
        <v>4.5</v>
      </c>
      <c r="J858" s="320">
        <v>1.6</v>
      </c>
      <c r="K858" s="57">
        <f t="shared" si="66"/>
        <v>0.14799100000000001</v>
      </c>
      <c r="L858" s="310" t="e">
        <f t="shared" si="67"/>
        <v>#DIV/0!</v>
      </c>
      <c r="M858" s="405" t="e">
        <f t="shared" si="68"/>
        <v>#DIV/0!</v>
      </c>
      <c r="N858" s="63" t="e">
        <f t="shared" si="69"/>
        <v>#DIV/0!</v>
      </c>
    </row>
    <row r="859" spans="1:14" ht="18" x14ac:dyDescent="0.25">
      <c r="A859" s="317" t="s">
        <v>3323</v>
      </c>
      <c r="B859" s="317" t="s">
        <v>3324</v>
      </c>
      <c r="C859" s="317">
        <v>1.54</v>
      </c>
      <c r="D859" s="317">
        <v>0.43</v>
      </c>
      <c r="E859" s="318">
        <v>14.69</v>
      </c>
      <c r="F859" s="317">
        <v>1.08</v>
      </c>
      <c r="G859" s="317">
        <v>0</v>
      </c>
      <c r="H859" s="319">
        <v>18.8</v>
      </c>
      <c r="I859" s="320">
        <v>23</v>
      </c>
      <c r="J859" s="320">
        <v>2.5</v>
      </c>
      <c r="K859" s="57">
        <f t="shared" si="66"/>
        <v>0.111222</v>
      </c>
      <c r="L859" s="310">
        <f t="shared" si="67"/>
        <v>0.13601851851851851</v>
      </c>
      <c r="M859" s="405">
        <f t="shared" si="68"/>
        <v>8.6314360860551371</v>
      </c>
      <c r="N859" s="63">
        <f t="shared" si="69"/>
        <v>1.1780848299824747</v>
      </c>
    </row>
    <row r="860" spans="1:14" ht="18" x14ac:dyDescent="0.25">
      <c r="A860" s="317" t="s">
        <v>3325</v>
      </c>
      <c r="B860" s="317" t="s">
        <v>3326</v>
      </c>
      <c r="C860" s="317">
        <v>1.24</v>
      </c>
      <c r="D860" s="317">
        <v>3.41</v>
      </c>
      <c r="E860" s="318">
        <v>10.32</v>
      </c>
      <c r="F860" s="317">
        <v>0.67</v>
      </c>
      <c r="G860" s="317">
        <v>0</v>
      </c>
      <c r="H860" s="319">
        <v>35.69</v>
      </c>
      <c r="I860" s="320">
        <v>36</v>
      </c>
      <c r="J860" s="320">
        <v>2.6</v>
      </c>
      <c r="K860" s="57">
        <f t="shared" si="66"/>
        <v>9.7932000000000005E-2</v>
      </c>
      <c r="L860" s="310">
        <f t="shared" si="67"/>
        <v>0.15402985074626865</v>
      </c>
      <c r="M860" s="405">
        <f t="shared" si="68"/>
        <v>89.523072020310252</v>
      </c>
      <c r="N860" s="63">
        <f t="shared" si="69"/>
        <v>-0.60133182212622294</v>
      </c>
    </row>
    <row r="861" spans="1:14" ht="18" x14ac:dyDescent="0.25">
      <c r="A861" s="317" t="s">
        <v>1921</v>
      </c>
      <c r="B861" s="317" t="s">
        <v>1922</v>
      </c>
      <c r="C861" s="317">
        <v>0.57999999999999996</v>
      </c>
      <c r="D861" s="317">
        <v>4.18</v>
      </c>
      <c r="E861" s="318">
        <v>10.6</v>
      </c>
      <c r="F861" s="317">
        <v>2.73</v>
      </c>
      <c r="G861" s="317">
        <v>3.4</v>
      </c>
      <c r="H861" s="319">
        <v>59.9</v>
      </c>
      <c r="I861" s="320">
        <v>64.75</v>
      </c>
      <c r="J861" s="320">
        <v>1.3</v>
      </c>
      <c r="K861" s="57">
        <f t="shared" si="66"/>
        <v>6.8694000000000005E-2</v>
      </c>
      <c r="L861" s="310">
        <f t="shared" si="67"/>
        <v>3.8827838827838829E-2</v>
      </c>
      <c r="M861" s="405">
        <f t="shared" si="68"/>
        <v>67.031090273230646</v>
      </c>
      <c r="N861" s="63">
        <f t="shared" si="69"/>
        <v>-0.10638481701793981</v>
      </c>
    </row>
    <row r="862" spans="1:14" ht="18" x14ac:dyDescent="0.25">
      <c r="A862" s="317" t="s">
        <v>3327</v>
      </c>
      <c r="B862" s="317" t="s">
        <v>3328</v>
      </c>
      <c r="C862" s="317">
        <v>1.83</v>
      </c>
      <c r="D862" s="317">
        <v>0.96</v>
      </c>
      <c r="E862" s="318">
        <v>10.1</v>
      </c>
      <c r="F862" s="317">
        <v>1.1499999999999999</v>
      </c>
      <c r="G862" s="317">
        <v>1</v>
      </c>
      <c r="H862" s="319">
        <v>18.98</v>
      </c>
      <c r="I862" s="320">
        <v>22.5</v>
      </c>
      <c r="J862" s="320">
        <v>2.1</v>
      </c>
      <c r="K862" s="57">
        <f t="shared" si="66"/>
        <v>0.12406900000000001</v>
      </c>
      <c r="L862" s="310">
        <f t="shared" si="67"/>
        <v>8.7826086956521734E-2</v>
      </c>
      <c r="M862" s="405">
        <f t="shared" si="68"/>
        <v>11.034118378433254</v>
      </c>
      <c r="N862" s="63">
        <f t="shared" si="69"/>
        <v>0.7201193017012919</v>
      </c>
    </row>
    <row r="863" spans="1:14" ht="18" x14ac:dyDescent="0.25">
      <c r="A863" s="317" t="s">
        <v>3329</v>
      </c>
      <c r="B863" s="317" t="s">
        <v>3330</v>
      </c>
      <c r="C863" s="317">
        <v>1.66</v>
      </c>
      <c r="D863" s="317">
        <v>1.2</v>
      </c>
      <c r="E863" s="318">
        <v>13.31</v>
      </c>
      <c r="F863" s="317">
        <v>1.39</v>
      </c>
      <c r="G863" s="317">
        <v>0.8</v>
      </c>
      <c r="H863" s="319">
        <v>17.57</v>
      </c>
      <c r="I863" s="320">
        <v>19</v>
      </c>
      <c r="J863" s="320">
        <v>2.1</v>
      </c>
      <c r="K863" s="57">
        <f t="shared" si="66"/>
        <v>0.116538</v>
      </c>
      <c r="L863" s="310">
        <f t="shared" si="67"/>
        <v>9.5755395683453259E-2</v>
      </c>
      <c r="M863" s="405">
        <f t="shared" si="68"/>
        <v>17.078653549365207</v>
      </c>
      <c r="N863" s="63">
        <f t="shared" si="69"/>
        <v>2.8769624561712379E-2</v>
      </c>
    </row>
    <row r="864" spans="1:14" ht="18" x14ac:dyDescent="0.25">
      <c r="A864" s="317" t="s">
        <v>608</v>
      </c>
      <c r="B864" s="317" t="s">
        <v>609</v>
      </c>
      <c r="C864" s="317">
        <v>1.53</v>
      </c>
      <c r="D864" s="317">
        <v>0.48</v>
      </c>
      <c r="E864" s="318">
        <v>17.899999999999999</v>
      </c>
      <c r="F864" s="317">
        <v>1.87</v>
      </c>
      <c r="G864" s="317">
        <v>0.8</v>
      </c>
      <c r="H864" s="319">
        <v>19.87</v>
      </c>
      <c r="I864" s="320">
        <v>22</v>
      </c>
      <c r="J864" s="320">
        <v>2.6</v>
      </c>
      <c r="K864" s="57">
        <f t="shared" si="66"/>
        <v>0.110779</v>
      </c>
      <c r="L864" s="310">
        <f t="shared" si="67"/>
        <v>9.5721925133689822E-2</v>
      </c>
      <c r="M864" s="405">
        <f t="shared" si="68"/>
        <v>5.5722544706471693</v>
      </c>
      <c r="N864" s="63">
        <f t="shared" si="69"/>
        <v>2.5658816560996489</v>
      </c>
    </row>
    <row r="865" spans="1:14" ht="18" x14ac:dyDescent="0.25">
      <c r="A865" s="317" t="s">
        <v>3675</v>
      </c>
      <c r="B865" s="317" t="s">
        <v>2185</v>
      </c>
      <c r="C865" s="317">
        <v>2.74</v>
      </c>
      <c r="D865" s="317">
        <v>-0.06</v>
      </c>
      <c r="E865" s="318">
        <v>17.239999999999998</v>
      </c>
      <c r="F865" s="317">
        <v>0</v>
      </c>
      <c r="G865" s="317">
        <v>0</v>
      </c>
      <c r="H865" s="319">
        <v>7.93</v>
      </c>
      <c r="I865" s="320">
        <v>9.5</v>
      </c>
      <c r="J865" s="320">
        <v>1.7</v>
      </c>
      <c r="K865" s="57">
        <f t="shared" si="66"/>
        <v>0.16438200000000003</v>
      </c>
      <c r="L865" s="310" t="e">
        <f t="shared" si="67"/>
        <v>#DIV/0!</v>
      </c>
      <c r="M865" s="405" t="e">
        <f t="shared" si="68"/>
        <v>#DIV/0!</v>
      </c>
      <c r="N865" s="63" t="e">
        <f t="shared" si="69"/>
        <v>#DIV/0!</v>
      </c>
    </row>
    <row r="866" spans="1:14" ht="18" x14ac:dyDescent="0.25">
      <c r="A866" s="317" t="s">
        <v>386</v>
      </c>
      <c r="B866" s="317" t="s">
        <v>387</v>
      </c>
      <c r="C866" s="317">
        <v>1.73</v>
      </c>
      <c r="D866" s="317">
        <v>-0.28000000000000003</v>
      </c>
      <c r="E866" s="318">
        <v>0</v>
      </c>
      <c r="F866" s="317">
        <v>0</v>
      </c>
      <c r="G866" s="317">
        <v>0</v>
      </c>
      <c r="H866" s="319">
        <v>0.61</v>
      </c>
      <c r="I866" s="320">
        <v>10</v>
      </c>
      <c r="J866" s="320">
        <v>0</v>
      </c>
      <c r="K866" s="57">
        <f t="shared" si="66"/>
        <v>0.11963900000000001</v>
      </c>
      <c r="L866" s="310" t="e">
        <f t="shared" si="67"/>
        <v>#DIV/0!</v>
      </c>
      <c r="M866" s="405" t="e">
        <f t="shared" si="68"/>
        <v>#DIV/0!</v>
      </c>
      <c r="N866" s="63" t="e">
        <f t="shared" si="69"/>
        <v>#DIV/0!</v>
      </c>
    </row>
    <row r="867" spans="1:14" ht="18" x14ac:dyDescent="0.25">
      <c r="A867" s="317" t="s">
        <v>3331</v>
      </c>
      <c r="B867" s="317" t="s">
        <v>3332</v>
      </c>
      <c r="C867" s="317">
        <v>1.6</v>
      </c>
      <c r="D867" s="317">
        <v>0.71</v>
      </c>
      <c r="E867" s="318">
        <v>12.13</v>
      </c>
      <c r="F867" s="317">
        <v>-15.69</v>
      </c>
      <c r="G867" s="317">
        <v>0</v>
      </c>
      <c r="H867" s="319">
        <v>8.25</v>
      </c>
      <c r="I867" s="320">
        <v>9.5</v>
      </c>
      <c r="J867" s="320">
        <v>3.1</v>
      </c>
      <c r="K867" s="57">
        <f t="shared" si="66"/>
        <v>0.11388000000000001</v>
      </c>
      <c r="L867" s="310">
        <f t="shared" si="67"/>
        <v>-7.7310388782664127E-3</v>
      </c>
      <c r="M867" s="405">
        <f t="shared" si="68"/>
        <v>7.9692629982143295</v>
      </c>
      <c r="N867" s="63">
        <f t="shared" si="69"/>
        <v>3.5227473588031313E-2</v>
      </c>
    </row>
    <row r="868" spans="1:14" ht="18" x14ac:dyDescent="0.25">
      <c r="A868" s="317" t="s">
        <v>3333</v>
      </c>
      <c r="B868" s="317" t="s">
        <v>3334</v>
      </c>
      <c r="C868" s="317">
        <v>1.62</v>
      </c>
      <c r="D868" s="317">
        <v>2.2000000000000002</v>
      </c>
      <c r="E868" s="318">
        <v>13.2</v>
      </c>
      <c r="F868" s="317">
        <v>1.42</v>
      </c>
      <c r="G868" s="317">
        <v>3</v>
      </c>
      <c r="H868" s="319">
        <v>39.869999999999997</v>
      </c>
      <c r="I868" s="320">
        <v>42</v>
      </c>
      <c r="J868" s="320">
        <v>2.4</v>
      </c>
      <c r="K868" s="57">
        <f t="shared" si="66"/>
        <v>0.11476600000000001</v>
      </c>
      <c r="L868" s="310">
        <f t="shared" si="67"/>
        <v>9.295774647887324E-2</v>
      </c>
      <c r="M868" s="405">
        <f t="shared" si="68"/>
        <v>16.373400101046936</v>
      </c>
      <c r="N868" s="63">
        <f t="shared" si="69"/>
        <v>1.4350470735428165</v>
      </c>
    </row>
    <row r="869" spans="1:14" ht="18" x14ac:dyDescent="0.25">
      <c r="A869" s="317" t="s">
        <v>1885</v>
      </c>
      <c r="B869" s="317" t="s">
        <v>1886</v>
      </c>
      <c r="C869" s="317">
        <v>2.1800000000000002</v>
      </c>
      <c r="D869" s="317">
        <v>7.21</v>
      </c>
      <c r="E869" s="318">
        <v>12.27</v>
      </c>
      <c r="F869" s="317">
        <v>1.03</v>
      </c>
      <c r="G869" s="317">
        <v>0</v>
      </c>
      <c r="H869" s="319">
        <v>36.700000000000003</v>
      </c>
      <c r="I869" s="320">
        <v>44</v>
      </c>
      <c r="J869" s="320">
        <v>2</v>
      </c>
      <c r="K869" s="57">
        <f t="shared" si="66"/>
        <v>0.13957400000000003</v>
      </c>
      <c r="L869" s="310">
        <f t="shared" si="67"/>
        <v>0.11912621359223299</v>
      </c>
      <c r="M869" s="405">
        <f t="shared" si="68"/>
        <v>98.36612327710651</v>
      </c>
      <c r="N869" s="63">
        <f t="shared" si="69"/>
        <v>-0.62690407248628988</v>
      </c>
    </row>
    <row r="870" spans="1:14" ht="18" x14ac:dyDescent="0.25">
      <c r="A870" s="317" t="s">
        <v>2708</v>
      </c>
      <c r="B870" s="317" t="s">
        <v>2709</v>
      </c>
      <c r="C870" s="317">
        <v>3.87</v>
      </c>
      <c r="D870" s="317">
        <v>0.23</v>
      </c>
      <c r="E870" s="318">
        <v>12.45</v>
      </c>
      <c r="F870" s="317">
        <v>2.14</v>
      </c>
      <c r="G870" s="317">
        <v>0</v>
      </c>
      <c r="H870" s="319">
        <v>10.71</v>
      </c>
      <c r="I870" s="320">
        <v>14.3</v>
      </c>
      <c r="J870" s="320">
        <v>2.2999999999999998</v>
      </c>
      <c r="K870" s="57">
        <f t="shared" si="66"/>
        <v>0.21444100000000005</v>
      </c>
      <c r="L870" s="310">
        <f t="shared" si="67"/>
        <v>5.8177570093457941E-2</v>
      </c>
      <c r="M870" s="405">
        <f t="shared" si="68"/>
        <v>1.5371060703239272</v>
      </c>
      <c r="N870" s="63">
        <f t="shared" si="69"/>
        <v>5.9676388681120702</v>
      </c>
    </row>
    <row r="871" spans="1:14" ht="18" x14ac:dyDescent="0.25">
      <c r="A871" s="317" t="s">
        <v>4160</v>
      </c>
      <c r="B871" s="317" t="s">
        <v>4161</v>
      </c>
      <c r="C871" s="317">
        <v>2.2000000000000002</v>
      </c>
      <c r="D871" s="317">
        <v>-0.3</v>
      </c>
      <c r="E871" s="318">
        <v>0</v>
      </c>
      <c r="F871" s="317">
        <v>0</v>
      </c>
      <c r="G871" s="317">
        <v>0</v>
      </c>
      <c r="H871" s="319">
        <v>1.81</v>
      </c>
      <c r="I871" s="320">
        <v>4.5</v>
      </c>
      <c r="J871" s="320">
        <v>1.3</v>
      </c>
      <c r="K871" s="57">
        <f t="shared" si="66"/>
        <v>0.14046000000000003</v>
      </c>
      <c r="L871" s="310" t="e">
        <f t="shared" si="67"/>
        <v>#DIV/0!</v>
      </c>
      <c r="M871" s="405" t="e">
        <f t="shared" si="68"/>
        <v>#DIV/0!</v>
      </c>
      <c r="N871" s="63" t="e">
        <f t="shared" si="69"/>
        <v>#DIV/0!</v>
      </c>
    </row>
    <row r="872" spans="1:14" ht="18" x14ac:dyDescent="0.25">
      <c r="A872" s="317" t="s">
        <v>3335</v>
      </c>
      <c r="B872" s="317" t="s">
        <v>3336</v>
      </c>
      <c r="C872" s="317">
        <v>3.54</v>
      </c>
      <c r="D872" s="317">
        <v>-0.42</v>
      </c>
      <c r="E872" s="318">
        <v>25.06</v>
      </c>
      <c r="F872" s="317">
        <v>-39.18</v>
      </c>
      <c r="G872" s="317">
        <v>0</v>
      </c>
      <c r="H872" s="319">
        <v>4.26</v>
      </c>
      <c r="I872" s="320">
        <v>5.5</v>
      </c>
      <c r="J872" s="320">
        <v>2.6</v>
      </c>
      <c r="K872" s="57">
        <f t="shared" si="66"/>
        <v>0.199822</v>
      </c>
      <c r="L872" s="310">
        <f t="shared" si="67"/>
        <v>-6.3961204696273612E-3</v>
      </c>
      <c r="M872" s="405">
        <f t="shared" si="68"/>
        <v>-2.4904304188709867</v>
      </c>
      <c r="N872" s="63">
        <f t="shared" si="69"/>
        <v>-2.7105476899576382</v>
      </c>
    </row>
    <row r="873" spans="1:14" ht="18" x14ac:dyDescent="0.25">
      <c r="A873" s="317" t="s">
        <v>4737</v>
      </c>
      <c r="B873" s="317"/>
      <c r="C873" s="317">
        <v>3.45</v>
      </c>
      <c r="D873" s="317">
        <v>-0.5</v>
      </c>
      <c r="E873" s="318">
        <v>8.1199999999999992</v>
      </c>
      <c r="F873" s="317">
        <v>1.84</v>
      </c>
      <c r="G873" s="317">
        <v>1.5</v>
      </c>
      <c r="H873" s="319">
        <v>12.5</v>
      </c>
      <c r="I873" s="320">
        <v>15.5</v>
      </c>
      <c r="J873" s="320">
        <v>1.6</v>
      </c>
      <c r="K873" s="57">
        <f t="shared" si="66"/>
        <v>0.19583500000000004</v>
      </c>
      <c r="L873" s="310">
        <f t="shared" si="67"/>
        <v>4.4130434782608689E-2</v>
      </c>
      <c r="M873" s="405">
        <f t="shared" si="68"/>
        <v>-4.8519577342405196</v>
      </c>
      <c r="N873" s="63">
        <f t="shared" si="69"/>
        <v>-3.5762796554856298</v>
      </c>
    </row>
    <row r="874" spans="1:14" ht="18" x14ac:dyDescent="0.25">
      <c r="A874" s="317" t="s">
        <v>610</v>
      </c>
      <c r="B874" s="317" t="s">
        <v>611</v>
      </c>
      <c r="C874" s="317">
        <v>1.1599999999999999</v>
      </c>
      <c r="D874" s="317">
        <v>2.4700000000000002</v>
      </c>
      <c r="E874" s="318">
        <v>10.97</v>
      </c>
      <c r="F874" s="317">
        <v>0.71</v>
      </c>
      <c r="G874" s="317">
        <v>0</v>
      </c>
      <c r="H874" s="319">
        <v>34.24</v>
      </c>
      <c r="I874" s="320">
        <v>40.5</v>
      </c>
      <c r="J874" s="320">
        <v>1.5</v>
      </c>
      <c r="K874" s="57">
        <f t="shared" si="66"/>
        <v>9.4388E-2</v>
      </c>
      <c r="L874" s="310">
        <f t="shared" si="67"/>
        <v>0.15450704225352113</v>
      </c>
      <c r="M874" s="405">
        <f t="shared" si="68"/>
        <v>69.054775514173571</v>
      </c>
      <c r="N874" s="63">
        <f t="shared" si="69"/>
        <v>-0.50416173617171189</v>
      </c>
    </row>
    <row r="875" spans="1:14" ht="18" x14ac:dyDescent="0.25">
      <c r="A875" s="317" t="s">
        <v>2053</v>
      </c>
      <c r="B875" s="317" t="s">
        <v>2054</v>
      </c>
      <c r="C875" s="317">
        <v>2.54</v>
      </c>
      <c r="D875" s="317">
        <v>-1.79</v>
      </c>
      <c r="E875" s="318">
        <v>0</v>
      </c>
      <c r="F875" s="317">
        <v>0</v>
      </c>
      <c r="G875" s="317">
        <v>0</v>
      </c>
      <c r="H875" s="319">
        <v>15.6</v>
      </c>
      <c r="I875" s="320">
        <v>37</v>
      </c>
      <c r="J875" s="320">
        <v>1.5</v>
      </c>
      <c r="K875" s="57">
        <f t="shared" si="66"/>
        <v>0.15552199999999999</v>
      </c>
      <c r="L875" s="310" t="e">
        <f t="shared" si="67"/>
        <v>#DIV/0!</v>
      </c>
      <c r="M875" s="405" t="e">
        <f t="shared" si="68"/>
        <v>#DIV/0!</v>
      </c>
      <c r="N875" s="63" t="e">
        <f t="shared" si="69"/>
        <v>#DIV/0!</v>
      </c>
    </row>
    <row r="876" spans="1:14" ht="18" x14ac:dyDescent="0.25">
      <c r="A876" s="317" t="s">
        <v>612</v>
      </c>
      <c r="B876" s="317" t="s">
        <v>613</v>
      </c>
      <c r="C876" s="317">
        <v>2.2200000000000002</v>
      </c>
      <c r="D876" s="317">
        <v>-0.37</v>
      </c>
      <c r="E876" s="318">
        <v>9.41</v>
      </c>
      <c r="F876" s="317">
        <v>1.28</v>
      </c>
      <c r="G876" s="317">
        <v>0</v>
      </c>
      <c r="H876" s="319">
        <v>31.52</v>
      </c>
      <c r="I876" s="320">
        <v>34</v>
      </c>
      <c r="J876" s="320">
        <v>2.2000000000000002</v>
      </c>
      <c r="K876" s="57">
        <f t="shared" si="66"/>
        <v>0.14134600000000003</v>
      </c>
      <c r="L876" s="310">
        <f t="shared" si="67"/>
        <v>7.3515625000000001E-2</v>
      </c>
      <c r="M876" s="405">
        <f t="shared" si="68"/>
        <v>-4.2282594145245236</v>
      </c>
      <c r="N876" s="63">
        <f t="shared" si="69"/>
        <v>-8.4546041077152054</v>
      </c>
    </row>
    <row r="877" spans="1:14" ht="18" x14ac:dyDescent="0.25">
      <c r="A877" s="317" t="s">
        <v>614</v>
      </c>
      <c r="B877" s="317" t="s">
        <v>615</v>
      </c>
      <c r="C877" s="317">
        <v>1.97</v>
      </c>
      <c r="D877" s="317">
        <v>3.55</v>
      </c>
      <c r="E877" s="318">
        <v>12.45</v>
      </c>
      <c r="F877" s="317">
        <v>2.63</v>
      </c>
      <c r="G877" s="317">
        <v>0</v>
      </c>
      <c r="H877" s="319">
        <v>77.44</v>
      </c>
      <c r="I877" s="320">
        <v>94</v>
      </c>
      <c r="J877" s="320">
        <v>1.8</v>
      </c>
      <c r="K877" s="57">
        <f t="shared" si="66"/>
        <v>0.13027100000000003</v>
      </c>
      <c r="L877" s="310">
        <f t="shared" si="67"/>
        <v>4.7338403041825093E-2</v>
      </c>
      <c r="M877" s="405">
        <f t="shared" si="68"/>
        <v>41.055445877359709</v>
      </c>
      <c r="N877" s="63">
        <f t="shared" si="69"/>
        <v>0.88622966685900217</v>
      </c>
    </row>
    <row r="878" spans="1:14" ht="18" x14ac:dyDescent="0.25">
      <c r="A878" s="317" t="s">
        <v>616</v>
      </c>
      <c r="B878" s="317" t="s">
        <v>617</v>
      </c>
      <c r="C878" s="317">
        <v>1.33</v>
      </c>
      <c r="D878" s="317">
        <v>0.81</v>
      </c>
      <c r="E878" s="318">
        <v>10.46</v>
      </c>
      <c r="F878" s="317">
        <v>0.33</v>
      </c>
      <c r="G878" s="317">
        <v>3.1</v>
      </c>
      <c r="H878" s="319">
        <v>24.89</v>
      </c>
      <c r="I878" s="320">
        <v>30</v>
      </c>
      <c r="J878" s="320">
        <v>1.6</v>
      </c>
      <c r="K878" s="57">
        <f t="shared" si="66"/>
        <v>0.10191900000000001</v>
      </c>
      <c r="L878" s="310">
        <f t="shared" si="67"/>
        <v>0.31696969696969701</v>
      </c>
      <c r="M878" s="405">
        <f t="shared" si="68"/>
        <v>1.7040260902654691</v>
      </c>
      <c r="N878" s="63">
        <f t="shared" si="69"/>
        <v>13.60658386757588</v>
      </c>
    </row>
    <row r="879" spans="1:14" ht="18" x14ac:dyDescent="0.25">
      <c r="A879" s="317" t="s">
        <v>618</v>
      </c>
      <c r="B879" s="317" t="s">
        <v>619</v>
      </c>
      <c r="C879" s="317">
        <v>1.2</v>
      </c>
      <c r="D879" s="317">
        <v>2.88</v>
      </c>
      <c r="E879" s="318">
        <v>13.12</v>
      </c>
      <c r="F879" s="317">
        <v>1.21</v>
      </c>
      <c r="G879" s="317">
        <v>2</v>
      </c>
      <c r="H879" s="319">
        <v>48.43</v>
      </c>
      <c r="I879" s="320">
        <v>53</v>
      </c>
      <c r="J879" s="320">
        <v>2.4</v>
      </c>
      <c r="K879" s="57">
        <f t="shared" si="66"/>
        <v>9.6159999999999995E-2</v>
      </c>
      <c r="L879" s="310">
        <f t="shared" si="67"/>
        <v>0.1084297520661157</v>
      </c>
      <c r="M879" s="405">
        <f t="shared" si="68"/>
        <v>43.363735610061816</v>
      </c>
      <c r="N879" s="63">
        <f t="shared" si="69"/>
        <v>0.11683182545653753</v>
      </c>
    </row>
    <row r="880" spans="1:14" ht="18" x14ac:dyDescent="0.25">
      <c r="A880" s="317" t="s">
        <v>1827</v>
      </c>
      <c r="B880" s="317" t="s">
        <v>1828</v>
      </c>
      <c r="C880" s="317">
        <v>2.39</v>
      </c>
      <c r="D880" s="317">
        <v>2.2400000000000002</v>
      </c>
      <c r="E880" s="318">
        <v>8.76</v>
      </c>
      <c r="F880" s="317">
        <v>0.27</v>
      </c>
      <c r="G880" s="317">
        <v>0</v>
      </c>
      <c r="H880" s="319">
        <v>8.67</v>
      </c>
      <c r="I880" s="320">
        <v>11</v>
      </c>
      <c r="J880" s="320">
        <v>1.5</v>
      </c>
      <c r="K880" s="57">
        <f t="shared" si="66"/>
        <v>0.14887700000000004</v>
      </c>
      <c r="L880" s="310">
        <f t="shared" si="67"/>
        <v>0.32444444444444442</v>
      </c>
      <c r="M880" s="405">
        <f t="shared" si="68"/>
        <v>55.593178518663031</v>
      </c>
      <c r="N880" s="63">
        <f t="shared" si="69"/>
        <v>-0.84404561438973269</v>
      </c>
    </row>
    <row r="881" spans="1:14" ht="18" x14ac:dyDescent="0.25">
      <c r="A881" s="317" t="s">
        <v>3133</v>
      </c>
      <c r="B881" s="317" t="s">
        <v>3134</v>
      </c>
      <c r="C881" s="317"/>
      <c r="D881" s="317"/>
      <c r="E881" s="318"/>
      <c r="F881" s="317"/>
      <c r="G881" s="317"/>
      <c r="H881" s="319"/>
      <c r="I881" s="320"/>
      <c r="J881" s="320"/>
      <c r="K881" s="57">
        <f t="shared" si="66"/>
        <v>4.2999999999999997E-2</v>
      </c>
      <c r="L881" s="310" t="e">
        <f t="shared" si="67"/>
        <v>#DIV/0!</v>
      </c>
      <c r="M881" s="405" t="e">
        <f t="shared" si="68"/>
        <v>#DIV/0!</v>
      </c>
      <c r="N881" s="63" t="e">
        <f t="shared" si="69"/>
        <v>#DIV/0!</v>
      </c>
    </row>
    <row r="882" spans="1:14" ht="18" x14ac:dyDescent="0.25">
      <c r="A882" s="317" t="s">
        <v>2710</v>
      </c>
      <c r="B882" s="317" t="s">
        <v>2711</v>
      </c>
      <c r="C882" s="317">
        <v>2.96</v>
      </c>
      <c r="D882" s="317">
        <v>0.79</v>
      </c>
      <c r="E882" s="318">
        <v>9.27</v>
      </c>
      <c r="F882" s="317">
        <v>0.78</v>
      </c>
      <c r="G882" s="317">
        <v>0</v>
      </c>
      <c r="H882" s="319">
        <v>9.08</v>
      </c>
      <c r="I882" s="320">
        <v>14</v>
      </c>
      <c r="J882" s="320">
        <v>2.1</v>
      </c>
      <c r="K882" s="57">
        <f t="shared" si="66"/>
        <v>0.174128</v>
      </c>
      <c r="L882" s="310">
        <f t="shared" si="67"/>
        <v>0.11884615384615384</v>
      </c>
      <c r="M882" s="405">
        <f t="shared" si="68"/>
        <v>8.0890112555779403</v>
      </c>
      <c r="N882" s="63">
        <f t="shared" si="69"/>
        <v>0.12251049146936266</v>
      </c>
    </row>
    <row r="883" spans="1:14" ht="18" x14ac:dyDescent="0.25">
      <c r="A883" s="317" t="s">
        <v>620</v>
      </c>
      <c r="B883" s="317" t="s">
        <v>621</v>
      </c>
      <c r="C883" s="317">
        <v>1.81</v>
      </c>
      <c r="D883" s="317">
        <v>0.65</v>
      </c>
      <c r="E883" s="318">
        <v>8.6</v>
      </c>
      <c r="F883" s="317">
        <v>0.71</v>
      </c>
      <c r="G883" s="317">
        <v>0</v>
      </c>
      <c r="H883" s="319">
        <v>11.18</v>
      </c>
      <c r="I883" s="320">
        <v>13.25</v>
      </c>
      <c r="J883" s="320">
        <v>1.7</v>
      </c>
      <c r="K883" s="57">
        <f t="shared" si="66"/>
        <v>0.12318300000000001</v>
      </c>
      <c r="L883" s="310">
        <f t="shared" si="67"/>
        <v>0.12112676056338029</v>
      </c>
      <c r="M883" s="405">
        <f t="shared" si="68"/>
        <v>10.625707799873224</v>
      </c>
      <c r="N883" s="63">
        <f t="shared" si="69"/>
        <v>5.2165202597928499E-2</v>
      </c>
    </row>
    <row r="884" spans="1:14" ht="18" x14ac:dyDescent="0.25">
      <c r="A884" s="317" t="s">
        <v>4738</v>
      </c>
      <c r="B884" s="317"/>
      <c r="C884" s="317">
        <v>2.06</v>
      </c>
      <c r="D884" s="317">
        <v>-0.57999999999999996</v>
      </c>
      <c r="E884" s="318">
        <v>0</v>
      </c>
      <c r="F884" s="317">
        <v>0</v>
      </c>
      <c r="G884" s="317">
        <v>0</v>
      </c>
      <c r="H884" s="319">
        <v>4.29</v>
      </c>
      <c r="I884" s="320">
        <v>7.5</v>
      </c>
      <c r="J884" s="320">
        <v>2</v>
      </c>
      <c r="K884" s="57">
        <f t="shared" si="66"/>
        <v>0.13425800000000002</v>
      </c>
      <c r="L884" s="310" t="e">
        <f t="shared" si="67"/>
        <v>#DIV/0!</v>
      </c>
      <c r="M884" s="405" t="e">
        <f t="shared" si="68"/>
        <v>#DIV/0!</v>
      </c>
      <c r="N884" s="63" t="e">
        <f t="shared" si="69"/>
        <v>#DIV/0!</v>
      </c>
    </row>
    <row r="885" spans="1:14" ht="18" x14ac:dyDescent="0.25">
      <c r="A885" s="317" t="s">
        <v>2602</v>
      </c>
      <c r="B885" s="317" t="s">
        <v>4320</v>
      </c>
      <c r="C885" s="317">
        <v>0</v>
      </c>
      <c r="D885" s="317">
        <v>0.57999999999999996</v>
      </c>
      <c r="E885" s="318">
        <v>56.2</v>
      </c>
      <c r="F885" s="317">
        <v>2.65</v>
      </c>
      <c r="G885" s="317">
        <v>0</v>
      </c>
      <c r="H885" s="319">
        <v>91.6</v>
      </c>
      <c r="I885" s="320">
        <v>106</v>
      </c>
      <c r="J885" s="320">
        <v>2.8</v>
      </c>
      <c r="K885" s="57">
        <f t="shared" si="66"/>
        <v>4.2999999999999997E-2</v>
      </c>
      <c r="L885" s="310">
        <f t="shared" si="67"/>
        <v>0.21207547169811325</v>
      </c>
      <c r="M885" s="405">
        <f t="shared" si="68"/>
        <v>179.61840055330578</v>
      </c>
      <c r="N885" s="63">
        <f t="shared" si="69"/>
        <v>-0.49002997622832273</v>
      </c>
    </row>
    <row r="886" spans="1:14" ht="18" x14ac:dyDescent="0.25">
      <c r="A886" s="317" t="s">
        <v>2055</v>
      </c>
      <c r="B886" s="317" t="s">
        <v>2056</v>
      </c>
      <c r="C886" s="317">
        <v>1.87</v>
      </c>
      <c r="D886" s="317">
        <v>-0.32</v>
      </c>
      <c r="E886" s="318">
        <v>0</v>
      </c>
      <c r="F886" s="317">
        <v>0</v>
      </c>
      <c r="G886" s="317">
        <v>0</v>
      </c>
      <c r="H886" s="319">
        <v>1.78</v>
      </c>
      <c r="I886" s="320">
        <v>2.2000000000000002</v>
      </c>
      <c r="J886" s="320">
        <v>1.5</v>
      </c>
      <c r="K886" s="57">
        <f t="shared" si="66"/>
        <v>0.12584100000000001</v>
      </c>
      <c r="L886" s="310" t="e">
        <f t="shared" si="67"/>
        <v>#DIV/0!</v>
      </c>
      <c r="M886" s="405" t="e">
        <f t="shared" si="68"/>
        <v>#DIV/0!</v>
      </c>
      <c r="N886" s="63" t="e">
        <f t="shared" si="69"/>
        <v>#DIV/0!</v>
      </c>
    </row>
    <row r="887" spans="1:14" ht="18" x14ac:dyDescent="0.25">
      <c r="A887" s="317" t="s">
        <v>622</v>
      </c>
      <c r="B887" s="317" t="s">
        <v>3716</v>
      </c>
      <c r="C887" s="317">
        <v>1.87</v>
      </c>
      <c r="D887" s="317">
        <v>2.76</v>
      </c>
      <c r="E887" s="318">
        <v>0</v>
      </c>
      <c r="F887" s="317">
        <v>0</v>
      </c>
      <c r="G887" s="317">
        <v>1.2</v>
      </c>
      <c r="H887" s="319">
        <v>28.11</v>
      </c>
      <c r="I887" s="320">
        <v>49</v>
      </c>
      <c r="J887" s="320">
        <v>0</v>
      </c>
      <c r="K887" s="57">
        <f t="shared" si="66"/>
        <v>0.12584100000000001</v>
      </c>
      <c r="L887" s="310" t="e">
        <f t="shared" si="67"/>
        <v>#DIV/0!</v>
      </c>
      <c r="M887" s="405" t="e">
        <f t="shared" si="68"/>
        <v>#DIV/0!</v>
      </c>
      <c r="N887" s="63" t="e">
        <f t="shared" si="69"/>
        <v>#DIV/0!</v>
      </c>
    </row>
    <row r="888" spans="1:14" ht="18" x14ac:dyDescent="0.25">
      <c r="A888" s="317" t="s">
        <v>3717</v>
      </c>
      <c r="B888" s="317" t="s">
        <v>3718</v>
      </c>
      <c r="C888" s="317">
        <v>0.97</v>
      </c>
      <c r="D888" s="317">
        <v>0.86</v>
      </c>
      <c r="E888" s="318">
        <v>16.27</v>
      </c>
      <c r="F888" s="317">
        <v>1.88</v>
      </c>
      <c r="G888" s="317">
        <v>0</v>
      </c>
      <c r="H888" s="319">
        <v>18.55</v>
      </c>
      <c r="I888" s="320">
        <v>23.5</v>
      </c>
      <c r="J888" s="320">
        <v>1.5</v>
      </c>
      <c r="K888" s="57">
        <f t="shared" si="66"/>
        <v>8.5970999999999992E-2</v>
      </c>
      <c r="L888" s="310">
        <f t="shared" si="67"/>
        <v>8.654255319148936E-2</v>
      </c>
      <c r="M888" s="405">
        <f t="shared" si="68"/>
        <v>21.559846695712238</v>
      </c>
      <c r="N888" s="63">
        <f t="shared" si="69"/>
        <v>-0.13960427169043033</v>
      </c>
    </row>
    <row r="889" spans="1:14" ht="18" x14ac:dyDescent="0.25">
      <c r="A889" s="317" t="s">
        <v>3719</v>
      </c>
      <c r="B889" s="317" t="s">
        <v>3720</v>
      </c>
      <c r="C889" s="317">
        <v>1.06</v>
      </c>
      <c r="D889" s="317">
        <v>1.51</v>
      </c>
      <c r="E889" s="318">
        <v>14.79</v>
      </c>
      <c r="F889" s="317">
        <v>1.1000000000000001</v>
      </c>
      <c r="G889" s="317">
        <v>0.7</v>
      </c>
      <c r="H889" s="319">
        <v>35.35</v>
      </c>
      <c r="I889" s="320">
        <v>38</v>
      </c>
      <c r="J889" s="320">
        <v>1.9</v>
      </c>
      <c r="K889" s="57">
        <f t="shared" si="66"/>
        <v>8.995800000000001E-2</v>
      </c>
      <c r="L889" s="310">
        <f t="shared" si="67"/>
        <v>0.13445454545454544</v>
      </c>
      <c r="M889" s="405">
        <f t="shared" si="68"/>
        <v>35.430781180658009</v>
      </c>
      <c r="N889" s="63">
        <f t="shared" si="69"/>
        <v>-2.2799717637077346E-3</v>
      </c>
    </row>
    <row r="890" spans="1:14" ht="18" x14ac:dyDescent="0.25">
      <c r="A890" s="317" t="s">
        <v>3337</v>
      </c>
      <c r="B890" s="317" t="s">
        <v>3338</v>
      </c>
      <c r="C890" s="317">
        <v>0.34</v>
      </c>
      <c r="D890" s="317">
        <v>2.95</v>
      </c>
      <c r="E890" s="318">
        <v>15.07</v>
      </c>
      <c r="F890" s="317">
        <v>1.03</v>
      </c>
      <c r="G890" s="317">
        <v>0</v>
      </c>
      <c r="H890" s="319">
        <v>60.3</v>
      </c>
      <c r="I890" s="320">
        <v>65</v>
      </c>
      <c r="J890" s="320">
        <v>2.5</v>
      </c>
      <c r="K890" s="57">
        <f t="shared" si="66"/>
        <v>5.8062000000000002E-2</v>
      </c>
      <c r="L890" s="310">
        <f t="shared" si="67"/>
        <v>0.14631067961165048</v>
      </c>
      <c r="M890" s="405">
        <f t="shared" si="68"/>
        <v>217.01185138725396</v>
      </c>
      <c r="N890" s="63">
        <f t="shared" si="69"/>
        <v>-0.72213499117891178</v>
      </c>
    </row>
    <row r="891" spans="1:14" ht="18" x14ac:dyDescent="0.25">
      <c r="A891" s="317" t="s">
        <v>3721</v>
      </c>
      <c r="B891" s="317" t="s">
        <v>3722</v>
      </c>
      <c r="C891" s="317">
        <v>1.39</v>
      </c>
      <c r="D891" s="317">
        <v>0.81</v>
      </c>
      <c r="E891" s="318">
        <v>11.61</v>
      </c>
      <c r="F891" s="317">
        <v>1.1000000000000001</v>
      </c>
      <c r="G891" s="317">
        <v>0</v>
      </c>
      <c r="H891" s="319">
        <v>9.64</v>
      </c>
      <c r="I891" s="320">
        <v>13.5</v>
      </c>
      <c r="J891" s="320">
        <v>2.9</v>
      </c>
      <c r="K891" s="57">
        <f t="shared" si="66"/>
        <v>0.104577</v>
      </c>
      <c r="L891" s="310">
        <f t="shared" si="67"/>
        <v>0.10554545454545453</v>
      </c>
      <c r="M891" s="405">
        <f t="shared" si="68"/>
        <v>15.920518946456397</v>
      </c>
      <c r="N891" s="63">
        <f t="shared" si="69"/>
        <v>-0.39449209963437276</v>
      </c>
    </row>
    <row r="892" spans="1:14" ht="18" x14ac:dyDescent="0.25">
      <c r="A892" s="317" t="s">
        <v>4281</v>
      </c>
      <c r="B892" s="317" t="s">
        <v>4282</v>
      </c>
      <c r="C892" s="317">
        <v>2.67</v>
      </c>
      <c r="D892" s="317">
        <v>5.43</v>
      </c>
      <c r="E892" s="318">
        <v>8.31</v>
      </c>
      <c r="F892" s="317">
        <v>0.64</v>
      </c>
      <c r="G892" s="317">
        <v>0</v>
      </c>
      <c r="H892" s="319">
        <v>30.68</v>
      </c>
      <c r="I892" s="320">
        <v>44.5</v>
      </c>
      <c r="J892" s="320">
        <v>2.4</v>
      </c>
      <c r="K892" s="57">
        <f t="shared" si="66"/>
        <v>0.16128100000000001</v>
      </c>
      <c r="L892" s="310">
        <f t="shared" si="67"/>
        <v>0.12984375000000001</v>
      </c>
      <c r="M892" s="405">
        <f t="shared" si="68"/>
        <v>63.504338617130152</v>
      </c>
      <c r="N892" s="63">
        <f t="shared" si="69"/>
        <v>-0.51688340248733589</v>
      </c>
    </row>
    <row r="893" spans="1:14" ht="18" x14ac:dyDescent="0.25">
      <c r="A893" s="317" t="s">
        <v>3723</v>
      </c>
      <c r="B893" s="317" t="s">
        <v>3724</v>
      </c>
      <c r="C893" s="317">
        <v>1.37</v>
      </c>
      <c r="D893" s="317">
        <v>1.65</v>
      </c>
      <c r="E893" s="318">
        <v>11.74</v>
      </c>
      <c r="F893" s="317">
        <v>0.9</v>
      </c>
      <c r="G893" s="317">
        <v>0</v>
      </c>
      <c r="H893" s="319">
        <v>32.99</v>
      </c>
      <c r="I893" s="320">
        <v>40.5</v>
      </c>
      <c r="J893" s="320">
        <v>1.9</v>
      </c>
      <c r="K893" s="57">
        <f t="shared" si="66"/>
        <v>0.10369100000000001</v>
      </c>
      <c r="L893" s="310">
        <f t="shared" si="67"/>
        <v>0.13044444444444445</v>
      </c>
      <c r="M893" s="405">
        <f t="shared" si="68"/>
        <v>36.136286438728341</v>
      </c>
      <c r="N893" s="63">
        <f t="shared" si="69"/>
        <v>-8.7067232103749587E-2</v>
      </c>
    </row>
    <row r="894" spans="1:14" ht="18" x14ac:dyDescent="0.25">
      <c r="A894" s="317" t="s">
        <v>793</v>
      </c>
      <c r="B894" s="317" t="s">
        <v>794</v>
      </c>
      <c r="C894" s="317">
        <v>2.5</v>
      </c>
      <c r="D894" s="317">
        <v>4.75</v>
      </c>
      <c r="E894" s="318">
        <v>14.34</v>
      </c>
      <c r="F894" s="317">
        <v>1.31</v>
      </c>
      <c r="G894" s="317">
        <v>1.5</v>
      </c>
      <c r="H894" s="319">
        <v>35.700000000000003</v>
      </c>
      <c r="I894" s="320">
        <v>37</v>
      </c>
      <c r="J894" s="320">
        <v>1.5</v>
      </c>
      <c r="K894" s="57">
        <f t="shared" si="66"/>
        <v>0.15375</v>
      </c>
      <c r="L894" s="310">
        <f t="shared" si="67"/>
        <v>0.10946564885496184</v>
      </c>
      <c r="M894" s="405">
        <f t="shared" si="68"/>
        <v>48.946137751456831</v>
      </c>
      <c r="N894" s="63">
        <f t="shared" si="69"/>
        <v>-0.2706268228704638</v>
      </c>
    </row>
    <row r="895" spans="1:14" ht="18" x14ac:dyDescent="0.25">
      <c r="A895" s="317" t="s">
        <v>1227</v>
      </c>
      <c r="B895" s="317" t="s">
        <v>1228</v>
      </c>
      <c r="C895" s="317">
        <v>0.97</v>
      </c>
      <c r="D895" s="317">
        <v>5.56</v>
      </c>
      <c r="E895" s="318">
        <v>11.31</v>
      </c>
      <c r="F895" s="317">
        <v>1.27</v>
      </c>
      <c r="G895" s="317">
        <v>1.6</v>
      </c>
      <c r="H895" s="319">
        <v>107.48</v>
      </c>
      <c r="I895" s="320">
        <v>120</v>
      </c>
      <c r="J895" s="320">
        <v>2</v>
      </c>
      <c r="K895" s="57">
        <f t="shared" si="66"/>
        <v>8.5970999999999992E-2</v>
      </c>
      <c r="L895" s="310">
        <f t="shared" si="67"/>
        <v>8.9055118110236225E-2</v>
      </c>
      <c r="M895" s="405">
        <f t="shared" si="68"/>
        <v>97.259433230632581</v>
      </c>
      <c r="N895" s="63">
        <f t="shared" si="69"/>
        <v>0.10508560897256369</v>
      </c>
    </row>
    <row r="896" spans="1:14" ht="18" x14ac:dyDescent="0.25">
      <c r="A896" s="317" t="s">
        <v>3725</v>
      </c>
      <c r="B896" s="317" t="s">
        <v>3726</v>
      </c>
      <c r="C896" s="317">
        <v>2.17</v>
      </c>
      <c r="D896" s="317">
        <v>1.32</v>
      </c>
      <c r="E896" s="318">
        <v>12.47</v>
      </c>
      <c r="F896" s="317">
        <v>0.81</v>
      </c>
      <c r="G896" s="317">
        <v>0</v>
      </c>
      <c r="H896" s="319">
        <v>22.07</v>
      </c>
      <c r="I896" s="320">
        <v>24</v>
      </c>
      <c r="J896" s="320">
        <v>2.2999999999999998</v>
      </c>
      <c r="K896" s="57">
        <f t="shared" si="66"/>
        <v>0.139131</v>
      </c>
      <c r="L896" s="310">
        <f t="shared" si="67"/>
        <v>0.15395061728395062</v>
      </c>
      <c r="M896" s="405">
        <f t="shared" si="68"/>
        <v>20.427741504541057</v>
      </c>
      <c r="N896" s="63">
        <f t="shared" si="69"/>
        <v>8.0393542041535607E-2</v>
      </c>
    </row>
    <row r="897" spans="1:14" ht="18" x14ac:dyDescent="0.25">
      <c r="A897" s="317" t="s">
        <v>4283</v>
      </c>
      <c r="B897" s="317" t="s">
        <v>4284</v>
      </c>
      <c r="C897" s="317"/>
      <c r="D897" s="317"/>
      <c r="E897" s="318"/>
      <c r="F897" s="317"/>
      <c r="G897" s="317"/>
      <c r="H897" s="319">
        <v>70.83</v>
      </c>
      <c r="I897" s="320"/>
      <c r="J897" s="320"/>
      <c r="K897" s="57">
        <f t="shared" si="66"/>
        <v>4.2999999999999997E-2</v>
      </c>
      <c r="L897" s="310" t="e">
        <f t="shared" si="67"/>
        <v>#DIV/0!</v>
      </c>
      <c r="M897" s="405" t="e">
        <f t="shared" si="68"/>
        <v>#DIV/0!</v>
      </c>
      <c r="N897" s="63" t="e">
        <f t="shared" si="69"/>
        <v>#DIV/0!</v>
      </c>
    </row>
    <row r="898" spans="1:14" ht="18" x14ac:dyDescent="0.25">
      <c r="A898" s="317" t="s">
        <v>2712</v>
      </c>
      <c r="B898" s="317" t="s">
        <v>2713</v>
      </c>
      <c r="C898" s="317">
        <v>1.07</v>
      </c>
      <c r="D898" s="317">
        <v>-0.23</v>
      </c>
      <c r="E898" s="318">
        <v>7.04</v>
      </c>
      <c r="F898" s="317">
        <v>0</v>
      </c>
      <c r="G898" s="317">
        <v>0.1</v>
      </c>
      <c r="H898" s="319">
        <v>14.86</v>
      </c>
      <c r="I898" s="320">
        <v>21.16</v>
      </c>
      <c r="J898" s="320">
        <v>1.5</v>
      </c>
      <c r="K898" s="57">
        <f t="shared" si="66"/>
        <v>9.0401000000000009E-2</v>
      </c>
      <c r="L898" s="310" t="e">
        <f t="shared" si="67"/>
        <v>#DIV/0!</v>
      </c>
      <c r="M898" s="405" t="e">
        <f t="shared" si="68"/>
        <v>#DIV/0!</v>
      </c>
      <c r="N898" s="63" t="e">
        <f t="shared" si="69"/>
        <v>#DIV/0!</v>
      </c>
    </row>
    <row r="899" spans="1:14" ht="18" x14ac:dyDescent="0.25">
      <c r="A899" s="317" t="s">
        <v>2188</v>
      </c>
      <c r="B899" s="317" t="s">
        <v>1493</v>
      </c>
      <c r="C899" s="317">
        <v>2.65</v>
      </c>
      <c r="D899" s="317">
        <v>-0.44</v>
      </c>
      <c r="E899" s="318">
        <v>0</v>
      </c>
      <c r="F899" s="317">
        <v>0</v>
      </c>
      <c r="G899" s="317">
        <v>0</v>
      </c>
      <c r="H899" s="319">
        <v>3.14</v>
      </c>
      <c r="I899" s="320">
        <v>3</v>
      </c>
      <c r="J899" s="320">
        <v>0</v>
      </c>
      <c r="K899" s="57">
        <f t="shared" si="66"/>
        <v>0.16039500000000001</v>
      </c>
      <c r="L899" s="310" t="e">
        <f t="shared" si="67"/>
        <v>#DIV/0!</v>
      </c>
      <c r="M899" s="405" t="e">
        <f t="shared" si="68"/>
        <v>#DIV/0!</v>
      </c>
      <c r="N899" s="63" t="e">
        <f t="shared" si="69"/>
        <v>#DIV/0!</v>
      </c>
    </row>
    <row r="900" spans="1:14" ht="18" x14ac:dyDescent="0.25">
      <c r="A900" s="317" t="s">
        <v>3727</v>
      </c>
      <c r="B900" s="317" t="s">
        <v>3728</v>
      </c>
      <c r="C900" s="317">
        <v>2.02</v>
      </c>
      <c r="D900" s="317">
        <v>1.36</v>
      </c>
      <c r="E900" s="318">
        <v>23.14</v>
      </c>
      <c r="F900" s="317">
        <v>1.47</v>
      </c>
      <c r="G900" s="317">
        <v>0</v>
      </c>
      <c r="H900" s="319">
        <v>50.22</v>
      </c>
      <c r="I900" s="320">
        <v>50</v>
      </c>
      <c r="J900" s="320">
        <v>2.2999999999999998</v>
      </c>
      <c r="K900" s="57">
        <f t="shared" si="66"/>
        <v>0.13248599999999999</v>
      </c>
      <c r="L900" s="310">
        <f t="shared" si="67"/>
        <v>0.15741496598639457</v>
      </c>
      <c r="M900" s="405">
        <f t="shared" si="68"/>
        <v>22.822535235967386</v>
      </c>
      <c r="N900" s="63">
        <f t="shared" si="69"/>
        <v>1.2004566749821608</v>
      </c>
    </row>
    <row r="901" spans="1:14" ht="18" x14ac:dyDescent="0.25">
      <c r="A901" s="317" t="s">
        <v>1923</v>
      </c>
      <c r="B901" s="317" t="s">
        <v>1924</v>
      </c>
      <c r="C901" s="317">
        <v>0.85</v>
      </c>
      <c r="D901" s="317">
        <v>1.41</v>
      </c>
      <c r="E901" s="318">
        <v>21.46</v>
      </c>
      <c r="F901" s="317">
        <v>1.94</v>
      </c>
      <c r="G901" s="317">
        <v>3.8</v>
      </c>
      <c r="H901" s="319">
        <v>32.409999999999997</v>
      </c>
      <c r="I901" s="320">
        <v>31</v>
      </c>
      <c r="J901" s="320">
        <v>2.8</v>
      </c>
      <c r="K901" s="57">
        <f t="shared" ref="K901:K964" si="70">$P$14+C901*($Q$15-$P$14)</f>
        <v>8.0655000000000004E-2</v>
      </c>
      <c r="L901" s="310">
        <f t="shared" ref="L901:L964" si="71">E901/F901/100</f>
        <v>0.11061855670103095</v>
      </c>
      <c r="M901" s="405">
        <f t="shared" ref="M901:M964" si="72">(D901-G901*H901/100)+(D901-G901*H901/100)*(1+L901)/(1+K901)+(D901-G901*H901/100)*(1+L901)^2/(1+K901)^2+(D901-G901*H901/100)*(1+L901)^3/(1+K901)^3+(D901-G901*H901/100)*(1+L901)^4/(1+K901)^4+((D901-G901*H901/100)*(1+L901)^5/(K901-$T$22-$T$19))/((1+K901)^5)</f>
        <v>5.52398746715585</v>
      </c>
      <c r="N901" s="63">
        <f t="shared" ref="N901:N964" si="73">(H901-M901)/M901</f>
        <v>4.8671385828988889</v>
      </c>
    </row>
    <row r="902" spans="1:14" ht="18" x14ac:dyDescent="0.25">
      <c r="A902" s="317" t="s">
        <v>3339</v>
      </c>
      <c r="B902" s="317" t="s">
        <v>3340</v>
      </c>
      <c r="C902" s="317">
        <v>0.2</v>
      </c>
      <c r="D902" s="317">
        <v>0.24</v>
      </c>
      <c r="E902" s="318">
        <v>15.96</v>
      </c>
      <c r="F902" s="317">
        <v>2.74</v>
      </c>
      <c r="G902" s="317">
        <v>4.5999999999999996</v>
      </c>
      <c r="H902" s="319">
        <v>13.57</v>
      </c>
      <c r="I902" s="320">
        <v>14</v>
      </c>
      <c r="J902" s="320">
        <v>2.5</v>
      </c>
      <c r="K902" s="57">
        <f t="shared" si="70"/>
        <v>5.1859999999999996E-2</v>
      </c>
      <c r="L902" s="310">
        <f t="shared" si="71"/>
        <v>5.8248175182481751E-2</v>
      </c>
      <c r="M902" s="405">
        <f t="shared" si="72"/>
        <v>-26.91493216211747</v>
      </c>
      <c r="N902" s="63">
        <f t="shared" si="73"/>
        <v>-1.5041810961388808</v>
      </c>
    </row>
    <row r="903" spans="1:14" ht="18" x14ac:dyDescent="0.25">
      <c r="A903" s="317" t="s">
        <v>3341</v>
      </c>
      <c r="B903" s="317" t="s">
        <v>3342</v>
      </c>
      <c r="C903" s="317">
        <v>1.1000000000000001</v>
      </c>
      <c r="D903" s="317">
        <v>1.41</v>
      </c>
      <c r="E903" s="318">
        <v>10.9</v>
      </c>
      <c r="F903" s="317">
        <v>1.28</v>
      </c>
      <c r="G903" s="317">
        <v>6</v>
      </c>
      <c r="H903" s="319">
        <v>24.97</v>
      </c>
      <c r="I903" s="320">
        <v>25.5</v>
      </c>
      <c r="J903" s="320">
        <v>2.8</v>
      </c>
      <c r="K903" s="57">
        <f t="shared" si="70"/>
        <v>9.1730000000000006E-2</v>
      </c>
      <c r="L903" s="310">
        <f t="shared" si="71"/>
        <v>8.5156250000000003E-2</v>
      </c>
      <c r="M903" s="405">
        <f t="shared" si="72"/>
        <v>-1.97127360906785</v>
      </c>
      <c r="N903" s="63">
        <f t="shared" si="73"/>
        <v>-13.666937702172904</v>
      </c>
    </row>
    <row r="904" spans="1:14" ht="18" x14ac:dyDescent="0.25">
      <c r="A904" s="317" t="s">
        <v>1502</v>
      </c>
      <c r="B904" s="317" t="s">
        <v>1503</v>
      </c>
      <c r="C904" s="317">
        <v>2.2999999999999998</v>
      </c>
      <c r="D904" s="317">
        <v>-1.35</v>
      </c>
      <c r="E904" s="318">
        <v>0</v>
      </c>
      <c r="F904" s="317">
        <v>0</v>
      </c>
      <c r="G904" s="317">
        <v>0</v>
      </c>
      <c r="H904" s="319">
        <v>1.1000000000000001</v>
      </c>
      <c r="I904" s="320">
        <v>5</v>
      </c>
      <c r="J904" s="320">
        <v>2.5</v>
      </c>
      <c r="K904" s="57">
        <f t="shared" si="70"/>
        <v>0.14489000000000002</v>
      </c>
      <c r="L904" s="310" t="e">
        <f t="shared" si="71"/>
        <v>#DIV/0!</v>
      </c>
      <c r="M904" s="405" t="e">
        <f t="shared" si="72"/>
        <v>#DIV/0!</v>
      </c>
      <c r="N904" s="63" t="e">
        <f t="shared" si="73"/>
        <v>#DIV/0!</v>
      </c>
    </row>
    <row r="905" spans="1:14" ht="18" x14ac:dyDescent="0.25">
      <c r="A905" s="317" t="s">
        <v>4285</v>
      </c>
      <c r="B905" s="317" t="s">
        <v>4286</v>
      </c>
      <c r="C905" s="317">
        <v>1.31</v>
      </c>
      <c r="D905" s="317">
        <v>4.54</v>
      </c>
      <c r="E905" s="318">
        <v>0</v>
      </c>
      <c r="F905" s="317">
        <v>0</v>
      </c>
      <c r="G905" s="317">
        <v>0</v>
      </c>
      <c r="H905" s="319">
        <v>34.81</v>
      </c>
      <c r="I905" s="320">
        <v>0</v>
      </c>
      <c r="J905" s="320">
        <v>0</v>
      </c>
      <c r="K905" s="57">
        <f t="shared" si="70"/>
        <v>0.10103300000000001</v>
      </c>
      <c r="L905" s="310" t="e">
        <f t="shared" si="71"/>
        <v>#DIV/0!</v>
      </c>
      <c r="M905" s="405" t="e">
        <f t="shared" si="72"/>
        <v>#DIV/0!</v>
      </c>
      <c r="N905" s="63" t="e">
        <f t="shared" si="73"/>
        <v>#DIV/0!</v>
      </c>
    </row>
    <row r="906" spans="1:14" ht="18" x14ac:dyDescent="0.25">
      <c r="A906" s="317" t="s">
        <v>3343</v>
      </c>
      <c r="B906" s="317" t="s">
        <v>3344</v>
      </c>
      <c r="C906" s="317">
        <v>1.31</v>
      </c>
      <c r="D906" s="317">
        <v>1.59</v>
      </c>
      <c r="E906" s="318">
        <v>14.2</v>
      </c>
      <c r="F906" s="317">
        <v>1.02</v>
      </c>
      <c r="G906" s="317">
        <v>0.9</v>
      </c>
      <c r="H906" s="319">
        <v>53.41</v>
      </c>
      <c r="I906" s="320">
        <v>59</v>
      </c>
      <c r="J906" s="320">
        <v>2.4</v>
      </c>
      <c r="K906" s="57">
        <f t="shared" si="70"/>
        <v>0.10103300000000001</v>
      </c>
      <c r="L906" s="310">
        <f t="shared" si="71"/>
        <v>0.13921568627450978</v>
      </c>
      <c r="M906" s="405">
        <f t="shared" si="72"/>
        <v>26.172555445097181</v>
      </c>
      <c r="N906" s="63">
        <f t="shared" si="73"/>
        <v>1.0406872424834281</v>
      </c>
    </row>
    <row r="907" spans="1:14" ht="18" x14ac:dyDescent="0.25">
      <c r="A907" s="317" t="s">
        <v>3298</v>
      </c>
      <c r="B907" s="317" t="s">
        <v>3299</v>
      </c>
      <c r="C907" s="317">
        <v>0.19</v>
      </c>
      <c r="D907" s="317">
        <v>2.82</v>
      </c>
      <c r="E907" s="318">
        <v>11.68</v>
      </c>
      <c r="F907" s="317">
        <v>2.04</v>
      </c>
      <c r="G907" s="317">
        <v>3.9</v>
      </c>
      <c r="H907" s="319">
        <v>45.57</v>
      </c>
      <c r="I907" s="320">
        <v>50</v>
      </c>
      <c r="J907" s="320">
        <v>2</v>
      </c>
      <c r="K907" s="57">
        <f t="shared" si="70"/>
        <v>5.1416999999999997E-2</v>
      </c>
      <c r="L907" s="310">
        <f t="shared" si="71"/>
        <v>5.7254901960784317E-2</v>
      </c>
      <c r="M907" s="405">
        <f t="shared" si="72"/>
        <v>74.808473933763906</v>
      </c>
      <c r="N907" s="63">
        <f t="shared" si="73"/>
        <v>-0.3908444110175528</v>
      </c>
    </row>
    <row r="908" spans="1:14" ht="18" x14ac:dyDescent="0.25">
      <c r="A908" s="317" t="s">
        <v>3300</v>
      </c>
      <c r="B908" s="317" t="s">
        <v>3301</v>
      </c>
      <c r="C908" s="317">
        <v>1.06</v>
      </c>
      <c r="D908" s="317">
        <v>1.31</v>
      </c>
      <c r="E908" s="318">
        <v>26.11</v>
      </c>
      <c r="F908" s="317">
        <v>13.94</v>
      </c>
      <c r="G908" s="317">
        <v>3.9</v>
      </c>
      <c r="H908" s="319">
        <v>42.56</v>
      </c>
      <c r="I908" s="320">
        <v>45</v>
      </c>
      <c r="J908" s="320">
        <v>2.8</v>
      </c>
      <c r="K908" s="57">
        <f t="shared" si="70"/>
        <v>8.995800000000001E-2</v>
      </c>
      <c r="L908" s="310">
        <f t="shared" si="71"/>
        <v>1.8730272596843615E-2</v>
      </c>
      <c r="M908" s="405">
        <f t="shared" si="72"/>
        <v>-6.1594992507982047</v>
      </c>
      <c r="N908" s="63">
        <f t="shared" si="73"/>
        <v>-7.9096525978933574</v>
      </c>
    </row>
    <row r="909" spans="1:14" ht="18" x14ac:dyDescent="0.25">
      <c r="A909" s="317" t="s">
        <v>3816</v>
      </c>
      <c r="B909" s="317" t="s">
        <v>3817</v>
      </c>
      <c r="C909" s="317">
        <v>1.2</v>
      </c>
      <c r="D909" s="317">
        <v>10.35</v>
      </c>
      <c r="E909" s="318">
        <v>22.46</v>
      </c>
      <c r="F909" s="317">
        <v>1.28</v>
      </c>
      <c r="G909" s="317">
        <v>0</v>
      </c>
      <c r="H909" s="319">
        <v>544.30999999999995</v>
      </c>
      <c r="I909" s="320">
        <v>552.5</v>
      </c>
      <c r="J909" s="320">
        <v>1.9</v>
      </c>
      <c r="K909" s="57">
        <f t="shared" si="70"/>
        <v>9.6159999999999995E-2</v>
      </c>
      <c r="L909" s="310">
        <f t="shared" si="71"/>
        <v>0.17546875000000001</v>
      </c>
      <c r="M909" s="405">
        <f t="shared" si="72"/>
        <v>303.75981896603304</v>
      </c>
      <c r="N909" s="63">
        <f t="shared" si="73"/>
        <v>0.79190915326712663</v>
      </c>
    </row>
    <row r="910" spans="1:14" ht="18" x14ac:dyDescent="0.25">
      <c r="A910" s="317" t="s">
        <v>5092</v>
      </c>
      <c r="B910" s="317"/>
      <c r="C910" s="317">
        <v>1.42</v>
      </c>
      <c r="D910" s="317">
        <v>6.85</v>
      </c>
      <c r="E910" s="318">
        <v>18.25</v>
      </c>
      <c r="F910" s="317">
        <v>1.91</v>
      </c>
      <c r="G910" s="317">
        <v>0.1</v>
      </c>
      <c r="H910" s="319">
        <v>155.47999999999999</v>
      </c>
      <c r="I910" s="320">
        <v>163</v>
      </c>
      <c r="J910" s="320">
        <v>1.8</v>
      </c>
      <c r="K910" s="57">
        <f t="shared" si="70"/>
        <v>0.105906</v>
      </c>
      <c r="L910" s="310">
        <f t="shared" si="71"/>
        <v>9.5549738219895292E-2</v>
      </c>
      <c r="M910" s="405">
        <f t="shared" si="72"/>
        <v>124.21538971588419</v>
      </c>
      <c r="N910" s="63">
        <f t="shared" si="73"/>
        <v>0.25169675316099582</v>
      </c>
    </row>
    <row r="911" spans="1:14" ht="18" x14ac:dyDescent="0.25">
      <c r="A911" s="317" t="s">
        <v>3302</v>
      </c>
      <c r="B911" s="317" t="s">
        <v>3303</v>
      </c>
      <c r="C911" s="317">
        <v>0.6</v>
      </c>
      <c r="D911" s="317">
        <v>0.54</v>
      </c>
      <c r="E911" s="318">
        <v>13.91</v>
      </c>
      <c r="F911" s="317">
        <v>0.7</v>
      </c>
      <c r="G911" s="317">
        <v>0</v>
      </c>
      <c r="H911" s="319">
        <v>17.670000000000002</v>
      </c>
      <c r="I911" s="320">
        <v>18</v>
      </c>
      <c r="J911" s="320">
        <v>2.2000000000000002</v>
      </c>
      <c r="K911" s="57">
        <f t="shared" si="70"/>
        <v>6.9580000000000003E-2</v>
      </c>
      <c r="L911" s="310">
        <f t="shared" si="71"/>
        <v>0.19871428571428573</v>
      </c>
      <c r="M911" s="405">
        <f t="shared" si="72"/>
        <v>31.868700284491574</v>
      </c>
      <c r="N911" s="63">
        <f t="shared" si="73"/>
        <v>-0.44553747588511344</v>
      </c>
    </row>
    <row r="912" spans="1:14" ht="18" x14ac:dyDescent="0.25">
      <c r="A912" s="317" t="s">
        <v>3135</v>
      </c>
      <c r="B912" s="317" t="s">
        <v>3136</v>
      </c>
      <c r="C912" s="317"/>
      <c r="D912" s="317"/>
      <c r="E912" s="318"/>
      <c r="F912" s="317"/>
      <c r="G912" s="317"/>
      <c r="H912" s="319"/>
      <c r="I912" s="320"/>
      <c r="J912" s="320"/>
      <c r="K912" s="57">
        <f t="shared" si="70"/>
        <v>4.2999999999999997E-2</v>
      </c>
      <c r="L912" s="310" t="e">
        <f t="shared" si="71"/>
        <v>#DIV/0!</v>
      </c>
      <c r="M912" s="405" t="e">
        <f t="shared" si="72"/>
        <v>#DIV/0!</v>
      </c>
      <c r="N912" s="63" t="e">
        <f t="shared" si="73"/>
        <v>#DIV/0!</v>
      </c>
    </row>
    <row r="913" spans="1:14" ht="18" x14ac:dyDescent="0.25">
      <c r="A913" s="317" t="s">
        <v>3304</v>
      </c>
      <c r="B913" s="317" t="s">
        <v>3305</v>
      </c>
      <c r="C913" s="317">
        <v>0.9</v>
      </c>
      <c r="D913" s="317">
        <v>1.88</v>
      </c>
      <c r="E913" s="318">
        <v>16.829999999999998</v>
      </c>
      <c r="F913" s="317">
        <v>1.47</v>
      </c>
      <c r="G913" s="317">
        <v>1.4</v>
      </c>
      <c r="H913" s="319">
        <v>35.01</v>
      </c>
      <c r="I913" s="320">
        <v>35</v>
      </c>
      <c r="J913" s="320">
        <v>2.1</v>
      </c>
      <c r="K913" s="57">
        <f t="shared" si="70"/>
        <v>8.2869999999999999E-2</v>
      </c>
      <c r="L913" s="310">
        <f t="shared" si="71"/>
        <v>0.11448979591836733</v>
      </c>
      <c r="M913" s="405">
        <f t="shared" si="72"/>
        <v>41.610413388438786</v>
      </c>
      <c r="N913" s="63">
        <f t="shared" si="73"/>
        <v>-0.15862407630568445</v>
      </c>
    </row>
    <row r="914" spans="1:14" ht="18" x14ac:dyDescent="0.25">
      <c r="A914" s="317" t="s">
        <v>1094</v>
      </c>
      <c r="B914" s="317" t="s">
        <v>1095</v>
      </c>
      <c r="C914" s="317">
        <v>2.44</v>
      </c>
      <c r="D914" s="317">
        <v>0.23</v>
      </c>
      <c r="E914" s="318">
        <v>14.73</v>
      </c>
      <c r="F914" s="317">
        <v>3.75</v>
      </c>
      <c r="G914" s="317">
        <v>0</v>
      </c>
      <c r="H914" s="319">
        <v>14</v>
      </c>
      <c r="I914" s="320">
        <v>14</v>
      </c>
      <c r="J914" s="320">
        <v>2.5</v>
      </c>
      <c r="K914" s="57">
        <f t="shared" si="70"/>
        <v>0.151092</v>
      </c>
      <c r="L914" s="310">
        <f t="shared" si="71"/>
        <v>3.9280000000000002E-2</v>
      </c>
      <c r="M914" s="405">
        <f t="shared" si="72"/>
        <v>2.1461901386260003</v>
      </c>
      <c r="N914" s="63">
        <f t="shared" si="73"/>
        <v>5.523187180872454</v>
      </c>
    </row>
    <row r="915" spans="1:14" ht="18" x14ac:dyDescent="0.25">
      <c r="A915" s="317" t="s">
        <v>1706</v>
      </c>
      <c r="B915" s="317"/>
      <c r="C915" s="317">
        <v>0.51</v>
      </c>
      <c r="D915" s="317">
        <v>3.08</v>
      </c>
      <c r="E915" s="318">
        <v>12.84</v>
      </c>
      <c r="F915" s="317">
        <v>-87.43</v>
      </c>
      <c r="G915" s="317">
        <v>4.3</v>
      </c>
      <c r="H915" s="319">
        <v>32.229999999999997</v>
      </c>
      <c r="I915" s="320">
        <v>35</v>
      </c>
      <c r="J915" s="320">
        <v>2.1</v>
      </c>
      <c r="K915" s="57">
        <f t="shared" si="70"/>
        <v>6.5592999999999999E-2</v>
      </c>
      <c r="L915" s="310">
        <f t="shared" si="71"/>
        <v>-1.4686034541919249E-3</v>
      </c>
      <c r="M915" s="405">
        <f t="shared" si="72"/>
        <v>48.831675645993968</v>
      </c>
      <c r="N915" s="63">
        <f t="shared" si="73"/>
        <v>-0.33997759500100078</v>
      </c>
    </row>
    <row r="916" spans="1:14" ht="18" x14ac:dyDescent="0.25">
      <c r="A916" s="317" t="s">
        <v>4852</v>
      </c>
      <c r="B916" s="317"/>
      <c r="C916" s="317">
        <v>0.86</v>
      </c>
      <c r="D916" s="317">
        <v>-0.16</v>
      </c>
      <c r="E916" s="318">
        <v>25.44</v>
      </c>
      <c r="F916" s="317">
        <v>1.46</v>
      </c>
      <c r="G916" s="317">
        <v>0.3</v>
      </c>
      <c r="H916" s="319">
        <v>36.119999999999997</v>
      </c>
      <c r="I916" s="320">
        <v>42</v>
      </c>
      <c r="J916" s="320">
        <v>1.8</v>
      </c>
      <c r="K916" s="57">
        <f t="shared" si="70"/>
        <v>8.1098000000000003E-2</v>
      </c>
      <c r="L916" s="310">
        <f t="shared" si="71"/>
        <v>0.17424657534246576</v>
      </c>
      <c r="M916" s="405">
        <f t="shared" si="72"/>
        <v>-10.589449513764695</v>
      </c>
      <c r="N916" s="63">
        <f t="shared" si="73"/>
        <v>-4.4109421791047234</v>
      </c>
    </row>
    <row r="917" spans="1:14" ht="18" x14ac:dyDescent="0.25">
      <c r="A917" s="317" t="s">
        <v>3306</v>
      </c>
      <c r="B917" s="317" t="s">
        <v>3307</v>
      </c>
      <c r="C917" s="317">
        <v>0.55000000000000004</v>
      </c>
      <c r="D917" s="317">
        <v>3.74</v>
      </c>
      <c r="E917" s="318">
        <v>14.07</v>
      </c>
      <c r="F917" s="317">
        <v>1.69</v>
      </c>
      <c r="G917" s="317">
        <v>2.8</v>
      </c>
      <c r="H917" s="319">
        <v>69.08</v>
      </c>
      <c r="I917" s="320">
        <v>76.5</v>
      </c>
      <c r="J917" s="320">
        <v>2.2000000000000002</v>
      </c>
      <c r="K917" s="57">
        <f t="shared" si="70"/>
        <v>6.7365000000000008E-2</v>
      </c>
      <c r="L917" s="310">
        <f t="shared" si="71"/>
        <v>8.3254437869822479E-2</v>
      </c>
      <c r="M917" s="405">
        <f t="shared" si="72"/>
        <v>71.288892644328499</v>
      </c>
      <c r="N917" s="63">
        <f t="shared" si="73"/>
        <v>-3.0985088453386607E-2</v>
      </c>
    </row>
    <row r="918" spans="1:14" ht="18" x14ac:dyDescent="0.25">
      <c r="A918" s="317" t="s">
        <v>3729</v>
      </c>
      <c r="B918" s="317" t="s">
        <v>3730</v>
      </c>
      <c r="C918" s="317">
        <v>2.2799999999999998</v>
      </c>
      <c r="D918" s="317">
        <v>1.7</v>
      </c>
      <c r="E918" s="318">
        <v>10.53</v>
      </c>
      <c r="F918" s="317">
        <v>0.76</v>
      </c>
      <c r="G918" s="317">
        <v>0</v>
      </c>
      <c r="H918" s="319">
        <v>28.32</v>
      </c>
      <c r="I918" s="320">
        <v>35</v>
      </c>
      <c r="J918" s="320">
        <v>1.7</v>
      </c>
      <c r="K918" s="57">
        <f t="shared" si="70"/>
        <v>0.14400400000000002</v>
      </c>
      <c r="L918" s="310">
        <f t="shared" si="71"/>
        <v>0.13855263157894737</v>
      </c>
      <c r="M918" s="405">
        <f t="shared" si="72"/>
        <v>23.788069864927493</v>
      </c>
      <c r="N918" s="63">
        <f t="shared" si="73"/>
        <v>0.19051273015446563</v>
      </c>
    </row>
    <row r="919" spans="1:14" ht="18" x14ac:dyDescent="0.25">
      <c r="A919" s="317" t="s">
        <v>4739</v>
      </c>
      <c r="B919" s="317"/>
      <c r="C919" s="317">
        <v>1.92</v>
      </c>
      <c r="D919" s="317">
        <v>0.31</v>
      </c>
      <c r="E919" s="318">
        <v>28.08</v>
      </c>
      <c r="F919" s="317">
        <v>2.68</v>
      </c>
      <c r="G919" s="317">
        <v>0</v>
      </c>
      <c r="H919" s="319">
        <v>36.51</v>
      </c>
      <c r="I919" s="320">
        <v>49.5</v>
      </c>
      <c r="J919" s="320">
        <v>2.2999999999999998</v>
      </c>
      <c r="K919" s="57">
        <f t="shared" si="70"/>
        <v>0.128056</v>
      </c>
      <c r="L919" s="310">
        <f t="shared" si="71"/>
        <v>0.10477611940298508</v>
      </c>
      <c r="M919" s="405">
        <f t="shared" si="72"/>
        <v>4.5214160722891235</v>
      </c>
      <c r="N919" s="63">
        <f t="shared" si="73"/>
        <v>7.0749038390345582</v>
      </c>
    </row>
    <row r="920" spans="1:14" ht="18" x14ac:dyDescent="0.25">
      <c r="A920" s="317" t="s">
        <v>5074</v>
      </c>
      <c r="B920" s="317"/>
      <c r="C920" s="317">
        <v>0.74</v>
      </c>
      <c r="D920" s="317">
        <v>1.02</v>
      </c>
      <c r="E920" s="318">
        <v>9.0399999999999991</v>
      </c>
      <c r="F920" s="317">
        <v>3.15</v>
      </c>
      <c r="G920" s="317">
        <v>3.8</v>
      </c>
      <c r="H920" s="319">
        <v>20.62</v>
      </c>
      <c r="I920" s="320">
        <v>23</v>
      </c>
      <c r="J920" s="320">
        <v>2</v>
      </c>
      <c r="K920" s="57">
        <f t="shared" si="70"/>
        <v>7.5782000000000002E-2</v>
      </c>
      <c r="L920" s="310">
        <f t="shared" si="71"/>
        <v>2.8698412698412699E-2</v>
      </c>
      <c r="M920" s="405">
        <f t="shared" si="72"/>
        <v>5.8348956255888789</v>
      </c>
      <c r="N920" s="63">
        <f t="shared" si="73"/>
        <v>2.53391068549216</v>
      </c>
    </row>
    <row r="921" spans="1:14" ht="18" x14ac:dyDescent="0.25">
      <c r="A921" s="317" t="s">
        <v>4945</v>
      </c>
      <c r="B921" s="317"/>
      <c r="C921" s="317"/>
      <c r="D921" s="317"/>
      <c r="E921" s="318"/>
      <c r="F921" s="317"/>
      <c r="G921" s="317"/>
      <c r="H921" s="319">
        <v>39.85</v>
      </c>
      <c r="I921" s="320"/>
      <c r="J921" s="320"/>
      <c r="K921" s="57">
        <f t="shared" si="70"/>
        <v>4.2999999999999997E-2</v>
      </c>
      <c r="L921" s="310" t="e">
        <f t="shared" si="71"/>
        <v>#DIV/0!</v>
      </c>
      <c r="M921" s="405" t="e">
        <f t="shared" si="72"/>
        <v>#DIV/0!</v>
      </c>
      <c r="N921" s="63" t="e">
        <f t="shared" si="73"/>
        <v>#DIV/0!</v>
      </c>
    </row>
    <row r="922" spans="1:14" ht="18" x14ac:dyDescent="0.25">
      <c r="A922" s="317" t="s">
        <v>3308</v>
      </c>
      <c r="B922" s="317" t="s">
        <v>3309</v>
      </c>
      <c r="C922" s="317">
        <v>3.13</v>
      </c>
      <c r="D922" s="317">
        <v>2.06</v>
      </c>
      <c r="E922" s="318">
        <v>9.2899999999999991</v>
      </c>
      <c r="F922" s="317">
        <v>0.78</v>
      </c>
      <c r="G922" s="317">
        <v>1.6</v>
      </c>
      <c r="H922" s="319">
        <v>31.48</v>
      </c>
      <c r="I922" s="320">
        <v>36</v>
      </c>
      <c r="J922" s="320">
        <v>2.7</v>
      </c>
      <c r="K922" s="57">
        <f t="shared" si="70"/>
        <v>0.18165900000000001</v>
      </c>
      <c r="L922" s="310">
        <f t="shared" si="71"/>
        <v>0.11910256410256409</v>
      </c>
      <c r="M922" s="405">
        <f t="shared" si="72"/>
        <v>15.140650310493525</v>
      </c>
      <c r="N922" s="63">
        <f t="shared" si="73"/>
        <v>1.0791709308669635</v>
      </c>
    </row>
    <row r="923" spans="1:14" ht="18" x14ac:dyDescent="0.25">
      <c r="A923" s="317" t="s">
        <v>5281</v>
      </c>
      <c r="B923" s="317" t="s">
        <v>3765</v>
      </c>
      <c r="C923" s="317">
        <v>0.52</v>
      </c>
      <c r="D923" s="317">
        <v>3.8</v>
      </c>
      <c r="E923" s="318">
        <v>15.47</v>
      </c>
      <c r="F923" s="317">
        <v>1.87</v>
      </c>
      <c r="G923" s="317">
        <v>3.2</v>
      </c>
      <c r="H923" s="319">
        <v>66.2</v>
      </c>
      <c r="I923" s="320">
        <v>71</v>
      </c>
      <c r="J923" s="320">
        <v>1.8</v>
      </c>
      <c r="K923" s="57">
        <f t="shared" si="70"/>
        <v>6.6035999999999997E-2</v>
      </c>
      <c r="L923" s="310">
        <f t="shared" si="71"/>
        <v>8.2727272727272733E-2</v>
      </c>
      <c r="M923" s="405">
        <f t="shared" si="72"/>
        <v>69.183982216197137</v>
      </c>
      <c r="N923" s="63">
        <f t="shared" si="73"/>
        <v>-4.3131113888071816E-2</v>
      </c>
    </row>
    <row r="924" spans="1:14" ht="18" x14ac:dyDescent="0.25">
      <c r="A924" s="317" t="s">
        <v>3731</v>
      </c>
      <c r="B924" s="317" t="s">
        <v>4968</v>
      </c>
      <c r="C924" s="317">
        <v>1.38</v>
      </c>
      <c r="D924" s="317">
        <v>0.08</v>
      </c>
      <c r="E924" s="318">
        <v>11.19</v>
      </c>
      <c r="F924" s="317">
        <v>1.25</v>
      </c>
      <c r="G924" s="317">
        <v>0</v>
      </c>
      <c r="H924" s="319">
        <v>8.06</v>
      </c>
      <c r="I924" s="320">
        <v>9</v>
      </c>
      <c r="J924" s="320">
        <v>1.6</v>
      </c>
      <c r="K924" s="57">
        <f t="shared" si="70"/>
        <v>0.104134</v>
      </c>
      <c r="L924" s="310">
        <f t="shared" si="71"/>
        <v>8.9520000000000002E-2</v>
      </c>
      <c r="M924" s="405">
        <f t="shared" si="72"/>
        <v>1.4880333427598453</v>
      </c>
      <c r="N924" s="63">
        <f t="shared" si="73"/>
        <v>4.4165452939724945</v>
      </c>
    </row>
    <row r="925" spans="1:14" ht="18" x14ac:dyDescent="0.25">
      <c r="A925" s="317" t="s">
        <v>1707</v>
      </c>
      <c r="B925" s="317"/>
      <c r="C925" s="317">
        <v>0.36</v>
      </c>
      <c r="D925" s="317">
        <v>2.95</v>
      </c>
      <c r="E925" s="318">
        <v>14.58</v>
      </c>
      <c r="F925" s="317">
        <v>4.12</v>
      </c>
      <c r="G925" s="317">
        <v>5.2</v>
      </c>
      <c r="H925" s="319">
        <v>47.09</v>
      </c>
      <c r="I925" s="320">
        <v>45.5</v>
      </c>
      <c r="J925" s="320">
        <v>2.9</v>
      </c>
      <c r="K925" s="57">
        <f t="shared" si="70"/>
        <v>5.8948E-2</v>
      </c>
      <c r="L925" s="310">
        <f t="shared" si="71"/>
        <v>3.5388349514563107E-2</v>
      </c>
      <c r="M925" s="405">
        <f t="shared" si="72"/>
        <v>21.919028522905304</v>
      </c>
      <c r="N925" s="63">
        <f t="shared" si="73"/>
        <v>1.1483616370493395</v>
      </c>
    </row>
    <row r="926" spans="1:14" ht="18" x14ac:dyDescent="0.25">
      <c r="A926" s="317" t="s">
        <v>3310</v>
      </c>
      <c r="B926" s="317" t="s">
        <v>3311</v>
      </c>
      <c r="C926" s="317">
        <v>0.87</v>
      </c>
      <c r="D926" s="317">
        <v>1.72</v>
      </c>
      <c r="E926" s="318">
        <v>12.99</v>
      </c>
      <c r="F926" s="317">
        <v>1.8</v>
      </c>
      <c r="G926" s="317">
        <v>1.8</v>
      </c>
      <c r="H926" s="319">
        <v>21.69</v>
      </c>
      <c r="I926" s="320">
        <v>23</v>
      </c>
      <c r="J926" s="320">
        <v>2.2999999999999998</v>
      </c>
      <c r="K926" s="57">
        <f t="shared" si="70"/>
        <v>8.1541000000000002E-2</v>
      </c>
      <c r="L926" s="310">
        <f t="shared" si="71"/>
        <v>7.2166666666666671E-2</v>
      </c>
      <c r="M926" s="405">
        <f t="shared" si="72"/>
        <v>34.485368418666987</v>
      </c>
      <c r="N926" s="63">
        <f t="shared" si="73"/>
        <v>-0.37103760247899314</v>
      </c>
    </row>
    <row r="927" spans="1:14" ht="18" x14ac:dyDescent="0.25">
      <c r="A927" s="317" t="s">
        <v>4946</v>
      </c>
      <c r="B927" s="317"/>
      <c r="C927" s="317"/>
      <c r="D927" s="317"/>
      <c r="E927" s="318"/>
      <c r="F927" s="317"/>
      <c r="G927" s="317"/>
      <c r="H927" s="319">
        <v>14.44</v>
      </c>
      <c r="I927" s="320"/>
      <c r="J927" s="320"/>
      <c r="K927" s="57">
        <f t="shared" si="70"/>
        <v>4.2999999999999997E-2</v>
      </c>
      <c r="L927" s="310" t="e">
        <f t="shared" si="71"/>
        <v>#DIV/0!</v>
      </c>
      <c r="M927" s="405" t="e">
        <f t="shared" si="72"/>
        <v>#DIV/0!</v>
      </c>
      <c r="N927" s="63" t="e">
        <f t="shared" si="73"/>
        <v>#DIV/0!</v>
      </c>
    </row>
    <row r="928" spans="1:14" ht="18" x14ac:dyDescent="0.25">
      <c r="A928" s="317" t="s">
        <v>3312</v>
      </c>
      <c r="B928" s="317" t="s">
        <v>2540</v>
      </c>
      <c r="C928" s="317">
        <v>1.36</v>
      </c>
      <c r="D928" s="317">
        <v>5.2</v>
      </c>
      <c r="E928" s="318">
        <v>12.19</v>
      </c>
      <c r="F928" s="317">
        <v>2.4300000000000002</v>
      </c>
      <c r="G928" s="317">
        <v>1.6</v>
      </c>
      <c r="H928" s="319">
        <v>90.6</v>
      </c>
      <c r="I928" s="320">
        <v>106</v>
      </c>
      <c r="J928" s="320">
        <v>2.2000000000000002</v>
      </c>
      <c r="K928" s="57">
        <f t="shared" si="70"/>
        <v>0.10324800000000001</v>
      </c>
      <c r="L928" s="310">
        <f t="shared" si="71"/>
        <v>5.0164609053497934E-2</v>
      </c>
      <c r="M928" s="405">
        <f t="shared" si="72"/>
        <v>60.615456364775184</v>
      </c>
      <c r="N928" s="63">
        <f t="shared" si="73"/>
        <v>0.49466828154822584</v>
      </c>
    </row>
    <row r="929" spans="1:14" ht="18" x14ac:dyDescent="0.25">
      <c r="A929" s="317" t="s">
        <v>4969</v>
      </c>
      <c r="B929" s="317" t="s">
        <v>1132</v>
      </c>
      <c r="C929" s="317">
        <v>1.38</v>
      </c>
      <c r="D929" s="317">
        <v>2.21</v>
      </c>
      <c r="E929" s="318">
        <v>12.03</v>
      </c>
      <c r="F929" s="317">
        <v>0.63</v>
      </c>
      <c r="G929" s="317">
        <v>2.7</v>
      </c>
      <c r="H929" s="319">
        <v>29.47</v>
      </c>
      <c r="I929" s="320">
        <v>36.700000000000003</v>
      </c>
      <c r="J929" s="320">
        <v>3</v>
      </c>
      <c r="K929" s="57">
        <f t="shared" si="70"/>
        <v>0.104134</v>
      </c>
      <c r="L929" s="310">
        <f t="shared" si="71"/>
        <v>0.19095238095238096</v>
      </c>
      <c r="M929" s="405">
        <f t="shared" si="72"/>
        <v>38.581619811655187</v>
      </c>
      <c r="N929" s="63">
        <f t="shared" si="73"/>
        <v>-0.23616478147199627</v>
      </c>
    </row>
    <row r="930" spans="1:14" ht="18" x14ac:dyDescent="0.25">
      <c r="A930" s="317" t="s">
        <v>2541</v>
      </c>
      <c r="B930" s="317" t="s">
        <v>2542</v>
      </c>
      <c r="C930" s="317">
        <v>1.2</v>
      </c>
      <c r="D930" s="317">
        <v>-2.97</v>
      </c>
      <c r="E930" s="318">
        <v>25.59</v>
      </c>
      <c r="F930" s="317">
        <v>-4.58</v>
      </c>
      <c r="G930" s="317">
        <v>0</v>
      </c>
      <c r="H930" s="319">
        <v>8.19</v>
      </c>
      <c r="I930" s="320">
        <v>9</v>
      </c>
      <c r="J930" s="320">
        <v>2.8</v>
      </c>
      <c r="K930" s="57">
        <f t="shared" si="70"/>
        <v>9.6159999999999995E-2</v>
      </c>
      <c r="L930" s="310">
        <f t="shared" si="71"/>
        <v>-5.5873362445414847E-2</v>
      </c>
      <c r="M930" s="405">
        <f t="shared" si="72"/>
        <v>-34.664295506406717</v>
      </c>
      <c r="N930" s="63">
        <f t="shared" si="73"/>
        <v>-1.2362661603345237</v>
      </c>
    </row>
    <row r="931" spans="1:14" ht="18" x14ac:dyDescent="0.25">
      <c r="A931" s="317" t="s">
        <v>1133</v>
      </c>
      <c r="B931" s="317" t="s">
        <v>1134</v>
      </c>
      <c r="C931" s="317">
        <v>1.77</v>
      </c>
      <c r="D931" s="317">
        <v>4.28</v>
      </c>
      <c r="E931" s="318">
        <v>15.41</v>
      </c>
      <c r="F931" s="317">
        <v>1.19</v>
      </c>
      <c r="G931" s="317">
        <v>1.7</v>
      </c>
      <c r="H931" s="319">
        <v>105.11</v>
      </c>
      <c r="I931" s="320">
        <v>125</v>
      </c>
      <c r="J931" s="320">
        <v>2</v>
      </c>
      <c r="K931" s="57">
        <f t="shared" si="70"/>
        <v>0.12141100000000001</v>
      </c>
      <c r="L931" s="310">
        <f t="shared" si="71"/>
        <v>0.12949579831932773</v>
      </c>
      <c r="M931" s="405">
        <f t="shared" si="72"/>
        <v>42.903991449364426</v>
      </c>
      <c r="N931" s="63">
        <f t="shared" si="73"/>
        <v>1.4498886105748812</v>
      </c>
    </row>
    <row r="932" spans="1:14" ht="18" x14ac:dyDescent="0.25">
      <c r="A932" s="317" t="s">
        <v>1135</v>
      </c>
      <c r="B932" s="317" t="s">
        <v>1136</v>
      </c>
      <c r="C932" s="317">
        <v>5.2</v>
      </c>
      <c r="D932" s="317">
        <v>0.85</v>
      </c>
      <c r="E932" s="318">
        <v>13.6</v>
      </c>
      <c r="F932" s="317">
        <v>1.32</v>
      </c>
      <c r="G932" s="317">
        <v>0</v>
      </c>
      <c r="H932" s="319">
        <v>11.83</v>
      </c>
      <c r="I932" s="320">
        <v>14</v>
      </c>
      <c r="J932" s="320">
        <v>1.6</v>
      </c>
      <c r="K932" s="57">
        <f t="shared" si="70"/>
        <v>0.27336000000000005</v>
      </c>
      <c r="L932" s="310">
        <f t="shared" si="71"/>
        <v>0.10303030303030303</v>
      </c>
      <c r="M932" s="405">
        <f t="shared" si="72"/>
        <v>5.0017916775208136</v>
      </c>
      <c r="N932" s="63">
        <f t="shared" si="73"/>
        <v>1.3651524818929792</v>
      </c>
    </row>
    <row r="933" spans="1:14" ht="18" x14ac:dyDescent="0.25">
      <c r="A933" s="317" t="s">
        <v>942</v>
      </c>
      <c r="B933" s="317" t="s">
        <v>3617</v>
      </c>
      <c r="C933" s="317">
        <v>2.2999999999999998</v>
      </c>
      <c r="D933" s="317">
        <v>-0.13</v>
      </c>
      <c r="E933" s="318">
        <v>10.95</v>
      </c>
      <c r="F933" s="317">
        <v>3.91</v>
      </c>
      <c r="G933" s="317">
        <v>0</v>
      </c>
      <c r="H933" s="319">
        <v>6.02</v>
      </c>
      <c r="I933" s="320">
        <v>8</v>
      </c>
      <c r="J933" s="320">
        <v>1.4</v>
      </c>
      <c r="K933" s="57">
        <f t="shared" si="70"/>
        <v>0.14489000000000002</v>
      </c>
      <c r="L933" s="310">
        <f t="shared" si="71"/>
        <v>2.8005115089514067E-2</v>
      </c>
      <c r="M933" s="405">
        <f t="shared" si="72"/>
        <v>-1.2269594344013561</v>
      </c>
      <c r="N933" s="63">
        <f t="shared" si="73"/>
        <v>-5.9064376793656663</v>
      </c>
    </row>
    <row r="934" spans="1:14" ht="18" x14ac:dyDescent="0.25">
      <c r="A934" s="317" t="s">
        <v>1137</v>
      </c>
      <c r="B934" s="317" t="s">
        <v>1138</v>
      </c>
      <c r="C934" s="317">
        <v>1.45</v>
      </c>
      <c r="D934" s="317">
        <v>2.1800000000000002</v>
      </c>
      <c r="E934" s="318">
        <v>11.02</v>
      </c>
      <c r="F934" s="317">
        <v>4.0199999999999996</v>
      </c>
      <c r="G934" s="317">
        <v>2.8</v>
      </c>
      <c r="H934" s="319">
        <v>28.21</v>
      </c>
      <c r="I934" s="320">
        <v>32</v>
      </c>
      <c r="J934" s="320">
        <v>1.9</v>
      </c>
      <c r="K934" s="57">
        <f t="shared" si="70"/>
        <v>0.107235</v>
      </c>
      <c r="L934" s="310">
        <f t="shared" si="71"/>
        <v>2.7412935323383087E-2</v>
      </c>
      <c r="M934" s="405">
        <f t="shared" si="72"/>
        <v>19.442217819060016</v>
      </c>
      <c r="N934" s="63">
        <f t="shared" si="73"/>
        <v>0.45096615327211093</v>
      </c>
    </row>
    <row r="935" spans="1:14" ht="18" x14ac:dyDescent="0.25">
      <c r="A935" s="317" t="s">
        <v>2543</v>
      </c>
      <c r="B935" s="317" t="s">
        <v>2544</v>
      </c>
      <c r="C935" s="317">
        <v>0.88</v>
      </c>
      <c r="D935" s="317">
        <v>3.25</v>
      </c>
      <c r="E935" s="318">
        <v>15.07</v>
      </c>
      <c r="F935" s="317">
        <v>1.92</v>
      </c>
      <c r="G935" s="317">
        <v>1</v>
      </c>
      <c r="H935" s="319">
        <v>28.03</v>
      </c>
      <c r="I935" s="320">
        <v>28</v>
      </c>
      <c r="J935" s="320">
        <v>2.6</v>
      </c>
      <c r="K935" s="57">
        <f t="shared" si="70"/>
        <v>8.1984000000000001E-2</v>
      </c>
      <c r="L935" s="310">
        <f t="shared" si="71"/>
        <v>7.8489583333333335E-2</v>
      </c>
      <c r="M935" s="405">
        <f t="shared" si="72"/>
        <v>78.297902989413828</v>
      </c>
      <c r="N935" s="63">
        <f t="shared" si="73"/>
        <v>-0.64200829230650325</v>
      </c>
    </row>
    <row r="936" spans="1:14" ht="18" x14ac:dyDescent="0.25">
      <c r="A936" s="317" t="s">
        <v>4287</v>
      </c>
      <c r="B936" s="317" t="s">
        <v>4288</v>
      </c>
      <c r="C936" s="317">
        <v>1.64</v>
      </c>
      <c r="D936" s="317">
        <v>12.7</v>
      </c>
      <c r="E936" s="318">
        <v>8.02</v>
      </c>
      <c r="F936" s="317">
        <v>0.59</v>
      </c>
      <c r="G936" s="317">
        <v>0.8</v>
      </c>
      <c r="H936" s="319">
        <v>109.44</v>
      </c>
      <c r="I936" s="320">
        <v>131</v>
      </c>
      <c r="J936" s="320">
        <v>2.5</v>
      </c>
      <c r="K936" s="57">
        <f t="shared" si="70"/>
        <v>0.115652</v>
      </c>
      <c r="L936" s="310">
        <f t="shared" si="71"/>
        <v>0.1359322033898305</v>
      </c>
      <c r="M936" s="405">
        <f t="shared" si="72"/>
        <v>223.75527338447233</v>
      </c>
      <c r="N936" s="63">
        <f t="shared" si="73"/>
        <v>-0.51089420890674453</v>
      </c>
    </row>
    <row r="937" spans="1:14" ht="18" x14ac:dyDescent="0.25">
      <c r="A937" s="317" t="s">
        <v>648</v>
      </c>
      <c r="B937" s="317" t="s">
        <v>649</v>
      </c>
      <c r="C937" s="317">
        <v>3.24</v>
      </c>
      <c r="D937" s="317">
        <v>2.97</v>
      </c>
      <c r="E937" s="318">
        <v>7.05</v>
      </c>
      <c r="F937" s="317">
        <v>0.83</v>
      </c>
      <c r="G937" s="317">
        <v>2.1</v>
      </c>
      <c r="H937" s="319">
        <v>24.88</v>
      </c>
      <c r="I937" s="320">
        <v>30</v>
      </c>
      <c r="J937" s="320">
        <v>2.8</v>
      </c>
      <c r="K937" s="57">
        <f t="shared" si="70"/>
        <v>0.18653200000000003</v>
      </c>
      <c r="L937" s="310">
        <f t="shared" si="71"/>
        <v>8.4939759036144591E-2</v>
      </c>
      <c r="M937" s="405">
        <f t="shared" si="72"/>
        <v>20.706579482460107</v>
      </c>
      <c r="N937" s="63">
        <f t="shared" si="73"/>
        <v>0.2015504550655054</v>
      </c>
    </row>
    <row r="938" spans="1:14" ht="18" x14ac:dyDescent="0.25">
      <c r="A938" s="317" t="s">
        <v>1883</v>
      </c>
      <c r="B938" s="317" t="s">
        <v>1884</v>
      </c>
      <c r="C938" s="317">
        <v>3.48</v>
      </c>
      <c r="D938" s="317">
        <v>0.6</v>
      </c>
      <c r="E938" s="318">
        <v>11.26</v>
      </c>
      <c r="F938" s="317">
        <v>1.0900000000000001</v>
      </c>
      <c r="G938" s="317">
        <v>0</v>
      </c>
      <c r="H938" s="319">
        <v>8.33</v>
      </c>
      <c r="I938" s="320">
        <v>11</v>
      </c>
      <c r="J938" s="320">
        <v>2</v>
      </c>
      <c r="K938" s="57">
        <f t="shared" si="70"/>
        <v>0.19716400000000001</v>
      </c>
      <c r="L938" s="310">
        <f t="shared" si="71"/>
        <v>0.10330275229357797</v>
      </c>
      <c r="M938" s="405">
        <f t="shared" si="72"/>
        <v>5.0401166704746929</v>
      </c>
      <c r="N938" s="63">
        <f t="shared" si="73"/>
        <v>0.65273951866980418</v>
      </c>
    </row>
    <row r="939" spans="1:14" ht="18" x14ac:dyDescent="0.25">
      <c r="A939" s="317" t="s">
        <v>2545</v>
      </c>
      <c r="B939" s="317" t="s">
        <v>2546</v>
      </c>
      <c r="C939" s="317">
        <v>2.84</v>
      </c>
      <c r="D939" s="317">
        <v>-2.64</v>
      </c>
      <c r="E939" s="318">
        <v>22.07</v>
      </c>
      <c r="F939" s="317">
        <v>2.5499999999999998</v>
      </c>
      <c r="G939" s="317">
        <v>2.8</v>
      </c>
      <c r="H939" s="319">
        <v>16.11</v>
      </c>
      <c r="I939" s="320">
        <v>15.25</v>
      </c>
      <c r="J939" s="320">
        <v>2.8</v>
      </c>
      <c r="K939" s="57">
        <f t="shared" si="70"/>
        <v>0.16881200000000002</v>
      </c>
      <c r="L939" s="310">
        <f t="shared" si="71"/>
        <v>8.6549019607843156E-2</v>
      </c>
      <c r="M939" s="405">
        <f t="shared" si="72"/>
        <v>-29.585973271879865</v>
      </c>
      <c r="N939" s="63">
        <f t="shared" si="73"/>
        <v>-1.5445147892197897</v>
      </c>
    </row>
    <row r="940" spans="1:14" ht="18" x14ac:dyDescent="0.25">
      <c r="A940" s="317" t="s">
        <v>2547</v>
      </c>
      <c r="B940" s="317" t="s">
        <v>3347</v>
      </c>
      <c r="C940" s="317">
        <v>1.1399999999999999</v>
      </c>
      <c r="D940" s="317">
        <v>2.2999999999999998</v>
      </c>
      <c r="E940" s="318">
        <v>17.52</v>
      </c>
      <c r="F940" s="317">
        <v>1.81</v>
      </c>
      <c r="G940" s="317">
        <v>1.2</v>
      </c>
      <c r="H940" s="319">
        <v>56.4</v>
      </c>
      <c r="I940" s="320">
        <v>60.5</v>
      </c>
      <c r="J940" s="320">
        <v>2.6</v>
      </c>
      <c r="K940" s="57">
        <f t="shared" si="70"/>
        <v>9.3502000000000002E-2</v>
      </c>
      <c r="L940" s="310">
        <f t="shared" si="71"/>
        <v>9.6795580110497229E-2</v>
      </c>
      <c r="M940" s="405">
        <f t="shared" si="72"/>
        <v>36.821305772005232</v>
      </c>
      <c r="N940" s="63">
        <f t="shared" si="73"/>
        <v>0.5317218881162058</v>
      </c>
    </row>
    <row r="941" spans="1:14" ht="18" x14ac:dyDescent="0.25">
      <c r="A941" s="317" t="s">
        <v>1139</v>
      </c>
      <c r="B941" s="317" t="s">
        <v>1140</v>
      </c>
      <c r="C941" s="317">
        <v>1.88</v>
      </c>
      <c r="D941" s="317">
        <v>2.17</v>
      </c>
      <c r="E941" s="318">
        <v>12.99</v>
      </c>
      <c r="F941" s="317">
        <v>1.03</v>
      </c>
      <c r="G941" s="317">
        <v>0.5</v>
      </c>
      <c r="H941" s="319">
        <v>35.97</v>
      </c>
      <c r="I941" s="320">
        <v>42</v>
      </c>
      <c r="J941" s="320">
        <v>1.9</v>
      </c>
      <c r="K941" s="57">
        <f t="shared" si="70"/>
        <v>0.12628400000000001</v>
      </c>
      <c r="L941" s="310">
        <f t="shared" si="71"/>
        <v>0.12611650485436893</v>
      </c>
      <c r="M941" s="405">
        <f t="shared" si="72"/>
        <v>31.97462407199334</v>
      </c>
      <c r="N941" s="63">
        <f t="shared" si="73"/>
        <v>0.12495458645614602</v>
      </c>
    </row>
    <row r="942" spans="1:14" ht="18" x14ac:dyDescent="0.25">
      <c r="A942" s="317" t="s">
        <v>3348</v>
      </c>
      <c r="B942" s="317" t="s">
        <v>3349</v>
      </c>
      <c r="C942" s="317">
        <v>0.85</v>
      </c>
      <c r="D942" s="317">
        <v>3.92</v>
      </c>
      <c r="E942" s="318">
        <v>13.66</v>
      </c>
      <c r="F942" s="317">
        <v>1.63</v>
      </c>
      <c r="G942" s="317">
        <v>3.7</v>
      </c>
      <c r="H942" s="319">
        <v>68.86</v>
      </c>
      <c r="I942" s="320">
        <v>72</v>
      </c>
      <c r="J942" s="320">
        <v>2.2000000000000002</v>
      </c>
      <c r="K942" s="57">
        <f t="shared" si="70"/>
        <v>8.0655000000000004E-2</v>
      </c>
      <c r="L942" s="310">
        <f t="shared" si="71"/>
        <v>8.3803680981595102E-2</v>
      </c>
      <c r="M942" s="405">
        <f t="shared" si="72"/>
        <v>38.07975217042523</v>
      </c>
      <c r="N942" s="63">
        <f t="shared" si="73"/>
        <v>0.80831008804412219</v>
      </c>
    </row>
    <row r="943" spans="1:14" ht="18" x14ac:dyDescent="0.25">
      <c r="A943" s="317" t="s">
        <v>1602</v>
      </c>
      <c r="B943" s="317" t="s">
        <v>1603</v>
      </c>
      <c r="C943" s="317">
        <v>1.31</v>
      </c>
      <c r="D943" s="317">
        <v>5.74</v>
      </c>
      <c r="E943" s="318">
        <v>9.84</v>
      </c>
      <c r="F943" s="317">
        <v>1.88</v>
      </c>
      <c r="G943" s="317">
        <v>2.2000000000000002</v>
      </c>
      <c r="H943" s="319">
        <v>63.44</v>
      </c>
      <c r="I943" s="320">
        <v>73</v>
      </c>
      <c r="J943" s="320">
        <v>1.8</v>
      </c>
      <c r="K943" s="57">
        <f t="shared" si="70"/>
        <v>0.10103300000000001</v>
      </c>
      <c r="L943" s="310">
        <f t="shared" si="71"/>
        <v>5.2340425531914897E-2</v>
      </c>
      <c r="M943" s="405">
        <f t="shared" si="72"/>
        <v>73.163869081043785</v>
      </c>
      <c r="N943" s="63">
        <f t="shared" si="73"/>
        <v>-0.13290534253010369</v>
      </c>
    </row>
    <row r="944" spans="1:14" ht="18" x14ac:dyDescent="0.25">
      <c r="A944" s="317" t="s">
        <v>3350</v>
      </c>
      <c r="B944" s="317" t="s">
        <v>3351</v>
      </c>
      <c r="C944" s="317">
        <v>0.56000000000000005</v>
      </c>
      <c r="D944" s="317">
        <v>3.12</v>
      </c>
      <c r="E944" s="318">
        <v>12.95</v>
      </c>
      <c r="F944" s="317">
        <v>2.2400000000000002</v>
      </c>
      <c r="G944" s="317">
        <v>4.8</v>
      </c>
      <c r="H944" s="319">
        <v>44.03</v>
      </c>
      <c r="I944" s="320">
        <v>45</v>
      </c>
      <c r="J944" s="320">
        <v>2.6</v>
      </c>
      <c r="K944" s="57">
        <f t="shared" si="70"/>
        <v>6.7808000000000007E-2</v>
      </c>
      <c r="L944" s="310">
        <f t="shared" si="71"/>
        <v>5.7812499999999989E-2</v>
      </c>
      <c r="M944" s="405">
        <f t="shared" si="72"/>
        <v>35.130694535872308</v>
      </c>
      <c r="N944" s="63">
        <f t="shared" si="73"/>
        <v>0.25331994091493187</v>
      </c>
    </row>
    <row r="945" spans="1:14" ht="18" x14ac:dyDescent="0.25">
      <c r="A945" s="317" t="s">
        <v>1141</v>
      </c>
      <c r="B945" s="317" t="s">
        <v>1142</v>
      </c>
      <c r="C945" s="317">
        <v>2.75</v>
      </c>
      <c r="D945" s="317">
        <v>1.69</v>
      </c>
      <c r="E945" s="318">
        <v>12.84</v>
      </c>
      <c r="F945" s="317">
        <v>1.46</v>
      </c>
      <c r="G945" s="317">
        <v>1.1000000000000001</v>
      </c>
      <c r="H945" s="319">
        <v>14.51</v>
      </c>
      <c r="I945" s="320">
        <v>18</v>
      </c>
      <c r="J945" s="320">
        <v>1.6</v>
      </c>
      <c r="K945" s="57">
        <f t="shared" si="70"/>
        <v>0.164825</v>
      </c>
      <c r="L945" s="310">
        <f t="shared" si="71"/>
        <v>8.794520547945206E-2</v>
      </c>
      <c r="M945" s="405">
        <f t="shared" si="72"/>
        <v>15.150087009943189</v>
      </c>
      <c r="N945" s="63">
        <f t="shared" si="73"/>
        <v>-4.2249725003103401E-2</v>
      </c>
    </row>
    <row r="946" spans="1:14" ht="18" x14ac:dyDescent="0.25">
      <c r="A946" s="317" t="s">
        <v>3352</v>
      </c>
      <c r="B946" s="317" t="s">
        <v>3353</v>
      </c>
      <c r="C946" s="317">
        <v>0.52</v>
      </c>
      <c r="D946" s="317">
        <v>0.14000000000000001</v>
      </c>
      <c r="E946" s="318">
        <v>14.89</v>
      </c>
      <c r="F946" s="317">
        <v>2.33</v>
      </c>
      <c r="G946" s="317">
        <v>5.6</v>
      </c>
      <c r="H946" s="319">
        <v>19.36</v>
      </c>
      <c r="I946" s="320">
        <v>18</v>
      </c>
      <c r="J946" s="320">
        <v>2.6</v>
      </c>
      <c r="K946" s="57">
        <f t="shared" si="70"/>
        <v>6.6035999999999997E-2</v>
      </c>
      <c r="L946" s="310">
        <f t="shared" si="71"/>
        <v>6.3905579399141627E-2</v>
      </c>
      <c r="M946" s="405">
        <f t="shared" si="72"/>
        <v>-35.823401565300557</v>
      </c>
      <c r="N946" s="63">
        <f t="shared" si="73"/>
        <v>-1.5404288580666941</v>
      </c>
    </row>
    <row r="947" spans="1:14" ht="18" x14ac:dyDescent="0.25">
      <c r="A947" s="317" t="s">
        <v>5093</v>
      </c>
      <c r="B947" s="317"/>
      <c r="C947" s="317">
        <v>0.97</v>
      </c>
      <c r="D947" s="317">
        <v>1.98</v>
      </c>
      <c r="E947" s="318">
        <v>13.96</v>
      </c>
      <c r="F947" s="317">
        <v>1.08</v>
      </c>
      <c r="G947" s="317">
        <v>0.5</v>
      </c>
      <c r="H947" s="319">
        <v>53.88</v>
      </c>
      <c r="I947" s="320">
        <v>65</v>
      </c>
      <c r="J947" s="320">
        <v>2.2000000000000002</v>
      </c>
      <c r="K947" s="57">
        <f t="shared" si="70"/>
        <v>8.5970999999999992E-2</v>
      </c>
      <c r="L947" s="310">
        <f t="shared" si="71"/>
        <v>0.12925925925925927</v>
      </c>
      <c r="M947" s="405">
        <f t="shared" si="72"/>
        <v>50.883122611140294</v>
      </c>
      <c r="N947" s="63">
        <f t="shared" si="73"/>
        <v>5.8897277428558902E-2</v>
      </c>
    </row>
    <row r="948" spans="1:14" ht="18" x14ac:dyDescent="0.25">
      <c r="A948" s="317" t="s">
        <v>1143</v>
      </c>
      <c r="B948" s="317" t="s">
        <v>1144</v>
      </c>
      <c r="C948" s="317">
        <v>1.26</v>
      </c>
      <c r="D948" s="317">
        <v>1.67</v>
      </c>
      <c r="E948" s="318">
        <v>16.21</v>
      </c>
      <c r="F948" s="317">
        <v>1.29</v>
      </c>
      <c r="G948" s="317">
        <v>0.5</v>
      </c>
      <c r="H948" s="319">
        <v>37.76</v>
      </c>
      <c r="I948" s="320">
        <v>47</v>
      </c>
      <c r="J948" s="320">
        <v>2.2999999999999998</v>
      </c>
      <c r="K948" s="57">
        <f t="shared" si="70"/>
        <v>9.8818000000000003E-2</v>
      </c>
      <c r="L948" s="310">
        <f t="shared" si="71"/>
        <v>0.12565891472868218</v>
      </c>
      <c r="M948" s="405">
        <f t="shared" si="72"/>
        <v>34.38001978208154</v>
      </c>
      <c r="N948" s="63">
        <f t="shared" si="73"/>
        <v>9.831234069504706E-2</v>
      </c>
    </row>
    <row r="949" spans="1:14" ht="18" x14ac:dyDescent="0.25">
      <c r="A949" s="317" t="s">
        <v>3354</v>
      </c>
      <c r="B949" s="317" t="s">
        <v>3355</v>
      </c>
      <c r="C949" s="317">
        <v>1.31</v>
      </c>
      <c r="D949" s="317">
        <v>4.63</v>
      </c>
      <c r="E949" s="318">
        <v>12.81</v>
      </c>
      <c r="F949" s="317">
        <v>1.57</v>
      </c>
      <c r="G949" s="317">
        <v>2.4</v>
      </c>
      <c r="H949" s="319">
        <v>91.3</v>
      </c>
      <c r="I949" s="320">
        <v>100</v>
      </c>
      <c r="J949" s="320">
        <v>2.6</v>
      </c>
      <c r="K949" s="57">
        <f t="shared" si="70"/>
        <v>0.10103300000000001</v>
      </c>
      <c r="L949" s="310">
        <f t="shared" si="71"/>
        <v>8.1592356687898077E-2</v>
      </c>
      <c r="M949" s="405">
        <f t="shared" si="72"/>
        <v>46.076030051437208</v>
      </c>
      <c r="N949" s="63">
        <f t="shared" si="73"/>
        <v>0.98150751916076062</v>
      </c>
    </row>
    <row r="950" spans="1:14" ht="18" x14ac:dyDescent="0.25">
      <c r="A950" s="317" t="s">
        <v>3356</v>
      </c>
      <c r="B950" s="317" t="s">
        <v>3357</v>
      </c>
      <c r="C950" s="317">
        <v>0.44</v>
      </c>
      <c r="D950" s="317">
        <v>2.16</v>
      </c>
      <c r="E950" s="318">
        <v>11.26</v>
      </c>
      <c r="F950" s="317">
        <v>-8.19</v>
      </c>
      <c r="G950" s="317">
        <v>5.0999999999999996</v>
      </c>
      <c r="H950" s="319">
        <v>27.36</v>
      </c>
      <c r="I950" s="320">
        <v>28.5</v>
      </c>
      <c r="J950" s="320">
        <v>2.4</v>
      </c>
      <c r="K950" s="57">
        <f t="shared" si="70"/>
        <v>6.2491999999999999E-2</v>
      </c>
      <c r="L950" s="310">
        <f t="shared" si="71"/>
        <v>-1.3748473748473749E-2</v>
      </c>
      <c r="M950" s="405">
        <f t="shared" si="72"/>
        <v>23.203306750433537</v>
      </c>
      <c r="N950" s="63">
        <f t="shared" si="73"/>
        <v>0.17914227891198298</v>
      </c>
    </row>
    <row r="951" spans="1:14" ht="18" x14ac:dyDescent="0.25">
      <c r="A951" s="317" t="s">
        <v>1145</v>
      </c>
      <c r="B951" s="317" t="s">
        <v>1146</v>
      </c>
      <c r="C951" s="317">
        <v>1.19</v>
      </c>
      <c r="D951" s="317">
        <v>4.3499999999999996</v>
      </c>
      <c r="E951" s="318">
        <v>12.84</v>
      </c>
      <c r="F951" s="317">
        <v>0.9</v>
      </c>
      <c r="G951" s="317">
        <v>0</v>
      </c>
      <c r="H951" s="319">
        <v>84.6</v>
      </c>
      <c r="I951" s="320">
        <v>98</v>
      </c>
      <c r="J951" s="320">
        <v>1.6</v>
      </c>
      <c r="K951" s="57">
        <f t="shared" si="70"/>
        <v>9.5716999999999997E-2</v>
      </c>
      <c r="L951" s="310">
        <f t="shared" si="71"/>
        <v>0.14266666666666666</v>
      </c>
      <c r="M951" s="405">
        <f t="shared" si="72"/>
        <v>113.54114702541551</v>
      </c>
      <c r="N951" s="63">
        <f t="shared" si="73"/>
        <v>-0.25489567248195238</v>
      </c>
    </row>
    <row r="952" spans="1:14" ht="18" x14ac:dyDescent="0.25">
      <c r="A952" s="317" t="s">
        <v>1147</v>
      </c>
      <c r="B952" s="317" t="s">
        <v>1148</v>
      </c>
      <c r="C952" s="317">
        <v>1.1499999999999999</v>
      </c>
      <c r="D952" s="317">
        <v>1.02</v>
      </c>
      <c r="E952" s="318">
        <v>14.33</v>
      </c>
      <c r="F952" s="317">
        <v>1.1499999999999999</v>
      </c>
      <c r="G952" s="317">
        <v>0</v>
      </c>
      <c r="H952" s="319">
        <v>28.51</v>
      </c>
      <c r="I952" s="320">
        <v>35</v>
      </c>
      <c r="J952" s="320">
        <v>1.4</v>
      </c>
      <c r="K952" s="57">
        <f t="shared" si="70"/>
        <v>9.3945000000000001E-2</v>
      </c>
      <c r="L952" s="310">
        <f t="shared" si="71"/>
        <v>0.12460869565217392</v>
      </c>
      <c r="M952" s="405">
        <f t="shared" si="72"/>
        <v>25.606254017667247</v>
      </c>
      <c r="N952" s="63">
        <f t="shared" si="73"/>
        <v>0.11339987412173959</v>
      </c>
    </row>
    <row r="953" spans="1:14" ht="18" x14ac:dyDescent="0.25">
      <c r="A953" s="317" t="s">
        <v>4289</v>
      </c>
      <c r="B953" s="317" t="s">
        <v>4290</v>
      </c>
      <c r="C953" s="317">
        <v>1.82</v>
      </c>
      <c r="D953" s="317">
        <v>6.33</v>
      </c>
      <c r="E953" s="318">
        <v>0</v>
      </c>
      <c r="F953" s="317">
        <v>0</v>
      </c>
      <c r="G953" s="317">
        <v>0</v>
      </c>
      <c r="H953" s="319">
        <v>4.74</v>
      </c>
      <c r="I953" s="320">
        <v>5</v>
      </c>
      <c r="J953" s="320">
        <v>0</v>
      </c>
      <c r="K953" s="57">
        <f t="shared" si="70"/>
        <v>0.12362600000000001</v>
      </c>
      <c r="L953" s="310" t="e">
        <f t="shared" si="71"/>
        <v>#DIV/0!</v>
      </c>
      <c r="M953" s="405" t="e">
        <f t="shared" si="72"/>
        <v>#DIV/0!</v>
      </c>
      <c r="N953" s="63" t="e">
        <f t="shared" si="73"/>
        <v>#DIV/0!</v>
      </c>
    </row>
    <row r="954" spans="1:14" ht="18" x14ac:dyDescent="0.25">
      <c r="A954" s="317" t="s">
        <v>4291</v>
      </c>
      <c r="B954" s="317" t="s">
        <v>4292</v>
      </c>
      <c r="C954" s="317">
        <v>2.0099999999999998</v>
      </c>
      <c r="D954" s="317">
        <v>1.78</v>
      </c>
      <c r="E954" s="318">
        <v>9.0500000000000007</v>
      </c>
      <c r="F954" s="317">
        <v>1.25</v>
      </c>
      <c r="G954" s="317">
        <v>0</v>
      </c>
      <c r="H954" s="319">
        <v>14.12</v>
      </c>
      <c r="I954" s="320">
        <v>19</v>
      </c>
      <c r="J954" s="320">
        <v>2.2000000000000002</v>
      </c>
      <c r="K954" s="57">
        <f t="shared" si="70"/>
        <v>0.13204299999999999</v>
      </c>
      <c r="L954" s="310">
        <f t="shared" si="71"/>
        <v>7.2400000000000006E-2</v>
      </c>
      <c r="M954" s="405">
        <f t="shared" si="72"/>
        <v>22.14947099785244</v>
      </c>
      <c r="N954" s="63">
        <f t="shared" si="73"/>
        <v>-0.3625129917834588</v>
      </c>
    </row>
    <row r="955" spans="1:14" ht="18" x14ac:dyDescent="0.25">
      <c r="A955" s="317" t="s">
        <v>2714</v>
      </c>
      <c r="B955" s="317" t="s">
        <v>2715</v>
      </c>
      <c r="C955" s="317">
        <v>2.5499999999999998</v>
      </c>
      <c r="D955" s="317">
        <v>5.75</v>
      </c>
      <c r="E955" s="318">
        <v>8.33</v>
      </c>
      <c r="F955" s="317">
        <v>0.9</v>
      </c>
      <c r="G955" s="317">
        <v>1.8</v>
      </c>
      <c r="H955" s="319">
        <v>62.94</v>
      </c>
      <c r="I955" s="320">
        <v>75</v>
      </c>
      <c r="J955" s="320">
        <v>1.8</v>
      </c>
      <c r="K955" s="57">
        <f t="shared" si="70"/>
        <v>0.15596500000000002</v>
      </c>
      <c r="L955" s="310">
        <f t="shared" si="71"/>
        <v>9.2555555555555544E-2</v>
      </c>
      <c r="M955" s="405">
        <f t="shared" si="72"/>
        <v>49.715227907523776</v>
      </c>
      <c r="N955" s="63">
        <f t="shared" si="73"/>
        <v>0.26601048912168052</v>
      </c>
    </row>
    <row r="956" spans="1:14" ht="18" x14ac:dyDescent="0.25">
      <c r="A956" s="317" t="s">
        <v>1149</v>
      </c>
      <c r="B956" s="317" t="s">
        <v>1150</v>
      </c>
      <c r="C956" s="317">
        <v>1.28</v>
      </c>
      <c r="D956" s="317">
        <v>1.02</v>
      </c>
      <c r="E956" s="318">
        <v>16.98</v>
      </c>
      <c r="F956" s="317">
        <v>1.0900000000000001</v>
      </c>
      <c r="G956" s="317">
        <v>0</v>
      </c>
      <c r="H956" s="319">
        <v>23.94</v>
      </c>
      <c r="I956" s="320">
        <v>27</v>
      </c>
      <c r="J956" s="320">
        <v>1.9</v>
      </c>
      <c r="K956" s="57">
        <f t="shared" si="70"/>
        <v>9.9704000000000015E-2</v>
      </c>
      <c r="L956" s="310">
        <f t="shared" si="71"/>
        <v>0.15577981651376147</v>
      </c>
      <c r="M956" s="405">
        <f t="shared" si="72"/>
        <v>26.179259895035294</v>
      </c>
      <c r="N956" s="63">
        <f t="shared" si="73"/>
        <v>-8.5535645545883138E-2</v>
      </c>
    </row>
    <row r="957" spans="1:14" ht="18" x14ac:dyDescent="0.25">
      <c r="A957" s="317" t="s">
        <v>1229</v>
      </c>
      <c r="B957" s="317" t="s">
        <v>1230</v>
      </c>
      <c r="C957" s="317">
        <v>0.97</v>
      </c>
      <c r="D957" s="317">
        <v>2.5299999999999998</v>
      </c>
      <c r="E957" s="318">
        <v>19.45</v>
      </c>
      <c r="F957" s="317">
        <v>3.92</v>
      </c>
      <c r="G957" s="317">
        <v>2.7</v>
      </c>
      <c r="H957" s="319">
        <v>116.89</v>
      </c>
      <c r="I957" s="320">
        <v>110</v>
      </c>
      <c r="J957" s="320">
        <v>2.5</v>
      </c>
      <c r="K957" s="57">
        <f t="shared" si="70"/>
        <v>8.5970999999999992E-2</v>
      </c>
      <c r="L957" s="310">
        <f t="shared" si="71"/>
        <v>4.9617346938775508E-2</v>
      </c>
      <c r="M957" s="405">
        <f t="shared" si="72"/>
        <v>-13.494219390968558</v>
      </c>
      <c r="N957" s="63">
        <f t="shared" si="73"/>
        <v>-9.6622276260183231</v>
      </c>
    </row>
    <row r="958" spans="1:14" ht="18" x14ac:dyDescent="0.25">
      <c r="A958" s="317" t="s">
        <v>3436</v>
      </c>
      <c r="B958" s="317" t="s">
        <v>3437</v>
      </c>
      <c r="C958" s="317">
        <v>2.7</v>
      </c>
      <c r="D958" s="317">
        <v>0.24</v>
      </c>
      <c r="E958" s="318">
        <v>5.47</v>
      </c>
      <c r="F958" s="317">
        <v>0</v>
      </c>
      <c r="G958" s="317">
        <v>0</v>
      </c>
      <c r="H958" s="319">
        <v>4.16</v>
      </c>
      <c r="I958" s="320">
        <v>7</v>
      </c>
      <c r="J958" s="320">
        <v>1</v>
      </c>
      <c r="K958" s="57">
        <f t="shared" si="70"/>
        <v>0.16261000000000003</v>
      </c>
      <c r="L958" s="310" t="e">
        <f t="shared" si="71"/>
        <v>#DIV/0!</v>
      </c>
      <c r="M958" s="405" t="e">
        <f t="shared" si="72"/>
        <v>#DIV/0!</v>
      </c>
      <c r="N958" s="63" t="e">
        <f t="shared" si="73"/>
        <v>#DIV/0!</v>
      </c>
    </row>
    <row r="959" spans="1:14" ht="18" x14ac:dyDescent="0.25">
      <c r="A959" s="317" t="s">
        <v>4948</v>
      </c>
      <c r="B959" s="317"/>
      <c r="C959" s="317"/>
      <c r="D959" s="317"/>
      <c r="E959" s="318"/>
      <c r="F959" s="317"/>
      <c r="G959" s="317"/>
      <c r="H959" s="319">
        <v>46.23</v>
      </c>
      <c r="I959" s="320"/>
      <c r="J959" s="320"/>
      <c r="K959" s="57">
        <f t="shared" si="70"/>
        <v>4.2999999999999997E-2</v>
      </c>
      <c r="L959" s="310" t="e">
        <f t="shared" si="71"/>
        <v>#DIV/0!</v>
      </c>
      <c r="M959" s="405" t="e">
        <f t="shared" si="72"/>
        <v>#DIV/0!</v>
      </c>
      <c r="N959" s="63" t="e">
        <f t="shared" si="73"/>
        <v>#DIV/0!</v>
      </c>
    </row>
    <row r="960" spans="1:14" ht="18" x14ac:dyDescent="0.25">
      <c r="A960" s="317" t="s">
        <v>455</v>
      </c>
      <c r="B960" s="317" t="s">
        <v>456</v>
      </c>
      <c r="C960" s="317">
        <v>1.71</v>
      </c>
      <c r="D960" s="317">
        <v>1.98</v>
      </c>
      <c r="E960" s="318">
        <v>10.39</v>
      </c>
      <c r="F960" s="317">
        <v>0.74</v>
      </c>
      <c r="G960" s="317">
        <v>0.6</v>
      </c>
      <c r="H960" s="319">
        <v>17.25</v>
      </c>
      <c r="I960" s="320">
        <v>21</v>
      </c>
      <c r="J960" s="320">
        <v>3.3</v>
      </c>
      <c r="K960" s="57">
        <f t="shared" si="70"/>
        <v>0.11875300000000001</v>
      </c>
      <c r="L960" s="310">
        <f t="shared" si="71"/>
        <v>0.14040540540540541</v>
      </c>
      <c r="M960" s="405">
        <f t="shared" si="72"/>
        <v>34.709644711063149</v>
      </c>
      <c r="N960" s="63">
        <f t="shared" si="73"/>
        <v>-0.50301997777286855</v>
      </c>
    </row>
    <row r="961" spans="1:14" ht="18" x14ac:dyDescent="0.25">
      <c r="A961" s="317" t="s">
        <v>650</v>
      </c>
      <c r="B961" s="317" t="s">
        <v>651</v>
      </c>
      <c r="C961" s="317">
        <v>1.0900000000000001</v>
      </c>
      <c r="D961" s="317">
        <v>12</v>
      </c>
      <c r="E961" s="318">
        <v>9.1199999999999992</v>
      </c>
      <c r="F961" s="317">
        <v>1.01</v>
      </c>
      <c r="G961" s="317">
        <v>2.9</v>
      </c>
      <c r="H961" s="319">
        <v>136.29</v>
      </c>
      <c r="I961" s="320">
        <v>123</v>
      </c>
      <c r="J961" s="320">
        <v>3.3</v>
      </c>
      <c r="K961" s="57">
        <f t="shared" si="70"/>
        <v>9.1287000000000007E-2</v>
      </c>
      <c r="L961" s="310">
        <f t="shared" si="71"/>
        <v>9.0297029702970294E-2</v>
      </c>
      <c r="M961" s="405">
        <f t="shared" si="72"/>
        <v>185.06623572886053</v>
      </c>
      <c r="N961" s="63">
        <f t="shared" si="73"/>
        <v>-0.2635609652768986</v>
      </c>
    </row>
    <row r="962" spans="1:14" ht="18" x14ac:dyDescent="0.25">
      <c r="A962" s="317" t="s">
        <v>2716</v>
      </c>
      <c r="B962" s="317" t="s">
        <v>2717</v>
      </c>
      <c r="C962" s="317">
        <v>1.99</v>
      </c>
      <c r="D962" s="317">
        <v>1.1499999999999999</v>
      </c>
      <c r="E962" s="318">
        <v>0</v>
      </c>
      <c r="F962" s="317">
        <v>0</v>
      </c>
      <c r="G962" s="317">
        <v>0</v>
      </c>
      <c r="H962" s="319">
        <v>6</v>
      </c>
      <c r="I962" s="320">
        <v>21</v>
      </c>
      <c r="J962" s="320">
        <v>1</v>
      </c>
      <c r="K962" s="57">
        <f t="shared" si="70"/>
        <v>0.13115700000000002</v>
      </c>
      <c r="L962" s="310" t="e">
        <f t="shared" si="71"/>
        <v>#DIV/0!</v>
      </c>
      <c r="M962" s="405" t="e">
        <f t="shared" si="72"/>
        <v>#DIV/0!</v>
      </c>
      <c r="N962" s="63" t="e">
        <f t="shared" si="73"/>
        <v>#DIV/0!</v>
      </c>
    </row>
    <row r="963" spans="1:14" ht="18" x14ac:dyDescent="0.25">
      <c r="A963" s="317" t="s">
        <v>1151</v>
      </c>
      <c r="B963" s="317" t="s">
        <v>1152</v>
      </c>
      <c r="C963" s="317">
        <v>1.83</v>
      </c>
      <c r="D963" s="317">
        <v>1.89</v>
      </c>
      <c r="E963" s="318">
        <v>11.42</v>
      </c>
      <c r="F963" s="317">
        <v>1.46</v>
      </c>
      <c r="G963" s="317">
        <v>4.3</v>
      </c>
      <c r="H963" s="319">
        <v>25.01</v>
      </c>
      <c r="I963" s="320">
        <v>28.3</v>
      </c>
      <c r="J963" s="320">
        <v>1</v>
      </c>
      <c r="K963" s="57">
        <f t="shared" si="70"/>
        <v>0.12406900000000001</v>
      </c>
      <c r="L963" s="310">
        <f t="shared" si="71"/>
        <v>7.8219178082191781E-2</v>
      </c>
      <c r="M963" s="405">
        <f t="shared" si="72"/>
        <v>11.264491484823431</v>
      </c>
      <c r="N963" s="63">
        <f t="shared" si="73"/>
        <v>1.2202511346114289</v>
      </c>
    </row>
    <row r="964" spans="1:14" ht="18" x14ac:dyDescent="0.25">
      <c r="A964" s="317" t="s">
        <v>5094</v>
      </c>
      <c r="B964" s="317"/>
      <c r="C964" s="317">
        <v>1.46</v>
      </c>
      <c r="D964" s="317">
        <v>-0.19</v>
      </c>
      <c r="E964" s="318">
        <v>0</v>
      </c>
      <c r="F964" s="317">
        <v>-5.01</v>
      </c>
      <c r="G964" s="317">
        <v>1.5</v>
      </c>
      <c r="H964" s="319">
        <v>14.06</v>
      </c>
      <c r="I964" s="320">
        <v>21</v>
      </c>
      <c r="J964" s="320">
        <v>2.2999999999999998</v>
      </c>
      <c r="K964" s="57">
        <f t="shared" si="70"/>
        <v>0.10767800000000001</v>
      </c>
      <c r="L964" s="310">
        <f t="shared" si="71"/>
        <v>0</v>
      </c>
      <c r="M964" s="405">
        <f t="shared" si="72"/>
        <v>-5.0050122460965856</v>
      </c>
      <c r="N964" s="63">
        <f t="shared" si="73"/>
        <v>-3.8091839357566828</v>
      </c>
    </row>
    <row r="965" spans="1:14" ht="18" x14ac:dyDescent="0.25">
      <c r="A965" s="317" t="s">
        <v>1926</v>
      </c>
      <c r="B965" s="317" t="s">
        <v>1927</v>
      </c>
      <c r="C965" s="317">
        <v>2.2999999999999998</v>
      </c>
      <c r="D965" s="317">
        <v>0.96</v>
      </c>
      <c r="E965" s="318">
        <v>6.38</v>
      </c>
      <c r="F965" s="317">
        <v>0.39</v>
      </c>
      <c r="G965" s="317">
        <v>0</v>
      </c>
      <c r="H965" s="319">
        <v>7.85</v>
      </c>
      <c r="I965" s="320">
        <v>12</v>
      </c>
      <c r="J965" s="320">
        <v>1.9</v>
      </c>
      <c r="K965" s="57">
        <f t="shared" ref="K965:K1028" si="74">$P$14+C965*($Q$15-$P$14)</f>
        <v>0.14489000000000002</v>
      </c>
      <c r="L965" s="310">
        <f t="shared" ref="L965:L1028" si="75">E965/F965/100</f>
        <v>0.16358974358974357</v>
      </c>
      <c r="M965" s="405">
        <f t="shared" ref="M965:M1028" si="76">(D965-G965*H965/100)+(D965-G965*H965/100)*(1+L965)/(1+K965)+(D965-G965*H965/100)*(1+L965)^2/(1+K965)^2+(D965-G965*H965/100)*(1+L965)^3/(1+K965)^3+(D965-G965*H965/100)*(1+L965)^4/(1+K965)^4+((D965-G965*H965/100)*(1+L965)^5/(K965-$T$22-$T$19))/((1+K965)^5)</f>
        <v>14.519512048135656</v>
      </c>
      <c r="N965" s="63">
        <f t="shared" ref="N965:N1028" si="77">(H965-M965)/M965</f>
        <v>-0.45934822231109618</v>
      </c>
    </row>
    <row r="966" spans="1:14" ht="18" x14ac:dyDescent="0.25">
      <c r="A966" s="317" t="s">
        <v>3358</v>
      </c>
      <c r="B966" s="317" t="s">
        <v>3359</v>
      </c>
      <c r="C966" s="317">
        <v>1.01</v>
      </c>
      <c r="D966" s="317">
        <v>0.72</v>
      </c>
      <c r="E966" s="318">
        <v>16.190000000000001</v>
      </c>
      <c r="F966" s="317">
        <v>1.91</v>
      </c>
      <c r="G966" s="317">
        <v>0</v>
      </c>
      <c r="H966" s="319">
        <v>19.43</v>
      </c>
      <c r="I966" s="320">
        <v>26</v>
      </c>
      <c r="J966" s="320">
        <v>1.9</v>
      </c>
      <c r="K966" s="57">
        <f t="shared" si="74"/>
        <v>8.7743000000000002E-2</v>
      </c>
      <c r="L966" s="310">
        <f t="shared" si="75"/>
        <v>8.4764397905759167E-2</v>
      </c>
      <c r="M966" s="405">
        <f t="shared" si="76"/>
        <v>17.305785691781711</v>
      </c>
      <c r="N966" s="63">
        <f t="shared" si="77"/>
        <v>0.12274590394512107</v>
      </c>
    </row>
    <row r="967" spans="1:14" ht="18" x14ac:dyDescent="0.25">
      <c r="A967" s="317" t="s">
        <v>4740</v>
      </c>
      <c r="B967" s="317"/>
      <c r="C967" s="317">
        <v>1.53</v>
      </c>
      <c r="D967" s="317">
        <v>2.44</v>
      </c>
      <c r="E967" s="318">
        <v>8.4499999999999993</v>
      </c>
      <c r="F967" s="317">
        <v>0.95</v>
      </c>
      <c r="G967" s="317">
        <v>0</v>
      </c>
      <c r="H967" s="319">
        <v>25.77</v>
      </c>
      <c r="I967" s="320">
        <v>28.75</v>
      </c>
      <c r="J967" s="320">
        <v>2.5</v>
      </c>
      <c r="K967" s="57">
        <f t="shared" si="74"/>
        <v>0.110779</v>
      </c>
      <c r="L967" s="310">
        <f t="shared" si="75"/>
        <v>8.8947368421052622E-2</v>
      </c>
      <c r="M967" s="405">
        <f t="shared" si="76"/>
        <v>41.276286109482108</v>
      </c>
      <c r="N967" s="63">
        <f t="shared" si="77"/>
        <v>-0.37567057434268436</v>
      </c>
    </row>
    <row r="968" spans="1:14" ht="18" x14ac:dyDescent="0.25">
      <c r="A968" s="317" t="s">
        <v>3360</v>
      </c>
      <c r="B968" s="317" t="s">
        <v>3361</v>
      </c>
      <c r="C968" s="317">
        <v>0.86</v>
      </c>
      <c r="D968" s="317">
        <v>4.12</v>
      </c>
      <c r="E968" s="318">
        <v>16.760000000000002</v>
      </c>
      <c r="F968" s="317">
        <v>1.56</v>
      </c>
      <c r="G968" s="317">
        <v>1.9</v>
      </c>
      <c r="H968" s="319">
        <v>104.47</v>
      </c>
      <c r="I968" s="320">
        <v>112.5</v>
      </c>
      <c r="J968" s="320">
        <v>2</v>
      </c>
      <c r="K968" s="57">
        <f t="shared" si="74"/>
        <v>8.1098000000000003E-2</v>
      </c>
      <c r="L968" s="310">
        <f t="shared" si="75"/>
        <v>0.10743589743589745</v>
      </c>
      <c r="M968" s="405">
        <f t="shared" si="76"/>
        <v>64.606020459456971</v>
      </c>
      <c r="N968" s="63">
        <f t="shared" si="77"/>
        <v>0.61703196168164187</v>
      </c>
    </row>
    <row r="969" spans="1:14" ht="18" x14ac:dyDescent="0.25">
      <c r="A969" s="317" t="s">
        <v>3362</v>
      </c>
      <c r="B969" s="317" t="s">
        <v>3363</v>
      </c>
      <c r="C969" s="317">
        <v>1.76</v>
      </c>
      <c r="D969" s="317">
        <v>5.09</v>
      </c>
      <c r="E969" s="318">
        <v>17.489999999999998</v>
      </c>
      <c r="F969" s="317">
        <v>3.14</v>
      </c>
      <c r="G969" s="317">
        <v>0.1</v>
      </c>
      <c r="H969" s="319">
        <v>90.96</v>
      </c>
      <c r="I969" s="320">
        <v>119</v>
      </c>
      <c r="J969" s="320">
        <v>1.9</v>
      </c>
      <c r="K969" s="57">
        <f t="shared" si="74"/>
        <v>0.12096800000000001</v>
      </c>
      <c r="L969" s="310">
        <f t="shared" si="75"/>
        <v>5.5700636942675151E-2</v>
      </c>
      <c r="M969" s="405">
        <f t="shared" si="76"/>
        <v>65.837359536002594</v>
      </c>
      <c r="N969" s="63">
        <f t="shared" si="77"/>
        <v>0.3815863916939029</v>
      </c>
    </row>
    <row r="970" spans="1:14" ht="18" x14ac:dyDescent="0.25">
      <c r="A970" s="317" t="s">
        <v>3364</v>
      </c>
      <c r="B970" s="317" t="s">
        <v>3365</v>
      </c>
      <c r="C970" s="317"/>
      <c r="D970" s="317"/>
      <c r="E970" s="318"/>
      <c r="F970" s="317"/>
      <c r="G970" s="317"/>
      <c r="H970" s="319"/>
      <c r="I970" s="320"/>
      <c r="J970" s="320"/>
      <c r="K970" s="57">
        <f t="shared" si="74"/>
        <v>4.2999999999999997E-2</v>
      </c>
      <c r="L970" s="310" t="e">
        <f t="shared" si="75"/>
        <v>#DIV/0!</v>
      </c>
      <c r="M970" s="405" t="e">
        <f t="shared" si="76"/>
        <v>#DIV/0!</v>
      </c>
      <c r="N970" s="63" t="e">
        <f t="shared" si="77"/>
        <v>#DIV/0!</v>
      </c>
    </row>
    <row r="971" spans="1:14" ht="18" x14ac:dyDescent="0.25">
      <c r="A971" s="317" t="s">
        <v>3366</v>
      </c>
      <c r="B971" s="317" t="s">
        <v>3367</v>
      </c>
      <c r="C971" s="317">
        <v>1.06</v>
      </c>
      <c r="D971" s="317">
        <v>2.2999999999999998</v>
      </c>
      <c r="E971" s="318">
        <v>16.72</v>
      </c>
      <c r="F971" s="317">
        <v>1.1499999999999999</v>
      </c>
      <c r="G971" s="317">
        <v>1.5</v>
      </c>
      <c r="H971" s="319">
        <v>56.68</v>
      </c>
      <c r="I971" s="320">
        <v>65</v>
      </c>
      <c r="J971" s="320">
        <v>1.9</v>
      </c>
      <c r="K971" s="57">
        <f t="shared" si="74"/>
        <v>8.995800000000001E-2</v>
      </c>
      <c r="L971" s="310">
        <f t="shared" si="75"/>
        <v>0.14539130434782607</v>
      </c>
      <c r="M971" s="405">
        <f t="shared" si="76"/>
        <v>42.457645311448601</v>
      </c>
      <c r="N971" s="63">
        <f t="shared" si="77"/>
        <v>0.33497747188340599</v>
      </c>
    </row>
    <row r="972" spans="1:14" ht="18" x14ac:dyDescent="0.25">
      <c r="A972" s="317" t="s">
        <v>3368</v>
      </c>
      <c r="B972" s="317" t="s">
        <v>3369</v>
      </c>
      <c r="C972" s="317">
        <v>1.38</v>
      </c>
      <c r="D972" s="317">
        <v>0.9</v>
      </c>
      <c r="E972" s="318">
        <v>11.73</v>
      </c>
      <c r="F972" s="317">
        <v>1.3</v>
      </c>
      <c r="G972" s="317">
        <v>0</v>
      </c>
      <c r="H972" s="319">
        <v>17.95</v>
      </c>
      <c r="I972" s="320">
        <v>21</v>
      </c>
      <c r="J972" s="320">
        <v>2.2000000000000002</v>
      </c>
      <c r="K972" s="57">
        <f t="shared" si="74"/>
        <v>0.104134</v>
      </c>
      <c r="L972" s="310">
        <f t="shared" si="75"/>
        <v>9.0230769230769226E-2</v>
      </c>
      <c r="M972" s="405">
        <f t="shared" si="76"/>
        <v>16.786382816096385</v>
      </c>
      <c r="N972" s="63">
        <f t="shared" si="77"/>
        <v>6.9319113989693315E-2</v>
      </c>
    </row>
    <row r="973" spans="1:14" ht="18" x14ac:dyDescent="0.25">
      <c r="A973" s="317" t="s">
        <v>1928</v>
      </c>
      <c r="B973" s="317" t="s">
        <v>1929</v>
      </c>
      <c r="C973" s="317">
        <v>2.56</v>
      </c>
      <c r="D973" s="317">
        <v>-0.36</v>
      </c>
      <c r="E973" s="318">
        <v>15.43</v>
      </c>
      <c r="F973" s="317">
        <v>0.6</v>
      </c>
      <c r="G973" s="317">
        <v>0</v>
      </c>
      <c r="H973" s="319">
        <v>12.5</v>
      </c>
      <c r="I973" s="320">
        <v>14</v>
      </c>
      <c r="J973" s="320">
        <v>1.6</v>
      </c>
      <c r="K973" s="57">
        <f t="shared" si="74"/>
        <v>0.15640800000000002</v>
      </c>
      <c r="L973" s="310">
        <f t="shared" si="75"/>
        <v>0.25716666666666671</v>
      </c>
      <c r="M973" s="405">
        <f t="shared" si="76"/>
        <v>-6.6822139760090531</v>
      </c>
      <c r="N973" s="63">
        <f t="shared" si="77"/>
        <v>-2.8706374930342493</v>
      </c>
    </row>
    <row r="974" spans="1:14" ht="18" x14ac:dyDescent="0.25">
      <c r="A974" s="317" t="s">
        <v>2878</v>
      </c>
      <c r="B974" s="317" t="s">
        <v>2879</v>
      </c>
      <c r="C974" s="317">
        <v>0.92</v>
      </c>
      <c r="D974" s="317">
        <v>1.93</v>
      </c>
      <c r="E974" s="318">
        <v>32.590000000000003</v>
      </c>
      <c r="F974" s="317">
        <v>2.38</v>
      </c>
      <c r="G974" s="317">
        <v>1.6</v>
      </c>
      <c r="H974" s="319">
        <v>89.95</v>
      </c>
      <c r="I974" s="320">
        <v>81</v>
      </c>
      <c r="J974" s="320">
        <v>2.7</v>
      </c>
      <c r="K974" s="57">
        <f t="shared" si="74"/>
        <v>8.3755999999999997E-2</v>
      </c>
      <c r="L974" s="310">
        <f t="shared" si="75"/>
        <v>0.13693277310924373</v>
      </c>
      <c r="M974" s="405">
        <f t="shared" si="76"/>
        <v>15.765420618636723</v>
      </c>
      <c r="N974" s="63">
        <f t="shared" si="77"/>
        <v>4.7055249064314664</v>
      </c>
    </row>
    <row r="975" spans="1:14" ht="18" x14ac:dyDescent="0.25">
      <c r="A975" s="317" t="s">
        <v>1881</v>
      </c>
      <c r="B975" s="317" t="s">
        <v>1882</v>
      </c>
      <c r="C975" s="317">
        <v>3.46</v>
      </c>
      <c r="D975" s="317">
        <v>0.01</v>
      </c>
      <c r="E975" s="318">
        <v>11.72</v>
      </c>
      <c r="F975" s="317">
        <v>0.84</v>
      </c>
      <c r="G975" s="317">
        <v>0</v>
      </c>
      <c r="H975" s="319">
        <v>2.93</v>
      </c>
      <c r="I975" s="320">
        <v>4</v>
      </c>
      <c r="J975" s="320">
        <v>2</v>
      </c>
      <c r="K975" s="57">
        <f t="shared" si="74"/>
        <v>0.19627800000000001</v>
      </c>
      <c r="L975" s="310">
        <f t="shared" si="75"/>
        <v>0.13952380952380955</v>
      </c>
      <c r="M975" s="405">
        <f t="shared" si="76"/>
        <v>9.440638144706219E-2</v>
      </c>
      <c r="N975" s="63">
        <f t="shared" si="77"/>
        <v>30.03603755475979</v>
      </c>
    </row>
    <row r="976" spans="1:14" ht="18" x14ac:dyDescent="0.25">
      <c r="A976" s="317" t="s">
        <v>3370</v>
      </c>
      <c r="B976" s="317" t="s">
        <v>3371</v>
      </c>
      <c r="C976" s="317">
        <v>1.61</v>
      </c>
      <c r="D976" s="317">
        <v>2.5099999999999998</v>
      </c>
      <c r="E976" s="318">
        <v>14.72</v>
      </c>
      <c r="F976" s="317">
        <v>1.52</v>
      </c>
      <c r="G976" s="317">
        <v>2</v>
      </c>
      <c r="H976" s="319">
        <v>52.85</v>
      </c>
      <c r="I976" s="320">
        <v>61.5</v>
      </c>
      <c r="J976" s="320">
        <v>2.1</v>
      </c>
      <c r="K976" s="57">
        <f t="shared" si="74"/>
        <v>0.11432300000000001</v>
      </c>
      <c r="L976" s="310">
        <f t="shared" si="75"/>
        <v>9.6842105263157896E-2</v>
      </c>
      <c r="M976" s="405">
        <f t="shared" si="76"/>
        <v>24.181815915303645</v>
      </c>
      <c r="N976" s="63">
        <f t="shared" si="77"/>
        <v>1.1855265206346013</v>
      </c>
    </row>
    <row r="977" spans="1:14" ht="18" x14ac:dyDescent="0.25">
      <c r="A977" s="317" t="s">
        <v>991</v>
      </c>
      <c r="B977" s="317" t="s">
        <v>1685</v>
      </c>
      <c r="C977" s="317">
        <v>0</v>
      </c>
      <c r="D977" s="317">
        <v>0.47</v>
      </c>
      <c r="E977" s="318">
        <v>17.04</v>
      </c>
      <c r="F977" s="317">
        <v>0.9</v>
      </c>
      <c r="G977" s="317">
        <v>0</v>
      </c>
      <c r="H977" s="319">
        <v>16.36</v>
      </c>
      <c r="I977" s="320">
        <v>18</v>
      </c>
      <c r="J977" s="320">
        <v>2.2999999999999998</v>
      </c>
      <c r="K977" s="57">
        <f t="shared" si="74"/>
        <v>4.2999999999999997E-2</v>
      </c>
      <c r="L977" s="310">
        <f t="shared" si="75"/>
        <v>0.18933333333333333</v>
      </c>
      <c r="M977" s="405">
        <f t="shared" si="76"/>
        <v>132.55686387031315</v>
      </c>
      <c r="N977" s="63">
        <f t="shared" si="77"/>
        <v>-0.876581268428274</v>
      </c>
    </row>
    <row r="978" spans="1:14" ht="18" x14ac:dyDescent="0.25">
      <c r="A978" s="317" t="s">
        <v>3372</v>
      </c>
      <c r="B978" s="317" t="s">
        <v>3373</v>
      </c>
      <c r="C978" s="317">
        <v>0.74</v>
      </c>
      <c r="D978" s="317">
        <v>1.9</v>
      </c>
      <c r="E978" s="318">
        <v>13.17</v>
      </c>
      <c r="F978" s="317">
        <v>2.74</v>
      </c>
      <c r="G978" s="317">
        <v>5.7</v>
      </c>
      <c r="H978" s="319">
        <v>37.270000000000003</v>
      </c>
      <c r="I978" s="320">
        <v>37</v>
      </c>
      <c r="J978" s="320">
        <v>2.8</v>
      </c>
      <c r="K978" s="57">
        <f t="shared" si="74"/>
        <v>7.5782000000000002E-2</v>
      </c>
      <c r="L978" s="310">
        <f t="shared" si="75"/>
        <v>4.8065693430656926E-2</v>
      </c>
      <c r="M978" s="405">
        <f t="shared" si="76"/>
        <v>-6.0159832064309633</v>
      </c>
      <c r="N978" s="63">
        <f t="shared" si="77"/>
        <v>-7.1951635702970611</v>
      </c>
    </row>
    <row r="979" spans="1:14" ht="18" x14ac:dyDescent="0.25">
      <c r="A979" s="317" t="s">
        <v>3440</v>
      </c>
      <c r="B979" s="317" t="s">
        <v>3441</v>
      </c>
      <c r="C979" s="317">
        <v>1.85</v>
      </c>
      <c r="D979" s="317">
        <v>0.03</v>
      </c>
      <c r="E979" s="318">
        <v>9.26</v>
      </c>
      <c r="F979" s="317">
        <v>2.93</v>
      </c>
      <c r="G979" s="317">
        <v>0</v>
      </c>
      <c r="H979" s="319">
        <v>1.76</v>
      </c>
      <c r="I979" s="320">
        <v>2.75</v>
      </c>
      <c r="J979" s="320">
        <v>1.3</v>
      </c>
      <c r="K979" s="57">
        <f t="shared" si="74"/>
        <v>0.12495500000000001</v>
      </c>
      <c r="L979" s="310">
        <f t="shared" si="75"/>
        <v>3.1604095563139929E-2</v>
      </c>
      <c r="M979" s="405">
        <f t="shared" si="76"/>
        <v>0.34578273136620752</v>
      </c>
      <c r="N979" s="63">
        <f t="shared" si="77"/>
        <v>4.0899013754855202</v>
      </c>
    </row>
    <row r="980" spans="1:14" ht="18" x14ac:dyDescent="0.25">
      <c r="A980" s="317" t="s">
        <v>1930</v>
      </c>
      <c r="B980" s="317" t="s">
        <v>1931</v>
      </c>
      <c r="C980" s="317">
        <v>1.2</v>
      </c>
      <c r="D980" s="317">
        <v>2.2400000000000002</v>
      </c>
      <c r="E980" s="318">
        <v>19.16</v>
      </c>
      <c r="F980" s="317">
        <v>1.45</v>
      </c>
      <c r="G980" s="317">
        <v>1.3</v>
      </c>
      <c r="H980" s="319">
        <v>53.65</v>
      </c>
      <c r="I980" s="320">
        <v>61</v>
      </c>
      <c r="J980" s="320">
        <v>1</v>
      </c>
      <c r="K980" s="57">
        <f t="shared" si="74"/>
        <v>9.6159999999999995E-2</v>
      </c>
      <c r="L980" s="310">
        <f t="shared" si="75"/>
        <v>0.13213793103448276</v>
      </c>
      <c r="M980" s="405">
        <f t="shared" si="76"/>
        <v>38.370044990704805</v>
      </c>
      <c r="N980" s="63">
        <f t="shared" si="77"/>
        <v>0.39822614263279554</v>
      </c>
    </row>
    <row r="981" spans="1:14" ht="18" x14ac:dyDescent="0.25">
      <c r="A981" s="317" t="s">
        <v>1932</v>
      </c>
      <c r="B981" s="317" t="s">
        <v>1933</v>
      </c>
      <c r="C981" s="317">
        <v>1.38</v>
      </c>
      <c r="D981" s="317">
        <v>0.35</v>
      </c>
      <c r="E981" s="318">
        <v>51.51</v>
      </c>
      <c r="F981" s="317">
        <v>3.03</v>
      </c>
      <c r="G981" s="317">
        <v>0</v>
      </c>
      <c r="H981" s="319">
        <v>42.75</v>
      </c>
      <c r="I981" s="320">
        <v>42</v>
      </c>
      <c r="J981" s="320">
        <v>2.2999999999999998</v>
      </c>
      <c r="K981" s="57">
        <f t="shared" si="74"/>
        <v>0.104134</v>
      </c>
      <c r="L981" s="310">
        <f t="shared" si="75"/>
        <v>0.17</v>
      </c>
      <c r="M981" s="405">
        <f t="shared" si="76"/>
        <v>8.8347867252002406</v>
      </c>
      <c r="N981" s="63">
        <f t="shared" si="77"/>
        <v>3.8388264855404386</v>
      </c>
    </row>
    <row r="982" spans="1:14" ht="18" x14ac:dyDescent="0.25">
      <c r="A982" s="317" t="s">
        <v>1777</v>
      </c>
      <c r="B982" s="317" t="s">
        <v>1778</v>
      </c>
      <c r="C982" s="317">
        <v>3.14</v>
      </c>
      <c r="D982" s="317">
        <v>2.5299999999999998</v>
      </c>
      <c r="E982" s="318">
        <v>10.61</v>
      </c>
      <c r="F982" s="317">
        <v>0.49</v>
      </c>
      <c r="G982" s="317">
        <v>0</v>
      </c>
      <c r="H982" s="319">
        <v>41.17</v>
      </c>
      <c r="I982" s="320">
        <v>50</v>
      </c>
      <c r="J982" s="320">
        <v>1.9</v>
      </c>
      <c r="K982" s="57">
        <f t="shared" si="74"/>
        <v>0.18210200000000004</v>
      </c>
      <c r="L982" s="310">
        <f t="shared" si="75"/>
        <v>0.21653061224489797</v>
      </c>
      <c r="M982" s="405">
        <f t="shared" si="76"/>
        <v>33.398267945335398</v>
      </c>
      <c r="N982" s="63">
        <f t="shared" si="77"/>
        <v>0.23269865573223686</v>
      </c>
    </row>
    <row r="983" spans="1:14" ht="18" x14ac:dyDescent="0.25">
      <c r="A983" s="317" t="s">
        <v>1779</v>
      </c>
      <c r="B983" s="317" t="s">
        <v>1780</v>
      </c>
      <c r="C983" s="317"/>
      <c r="D983" s="317"/>
      <c r="E983" s="318"/>
      <c r="F983" s="317"/>
      <c r="G983" s="317"/>
      <c r="H983" s="319"/>
      <c r="I983" s="320"/>
      <c r="J983" s="320"/>
      <c r="K983" s="57">
        <f t="shared" si="74"/>
        <v>4.2999999999999997E-2</v>
      </c>
      <c r="L983" s="310" t="e">
        <f t="shared" si="75"/>
        <v>#DIV/0!</v>
      </c>
      <c r="M983" s="405" t="e">
        <f t="shared" si="76"/>
        <v>#DIV/0!</v>
      </c>
      <c r="N983" s="63" t="e">
        <f t="shared" si="77"/>
        <v>#DIV/0!</v>
      </c>
    </row>
    <row r="984" spans="1:14" ht="18" x14ac:dyDescent="0.25">
      <c r="A984" s="317" t="s">
        <v>3374</v>
      </c>
      <c r="B984" s="317" t="s">
        <v>3375</v>
      </c>
      <c r="C984" s="317">
        <v>1.75</v>
      </c>
      <c r="D984" s="317">
        <v>2.36</v>
      </c>
      <c r="E984" s="318">
        <v>9.93</v>
      </c>
      <c r="F984" s="317">
        <v>1.26</v>
      </c>
      <c r="G984" s="317">
        <v>0</v>
      </c>
      <c r="H984" s="319">
        <v>38.43</v>
      </c>
      <c r="I984" s="320">
        <v>46</v>
      </c>
      <c r="J984" s="320">
        <v>2.2999999999999998</v>
      </c>
      <c r="K984" s="57">
        <f t="shared" si="74"/>
        <v>0.12052500000000001</v>
      </c>
      <c r="L984" s="310">
        <f t="shared" si="75"/>
        <v>7.8809523809523802E-2</v>
      </c>
      <c r="M984" s="405">
        <f t="shared" si="76"/>
        <v>34.049839092701632</v>
      </c>
      <c r="N984" s="63">
        <f t="shared" si="77"/>
        <v>0.12863969475371848</v>
      </c>
    </row>
    <row r="985" spans="1:14" ht="18" x14ac:dyDescent="0.25">
      <c r="A985" s="317" t="s">
        <v>1934</v>
      </c>
      <c r="B985" s="317" t="s">
        <v>1935</v>
      </c>
      <c r="C985" s="317">
        <v>1.55</v>
      </c>
      <c r="D985" s="317">
        <v>1.32</v>
      </c>
      <c r="E985" s="318">
        <v>15.26</v>
      </c>
      <c r="F985" s="317">
        <v>1.69</v>
      </c>
      <c r="G985" s="317">
        <v>0</v>
      </c>
      <c r="H985" s="319">
        <v>29.29</v>
      </c>
      <c r="I985" s="320">
        <v>36</v>
      </c>
      <c r="J985" s="320">
        <v>1.9</v>
      </c>
      <c r="K985" s="57">
        <f t="shared" si="74"/>
        <v>0.11166500000000001</v>
      </c>
      <c r="L985" s="310">
        <f t="shared" si="75"/>
        <v>9.0295857988165681E-2</v>
      </c>
      <c r="M985" s="405">
        <f t="shared" si="76"/>
        <v>22.182919216239519</v>
      </c>
      <c r="N985" s="63">
        <f t="shared" si="77"/>
        <v>0.32038527997512506</v>
      </c>
    </row>
    <row r="986" spans="1:14" ht="18" x14ac:dyDescent="0.25">
      <c r="A986" s="317" t="s">
        <v>457</v>
      </c>
      <c r="B986" s="317" t="s">
        <v>458</v>
      </c>
      <c r="C986" s="317">
        <v>1.03</v>
      </c>
      <c r="D986" s="317">
        <v>1.24</v>
      </c>
      <c r="E986" s="318">
        <v>17.66</v>
      </c>
      <c r="F986" s="317">
        <v>0.49</v>
      </c>
      <c r="G986" s="317">
        <v>0.6</v>
      </c>
      <c r="H986" s="319">
        <v>36.549999999999997</v>
      </c>
      <c r="I986" s="320">
        <v>38.049999999999997</v>
      </c>
      <c r="J986" s="320">
        <v>2.2999999999999998</v>
      </c>
      <c r="K986" s="57">
        <f t="shared" si="74"/>
        <v>8.8629000000000013E-2</v>
      </c>
      <c r="L986" s="310">
        <f t="shared" si="75"/>
        <v>0.36040816326530611</v>
      </c>
      <c r="M986" s="405">
        <f t="shared" si="76"/>
        <v>67.475623984331094</v>
      </c>
      <c r="N986" s="63">
        <f t="shared" si="77"/>
        <v>-0.45832290475020304</v>
      </c>
    </row>
    <row r="987" spans="1:14" ht="18" x14ac:dyDescent="0.25">
      <c r="A987" s="317" t="s">
        <v>459</v>
      </c>
      <c r="B987" s="317" t="s">
        <v>460</v>
      </c>
      <c r="C987" s="317">
        <v>3.27</v>
      </c>
      <c r="D987" s="317">
        <v>-0.25</v>
      </c>
      <c r="E987" s="318">
        <v>0</v>
      </c>
      <c r="F987" s="317">
        <v>0</v>
      </c>
      <c r="G987" s="317">
        <v>0</v>
      </c>
      <c r="H987" s="319">
        <v>14.05</v>
      </c>
      <c r="I987" s="320">
        <v>3.5</v>
      </c>
      <c r="J987" s="320">
        <v>0</v>
      </c>
      <c r="K987" s="57">
        <f t="shared" si="74"/>
        <v>0.187861</v>
      </c>
      <c r="L987" s="310" t="e">
        <f t="shared" si="75"/>
        <v>#DIV/0!</v>
      </c>
      <c r="M987" s="405" t="e">
        <f t="shared" si="76"/>
        <v>#DIV/0!</v>
      </c>
      <c r="N987" s="63" t="e">
        <f t="shared" si="77"/>
        <v>#DIV/0!</v>
      </c>
    </row>
    <row r="988" spans="1:14" ht="18" x14ac:dyDescent="0.25">
      <c r="A988" s="317" t="s">
        <v>1936</v>
      </c>
      <c r="B988" s="317" t="s">
        <v>1937</v>
      </c>
      <c r="C988" s="317">
        <v>1.0900000000000001</v>
      </c>
      <c r="D988" s="317">
        <v>1.6</v>
      </c>
      <c r="E988" s="318">
        <v>48.14</v>
      </c>
      <c r="F988" s="317">
        <v>1.29</v>
      </c>
      <c r="G988" s="317">
        <v>1.5</v>
      </c>
      <c r="H988" s="319">
        <v>13.48</v>
      </c>
      <c r="I988" s="320">
        <v>14</v>
      </c>
      <c r="J988" s="320">
        <v>3</v>
      </c>
      <c r="K988" s="57">
        <f t="shared" si="74"/>
        <v>9.1287000000000007E-2</v>
      </c>
      <c r="L988" s="310">
        <f t="shared" si="75"/>
        <v>0.37317829457364338</v>
      </c>
      <c r="M988" s="405">
        <f t="shared" si="76"/>
        <v>91.414731828535253</v>
      </c>
      <c r="N988" s="63">
        <f t="shared" si="77"/>
        <v>-0.8525401789146615</v>
      </c>
    </row>
    <row r="989" spans="1:14" ht="18" x14ac:dyDescent="0.25">
      <c r="A989" s="317" t="s">
        <v>4293</v>
      </c>
      <c r="B989" s="317" t="s">
        <v>4294</v>
      </c>
      <c r="C989" s="317"/>
      <c r="D989" s="317"/>
      <c r="E989" s="318"/>
      <c r="F989" s="317"/>
      <c r="G989" s="317"/>
      <c r="H989" s="319">
        <v>26.5</v>
      </c>
      <c r="I989" s="320"/>
      <c r="J989" s="320"/>
      <c r="K989" s="57">
        <f t="shared" si="74"/>
        <v>4.2999999999999997E-2</v>
      </c>
      <c r="L989" s="310" t="e">
        <f t="shared" si="75"/>
        <v>#DIV/0!</v>
      </c>
      <c r="M989" s="405" t="e">
        <f t="shared" si="76"/>
        <v>#DIV/0!</v>
      </c>
      <c r="N989" s="63" t="e">
        <f t="shared" si="77"/>
        <v>#DIV/0!</v>
      </c>
    </row>
    <row r="990" spans="1:14" ht="18" x14ac:dyDescent="0.25">
      <c r="A990" s="317" t="s">
        <v>1741</v>
      </c>
      <c r="B990" s="317" t="s">
        <v>1742</v>
      </c>
      <c r="C990" s="317"/>
      <c r="D990" s="317"/>
      <c r="E990" s="318"/>
      <c r="F990" s="317"/>
      <c r="G990" s="317"/>
      <c r="H990" s="319">
        <v>0.04</v>
      </c>
      <c r="I990" s="320"/>
      <c r="J990" s="320"/>
      <c r="K990" s="57">
        <f t="shared" si="74"/>
        <v>4.2999999999999997E-2</v>
      </c>
      <c r="L990" s="310" t="e">
        <f t="shared" si="75"/>
        <v>#DIV/0!</v>
      </c>
      <c r="M990" s="405" t="e">
        <f t="shared" si="76"/>
        <v>#DIV/0!</v>
      </c>
      <c r="N990" s="63" t="e">
        <f t="shared" si="77"/>
        <v>#DIV/0!</v>
      </c>
    </row>
    <row r="991" spans="1:14" ht="18" x14ac:dyDescent="0.25">
      <c r="A991" s="317" t="s">
        <v>3663</v>
      </c>
      <c r="B991" s="317" t="s">
        <v>3664</v>
      </c>
      <c r="C991" s="317">
        <v>2.2599999999999998</v>
      </c>
      <c r="D991" s="317">
        <v>6.42</v>
      </c>
      <c r="E991" s="318">
        <v>11.4</v>
      </c>
      <c r="F991" s="317">
        <v>2.62</v>
      </c>
      <c r="G991" s="317">
        <v>0</v>
      </c>
      <c r="H991" s="319">
        <v>16.3</v>
      </c>
      <c r="I991" s="320">
        <v>20</v>
      </c>
      <c r="J991" s="320">
        <v>2</v>
      </c>
      <c r="K991" s="57">
        <f t="shared" si="74"/>
        <v>0.143118</v>
      </c>
      <c r="L991" s="310">
        <f t="shared" si="75"/>
        <v>4.351145038167939E-2</v>
      </c>
      <c r="M991" s="405">
        <f t="shared" si="76"/>
        <v>64.96543961295734</v>
      </c>
      <c r="N991" s="63">
        <f t="shared" si="77"/>
        <v>-0.74909736473561916</v>
      </c>
    </row>
    <row r="992" spans="1:14" ht="18" x14ac:dyDescent="0.25">
      <c r="A992" s="317" t="s">
        <v>1938</v>
      </c>
      <c r="B992" s="317" t="s">
        <v>1939</v>
      </c>
      <c r="C992" s="317">
        <v>1.19</v>
      </c>
      <c r="D992" s="317">
        <v>0.52</v>
      </c>
      <c r="E992" s="318">
        <v>0</v>
      </c>
      <c r="F992" s="317">
        <v>0</v>
      </c>
      <c r="G992" s="317">
        <v>0</v>
      </c>
      <c r="H992" s="319">
        <v>16.420000000000002</v>
      </c>
      <c r="I992" s="320">
        <v>25</v>
      </c>
      <c r="J992" s="320">
        <v>1</v>
      </c>
      <c r="K992" s="57">
        <f t="shared" si="74"/>
        <v>9.5716999999999997E-2</v>
      </c>
      <c r="L992" s="310" t="e">
        <f t="shared" si="75"/>
        <v>#DIV/0!</v>
      </c>
      <c r="M992" s="405" t="e">
        <f t="shared" si="76"/>
        <v>#DIV/0!</v>
      </c>
      <c r="N992" s="63" t="e">
        <f t="shared" si="77"/>
        <v>#DIV/0!</v>
      </c>
    </row>
    <row r="993" spans="1:14" ht="18" x14ac:dyDescent="0.25">
      <c r="A993" s="317" t="s">
        <v>3669</v>
      </c>
      <c r="B993" s="317" t="s">
        <v>3670</v>
      </c>
      <c r="C993" s="317">
        <v>2.77</v>
      </c>
      <c r="D993" s="317">
        <v>0.14000000000000001</v>
      </c>
      <c r="E993" s="318">
        <v>25.42</v>
      </c>
      <c r="F993" s="317">
        <v>1.3</v>
      </c>
      <c r="G993" s="317">
        <v>0</v>
      </c>
      <c r="H993" s="319">
        <v>12.2</v>
      </c>
      <c r="I993" s="320">
        <v>15.5</v>
      </c>
      <c r="J993" s="320">
        <v>1.9</v>
      </c>
      <c r="K993" s="57">
        <f t="shared" si="74"/>
        <v>0.165711</v>
      </c>
      <c r="L993" s="310">
        <f t="shared" si="75"/>
        <v>0.19553846153846155</v>
      </c>
      <c r="M993" s="405">
        <f t="shared" si="76"/>
        <v>1.9614078156442956</v>
      </c>
      <c r="N993" s="63">
        <f t="shared" si="77"/>
        <v>5.2200221201792578</v>
      </c>
    </row>
    <row r="994" spans="1:14" ht="18" x14ac:dyDescent="0.25">
      <c r="A994" s="317" t="s">
        <v>3376</v>
      </c>
      <c r="B994" s="317" t="s">
        <v>3377</v>
      </c>
      <c r="C994" s="317">
        <v>1.32</v>
      </c>
      <c r="D994" s="317">
        <v>-0.62</v>
      </c>
      <c r="E994" s="318">
        <v>11.67</v>
      </c>
      <c r="F994" s="317">
        <v>17.55</v>
      </c>
      <c r="G994" s="317">
        <v>0.5</v>
      </c>
      <c r="H994" s="319">
        <v>7.24</v>
      </c>
      <c r="I994" s="320">
        <v>8</v>
      </c>
      <c r="J994" s="320">
        <v>3.1</v>
      </c>
      <c r="K994" s="57">
        <f t="shared" si="74"/>
        <v>0.10147600000000001</v>
      </c>
      <c r="L994" s="310">
        <f t="shared" si="75"/>
        <v>6.6495726495726494E-3</v>
      </c>
      <c r="M994" s="405">
        <f t="shared" si="76"/>
        <v>-9.1522051473294255</v>
      </c>
      <c r="N994" s="63">
        <f t="shared" si="77"/>
        <v>-1.7910661838816631</v>
      </c>
    </row>
    <row r="995" spans="1:14" ht="18" x14ac:dyDescent="0.25">
      <c r="A995" s="317" t="s">
        <v>1875</v>
      </c>
      <c r="B995" s="317" t="s">
        <v>1876</v>
      </c>
      <c r="C995" s="317">
        <v>2.4500000000000002</v>
      </c>
      <c r="D995" s="317">
        <v>0.44</v>
      </c>
      <c r="E995" s="318">
        <v>10.48</v>
      </c>
      <c r="F995" s="317">
        <v>0.97</v>
      </c>
      <c r="G995" s="317">
        <v>0</v>
      </c>
      <c r="H995" s="319">
        <v>6.08</v>
      </c>
      <c r="I995" s="320">
        <v>8</v>
      </c>
      <c r="J995" s="320">
        <v>2.2000000000000002</v>
      </c>
      <c r="K995" s="57">
        <f t="shared" si="74"/>
        <v>0.15153500000000003</v>
      </c>
      <c r="L995" s="310">
        <f t="shared" si="75"/>
        <v>0.10804123711340206</v>
      </c>
      <c r="M995" s="405">
        <f t="shared" si="76"/>
        <v>5.1814409577509775</v>
      </c>
      <c r="N995" s="63">
        <f t="shared" si="77"/>
        <v>0.17341875543421134</v>
      </c>
    </row>
    <row r="996" spans="1:14" ht="18" x14ac:dyDescent="0.25">
      <c r="A996" s="317" t="s">
        <v>1940</v>
      </c>
      <c r="B996" s="317" t="s">
        <v>1941</v>
      </c>
      <c r="C996" s="317">
        <v>1.21</v>
      </c>
      <c r="D996" s="317">
        <v>7.69</v>
      </c>
      <c r="E996" s="318">
        <v>8.0299999999999994</v>
      </c>
      <c r="F996" s="317">
        <v>0.65</v>
      </c>
      <c r="G996" s="317">
        <v>0.8</v>
      </c>
      <c r="H996" s="319">
        <v>62.66</v>
      </c>
      <c r="I996" s="320">
        <v>73</v>
      </c>
      <c r="J996" s="320">
        <v>2</v>
      </c>
      <c r="K996" s="57">
        <f t="shared" si="74"/>
        <v>9.6602999999999994E-2</v>
      </c>
      <c r="L996" s="310">
        <f t="shared" si="75"/>
        <v>0.12353846153846153</v>
      </c>
      <c r="M996" s="405">
        <f t="shared" si="76"/>
        <v>171.67465673317636</v>
      </c>
      <c r="N996" s="63">
        <f t="shared" si="77"/>
        <v>-0.63500727951133362</v>
      </c>
    </row>
    <row r="997" spans="1:14" ht="18" x14ac:dyDescent="0.25">
      <c r="A997" s="317" t="s">
        <v>1942</v>
      </c>
      <c r="B997" s="317" t="s">
        <v>1943</v>
      </c>
      <c r="C997" s="317">
        <v>1.1499999999999999</v>
      </c>
      <c r="D997" s="317">
        <v>2.74</v>
      </c>
      <c r="E997" s="318">
        <v>11.79</v>
      </c>
      <c r="F997" s="317">
        <v>1.06</v>
      </c>
      <c r="G997" s="317">
        <v>0</v>
      </c>
      <c r="H997" s="319">
        <v>37.72</v>
      </c>
      <c r="I997" s="320">
        <v>35</v>
      </c>
      <c r="J997" s="320">
        <v>3</v>
      </c>
      <c r="K997" s="57">
        <f t="shared" si="74"/>
        <v>9.3945000000000001E-2</v>
      </c>
      <c r="L997" s="310">
        <f t="shared" si="75"/>
        <v>0.11122641509433961</v>
      </c>
      <c r="M997" s="405">
        <f t="shared" si="76"/>
        <v>65.280824251125765</v>
      </c>
      <c r="N997" s="63">
        <f t="shared" si="77"/>
        <v>-0.42218866822366263</v>
      </c>
    </row>
    <row r="998" spans="1:14" ht="18" x14ac:dyDescent="0.25">
      <c r="A998" s="317" t="s">
        <v>3378</v>
      </c>
      <c r="B998" s="317" t="s">
        <v>2623</v>
      </c>
      <c r="C998" s="317">
        <v>1.18</v>
      </c>
      <c r="D998" s="317">
        <v>0.56999999999999995</v>
      </c>
      <c r="E998" s="318">
        <v>19.66</v>
      </c>
      <c r="F998" s="317">
        <v>2.15</v>
      </c>
      <c r="G998" s="317">
        <v>1.8</v>
      </c>
      <c r="H998" s="319">
        <v>29.3</v>
      </c>
      <c r="I998" s="320">
        <v>36.5</v>
      </c>
      <c r="J998" s="320">
        <v>2.1</v>
      </c>
      <c r="K998" s="57">
        <f t="shared" si="74"/>
        <v>9.5273999999999998E-2</v>
      </c>
      <c r="L998" s="310">
        <f t="shared" si="75"/>
        <v>9.1441860465116279E-2</v>
      </c>
      <c r="M998" s="405">
        <f t="shared" si="76"/>
        <v>0.91772576081387869</v>
      </c>
      <c r="N998" s="63">
        <f t="shared" si="77"/>
        <v>30.926748982196489</v>
      </c>
    </row>
    <row r="999" spans="1:14" ht="18" x14ac:dyDescent="0.25">
      <c r="A999" s="317" t="s">
        <v>2624</v>
      </c>
      <c r="B999" s="317" t="s">
        <v>2625</v>
      </c>
      <c r="C999" s="317">
        <v>1.24</v>
      </c>
      <c r="D999" s="317">
        <v>0.55000000000000004</v>
      </c>
      <c r="E999" s="318">
        <v>41.42</v>
      </c>
      <c r="F999" s="317">
        <v>2.44</v>
      </c>
      <c r="G999" s="317">
        <v>0</v>
      </c>
      <c r="H999" s="319">
        <v>46.83</v>
      </c>
      <c r="I999" s="320">
        <v>52</v>
      </c>
      <c r="J999" s="320">
        <v>2.2999999999999998</v>
      </c>
      <c r="K999" s="57">
        <f t="shared" si="74"/>
        <v>9.7932000000000005E-2</v>
      </c>
      <c r="L999" s="310">
        <f t="shared" si="75"/>
        <v>0.16975409836065572</v>
      </c>
      <c r="M999" s="405">
        <f t="shared" si="76"/>
        <v>15.325212412331453</v>
      </c>
      <c r="N999" s="63">
        <f t="shared" si="77"/>
        <v>2.0557488366241614</v>
      </c>
    </row>
    <row r="1000" spans="1:14" ht="18" x14ac:dyDescent="0.25">
      <c r="A1000" s="317" t="s">
        <v>4896</v>
      </c>
      <c r="B1000" s="317" t="s">
        <v>4897</v>
      </c>
      <c r="C1000" s="317">
        <v>2.35</v>
      </c>
      <c r="D1000" s="317">
        <v>-0.67</v>
      </c>
      <c r="E1000" s="318">
        <v>9.7799999999999994</v>
      </c>
      <c r="F1000" s="317">
        <v>0.28999999999999998</v>
      </c>
      <c r="G1000" s="317">
        <v>0</v>
      </c>
      <c r="H1000" s="319">
        <v>10.07</v>
      </c>
      <c r="I1000" s="320">
        <v>12.75</v>
      </c>
      <c r="J1000" s="320">
        <v>1.3</v>
      </c>
      <c r="K1000" s="57">
        <f t="shared" si="74"/>
        <v>0.14710500000000001</v>
      </c>
      <c r="L1000" s="310">
        <f t="shared" si="75"/>
        <v>0.33724137931034481</v>
      </c>
      <c r="M1000" s="405">
        <f t="shared" si="76"/>
        <v>-17.643364326378787</v>
      </c>
      <c r="N1000" s="63">
        <f t="shared" si="77"/>
        <v>-1.5707528231984778</v>
      </c>
    </row>
    <row r="1001" spans="1:14" ht="18" x14ac:dyDescent="0.25">
      <c r="A1001" s="317" t="s">
        <v>1686</v>
      </c>
      <c r="B1001" s="317" t="s">
        <v>1697</v>
      </c>
      <c r="C1001" s="317">
        <v>0.9</v>
      </c>
      <c r="D1001" s="317">
        <v>2.99</v>
      </c>
      <c r="E1001" s="318">
        <v>10.73</v>
      </c>
      <c r="F1001" s="317">
        <v>1.25</v>
      </c>
      <c r="G1001" s="317">
        <v>0</v>
      </c>
      <c r="H1001" s="319">
        <v>71.28</v>
      </c>
      <c r="I1001" s="320">
        <v>88</v>
      </c>
      <c r="J1001" s="320">
        <v>2.5</v>
      </c>
      <c r="K1001" s="57">
        <f t="shared" si="74"/>
        <v>8.2869999999999999E-2</v>
      </c>
      <c r="L1001" s="310">
        <f t="shared" si="75"/>
        <v>8.584E-2</v>
      </c>
      <c r="M1001" s="405">
        <f t="shared" si="76"/>
        <v>79.705351066337272</v>
      </c>
      <c r="N1001" s="63">
        <f t="shared" si="77"/>
        <v>-0.10570621612750954</v>
      </c>
    </row>
    <row r="1002" spans="1:14" ht="18" x14ac:dyDescent="0.25">
      <c r="A1002" s="317" t="s">
        <v>5095</v>
      </c>
      <c r="B1002" s="317" t="s">
        <v>1096</v>
      </c>
      <c r="C1002" s="317">
        <v>1.85</v>
      </c>
      <c r="D1002" s="317">
        <v>6.34</v>
      </c>
      <c r="E1002" s="318">
        <v>6.81</v>
      </c>
      <c r="F1002" s="317">
        <v>0.46</v>
      </c>
      <c r="G1002" s="317">
        <v>0</v>
      </c>
      <c r="H1002" s="319">
        <v>48.27</v>
      </c>
      <c r="I1002" s="320">
        <v>61</v>
      </c>
      <c r="J1002" s="320">
        <v>2.9</v>
      </c>
      <c r="K1002" s="57">
        <f t="shared" si="74"/>
        <v>0.12495500000000001</v>
      </c>
      <c r="L1002" s="310">
        <f t="shared" si="75"/>
        <v>0.14804347826086955</v>
      </c>
      <c r="M1002" s="405">
        <f t="shared" si="76"/>
        <v>111.92053431132044</v>
      </c>
      <c r="N1002" s="63">
        <f t="shared" si="77"/>
        <v>-0.56871185169889216</v>
      </c>
    </row>
    <row r="1003" spans="1:14" ht="18" x14ac:dyDescent="0.25">
      <c r="A1003" s="317" t="s">
        <v>1944</v>
      </c>
      <c r="B1003" s="317" t="s">
        <v>1945</v>
      </c>
      <c r="C1003" s="317">
        <v>1.57</v>
      </c>
      <c r="D1003" s="317">
        <v>7.26</v>
      </c>
      <c r="E1003" s="318">
        <v>7.23</v>
      </c>
      <c r="F1003" s="317">
        <v>0.71</v>
      </c>
      <c r="G1003" s="317">
        <v>1.7</v>
      </c>
      <c r="H1003" s="319">
        <v>67.540000000000006</v>
      </c>
      <c r="I1003" s="320">
        <v>95.84</v>
      </c>
      <c r="J1003" s="320">
        <v>1.5</v>
      </c>
      <c r="K1003" s="57">
        <f t="shared" si="74"/>
        <v>0.11255100000000001</v>
      </c>
      <c r="L1003" s="310">
        <f t="shared" si="75"/>
        <v>0.10183098591549297</v>
      </c>
      <c r="M1003" s="405">
        <f t="shared" si="76"/>
        <v>106.04260712128735</v>
      </c>
      <c r="N1003" s="63">
        <f t="shared" si="77"/>
        <v>-0.36308619871302844</v>
      </c>
    </row>
    <row r="1004" spans="1:14" ht="18" x14ac:dyDescent="0.25">
      <c r="A1004" s="317" t="s">
        <v>2626</v>
      </c>
      <c r="B1004" s="317" t="s">
        <v>2627</v>
      </c>
      <c r="C1004" s="317">
        <v>1.61</v>
      </c>
      <c r="D1004" s="317">
        <v>6.13</v>
      </c>
      <c r="E1004" s="318">
        <v>19.87</v>
      </c>
      <c r="F1004" s="317">
        <v>1.87</v>
      </c>
      <c r="G1004" s="317">
        <v>0.6</v>
      </c>
      <c r="H1004" s="319">
        <v>129.52000000000001</v>
      </c>
      <c r="I1004" s="320">
        <v>134.5</v>
      </c>
      <c r="J1004" s="320">
        <v>2.6</v>
      </c>
      <c r="K1004" s="57">
        <f t="shared" si="74"/>
        <v>0.11432300000000001</v>
      </c>
      <c r="L1004" s="310">
        <f t="shared" si="75"/>
        <v>0.1062566844919786</v>
      </c>
      <c r="M1004" s="405">
        <f t="shared" si="76"/>
        <v>92.285303890426405</v>
      </c>
      <c r="N1004" s="63">
        <f t="shared" si="77"/>
        <v>0.40347373351865073</v>
      </c>
    </row>
    <row r="1005" spans="1:14" ht="18" x14ac:dyDescent="0.25">
      <c r="A1005" s="317" t="s">
        <v>1946</v>
      </c>
      <c r="B1005" s="317" t="s">
        <v>1947</v>
      </c>
      <c r="C1005" s="317">
        <v>1.64</v>
      </c>
      <c r="D1005" s="317">
        <v>1.3</v>
      </c>
      <c r="E1005" s="318">
        <v>0</v>
      </c>
      <c r="F1005" s="317">
        <v>-4.12</v>
      </c>
      <c r="G1005" s="317">
        <v>0</v>
      </c>
      <c r="H1005" s="319">
        <v>18.82</v>
      </c>
      <c r="I1005" s="320">
        <v>23</v>
      </c>
      <c r="J1005" s="320">
        <v>2.2999999999999998</v>
      </c>
      <c r="K1005" s="57">
        <f t="shared" si="74"/>
        <v>0.115652</v>
      </c>
      <c r="L1005" s="310">
        <f t="shared" si="75"/>
        <v>0</v>
      </c>
      <c r="M1005" s="405">
        <f t="shared" si="76"/>
        <v>14.727833414456653</v>
      </c>
      <c r="N1005" s="63">
        <f t="shared" si="77"/>
        <v>0.27785258499234039</v>
      </c>
    </row>
    <row r="1006" spans="1:14" ht="18" x14ac:dyDescent="0.25">
      <c r="A1006" s="317" t="s">
        <v>1948</v>
      </c>
      <c r="B1006" s="317" t="s">
        <v>1949</v>
      </c>
      <c r="C1006" s="317">
        <v>1.55</v>
      </c>
      <c r="D1006" s="317">
        <v>2.16</v>
      </c>
      <c r="E1006" s="318">
        <v>14.37</v>
      </c>
      <c r="F1006" s="317">
        <v>1.43</v>
      </c>
      <c r="G1006" s="317">
        <v>0</v>
      </c>
      <c r="H1006" s="319">
        <v>47</v>
      </c>
      <c r="I1006" s="320">
        <v>56</v>
      </c>
      <c r="J1006" s="320">
        <v>1.8</v>
      </c>
      <c r="K1006" s="57">
        <f t="shared" si="74"/>
        <v>0.11166500000000001</v>
      </c>
      <c r="L1006" s="310">
        <f t="shared" si="75"/>
        <v>0.10048951048951048</v>
      </c>
      <c r="M1006" s="405">
        <f t="shared" si="76"/>
        <v>37.725575274065775</v>
      </c>
      <c r="N1006" s="63">
        <f t="shared" si="77"/>
        <v>0.24583918624323467</v>
      </c>
    </row>
    <row r="1007" spans="1:14" ht="18" x14ac:dyDescent="0.25">
      <c r="A1007" s="317" t="s">
        <v>2628</v>
      </c>
      <c r="B1007" s="317" t="s">
        <v>2629</v>
      </c>
      <c r="C1007" s="317">
        <v>1.81</v>
      </c>
      <c r="D1007" s="317">
        <v>3.91</v>
      </c>
      <c r="E1007" s="318">
        <v>15.8</v>
      </c>
      <c r="F1007" s="317">
        <v>1.24</v>
      </c>
      <c r="G1007" s="317">
        <v>1.6</v>
      </c>
      <c r="H1007" s="319">
        <v>84.86</v>
      </c>
      <c r="I1007" s="320">
        <v>92</v>
      </c>
      <c r="J1007" s="320">
        <v>2.5</v>
      </c>
      <c r="K1007" s="57">
        <f t="shared" si="74"/>
        <v>0.12318300000000001</v>
      </c>
      <c r="L1007" s="310">
        <f t="shared" si="75"/>
        <v>0.12741935483870967</v>
      </c>
      <c r="M1007" s="405">
        <f t="shared" si="76"/>
        <v>42.688601866580655</v>
      </c>
      <c r="N1007" s="63">
        <f t="shared" si="77"/>
        <v>0.98788426627843695</v>
      </c>
    </row>
    <row r="1008" spans="1:14" ht="18" x14ac:dyDescent="0.25">
      <c r="A1008" s="317" t="s">
        <v>2630</v>
      </c>
      <c r="B1008" s="317" t="s">
        <v>2631</v>
      </c>
      <c r="C1008" s="317">
        <v>0.72</v>
      </c>
      <c r="D1008" s="317">
        <v>3.34</v>
      </c>
      <c r="E1008" s="318">
        <v>18.28</v>
      </c>
      <c r="F1008" s="317">
        <v>1.48</v>
      </c>
      <c r="G1008" s="317">
        <v>0.5</v>
      </c>
      <c r="H1008" s="319">
        <v>84.64</v>
      </c>
      <c r="I1008" s="320">
        <v>91.5</v>
      </c>
      <c r="J1008" s="320">
        <v>2.1</v>
      </c>
      <c r="K1008" s="57">
        <f t="shared" si="74"/>
        <v>7.489599999999999E-2</v>
      </c>
      <c r="L1008" s="310">
        <f t="shared" si="75"/>
        <v>0.12351351351351353</v>
      </c>
      <c r="M1008" s="405">
        <f t="shared" si="76"/>
        <v>109.51800199290324</v>
      </c>
      <c r="N1008" s="63">
        <f t="shared" si="77"/>
        <v>-0.22715901988894327</v>
      </c>
    </row>
    <row r="1009" spans="1:14" ht="18" x14ac:dyDescent="0.25">
      <c r="A1009" s="317" t="s">
        <v>1950</v>
      </c>
      <c r="B1009" s="317" t="s">
        <v>1951</v>
      </c>
      <c r="C1009" s="317">
        <v>2.14</v>
      </c>
      <c r="D1009" s="317">
        <v>0.37</v>
      </c>
      <c r="E1009" s="318">
        <v>14.25</v>
      </c>
      <c r="F1009" s="317">
        <v>0.87</v>
      </c>
      <c r="G1009" s="317">
        <v>0</v>
      </c>
      <c r="H1009" s="319">
        <v>38.47</v>
      </c>
      <c r="I1009" s="320">
        <v>50</v>
      </c>
      <c r="J1009" s="320">
        <v>2.2000000000000002</v>
      </c>
      <c r="K1009" s="57">
        <f t="shared" si="74"/>
        <v>0.13780200000000004</v>
      </c>
      <c r="L1009" s="310">
        <f t="shared" si="75"/>
        <v>0.16379310344827588</v>
      </c>
      <c r="M1009" s="405">
        <f t="shared" si="76"/>
        <v>6.0055024879018966</v>
      </c>
      <c r="N1009" s="63">
        <f t="shared" si="77"/>
        <v>5.4057920344713768</v>
      </c>
    </row>
    <row r="1010" spans="1:14" ht="18" x14ac:dyDescent="0.25">
      <c r="A1010" s="317" t="s">
        <v>1708</v>
      </c>
      <c r="B1010" s="317" t="s">
        <v>1709</v>
      </c>
      <c r="C1010" s="317">
        <v>0.8</v>
      </c>
      <c r="D1010" s="317">
        <v>4.63</v>
      </c>
      <c r="E1010" s="318">
        <v>13.75</v>
      </c>
      <c r="F1010" s="317">
        <v>1.1399999999999999</v>
      </c>
      <c r="G1010" s="317">
        <v>1.2</v>
      </c>
      <c r="H1010" s="319">
        <v>78.540000000000006</v>
      </c>
      <c r="I1010" s="320">
        <v>72</v>
      </c>
      <c r="J1010" s="320">
        <v>2.7</v>
      </c>
      <c r="K1010" s="57">
        <f t="shared" si="74"/>
        <v>7.844000000000001E-2</v>
      </c>
      <c r="L1010" s="310">
        <f t="shared" si="75"/>
        <v>0.12061403508771931</v>
      </c>
      <c r="M1010" s="405">
        <f t="shared" si="76"/>
        <v>125.19619466124972</v>
      </c>
      <c r="N1010" s="63">
        <f t="shared" si="77"/>
        <v>-0.37266463878946132</v>
      </c>
    </row>
    <row r="1011" spans="1:14" ht="18" x14ac:dyDescent="0.25">
      <c r="A1011" s="317" t="s">
        <v>1952</v>
      </c>
      <c r="B1011" s="317" t="s">
        <v>1953</v>
      </c>
      <c r="C1011" s="317">
        <v>0.84</v>
      </c>
      <c r="D1011" s="317">
        <v>1.94</v>
      </c>
      <c r="E1011" s="318">
        <v>16.100000000000001</v>
      </c>
      <c r="F1011" s="317">
        <v>1.01</v>
      </c>
      <c r="G1011" s="317">
        <v>0</v>
      </c>
      <c r="H1011" s="319">
        <v>47.99</v>
      </c>
      <c r="I1011" s="320">
        <v>71</v>
      </c>
      <c r="J1011" s="320">
        <v>1.9</v>
      </c>
      <c r="K1011" s="57">
        <f t="shared" si="74"/>
        <v>8.0212000000000006E-2</v>
      </c>
      <c r="L1011" s="310">
        <f t="shared" si="75"/>
        <v>0.15940594059405944</v>
      </c>
      <c r="M1011" s="405">
        <f t="shared" si="76"/>
        <v>73.732468199704073</v>
      </c>
      <c r="N1011" s="63">
        <f t="shared" si="77"/>
        <v>-0.3491334120265811</v>
      </c>
    </row>
    <row r="1012" spans="1:14" ht="18" x14ac:dyDescent="0.25">
      <c r="A1012" s="317" t="s">
        <v>1954</v>
      </c>
      <c r="B1012" s="317" t="s">
        <v>1955</v>
      </c>
      <c r="C1012" s="317">
        <v>1.51</v>
      </c>
      <c r="D1012" s="317">
        <v>1.38</v>
      </c>
      <c r="E1012" s="318">
        <v>13.7</v>
      </c>
      <c r="F1012" s="317">
        <v>1.48</v>
      </c>
      <c r="G1012" s="317">
        <v>3.6</v>
      </c>
      <c r="H1012" s="319">
        <v>23.02</v>
      </c>
      <c r="I1012" s="320">
        <v>27</v>
      </c>
      <c r="J1012" s="320">
        <v>2.4</v>
      </c>
      <c r="K1012" s="57">
        <f t="shared" si="74"/>
        <v>0.109893</v>
      </c>
      <c r="L1012" s="310">
        <f t="shared" si="75"/>
        <v>9.2567567567567566E-2</v>
      </c>
      <c r="M1012" s="405">
        <f t="shared" si="76"/>
        <v>9.5677994513346967</v>
      </c>
      <c r="N1012" s="63">
        <f t="shared" si="77"/>
        <v>1.4059868851858863</v>
      </c>
    </row>
    <row r="1013" spans="1:14" ht="18" x14ac:dyDescent="0.25">
      <c r="A1013" s="317" t="s">
        <v>2448</v>
      </c>
      <c r="B1013" s="317" t="s">
        <v>2449</v>
      </c>
      <c r="C1013" s="317">
        <v>0.5</v>
      </c>
      <c r="D1013" s="317">
        <v>-1.53</v>
      </c>
      <c r="E1013" s="318">
        <v>35.630000000000003</v>
      </c>
      <c r="F1013" s="317">
        <v>2.2000000000000002</v>
      </c>
      <c r="G1013" s="317">
        <v>0.3</v>
      </c>
      <c r="H1013" s="319">
        <v>52.38</v>
      </c>
      <c r="I1013" s="320">
        <v>60</v>
      </c>
      <c r="J1013" s="320">
        <v>2.5</v>
      </c>
      <c r="K1013" s="57">
        <f t="shared" si="74"/>
        <v>6.515E-2</v>
      </c>
      <c r="L1013" s="310">
        <f t="shared" si="75"/>
        <v>0.16195454545454546</v>
      </c>
      <c r="M1013" s="405">
        <f t="shared" si="76"/>
        <v>-99.528602533405035</v>
      </c>
      <c r="N1013" s="63">
        <f t="shared" si="77"/>
        <v>-1.5262808747105594</v>
      </c>
    </row>
    <row r="1014" spans="1:14" ht="18" x14ac:dyDescent="0.25">
      <c r="A1014" s="317" t="s">
        <v>1956</v>
      </c>
      <c r="B1014" s="317" t="s">
        <v>4981</v>
      </c>
      <c r="C1014" s="317">
        <v>2.09</v>
      </c>
      <c r="D1014" s="317">
        <v>1.06</v>
      </c>
      <c r="E1014" s="318">
        <v>9.3000000000000007</v>
      </c>
      <c r="F1014" s="317">
        <v>0.9</v>
      </c>
      <c r="G1014" s="317">
        <v>5.5</v>
      </c>
      <c r="H1014" s="319">
        <v>19.07</v>
      </c>
      <c r="I1014" s="320">
        <v>23</v>
      </c>
      <c r="J1014" s="320">
        <v>1.8</v>
      </c>
      <c r="K1014" s="57">
        <f t="shared" si="74"/>
        <v>0.13558700000000001</v>
      </c>
      <c r="L1014" s="310">
        <f t="shared" si="75"/>
        <v>0.10333333333333333</v>
      </c>
      <c r="M1014" s="405">
        <f t="shared" si="76"/>
        <v>0.14961197065138371</v>
      </c>
      <c r="N1014" s="63">
        <f t="shared" si="77"/>
        <v>126.46306272801993</v>
      </c>
    </row>
    <row r="1015" spans="1:14" ht="18" x14ac:dyDescent="0.25">
      <c r="A1015" s="317" t="s">
        <v>4982</v>
      </c>
      <c r="B1015" s="317" t="s">
        <v>4983</v>
      </c>
      <c r="C1015" s="317">
        <v>1.34</v>
      </c>
      <c r="D1015" s="317">
        <v>2.61</v>
      </c>
      <c r="E1015" s="318">
        <v>9</v>
      </c>
      <c r="F1015" s="317">
        <v>0.48</v>
      </c>
      <c r="G1015" s="317">
        <v>0.8</v>
      </c>
      <c r="H1015" s="319">
        <v>53.37</v>
      </c>
      <c r="I1015" s="320">
        <v>66.5</v>
      </c>
      <c r="J1015" s="320">
        <v>2</v>
      </c>
      <c r="K1015" s="57">
        <f t="shared" si="74"/>
        <v>0.10236200000000001</v>
      </c>
      <c r="L1015" s="310">
        <f t="shared" si="75"/>
        <v>0.1875</v>
      </c>
      <c r="M1015" s="405">
        <f t="shared" si="76"/>
        <v>60.455293578639036</v>
      </c>
      <c r="N1015" s="63">
        <f t="shared" si="77"/>
        <v>-0.11719889457525554</v>
      </c>
    </row>
    <row r="1016" spans="1:14" ht="18" x14ac:dyDescent="0.25">
      <c r="A1016" s="317" t="s">
        <v>2632</v>
      </c>
      <c r="B1016" s="317" t="s">
        <v>2633</v>
      </c>
      <c r="C1016" s="317">
        <v>0.9</v>
      </c>
      <c r="D1016" s="317">
        <v>1.56</v>
      </c>
      <c r="E1016" s="318">
        <v>14.83</v>
      </c>
      <c r="F1016" s="317">
        <v>1.1399999999999999</v>
      </c>
      <c r="G1016" s="317">
        <v>2.5</v>
      </c>
      <c r="H1016" s="319">
        <v>31.58</v>
      </c>
      <c r="I1016" s="320">
        <v>35.75</v>
      </c>
      <c r="J1016" s="320">
        <v>1.6</v>
      </c>
      <c r="K1016" s="57">
        <f t="shared" si="74"/>
        <v>8.2869999999999999E-2</v>
      </c>
      <c r="L1016" s="310">
        <f t="shared" si="75"/>
        <v>0.13008771929824564</v>
      </c>
      <c r="M1016" s="405">
        <f t="shared" si="76"/>
        <v>24.553088448511456</v>
      </c>
      <c r="N1016" s="63">
        <f t="shared" si="77"/>
        <v>0.28619257272762982</v>
      </c>
    </row>
    <row r="1017" spans="1:14" ht="18" x14ac:dyDescent="0.25">
      <c r="A1017" s="317" t="s">
        <v>2634</v>
      </c>
      <c r="B1017" s="317" t="s">
        <v>2635</v>
      </c>
      <c r="C1017" s="317">
        <v>1.84</v>
      </c>
      <c r="D1017" s="317">
        <v>1.63</v>
      </c>
      <c r="E1017" s="318">
        <v>8.7100000000000009</v>
      </c>
      <c r="F1017" s="317">
        <v>1.19</v>
      </c>
      <c r="G1017" s="317">
        <v>1.6</v>
      </c>
      <c r="H1017" s="319">
        <v>16.02</v>
      </c>
      <c r="I1017" s="320">
        <v>17</v>
      </c>
      <c r="J1017" s="320">
        <v>2.5</v>
      </c>
      <c r="K1017" s="57">
        <f t="shared" si="74"/>
        <v>0.12451200000000001</v>
      </c>
      <c r="L1017" s="310">
        <f t="shared" si="75"/>
        <v>7.3193277310924371E-2</v>
      </c>
      <c r="M1017" s="405">
        <f t="shared" si="76"/>
        <v>18.556656574881153</v>
      </c>
      <c r="N1017" s="63">
        <f t="shared" si="77"/>
        <v>-0.1366979317984926</v>
      </c>
    </row>
    <row r="1018" spans="1:14" ht="18" x14ac:dyDescent="0.25">
      <c r="A1018" s="317" t="s">
        <v>4984</v>
      </c>
      <c r="B1018" s="317" t="s">
        <v>4985</v>
      </c>
      <c r="C1018" s="317">
        <v>1.68</v>
      </c>
      <c r="D1018" s="317">
        <v>1.41</v>
      </c>
      <c r="E1018" s="318">
        <v>15.72</v>
      </c>
      <c r="F1018" s="317">
        <v>0.94</v>
      </c>
      <c r="G1018" s="317">
        <v>0</v>
      </c>
      <c r="H1018" s="319">
        <v>38.35</v>
      </c>
      <c r="I1018" s="320">
        <v>42.85</v>
      </c>
      <c r="J1018" s="320">
        <v>2.2999999999999998</v>
      </c>
      <c r="K1018" s="57">
        <f t="shared" si="74"/>
        <v>0.117424</v>
      </c>
      <c r="L1018" s="310">
        <f t="shared" si="75"/>
        <v>0.16723404255319149</v>
      </c>
      <c r="M1018" s="405">
        <f t="shared" si="76"/>
        <v>29.243234016270669</v>
      </c>
      <c r="N1018" s="63">
        <f t="shared" si="77"/>
        <v>0.31141446184311933</v>
      </c>
    </row>
    <row r="1019" spans="1:14" ht="18" x14ac:dyDescent="0.25">
      <c r="A1019" s="317" t="s">
        <v>1231</v>
      </c>
      <c r="B1019" s="317" t="s">
        <v>1232</v>
      </c>
      <c r="C1019" s="317">
        <v>0.74</v>
      </c>
      <c r="D1019" s="317">
        <v>4.71</v>
      </c>
      <c r="E1019" s="318">
        <v>8.8000000000000007</v>
      </c>
      <c r="F1019" s="317">
        <v>1.19</v>
      </c>
      <c r="G1019" s="317">
        <v>3.5</v>
      </c>
      <c r="H1019" s="319">
        <v>49.09</v>
      </c>
      <c r="I1019" s="320">
        <v>56</v>
      </c>
      <c r="J1019" s="320">
        <v>2.4</v>
      </c>
      <c r="K1019" s="57">
        <f t="shared" si="74"/>
        <v>7.5782000000000002E-2</v>
      </c>
      <c r="L1019" s="310">
        <f t="shared" si="75"/>
        <v>7.3949579831932788E-2</v>
      </c>
      <c r="M1019" s="405">
        <f t="shared" si="76"/>
        <v>89.476169905197025</v>
      </c>
      <c r="N1019" s="63">
        <f t="shared" si="77"/>
        <v>-0.45136230068841249</v>
      </c>
    </row>
    <row r="1020" spans="1:14" ht="18" x14ac:dyDescent="0.25">
      <c r="A1020" s="317" t="s">
        <v>4986</v>
      </c>
      <c r="B1020" s="317" t="s">
        <v>4987</v>
      </c>
      <c r="C1020" s="317">
        <v>1.8</v>
      </c>
      <c r="D1020" s="317">
        <v>0.27</v>
      </c>
      <c r="E1020" s="318">
        <v>17.37</v>
      </c>
      <c r="F1020" s="317">
        <v>2.4700000000000002</v>
      </c>
      <c r="G1020" s="317">
        <v>0</v>
      </c>
      <c r="H1020" s="319">
        <v>17.02</v>
      </c>
      <c r="I1020" s="320">
        <v>17.25</v>
      </c>
      <c r="J1020" s="320">
        <v>3</v>
      </c>
      <c r="K1020" s="57">
        <f t="shared" si="74"/>
        <v>0.12274000000000002</v>
      </c>
      <c r="L1020" s="310">
        <f t="shared" si="75"/>
        <v>7.0323886639676106E-2</v>
      </c>
      <c r="M1020" s="405">
        <f t="shared" si="76"/>
        <v>3.6805904587892933</v>
      </c>
      <c r="N1020" s="63">
        <f t="shared" si="77"/>
        <v>3.6242580342933941</v>
      </c>
    </row>
    <row r="1021" spans="1:14" ht="18" x14ac:dyDescent="0.25">
      <c r="A1021" s="317" t="s">
        <v>3137</v>
      </c>
      <c r="B1021" s="317" t="s">
        <v>3138</v>
      </c>
      <c r="C1021" s="317"/>
      <c r="D1021" s="317"/>
      <c r="E1021" s="318"/>
      <c r="F1021" s="317"/>
      <c r="G1021" s="317"/>
      <c r="H1021" s="319"/>
      <c r="I1021" s="320"/>
      <c r="J1021" s="320"/>
      <c r="K1021" s="57">
        <f t="shared" si="74"/>
        <v>4.2999999999999997E-2</v>
      </c>
      <c r="L1021" s="310" t="e">
        <f t="shared" si="75"/>
        <v>#DIV/0!</v>
      </c>
      <c r="M1021" s="405" t="e">
        <f t="shared" si="76"/>
        <v>#DIV/0!</v>
      </c>
      <c r="N1021" s="63" t="e">
        <f t="shared" si="77"/>
        <v>#DIV/0!</v>
      </c>
    </row>
    <row r="1022" spans="1:14" ht="18" x14ac:dyDescent="0.25">
      <c r="A1022" s="317" t="s">
        <v>2636</v>
      </c>
      <c r="B1022" s="317" t="s">
        <v>2637</v>
      </c>
      <c r="C1022" s="317">
        <v>0.99</v>
      </c>
      <c r="D1022" s="317">
        <v>-1.1599999999999999</v>
      </c>
      <c r="E1022" s="318">
        <v>0</v>
      </c>
      <c r="F1022" s="317">
        <v>-1.29</v>
      </c>
      <c r="G1022" s="317">
        <v>0</v>
      </c>
      <c r="H1022" s="319">
        <v>5.32</v>
      </c>
      <c r="I1022" s="320">
        <v>5.5</v>
      </c>
      <c r="J1022" s="320">
        <v>2.6</v>
      </c>
      <c r="K1022" s="57">
        <f t="shared" si="74"/>
        <v>8.6857000000000004E-2</v>
      </c>
      <c r="L1022" s="310">
        <f t="shared" si="75"/>
        <v>0</v>
      </c>
      <c r="M1022" s="405">
        <f t="shared" si="76"/>
        <v>-19.984057325085157</v>
      </c>
      <c r="N1022" s="63">
        <f t="shared" si="77"/>
        <v>-1.2662122067335158</v>
      </c>
    </row>
    <row r="1023" spans="1:14" ht="18" x14ac:dyDescent="0.25">
      <c r="A1023" s="317" t="s">
        <v>4894</v>
      </c>
      <c r="B1023" s="317" t="s">
        <v>4895</v>
      </c>
      <c r="C1023" s="317">
        <v>4.0199999999999996</v>
      </c>
      <c r="D1023" s="317">
        <v>1.61</v>
      </c>
      <c r="E1023" s="318">
        <v>9.02</v>
      </c>
      <c r="F1023" s="317">
        <v>0.68</v>
      </c>
      <c r="G1023" s="317">
        <v>0.7</v>
      </c>
      <c r="H1023" s="319">
        <v>13.62</v>
      </c>
      <c r="I1023" s="320">
        <v>20</v>
      </c>
      <c r="J1023" s="320">
        <v>2.1</v>
      </c>
      <c r="K1023" s="57">
        <f t="shared" si="74"/>
        <v>0.221086</v>
      </c>
      <c r="L1023" s="310">
        <f t="shared" si="75"/>
        <v>0.1326470588235294</v>
      </c>
      <c r="M1023" s="405">
        <f t="shared" si="76"/>
        <v>12.172217087537851</v>
      </c>
      <c r="N1023" s="63">
        <f t="shared" si="77"/>
        <v>0.11894159478509601</v>
      </c>
    </row>
    <row r="1024" spans="1:14" ht="18" x14ac:dyDescent="0.25">
      <c r="A1024" s="317" t="s">
        <v>2638</v>
      </c>
      <c r="B1024" s="317" t="s">
        <v>2639</v>
      </c>
      <c r="C1024" s="317">
        <v>0.18</v>
      </c>
      <c r="D1024" s="317">
        <v>1.64</v>
      </c>
      <c r="E1024" s="318">
        <v>11.76</v>
      </c>
      <c r="F1024" s="317">
        <v>1.52</v>
      </c>
      <c r="G1024" s="317">
        <v>0</v>
      </c>
      <c r="H1024" s="319">
        <v>17.41</v>
      </c>
      <c r="I1024" s="320">
        <v>18</v>
      </c>
      <c r="J1024" s="320">
        <v>2.8</v>
      </c>
      <c r="K1024" s="57">
        <f t="shared" si="74"/>
        <v>5.0973999999999998E-2</v>
      </c>
      <c r="L1024" s="310">
        <f t="shared" si="75"/>
        <v>7.7368421052631572E-2</v>
      </c>
      <c r="M1024" s="405">
        <f t="shared" si="76"/>
        <v>132.60684010307801</v>
      </c>
      <c r="N1024" s="63">
        <f t="shared" si="77"/>
        <v>-0.86870963830774606</v>
      </c>
    </row>
    <row r="1025" spans="1:14" ht="18" x14ac:dyDescent="0.25">
      <c r="A1025" s="317" t="s">
        <v>546</v>
      </c>
      <c r="B1025" s="317" t="s">
        <v>4336</v>
      </c>
      <c r="C1025" s="317">
        <v>0</v>
      </c>
      <c r="D1025" s="317">
        <v>-0.05</v>
      </c>
      <c r="E1025" s="318">
        <v>0</v>
      </c>
      <c r="F1025" s="317">
        <v>0</v>
      </c>
      <c r="G1025" s="317">
        <v>0</v>
      </c>
      <c r="H1025" s="319">
        <v>3.23</v>
      </c>
      <c r="I1025" s="320"/>
      <c r="J1025" s="320"/>
      <c r="K1025" s="57">
        <f t="shared" si="74"/>
        <v>4.2999999999999997E-2</v>
      </c>
      <c r="L1025" s="310" t="e">
        <f t="shared" si="75"/>
        <v>#DIV/0!</v>
      </c>
      <c r="M1025" s="405" t="e">
        <f t="shared" si="76"/>
        <v>#DIV/0!</v>
      </c>
      <c r="N1025" s="63" t="e">
        <f t="shared" si="77"/>
        <v>#DIV/0!</v>
      </c>
    </row>
    <row r="1026" spans="1:14" ht="18" x14ac:dyDescent="0.25">
      <c r="A1026" s="317" t="s">
        <v>956</v>
      </c>
      <c r="B1026" s="317"/>
      <c r="C1026" s="317">
        <v>2.35</v>
      </c>
      <c r="D1026" s="317">
        <v>1.73</v>
      </c>
      <c r="E1026" s="318">
        <v>4.83</v>
      </c>
      <c r="F1026" s="317">
        <v>1.1200000000000001</v>
      </c>
      <c r="G1026" s="317">
        <v>7.4</v>
      </c>
      <c r="H1026" s="319">
        <v>7.83</v>
      </c>
      <c r="I1026" s="320">
        <v>9</v>
      </c>
      <c r="J1026" s="320">
        <v>2.9</v>
      </c>
      <c r="K1026" s="57">
        <f t="shared" si="74"/>
        <v>0.14710500000000001</v>
      </c>
      <c r="L1026" s="310">
        <f t="shared" si="75"/>
        <v>4.3124999999999997E-2</v>
      </c>
      <c r="M1026" s="405">
        <f t="shared" si="76"/>
        <v>11.239736942544292</v>
      </c>
      <c r="N1026" s="63">
        <f t="shared" si="77"/>
        <v>-0.30336447907760766</v>
      </c>
    </row>
    <row r="1027" spans="1:14" ht="18" x14ac:dyDescent="0.25">
      <c r="A1027" s="317" t="s">
        <v>1105</v>
      </c>
      <c r="B1027" s="317" t="s">
        <v>1106</v>
      </c>
      <c r="C1027" s="317">
        <v>2.41</v>
      </c>
      <c r="D1027" s="317">
        <v>-0.08</v>
      </c>
      <c r="E1027" s="318">
        <v>0</v>
      </c>
      <c r="F1027" s="317">
        <v>0</v>
      </c>
      <c r="G1027" s="317">
        <v>8.5</v>
      </c>
      <c r="H1027" s="319">
        <v>2.35</v>
      </c>
      <c r="I1027" s="320">
        <v>3.5</v>
      </c>
      <c r="J1027" s="320">
        <v>1.8</v>
      </c>
      <c r="K1027" s="57">
        <f t="shared" si="74"/>
        <v>0.14976300000000003</v>
      </c>
      <c r="L1027" s="310" t="e">
        <f t="shared" si="75"/>
        <v>#DIV/0!</v>
      </c>
      <c r="M1027" s="405" t="e">
        <f t="shared" si="76"/>
        <v>#DIV/0!</v>
      </c>
      <c r="N1027" s="63" t="e">
        <f t="shared" si="77"/>
        <v>#DIV/0!</v>
      </c>
    </row>
    <row r="1028" spans="1:14" ht="18" x14ac:dyDescent="0.25">
      <c r="A1028" s="317" t="s">
        <v>2640</v>
      </c>
      <c r="B1028" s="317" t="s">
        <v>5167</v>
      </c>
      <c r="C1028" s="317">
        <v>1.32</v>
      </c>
      <c r="D1028" s="317">
        <v>1.43</v>
      </c>
      <c r="E1028" s="318">
        <v>20.65</v>
      </c>
      <c r="F1028" s="317">
        <v>1.36</v>
      </c>
      <c r="G1028" s="317">
        <v>1.4</v>
      </c>
      <c r="H1028" s="319">
        <v>36.96</v>
      </c>
      <c r="I1028" s="320">
        <v>40.25</v>
      </c>
      <c r="J1028" s="320">
        <v>2.2000000000000002</v>
      </c>
      <c r="K1028" s="57">
        <f t="shared" si="74"/>
        <v>0.10147600000000001</v>
      </c>
      <c r="L1028" s="310">
        <f t="shared" si="75"/>
        <v>0.15183823529411763</v>
      </c>
      <c r="M1028" s="405">
        <f t="shared" si="76"/>
        <v>22.428124581495091</v>
      </c>
      <c r="N1028" s="63">
        <f t="shared" si="77"/>
        <v>0.6479309210942592</v>
      </c>
    </row>
    <row r="1029" spans="1:14" ht="18" x14ac:dyDescent="0.25">
      <c r="A1029" s="317" t="s">
        <v>5168</v>
      </c>
      <c r="B1029" s="317" t="s">
        <v>5169</v>
      </c>
      <c r="C1029" s="317">
        <v>0.56999999999999995</v>
      </c>
      <c r="D1029" s="317">
        <v>2.98</v>
      </c>
      <c r="E1029" s="318">
        <v>12.87</v>
      </c>
      <c r="F1029" s="317">
        <v>2.9</v>
      </c>
      <c r="G1029" s="317">
        <v>4.7</v>
      </c>
      <c r="H1029" s="319">
        <v>41.18</v>
      </c>
      <c r="I1029" s="320">
        <v>41.25</v>
      </c>
      <c r="J1029" s="320">
        <v>2.4</v>
      </c>
      <c r="K1029" s="57">
        <f t="shared" ref="K1029:K1092" si="78">$P$14+C1029*($Q$15-$P$14)</f>
        <v>6.8251000000000006E-2</v>
      </c>
      <c r="L1029" s="310">
        <f t="shared" ref="L1029:L1092" si="79">E1029/F1029/100</f>
        <v>4.4379310344827588E-2</v>
      </c>
      <c r="M1029" s="405">
        <f t="shared" ref="M1029:M1092" si="80">(D1029-G1029*H1029/100)+(D1029-G1029*H1029/100)*(1+L1029)/(1+K1029)+(D1029-G1029*H1029/100)*(1+L1029)^2/(1+K1029)^2+(D1029-G1029*H1029/100)*(1+L1029)^3/(1+K1029)^3+(D1029-G1029*H1029/100)*(1+L1029)^4/(1+K1029)^4+((D1029-G1029*H1029/100)*(1+L1029)^5/(K1029-$T$22-$T$19))/((1+K1029)^5)</f>
        <v>33.921656419192992</v>
      </c>
      <c r="N1029" s="63">
        <f t="shared" ref="N1029:N1092" si="81">(H1029-M1029)/M1029</f>
        <v>0.21397373675125758</v>
      </c>
    </row>
    <row r="1030" spans="1:14" ht="18" x14ac:dyDescent="0.25">
      <c r="A1030" s="317" t="s">
        <v>5170</v>
      </c>
      <c r="B1030" s="317" t="s">
        <v>5171</v>
      </c>
      <c r="C1030" s="317">
        <v>1.23</v>
      </c>
      <c r="D1030" s="317">
        <v>0.38</v>
      </c>
      <c r="E1030" s="318">
        <v>15.61</v>
      </c>
      <c r="F1030" s="317">
        <v>1.47</v>
      </c>
      <c r="G1030" s="317">
        <v>1.3</v>
      </c>
      <c r="H1030" s="319">
        <v>17.8</v>
      </c>
      <c r="I1030" s="320">
        <v>21</v>
      </c>
      <c r="J1030" s="320">
        <v>2.2000000000000002</v>
      </c>
      <c r="K1030" s="57">
        <f t="shared" si="78"/>
        <v>9.7489000000000006E-2</v>
      </c>
      <c r="L1030" s="310">
        <f t="shared" si="79"/>
        <v>0.10619047619047618</v>
      </c>
      <c r="M1030" s="405">
        <f t="shared" si="80"/>
        <v>3.2689033728320473</v>
      </c>
      <c r="N1030" s="63">
        <f t="shared" si="81"/>
        <v>4.445251195840271</v>
      </c>
    </row>
    <row r="1031" spans="1:14" ht="18" x14ac:dyDescent="0.25">
      <c r="A1031" s="317" t="s">
        <v>4526</v>
      </c>
      <c r="B1031" s="317" t="s">
        <v>4988</v>
      </c>
      <c r="C1031" s="317">
        <v>1.61</v>
      </c>
      <c r="D1031" s="317">
        <v>0.51</v>
      </c>
      <c r="E1031" s="318">
        <v>16.739999999999998</v>
      </c>
      <c r="F1031" s="317">
        <v>1.66</v>
      </c>
      <c r="G1031" s="317">
        <v>1.7</v>
      </c>
      <c r="H1031" s="319">
        <v>11.55</v>
      </c>
      <c r="I1031" s="320">
        <v>13</v>
      </c>
      <c r="J1031" s="320">
        <v>1.8</v>
      </c>
      <c r="K1031" s="57">
        <f t="shared" si="78"/>
        <v>0.11432300000000001</v>
      </c>
      <c r="L1031" s="310">
        <f t="shared" si="79"/>
        <v>0.1008433734939759</v>
      </c>
      <c r="M1031" s="405">
        <f t="shared" si="80"/>
        <v>5.2989147792684372</v>
      </c>
      <c r="N1031" s="63">
        <f t="shared" si="81"/>
        <v>1.1796915936803538</v>
      </c>
    </row>
    <row r="1032" spans="1:14" ht="18" x14ac:dyDescent="0.25">
      <c r="A1032" s="317" t="s">
        <v>4989</v>
      </c>
      <c r="B1032" s="317" t="s">
        <v>4990</v>
      </c>
      <c r="C1032" s="317">
        <v>1.26</v>
      </c>
      <c r="D1032" s="317">
        <v>5.9</v>
      </c>
      <c r="E1032" s="318">
        <v>9.57</v>
      </c>
      <c r="F1032" s="317">
        <v>0.72</v>
      </c>
      <c r="G1032" s="317">
        <v>1.4</v>
      </c>
      <c r="H1032" s="319">
        <v>68.12</v>
      </c>
      <c r="I1032" s="320">
        <v>93</v>
      </c>
      <c r="J1032" s="320">
        <v>1</v>
      </c>
      <c r="K1032" s="57">
        <f t="shared" si="78"/>
        <v>9.8818000000000003E-2</v>
      </c>
      <c r="L1032" s="310">
        <f t="shared" si="79"/>
        <v>0.13291666666666668</v>
      </c>
      <c r="M1032" s="405">
        <f t="shared" si="80"/>
        <v>118.05500366241253</v>
      </c>
      <c r="N1032" s="63">
        <f t="shared" si="81"/>
        <v>-0.42298083192818792</v>
      </c>
    </row>
    <row r="1033" spans="1:14" ht="18" x14ac:dyDescent="0.25">
      <c r="A1033" s="317" t="s">
        <v>3434</v>
      </c>
      <c r="B1033" s="317" t="s">
        <v>3435</v>
      </c>
      <c r="C1033" s="317">
        <v>2.27</v>
      </c>
      <c r="D1033" s="317">
        <v>-0.51</v>
      </c>
      <c r="E1033" s="318">
        <v>0</v>
      </c>
      <c r="F1033" s="317">
        <v>0</v>
      </c>
      <c r="G1033" s="317">
        <v>0</v>
      </c>
      <c r="H1033" s="319">
        <v>2.64</v>
      </c>
      <c r="I1033" s="320">
        <v>6.75</v>
      </c>
      <c r="J1033" s="320">
        <v>2</v>
      </c>
      <c r="K1033" s="57">
        <f t="shared" si="78"/>
        <v>0.14356099999999999</v>
      </c>
      <c r="L1033" s="310" t="e">
        <f t="shared" si="79"/>
        <v>#DIV/0!</v>
      </c>
      <c r="M1033" s="405" t="e">
        <f t="shared" si="80"/>
        <v>#DIV/0!</v>
      </c>
      <c r="N1033" s="63" t="e">
        <f t="shared" si="81"/>
        <v>#DIV/0!</v>
      </c>
    </row>
    <row r="1034" spans="1:14" ht="18" x14ac:dyDescent="0.25">
      <c r="A1034" s="317" t="s">
        <v>1695</v>
      </c>
      <c r="B1034" s="317" t="s">
        <v>1696</v>
      </c>
      <c r="C1034" s="317">
        <v>1.53</v>
      </c>
      <c r="D1034" s="317">
        <v>-0.05</v>
      </c>
      <c r="E1034" s="318">
        <v>0</v>
      </c>
      <c r="F1034" s="317">
        <v>0</v>
      </c>
      <c r="G1034" s="317">
        <v>0</v>
      </c>
      <c r="H1034" s="319">
        <v>0.08</v>
      </c>
      <c r="I1034" s="320">
        <v>0.27</v>
      </c>
      <c r="J1034" s="320">
        <v>2</v>
      </c>
      <c r="K1034" s="57">
        <f t="shared" si="78"/>
        <v>0.110779</v>
      </c>
      <c r="L1034" s="310" t="e">
        <f t="shared" si="79"/>
        <v>#DIV/0!</v>
      </c>
      <c r="M1034" s="405" t="e">
        <f t="shared" si="80"/>
        <v>#DIV/0!</v>
      </c>
      <c r="N1034" s="63" t="e">
        <f t="shared" si="81"/>
        <v>#DIV/0!</v>
      </c>
    </row>
    <row r="1035" spans="1:14" ht="18" x14ac:dyDescent="0.25">
      <c r="A1035" s="317" t="s">
        <v>3010</v>
      </c>
      <c r="B1035" s="317" t="s">
        <v>3011</v>
      </c>
      <c r="C1035" s="317">
        <v>1.1100000000000001</v>
      </c>
      <c r="D1035" s="317">
        <v>0.15</v>
      </c>
      <c r="E1035" s="318">
        <v>12.47</v>
      </c>
      <c r="F1035" s="317">
        <v>1.95</v>
      </c>
      <c r="G1035" s="317">
        <v>2.1</v>
      </c>
      <c r="H1035" s="319">
        <v>11.1</v>
      </c>
      <c r="I1035" s="320">
        <v>14</v>
      </c>
      <c r="J1035" s="320">
        <v>1</v>
      </c>
      <c r="K1035" s="57">
        <f t="shared" si="78"/>
        <v>9.2173000000000005E-2</v>
      </c>
      <c r="L1035" s="310">
        <f t="shared" si="79"/>
        <v>6.3948717948717954E-2</v>
      </c>
      <c r="M1035" s="405">
        <f t="shared" si="80"/>
        <v>-1.6924085237287547</v>
      </c>
      <c r="N1035" s="63">
        <f t="shared" si="81"/>
        <v>-7.5587001272861798</v>
      </c>
    </row>
    <row r="1036" spans="1:14" ht="18" x14ac:dyDescent="0.25">
      <c r="A1036" s="317" t="s">
        <v>4991</v>
      </c>
      <c r="B1036" s="317" t="s">
        <v>4992</v>
      </c>
      <c r="C1036" s="317">
        <v>4.38</v>
      </c>
      <c r="D1036" s="317">
        <v>0.73</v>
      </c>
      <c r="E1036" s="318">
        <v>16.47</v>
      </c>
      <c r="F1036" s="317">
        <v>1.26</v>
      </c>
      <c r="G1036" s="317">
        <v>0</v>
      </c>
      <c r="H1036" s="319">
        <v>16.63</v>
      </c>
      <c r="I1036" s="320">
        <v>17.5</v>
      </c>
      <c r="J1036" s="320">
        <v>1.9</v>
      </c>
      <c r="K1036" s="57">
        <f t="shared" si="78"/>
        <v>0.23703400000000002</v>
      </c>
      <c r="L1036" s="310">
        <f t="shared" si="79"/>
        <v>0.1307142857142857</v>
      </c>
      <c r="M1036" s="405">
        <f t="shared" si="80"/>
        <v>5.3911440566015596</v>
      </c>
      <c r="N1036" s="63">
        <f t="shared" si="81"/>
        <v>2.0846884864143527</v>
      </c>
    </row>
    <row r="1037" spans="1:14" ht="18" x14ac:dyDescent="0.25">
      <c r="A1037" s="317" t="s">
        <v>4993</v>
      </c>
      <c r="B1037" s="317" t="s">
        <v>4994</v>
      </c>
      <c r="C1037" s="317">
        <v>1.75</v>
      </c>
      <c r="D1037" s="317">
        <v>2.0499999999999998</v>
      </c>
      <c r="E1037" s="318">
        <v>10.89</v>
      </c>
      <c r="F1037" s="317">
        <v>0.81</v>
      </c>
      <c r="G1037" s="317">
        <v>0</v>
      </c>
      <c r="H1037" s="319">
        <v>26.91</v>
      </c>
      <c r="I1037" s="320">
        <v>31</v>
      </c>
      <c r="J1037" s="320">
        <v>1.2</v>
      </c>
      <c r="K1037" s="57">
        <f t="shared" si="78"/>
        <v>0.12052500000000001</v>
      </c>
      <c r="L1037" s="310">
        <f t="shared" si="79"/>
        <v>0.13444444444444445</v>
      </c>
      <c r="M1037" s="405">
        <f t="shared" si="80"/>
        <v>36.305307863465345</v>
      </c>
      <c r="N1037" s="63">
        <f t="shared" si="81"/>
        <v>-0.25878606783334851</v>
      </c>
    </row>
    <row r="1038" spans="1:14" ht="18" x14ac:dyDescent="0.25">
      <c r="A1038" s="317" t="s">
        <v>5235</v>
      </c>
      <c r="B1038" s="317" t="s">
        <v>2967</v>
      </c>
      <c r="C1038" s="317">
        <v>1.95</v>
      </c>
      <c r="D1038" s="317">
        <v>0.52</v>
      </c>
      <c r="E1038" s="318">
        <v>19.3</v>
      </c>
      <c r="F1038" s="317">
        <v>5.0999999999999996</v>
      </c>
      <c r="G1038" s="317">
        <v>0</v>
      </c>
      <c r="H1038" s="319">
        <v>10.81</v>
      </c>
      <c r="I1038" s="320">
        <v>14</v>
      </c>
      <c r="J1038" s="320">
        <v>2.2000000000000002</v>
      </c>
      <c r="K1038" s="57">
        <f t="shared" si="78"/>
        <v>0.129385</v>
      </c>
      <c r="L1038" s="310">
        <f t="shared" si="79"/>
        <v>3.7843137254901967E-2</v>
      </c>
      <c r="M1038" s="405">
        <f t="shared" si="80"/>
        <v>5.8603244501985579</v>
      </c>
      <c r="N1038" s="63">
        <f t="shared" si="81"/>
        <v>0.84460776734532828</v>
      </c>
    </row>
    <row r="1039" spans="1:14" ht="18" x14ac:dyDescent="0.25">
      <c r="A1039" s="317" t="s">
        <v>4995</v>
      </c>
      <c r="B1039" s="317" t="s">
        <v>4996</v>
      </c>
      <c r="C1039" s="317">
        <v>2.1</v>
      </c>
      <c r="D1039" s="317">
        <v>5.21</v>
      </c>
      <c r="E1039" s="318">
        <v>9.9700000000000006</v>
      </c>
      <c r="F1039" s="317">
        <v>1.41</v>
      </c>
      <c r="G1039" s="317">
        <v>5.5</v>
      </c>
      <c r="H1039" s="319">
        <v>32.909999999999997</v>
      </c>
      <c r="I1039" s="320">
        <v>42</v>
      </c>
      <c r="J1039" s="320">
        <v>2.5</v>
      </c>
      <c r="K1039" s="57">
        <f t="shared" si="78"/>
        <v>0.13603000000000001</v>
      </c>
      <c r="L1039" s="310">
        <f t="shared" si="79"/>
        <v>7.0709219858156036E-2</v>
      </c>
      <c r="M1039" s="405">
        <f t="shared" si="80"/>
        <v>40.432501043535787</v>
      </c>
      <c r="N1039" s="63">
        <f t="shared" si="81"/>
        <v>-0.18605084645730721</v>
      </c>
    </row>
    <row r="1040" spans="1:14" ht="18" x14ac:dyDescent="0.25">
      <c r="A1040" s="317" t="s">
        <v>5172</v>
      </c>
      <c r="B1040" s="317" t="s">
        <v>5173</v>
      </c>
      <c r="C1040" s="317">
        <v>0.91</v>
      </c>
      <c r="D1040" s="317">
        <v>1.61</v>
      </c>
      <c r="E1040" s="318">
        <v>15.04</v>
      </c>
      <c r="F1040" s="317">
        <v>2.6</v>
      </c>
      <c r="G1040" s="317">
        <v>3.6</v>
      </c>
      <c r="H1040" s="319">
        <v>27.83</v>
      </c>
      <c r="I1040" s="320">
        <v>28.5</v>
      </c>
      <c r="J1040" s="320">
        <v>2</v>
      </c>
      <c r="K1040" s="57">
        <f t="shared" si="78"/>
        <v>8.3312999999999998E-2</v>
      </c>
      <c r="L1040" s="310">
        <f t="shared" si="79"/>
        <v>5.7846153846153846E-2</v>
      </c>
      <c r="M1040" s="405">
        <f t="shared" si="80"/>
        <v>14.312695236892523</v>
      </c>
      <c r="N1040" s="63">
        <f t="shared" si="81"/>
        <v>0.94442762452351792</v>
      </c>
    </row>
    <row r="1041" spans="1:14" ht="18" x14ac:dyDescent="0.25">
      <c r="A1041" s="317" t="s">
        <v>5174</v>
      </c>
      <c r="B1041" s="317" t="s">
        <v>5175</v>
      </c>
      <c r="C1041" s="317">
        <v>1.48</v>
      </c>
      <c r="D1041" s="317">
        <v>1.43</v>
      </c>
      <c r="E1041" s="318">
        <v>12.39</v>
      </c>
      <c r="F1041" s="317">
        <v>2.27</v>
      </c>
      <c r="G1041" s="317">
        <v>2</v>
      </c>
      <c r="H1041" s="319">
        <v>25.52</v>
      </c>
      <c r="I1041" s="320">
        <v>26.5</v>
      </c>
      <c r="J1041" s="320">
        <v>2.9</v>
      </c>
      <c r="K1041" s="57">
        <f t="shared" si="78"/>
        <v>0.10856400000000001</v>
      </c>
      <c r="L1041" s="310">
        <f t="shared" si="79"/>
        <v>5.4581497797356826E-2</v>
      </c>
      <c r="M1041" s="405">
        <f t="shared" si="80"/>
        <v>14.0450528424171</v>
      </c>
      <c r="N1041" s="63">
        <f t="shared" si="81"/>
        <v>0.81700989567854876</v>
      </c>
    </row>
    <row r="1042" spans="1:14" ht="18" x14ac:dyDescent="0.25">
      <c r="A1042" s="317" t="s">
        <v>4900</v>
      </c>
      <c r="B1042" s="317" t="s">
        <v>4901</v>
      </c>
      <c r="C1042" s="317">
        <v>2.4700000000000002</v>
      </c>
      <c r="D1042" s="317">
        <v>0.27</v>
      </c>
      <c r="E1042" s="318">
        <v>14.44</v>
      </c>
      <c r="F1042" s="317">
        <v>0.75</v>
      </c>
      <c r="G1042" s="317">
        <v>0</v>
      </c>
      <c r="H1042" s="319">
        <v>7.8</v>
      </c>
      <c r="I1042" s="320">
        <v>12.5</v>
      </c>
      <c r="J1042" s="320">
        <v>2</v>
      </c>
      <c r="K1042" s="57">
        <f t="shared" si="78"/>
        <v>0.15242100000000003</v>
      </c>
      <c r="L1042" s="310">
        <f t="shared" si="79"/>
        <v>0.19253333333333333</v>
      </c>
      <c r="M1042" s="405">
        <f t="shared" si="80"/>
        <v>4.1991858964239128</v>
      </c>
      <c r="N1042" s="63">
        <f t="shared" si="81"/>
        <v>0.85750290470412183</v>
      </c>
    </row>
    <row r="1043" spans="1:14" ht="18" x14ac:dyDescent="0.25">
      <c r="A1043" s="317" t="s">
        <v>4997</v>
      </c>
      <c r="B1043" s="317" t="s">
        <v>4998</v>
      </c>
      <c r="C1043" s="317">
        <v>1.04</v>
      </c>
      <c r="D1043" s="317">
        <v>1.22</v>
      </c>
      <c r="E1043" s="318">
        <v>15.24</v>
      </c>
      <c r="F1043" s="317">
        <v>1.23</v>
      </c>
      <c r="G1043" s="317">
        <v>0.9</v>
      </c>
      <c r="H1043" s="319">
        <v>22.41</v>
      </c>
      <c r="I1043" s="320">
        <v>23.5</v>
      </c>
      <c r="J1043" s="320">
        <v>2</v>
      </c>
      <c r="K1043" s="57">
        <f t="shared" si="78"/>
        <v>8.9072000000000012E-2</v>
      </c>
      <c r="L1043" s="310">
        <f t="shared" si="79"/>
        <v>0.12390243902439024</v>
      </c>
      <c r="M1043" s="405">
        <f t="shared" si="80"/>
        <v>27.885991970237345</v>
      </c>
      <c r="N1043" s="63">
        <f t="shared" si="81"/>
        <v>-0.19637070741761165</v>
      </c>
    </row>
    <row r="1044" spans="1:14" ht="18" x14ac:dyDescent="0.25">
      <c r="A1044" s="317" t="s">
        <v>957</v>
      </c>
      <c r="B1044" s="317"/>
      <c r="C1044" s="317">
        <v>2.14</v>
      </c>
      <c r="D1044" s="317">
        <v>1.83</v>
      </c>
      <c r="E1044" s="318">
        <v>7.24</v>
      </c>
      <c r="F1044" s="317">
        <v>0</v>
      </c>
      <c r="G1044" s="317">
        <v>0</v>
      </c>
      <c r="H1044" s="319">
        <v>18.04</v>
      </c>
      <c r="I1044" s="320">
        <v>23</v>
      </c>
      <c r="J1044" s="320">
        <v>1.8</v>
      </c>
      <c r="K1044" s="57">
        <f t="shared" si="78"/>
        <v>0.13780200000000004</v>
      </c>
      <c r="L1044" s="310" t="e">
        <f t="shared" si="79"/>
        <v>#DIV/0!</v>
      </c>
      <c r="M1044" s="405" t="e">
        <f t="shared" si="80"/>
        <v>#DIV/0!</v>
      </c>
      <c r="N1044" s="63" t="e">
        <f t="shared" si="81"/>
        <v>#DIV/0!</v>
      </c>
    </row>
    <row r="1045" spans="1:14" ht="18" x14ac:dyDescent="0.25">
      <c r="A1045" s="317" t="s">
        <v>4999</v>
      </c>
      <c r="B1045" s="317" t="s">
        <v>5000</v>
      </c>
      <c r="C1045" s="317">
        <v>1.29</v>
      </c>
      <c r="D1045" s="317">
        <v>0.59</v>
      </c>
      <c r="E1045" s="318">
        <v>52.94</v>
      </c>
      <c r="F1045" s="317">
        <v>4.05</v>
      </c>
      <c r="G1045" s="317">
        <v>0</v>
      </c>
      <c r="H1045" s="319">
        <v>57.18</v>
      </c>
      <c r="I1045" s="320">
        <v>61</v>
      </c>
      <c r="J1045" s="320">
        <v>1.9</v>
      </c>
      <c r="K1045" s="57">
        <f t="shared" si="78"/>
        <v>0.10014700000000001</v>
      </c>
      <c r="L1045" s="310">
        <f t="shared" si="79"/>
        <v>0.13071604938271605</v>
      </c>
      <c r="M1045" s="405">
        <f t="shared" si="80"/>
        <v>13.667037453525548</v>
      </c>
      <c r="N1045" s="63">
        <f t="shared" si="81"/>
        <v>3.1837889297105755</v>
      </c>
    </row>
    <row r="1046" spans="1:14" ht="18" x14ac:dyDescent="0.25">
      <c r="A1046" s="317" t="s">
        <v>5001</v>
      </c>
      <c r="B1046" s="317" t="s">
        <v>5002</v>
      </c>
      <c r="C1046" s="317">
        <v>1.88</v>
      </c>
      <c r="D1046" s="317">
        <v>1.18</v>
      </c>
      <c r="E1046" s="318">
        <v>17.45</v>
      </c>
      <c r="F1046" s="317">
        <v>1.64</v>
      </c>
      <c r="G1046" s="317">
        <v>0</v>
      </c>
      <c r="H1046" s="319">
        <v>37.520000000000003</v>
      </c>
      <c r="I1046" s="320">
        <v>52.5</v>
      </c>
      <c r="J1046" s="320">
        <v>1.9</v>
      </c>
      <c r="K1046" s="57">
        <f t="shared" si="78"/>
        <v>0.12628400000000001</v>
      </c>
      <c r="L1046" s="310">
        <f t="shared" si="79"/>
        <v>0.10640243902439024</v>
      </c>
      <c r="M1046" s="405">
        <f t="shared" si="80"/>
        <v>17.651659558589287</v>
      </c>
      <c r="N1046" s="63">
        <f t="shared" si="81"/>
        <v>1.1255791771569033</v>
      </c>
    </row>
    <row r="1047" spans="1:14" ht="18" x14ac:dyDescent="0.25">
      <c r="A1047" s="317" t="s">
        <v>5003</v>
      </c>
      <c r="B1047" s="317" t="s">
        <v>5004</v>
      </c>
      <c r="C1047" s="317">
        <v>1.25</v>
      </c>
      <c r="D1047" s="317">
        <v>1.25</v>
      </c>
      <c r="E1047" s="318">
        <v>9.91</v>
      </c>
      <c r="F1047" s="317">
        <v>0.85</v>
      </c>
      <c r="G1047" s="317">
        <v>1.7</v>
      </c>
      <c r="H1047" s="319">
        <v>17.239999999999998</v>
      </c>
      <c r="I1047" s="320">
        <v>23</v>
      </c>
      <c r="J1047" s="320">
        <v>2</v>
      </c>
      <c r="K1047" s="57">
        <f t="shared" si="78"/>
        <v>9.8375000000000004E-2</v>
      </c>
      <c r="L1047" s="310">
        <f t="shared" si="79"/>
        <v>0.11658823529411766</v>
      </c>
      <c r="M1047" s="405">
        <f t="shared" si="80"/>
        <v>21.602174901298049</v>
      </c>
      <c r="N1047" s="63">
        <f t="shared" si="81"/>
        <v>-0.20193220919787724</v>
      </c>
    </row>
    <row r="1048" spans="1:14" ht="18" x14ac:dyDescent="0.25">
      <c r="A1048" s="317" t="s">
        <v>2984</v>
      </c>
      <c r="B1048" s="317" t="s">
        <v>2985</v>
      </c>
      <c r="C1048" s="317">
        <v>1.94</v>
      </c>
      <c r="D1048" s="317">
        <v>8.33</v>
      </c>
      <c r="E1048" s="318">
        <v>8.49</v>
      </c>
      <c r="F1048" s="317">
        <v>0.87</v>
      </c>
      <c r="G1048" s="317">
        <v>0</v>
      </c>
      <c r="H1048" s="319">
        <v>95.47</v>
      </c>
      <c r="I1048" s="320">
        <v>118</v>
      </c>
      <c r="J1048" s="320">
        <v>1</v>
      </c>
      <c r="K1048" s="57">
        <f t="shared" si="78"/>
        <v>0.128942</v>
      </c>
      <c r="L1048" s="310">
        <f t="shared" si="79"/>
        <v>9.758620689655173E-2</v>
      </c>
      <c r="M1048" s="405">
        <f t="shared" si="80"/>
        <v>117.251445744341</v>
      </c>
      <c r="N1048" s="63">
        <f t="shared" si="81"/>
        <v>-0.18576696949079841</v>
      </c>
    </row>
    <row r="1049" spans="1:14" ht="18" x14ac:dyDescent="0.25">
      <c r="A1049" s="317" t="s">
        <v>5176</v>
      </c>
      <c r="B1049" s="317" t="s">
        <v>5177</v>
      </c>
      <c r="C1049" s="317">
        <v>1.77</v>
      </c>
      <c r="D1049" s="317">
        <v>1.19</v>
      </c>
      <c r="E1049" s="318">
        <v>60.66</v>
      </c>
      <c r="F1049" s="317">
        <v>8.81</v>
      </c>
      <c r="G1049" s="317">
        <v>0</v>
      </c>
      <c r="H1049" s="319">
        <v>77.650000000000006</v>
      </c>
      <c r="I1049" s="320">
        <v>55</v>
      </c>
      <c r="J1049" s="320">
        <v>3.6</v>
      </c>
      <c r="K1049" s="57">
        <f t="shared" si="78"/>
        <v>0.12141100000000001</v>
      </c>
      <c r="L1049" s="310">
        <f t="shared" si="79"/>
        <v>6.8853575482406351E-2</v>
      </c>
      <c r="M1049" s="405">
        <f t="shared" si="80"/>
        <v>16.377549880027345</v>
      </c>
      <c r="N1049" s="63">
        <f t="shared" si="81"/>
        <v>3.7412464360554494</v>
      </c>
    </row>
    <row r="1050" spans="1:14" ht="18" x14ac:dyDescent="0.25">
      <c r="A1050" s="317" t="s">
        <v>5005</v>
      </c>
      <c r="B1050" s="317" t="s">
        <v>5006</v>
      </c>
      <c r="C1050" s="317">
        <v>1.1100000000000001</v>
      </c>
      <c r="D1050" s="317">
        <v>1.64</v>
      </c>
      <c r="E1050" s="318">
        <v>10.64</v>
      </c>
      <c r="F1050" s="317">
        <v>0.96</v>
      </c>
      <c r="G1050" s="317">
        <v>2.4</v>
      </c>
      <c r="H1050" s="319">
        <v>24.05</v>
      </c>
      <c r="I1050" s="320">
        <v>30</v>
      </c>
      <c r="J1050" s="320">
        <v>1.6</v>
      </c>
      <c r="K1050" s="57">
        <f t="shared" si="78"/>
        <v>9.2173000000000005E-2</v>
      </c>
      <c r="L1050" s="310">
        <f t="shared" si="79"/>
        <v>0.11083333333333334</v>
      </c>
      <c r="M1050" s="405">
        <f t="shared" si="80"/>
        <v>26.091317681595907</v>
      </c>
      <c r="N1050" s="63">
        <f t="shared" si="81"/>
        <v>-7.8237431566585663E-2</v>
      </c>
    </row>
    <row r="1051" spans="1:14" ht="18" x14ac:dyDescent="0.25">
      <c r="A1051" s="317" t="s">
        <v>5007</v>
      </c>
      <c r="B1051" s="317" t="s">
        <v>5008</v>
      </c>
      <c r="C1051" s="317">
        <v>1.57</v>
      </c>
      <c r="D1051" s="317">
        <v>2.68</v>
      </c>
      <c r="E1051" s="318">
        <v>15.08</v>
      </c>
      <c r="F1051" s="317">
        <v>1.06</v>
      </c>
      <c r="G1051" s="317">
        <v>0</v>
      </c>
      <c r="H1051" s="319">
        <v>52.19</v>
      </c>
      <c r="I1051" s="320">
        <v>54</v>
      </c>
      <c r="J1051" s="320">
        <v>2</v>
      </c>
      <c r="K1051" s="57">
        <f t="shared" si="78"/>
        <v>0.11255100000000001</v>
      </c>
      <c r="L1051" s="310">
        <f t="shared" si="79"/>
        <v>0.14226415094339623</v>
      </c>
      <c r="M1051" s="405">
        <f t="shared" si="80"/>
        <v>54.07594992261869</v>
      </c>
      <c r="N1051" s="63">
        <f t="shared" si="81"/>
        <v>-3.4875946244447655E-2</v>
      </c>
    </row>
    <row r="1052" spans="1:14" ht="18" x14ac:dyDescent="0.25">
      <c r="A1052" s="317" t="s">
        <v>5178</v>
      </c>
      <c r="B1052" s="317" t="s">
        <v>5179</v>
      </c>
      <c r="C1052" s="317">
        <v>0.63</v>
      </c>
      <c r="D1052" s="317">
        <v>4.55</v>
      </c>
      <c r="E1052" s="318">
        <v>14.26</v>
      </c>
      <c r="F1052" s="317">
        <v>1.41</v>
      </c>
      <c r="G1052" s="317">
        <v>1.8</v>
      </c>
      <c r="H1052" s="319">
        <v>83.55</v>
      </c>
      <c r="I1052" s="320">
        <v>92</v>
      </c>
      <c r="J1052" s="320">
        <v>2.9</v>
      </c>
      <c r="K1052" s="57">
        <f t="shared" si="78"/>
        <v>7.0909E-2</v>
      </c>
      <c r="L1052" s="310">
        <f t="shared" si="79"/>
        <v>0.10113475177304965</v>
      </c>
      <c r="M1052" s="405">
        <f t="shared" si="80"/>
        <v>116.402225481952</v>
      </c>
      <c r="N1052" s="63">
        <f t="shared" si="81"/>
        <v>-0.28223021807298432</v>
      </c>
    </row>
    <row r="1053" spans="1:14" ht="18" x14ac:dyDescent="0.25">
      <c r="A1053" s="317" t="s">
        <v>5180</v>
      </c>
      <c r="B1053" s="317" t="s">
        <v>5181</v>
      </c>
      <c r="C1053" s="317">
        <v>1</v>
      </c>
      <c r="D1053" s="317">
        <v>3.28</v>
      </c>
      <c r="E1053" s="318">
        <v>16.98</v>
      </c>
      <c r="F1053" s="317">
        <v>1.88</v>
      </c>
      <c r="G1053" s="317">
        <v>1</v>
      </c>
      <c r="H1053" s="319">
        <v>69.099999999999994</v>
      </c>
      <c r="I1053" s="320">
        <v>77</v>
      </c>
      <c r="J1053" s="320">
        <v>2.2999999999999998</v>
      </c>
      <c r="K1053" s="57">
        <f t="shared" si="78"/>
        <v>8.7300000000000003E-2</v>
      </c>
      <c r="L1053" s="310">
        <f t="shared" si="79"/>
        <v>9.0319148936170227E-2</v>
      </c>
      <c r="M1053" s="405">
        <f t="shared" si="80"/>
        <v>64.189508164187473</v>
      </c>
      <c r="N1053" s="63">
        <f t="shared" si="81"/>
        <v>7.6499913712568021E-2</v>
      </c>
    </row>
    <row r="1054" spans="1:14" ht="18" x14ac:dyDescent="0.25">
      <c r="A1054" s="317" t="s">
        <v>461</v>
      </c>
      <c r="B1054" s="317" t="s">
        <v>462</v>
      </c>
      <c r="C1054" s="317">
        <v>3.52</v>
      </c>
      <c r="D1054" s="317">
        <v>0.01</v>
      </c>
      <c r="E1054" s="318">
        <v>0</v>
      </c>
      <c r="F1054" s="317">
        <v>0</v>
      </c>
      <c r="G1054" s="317">
        <v>0</v>
      </c>
      <c r="H1054" s="319">
        <v>6.68</v>
      </c>
      <c r="I1054" s="320">
        <v>0</v>
      </c>
      <c r="J1054" s="320">
        <v>0</v>
      </c>
      <c r="K1054" s="57">
        <f t="shared" si="78"/>
        <v>0.198936</v>
      </c>
      <c r="L1054" s="310" t="e">
        <f t="shared" si="79"/>
        <v>#DIV/0!</v>
      </c>
      <c r="M1054" s="405" t="e">
        <f t="shared" si="80"/>
        <v>#DIV/0!</v>
      </c>
      <c r="N1054" s="63" t="e">
        <f t="shared" si="81"/>
        <v>#DIV/0!</v>
      </c>
    </row>
    <row r="1055" spans="1:14" ht="18" x14ac:dyDescent="0.25">
      <c r="A1055" s="317" t="s">
        <v>5182</v>
      </c>
      <c r="B1055" s="317" t="s">
        <v>5183</v>
      </c>
      <c r="C1055" s="317"/>
      <c r="D1055" s="317"/>
      <c r="E1055" s="318"/>
      <c r="F1055" s="317"/>
      <c r="G1055" s="317"/>
      <c r="H1055" s="319"/>
      <c r="I1055" s="320"/>
      <c r="J1055" s="320"/>
      <c r="K1055" s="57">
        <f t="shared" si="78"/>
        <v>4.2999999999999997E-2</v>
      </c>
      <c r="L1055" s="310" t="e">
        <f t="shared" si="79"/>
        <v>#DIV/0!</v>
      </c>
      <c r="M1055" s="405" t="e">
        <f t="shared" si="80"/>
        <v>#DIV/0!</v>
      </c>
      <c r="N1055" s="63" t="e">
        <f t="shared" si="81"/>
        <v>#DIV/0!</v>
      </c>
    </row>
    <row r="1056" spans="1:14" ht="18" x14ac:dyDescent="0.25">
      <c r="A1056" s="317" t="s">
        <v>5009</v>
      </c>
      <c r="B1056" s="317" t="s">
        <v>5010</v>
      </c>
      <c r="C1056" s="317">
        <v>1.19</v>
      </c>
      <c r="D1056" s="317">
        <v>-0.31</v>
      </c>
      <c r="E1056" s="318">
        <v>53.95</v>
      </c>
      <c r="F1056" s="317">
        <v>3.97</v>
      </c>
      <c r="G1056" s="317">
        <v>0</v>
      </c>
      <c r="H1056" s="319">
        <v>124.08</v>
      </c>
      <c r="I1056" s="320">
        <v>99.5</v>
      </c>
      <c r="J1056" s="320">
        <v>2.2999999999999998</v>
      </c>
      <c r="K1056" s="57">
        <f t="shared" si="78"/>
        <v>9.5716999999999997E-2</v>
      </c>
      <c r="L1056" s="310">
        <f t="shared" si="79"/>
        <v>0.13589420654911838</v>
      </c>
      <c r="M1056" s="405">
        <f t="shared" si="80"/>
        <v>-7.8832004573689227</v>
      </c>
      <c r="N1056" s="63">
        <f t="shared" si="81"/>
        <v>-16.739800182807048</v>
      </c>
    </row>
    <row r="1057" spans="1:14" ht="18" x14ac:dyDescent="0.25">
      <c r="A1057" s="317" t="s">
        <v>4321</v>
      </c>
      <c r="B1057" s="317" t="s">
        <v>4322</v>
      </c>
      <c r="C1057" s="317">
        <v>2.34</v>
      </c>
      <c r="D1057" s="317">
        <v>0.01</v>
      </c>
      <c r="E1057" s="318">
        <v>42.3</v>
      </c>
      <c r="F1057" s="317">
        <v>2.2999999999999998</v>
      </c>
      <c r="G1057" s="317">
        <v>0</v>
      </c>
      <c r="H1057" s="319">
        <v>2.12</v>
      </c>
      <c r="I1057" s="320">
        <v>2</v>
      </c>
      <c r="J1057" s="320">
        <v>2.1</v>
      </c>
      <c r="K1057" s="57">
        <f t="shared" si="78"/>
        <v>0.14666200000000001</v>
      </c>
      <c r="L1057" s="310">
        <f t="shared" si="79"/>
        <v>0.18391304347826087</v>
      </c>
      <c r="M1057" s="405">
        <f t="shared" si="80"/>
        <v>0.15938460690318115</v>
      </c>
      <c r="N1057" s="63">
        <f t="shared" si="81"/>
        <v>12.301159008961278</v>
      </c>
    </row>
    <row r="1058" spans="1:14" ht="18" x14ac:dyDescent="0.25">
      <c r="A1058" s="317" t="s">
        <v>4267</v>
      </c>
      <c r="B1058" s="317" t="s">
        <v>4268</v>
      </c>
      <c r="C1058" s="317">
        <v>1.58</v>
      </c>
      <c r="D1058" s="317">
        <v>1.79</v>
      </c>
      <c r="E1058" s="318">
        <v>16.95</v>
      </c>
      <c r="F1058" s="317">
        <v>1.0900000000000001</v>
      </c>
      <c r="G1058" s="317">
        <v>0</v>
      </c>
      <c r="H1058" s="319">
        <v>54.24</v>
      </c>
      <c r="I1058" s="320">
        <v>57</v>
      </c>
      <c r="J1058" s="320">
        <v>1.7</v>
      </c>
      <c r="K1058" s="57">
        <f t="shared" si="78"/>
        <v>0.11299400000000001</v>
      </c>
      <c r="L1058" s="310">
        <f t="shared" si="79"/>
        <v>0.15550458715596327</v>
      </c>
      <c r="M1058" s="405">
        <f t="shared" si="80"/>
        <v>37.701102927132283</v>
      </c>
      <c r="N1058" s="63">
        <f t="shared" si="81"/>
        <v>0.4386847012097676</v>
      </c>
    </row>
    <row r="1059" spans="1:14" ht="18" x14ac:dyDescent="0.25">
      <c r="A1059" s="317" t="s">
        <v>5184</v>
      </c>
      <c r="B1059" s="317" t="s">
        <v>5185</v>
      </c>
      <c r="C1059" s="317">
        <v>0.71</v>
      </c>
      <c r="D1059" s="317">
        <v>4.24</v>
      </c>
      <c r="E1059" s="318">
        <v>14.61</v>
      </c>
      <c r="F1059" s="317">
        <v>2.09</v>
      </c>
      <c r="G1059" s="317">
        <v>2.2999999999999998</v>
      </c>
      <c r="H1059" s="319">
        <v>74.34</v>
      </c>
      <c r="I1059" s="320">
        <v>72.5</v>
      </c>
      <c r="J1059" s="320">
        <v>2.6</v>
      </c>
      <c r="K1059" s="57">
        <f t="shared" si="78"/>
        <v>7.4452999999999991E-2</v>
      </c>
      <c r="L1059" s="310">
        <f t="shared" si="79"/>
        <v>6.9904306220095705E-2</v>
      </c>
      <c r="M1059" s="405">
        <f t="shared" si="80"/>
        <v>76.962462411661122</v>
      </c>
      <c r="N1059" s="63">
        <f t="shared" si="81"/>
        <v>-3.4074564787622628E-2</v>
      </c>
    </row>
    <row r="1060" spans="1:14" ht="18" x14ac:dyDescent="0.25">
      <c r="A1060" s="317" t="s">
        <v>4269</v>
      </c>
      <c r="B1060" s="317" t="s">
        <v>4270</v>
      </c>
      <c r="C1060" s="317">
        <v>1.76</v>
      </c>
      <c r="D1060" s="317">
        <v>2.78</v>
      </c>
      <c r="E1060" s="318">
        <v>10.67</v>
      </c>
      <c r="F1060" s="317">
        <v>1.1499999999999999</v>
      </c>
      <c r="G1060" s="317">
        <v>0</v>
      </c>
      <c r="H1060" s="319">
        <v>18.350000000000001</v>
      </c>
      <c r="I1060" s="320">
        <v>17</v>
      </c>
      <c r="J1060" s="320">
        <v>3.4</v>
      </c>
      <c r="K1060" s="57">
        <f t="shared" si="78"/>
        <v>0.12096800000000001</v>
      </c>
      <c r="L1060" s="310">
        <f t="shared" si="79"/>
        <v>9.2782608695652177E-2</v>
      </c>
      <c r="M1060" s="405">
        <f t="shared" si="80"/>
        <v>42.024971075535618</v>
      </c>
      <c r="N1060" s="63">
        <f t="shared" si="81"/>
        <v>-0.56335484521767454</v>
      </c>
    </row>
    <row r="1061" spans="1:14" ht="18" x14ac:dyDescent="0.25">
      <c r="A1061" s="317" t="s">
        <v>1710</v>
      </c>
      <c r="B1061" s="317" t="s">
        <v>1711</v>
      </c>
      <c r="C1061" s="317">
        <v>1.1000000000000001</v>
      </c>
      <c r="D1061" s="317">
        <v>1.1000000000000001</v>
      </c>
      <c r="E1061" s="318">
        <v>16.77</v>
      </c>
      <c r="F1061" s="317">
        <v>1</v>
      </c>
      <c r="G1061" s="317">
        <v>0</v>
      </c>
      <c r="H1061" s="319">
        <v>41.76</v>
      </c>
      <c r="I1061" s="320">
        <v>47</v>
      </c>
      <c r="J1061" s="320">
        <v>2.6</v>
      </c>
      <c r="K1061" s="57">
        <f t="shared" si="78"/>
        <v>9.1730000000000006E-2</v>
      </c>
      <c r="L1061" s="310">
        <f t="shared" si="79"/>
        <v>0.16769999999999999</v>
      </c>
      <c r="M1061" s="405">
        <f t="shared" si="80"/>
        <v>33.950786210223114</v>
      </c>
      <c r="N1061" s="63">
        <f t="shared" si="81"/>
        <v>0.23001569805842689</v>
      </c>
    </row>
    <row r="1062" spans="1:14" ht="18" x14ac:dyDescent="0.25">
      <c r="A1062" s="317" t="s">
        <v>4271</v>
      </c>
      <c r="B1062" s="317" t="s">
        <v>4272</v>
      </c>
      <c r="C1062" s="317">
        <v>1.3</v>
      </c>
      <c r="D1062" s="317">
        <v>3.38</v>
      </c>
      <c r="E1062" s="318">
        <v>16.760000000000002</v>
      </c>
      <c r="F1062" s="317">
        <v>1.27</v>
      </c>
      <c r="G1062" s="317">
        <v>1.1000000000000001</v>
      </c>
      <c r="H1062" s="319">
        <v>84.79</v>
      </c>
      <c r="I1062" s="320">
        <v>105.5</v>
      </c>
      <c r="J1062" s="320">
        <v>1.9</v>
      </c>
      <c r="K1062" s="57">
        <f t="shared" si="78"/>
        <v>0.10059000000000001</v>
      </c>
      <c r="L1062" s="310">
        <f t="shared" si="79"/>
        <v>0.13196850393700787</v>
      </c>
      <c r="M1062" s="405">
        <f t="shared" si="80"/>
        <v>56.56261560777989</v>
      </c>
      <c r="N1062" s="63">
        <f t="shared" si="81"/>
        <v>0.49904665986375618</v>
      </c>
    </row>
    <row r="1063" spans="1:14" ht="18" x14ac:dyDescent="0.25">
      <c r="A1063" s="317" t="s">
        <v>5186</v>
      </c>
      <c r="B1063" s="317" t="s">
        <v>5187</v>
      </c>
      <c r="C1063" s="317">
        <v>0.82</v>
      </c>
      <c r="D1063" s="317">
        <v>1.39</v>
      </c>
      <c r="E1063" s="318">
        <v>18.190000000000001</v>
      </c>
      <c r="F1063" s="317">
        <v>2.38</v>
      </c>
      <c r="G1063" s="317">
        <v>2.4</v>
      </c>
      <c r="H1063" s="319">
        <v>19.46</v>
      </c>
      <c r="I1063" s="320">
        <v>19</v>
      </c>
      <c r="J1063" s="320">
        <v>2.7</v>
      </c>
      <c r="K1063" s="57">
        <f t="shared" si="78"/>
        <v>7.9326000000000008E-2</v>
      </c>
      <c r="L1063" s="310">
        <f t="shared" si="79"/>
        <v>7.6428571428571443E-2</v>
      </c>
      <c r="M1063" s="405">
        <f t="shared" si="80"/>
        <v>25.608369720016071</v>
      </c>
      <c r="N1063" s="63">
        <f t="shared" si="81"/>
        <v>-0.2400921959202412</v>
      </c>
    </row>
    <row r="1064" spans="1:14" ht="18" x14ac:dyDescent="0.25">
      <c r="A1064" s="317" t="s">
        <v>1097</v>
      </c>
      <c r="B1064" s="317" t="s">
        <v>1098</v>
      </c>
      <c r="C1064" s="317">
        <v>2.58</v>
      </c>
      <c r="D1064" s="317">
        <v>4.25</v>
      </c>
      <c r="E1064" s="318">
        <v>18.77</v>
      </c>
      <c r="F1064" s="317">
        <v>4.3899999999999997</v>
      </c>
      <c r="G1064" s="317">
        <v>0.5</v>
      </c>
      <c r="H1064" s="319">
        <v>82.78</v>
      </c>
      <c r="I1064" s="320">
        <v>81</v>
      </c>
      <c r="J1064" s="320">
        <v>2.7</v>
      </c>
      <c r="K1064" s="57">
        <f t="shared" si="78"/>
        <v>0.15729400000000002</v>
      </c>
      <c r="L1064" s="310">
        <f t="shared" si="79"/>
        <v>4.2756264236902056E-2</v>
      </c>
      <c r="M1064" s="405">
        <f t="shared" si="80"/>
        <v>34.523610627062503</v>
      </c>
      <c r="N1064" s="63">
        <f t="shared" si="81"/>
        <v>1.3977793312009519</v>
      </c>
    </row>
    <row r="1065" spans="1:14" ht="18" x14ac:dyDescent="0.25">
      <c r="A1065" s="317" t="s">
        <v>4273</v>
      </c>
      <c r="B1065" s="317" t="s">
        <v>1174</v>
      </c>
      <c r="C1065" s="317">
        <v>1.34</v>
      </c>
      <c r="D1065" s="317">
        <v>0.79</v>
      </c>
      <c r="E1065" s="318">
        <v>8.83</v>
      </c>
      <c r="F1065" s="317">
        <v>0.95</v>
      </c>
      <c r="G1065" s="317">
        <v>2.4</v>
      </c>
      <c r="H1065" s="319">
        <v>16.43</v>
      </c>
      <c r="I1065" s="320">
        <v>17.5</v>
      </c>
      <c r="J1065" s="320">
        <v>2.2999999999999998</v>
      </c>
      <c r="K1065" s="57">
        <f t="shared" si="78"/>
        <v>0.10236200000000001</v>
      </c>
      <c r="L1065" s="310">
        <f t="shared" si="79"/>
        <v>9.294736842105264E-2</v>
      </c>
      <c r="M1065" s="405">
        <f t="shared" si="80"/>
        <v>7.6570460009073749</v>
      </c>
      <c r="N1065" s="63">
        <f t="shared" si="81"/>
        <v>1.1457360969299404</v>
      </c>
    </row>
    <row r="1066" spans="1:14" ht="18" x14ac:dyDescent="0.25">
      <c r="A1066" s="317" t="s">
        <v>5097</v>
      </c>
      <c r="B1066" s="317" t="s">
        <v>1110</v>
      </c>
      <c r="C1066" s="317">
        <v>2.37</v>
      </c>
      <c r="D1066" s="317">
        <v>0.3</v>
      </c>
      <c r="E1066" s="318">
        <v>8.1999999999999993</v>
      </c>
      <c r="F1066" s="317">
        <v>-0.47</v>
      </c>
      <c r="G1066" s="317">
        <v>0.4</v>
      </c>
      <c r="H1066" s="319">
        <v>15.01</v>
      </c>
      <c r="I1066" s="320">
        <v>17.87</v>
      </c>
      <c r="J1066" s="320">
        <v>3</v>
      </c>
      <c r="K1066" s="57">
        <f t="shared" si="78"/>
        <v>0.14799100000000001</v>
      </c>
      <c r="L1066" s="310">
        <f t="shared" si="79"/>
        <v>-0.17446808510638298</v>
      </c>
      <c r="M1066" s="405">
        <f t="shared" si="80"/>
        <v>1.1020404087054374</v>
      </c>
      <c r="N1066" s="63">
        <f t="shared" si="81"/>
        <v>12.620190222999344</v>
      </c>
    </row>
    <row r="1067" spans="1:14" ht="18" x14ac:dyDescent="0.25">
      <c r="A1067" s="317" t="s">
        <v>356</v>
      </c>
      <c r="B1067" s="317" t="s">
        <v>357</v>
      </c>
      <c r="C1067" s="317"/>
      <c r="D1067" s="317"/>
      <c r="E1067" s="318"/>
      <c r="F1067" s="317"/>
      <c r="G1067" s="317"/>
      <c r="H1067" s="319">
        <v>35.9</v>
      </c>
      <c r="I1067" s="320"/>
      <c r="J1067" s="320"/>
      <c r="K1067" s="57">
        <f t="shared" si="78"/>
        <v>4.2999999999999997E-2</v>
      </c>
      <c r="L1067" s="310" t="e">
        <f t="shared" si="79"/>
        <v>#DIV/0!</v>
      </c>
      <c r="M1067" s="405" t="e">
        <f t="shared" si="80"/>
        <v>#DIV/0!</v>
      </c>
      <c r="N1067" s="63" t="e">
        <f t="shared" si="81"/>
        <v>#DIV/0!</v>
      </c>
    </row>
    <row r="1068" spans="1:14" ht="18" x14ac:dyDescent="0.25">
      <c r="A1068" s="317" t="s">
        <v>1175</v>
      </c>
      <c r="B1068" s="317" t="s">
        <v>1176</v>
      </c>
      <c r="C1068" s="317">
        <v>1.57</v>
      </c>
      <c r="D1068" s="317">
        <v>0.83</v>
      </c>
      <c r="E1068" s="318">
        <v>16.13</v>
      </c>
      <c r="F1068" s="317">
        <v>8.8800000000000008</v>
      </c>
      <c r="G1068" s="317">
        <v>0</v>
      </c>
      <c r="H1068" s="319">
        <v>35.96</v>
      </c>
      <c r="I1068" s="320">
        <v>54</v>
      </c>
      <c r="J1068" s="320">
        <v>2</v>
      </c>
      <c r="K1068" s="57">
        <f t="shared" si="78"/>
        <v>0.11255100000000001</v>
      </c>
      <c r="L1068" s="310">
        <f t="shared" si="79"/>
        <v>1.8164414414414413E-2</v>
      </c>
      <c r="M1068" s="405">
        <f t="shared" si="80"/>
        <v>10.463219568101973</v>
      </c>
      <c r="N1068" s="63">
        <f t="shared" si="81"/>
        <v>2.4368006678964438</v>
      </c>
    </row>
    <row r="1069" spans="1:14" ht="18" x14ac:dyDescent="0.25">
      <c r="A1069" s="317" t="s">
        <v>1439</v>
      </c>
      <c r="B1069" s="317" t="s">
        <v>1440</v>
      </c>
      <c r="C1069" s="317">
        <v>1.39</v>
      </c>
      <c r="D1069" s="317">
        <v>3.04</v>
      </c>
      <c r="E1069" s="318">
        <v>19.670000000000002</v>
      </c>
      <c r="F1069" s="317">
        <v>1.2</v>
      </c>
      <c r="G1069" s="317">
        <v>0.1</v>
      </c>
      <c r="H1069" s="319">
        <v>65.5</v>
      </c>
      <c r="I1069" s="320">
        <v>80</v>
      </c>
      <c r="J1069" s="320">
        <v>2</v>
      </c>
      <c r="K1069" s="57">
        <f t="shared" si="78"/>
        <v>0.104577</v>
      </c>
      <c r="L1069" s="310">
        <f t="shared" si="79"/>
        <v>0.16391666666666668</v>
      </c>
      <c r="M1069" s="405">
        <f t="shared" si="80"/>
        <v>72.904865470258102</v>
      </c>
      <c r="N1069" s="63">
        <f t="shared" si="81"/>
        <v>-0.10156887914811327</v>
      </c>
    </row>
    <row r="1070" spans="1:14" ht="18" x14ac:dyDescent="0.25">
      <c r="A1070" s="317" t="s">
        <v>1441</v>
      </c>
      <c r="B1070" s="317" t="s">
        <v>1442</v>
      </c>
      <c r="C1070" s="317">
        <v>2.37</v>
      </c>
      <c r="D1070" s="317">
        <v>0.61</v>
      </c>
      <c r="E1070" s="318">
        <v>9.85</v>
      </c>
      <c r="F1070" s="317">
        <v>0.91</v>
      </c>
      <c r="G1070" s="317">
        <v>0</v>
      </c>
      <c r="H1070" s="319">
        <v>9.16</v>
      </c>
      <c r="I1070" s="320">
        <v>9.25</v>
      </c>
      <c r="J1070" s="320">
        <v>2.5</v>
      </c>
      <c r="K1070" s="57">
        <f t="shared" si="78"/>
        <v>0.14799100000000001</v>
      </c>
      <c r="L1070" s="310">
        <f t="shared" si="79"/>
        <v>0.10824175824175823</v>
      </c>
      <c r="M1070" s="405">
        <f t="shared" si="80"/>
        <v>7.4129309407435446</v>
      </c>
      <c r="N1070" s="63">
        <f t="shared" si="81"/>
        <v>0.23567858290087051</v>
      </c>
    </row>
    <row r="1071" spans="1:14" ht="18" x14ac:dyDescent="0.25">
      <c r="A1071" s="317" t="s">
        <v>4886</v>
      </c>
      <c r="B1071" s="317" t="s">
        <v>4887</v>
      </c>
      <c r="C1071" s="317">
        <v>2.56</v>
      </c>
      <c r="D1071" s="317">
        <v>0.97</v>
      </c>
      <c r="E1071" s="318">
        <v>10.56</v>
      </c>
      <c r="F1071" s="317">
        <v>0.55000000000000004</v>
      </c>
      <c r="G1071" s="317">
        <v>2</v>
      </c>
      <c r="H1071" s="319">
        <v>14.05</v>
      </c>
      <c r="I1071" s="320">
        <v>17</v>
      </c>
      <c r="J1071" s="320">
        <v>2.2999999999999998</v>
      </c>
      <c r="K1071" s="57">
        <f t="shared" si="78"/>
        <v>0.15640800000000002</v>
      </c>
      <c r="L1071" s="310">
        <f t="shared" si="79"/>
        <v>0.192</v>
      </c>
      <c r="M1071" s="405">
        <f t="shared" si="80"/>
        <v>10.322392890684583</v>
      </c>
      <c r="N1071" s="63">
        <f t="shared" si="81"/>
        <v>0.36111850699651121</v>
      </c>
    </row>
    <row r="1072" spans="1:14" ht="18" x14ac:dyDescent="0.25">
      <c r="A1072" s="317" t="s">
        <v>1494</v>
      </c>
      <c r="B1072" s="317" t="s">
        <v>1495</v>
      </c>
      <c r="C1072" s="317">
        <v>3.01</v>
      </c>
      <c r="D1072" s="317">
        <v>1.08</v>
      </c>
      <c r="E1072" s="318">
        <v>11.18</v>
      </c>
      <c r="F1072" s="317">
        <v>0.95</v>
      </c>
      <c r="G1072" s="317">
        <v>0</v>
      </c>
      <c r="H1072" s="319">
        <v>9.9499999999999993</v>
      </c>
      <c r="I1072" s="320">
        <v>11</v>
      </c>
      <c r="J1072" s="320">
        <v>1.7</v>
      </c>
      <c r="K1072" s="57">
        <f t="shared" si="78"/>
        <v>0.17634300000000003</v>
      </c>
      <c r="L1072" s="310">
        <f t="shared" si="79"/>
        <v>0.11768421052631579</v>
      </c>
      <c r="M1072" s="405">
        <f t="shared" si="80"/>
        <v>10.84644454644981</v>
      </c>
      <c r="N1072" s="63">
        <f t="shared" si="81"/>
        <v>-8.2648700466848288E-2</v>
      </c>
    </row>
    <row r="1073" spans="1:14" ht="18" x14ac:dyDescent="0.25">
      <c r="A1073" s="317" t="s">
        <v>1443</v>
      </c>
      <c r="B1073" s="317" t="s">
        <v>1444</v>
      </c>
      <c r="C1073" s="317">
        <v>1.83</v>
      </c>
      <c r="D1073" s="317">
        <v>0.73</v>
      </c>
      <c r="E1073" s="318">
        <v>16.78</v>
      </c>
      <c r="F1073" s="317">
        <v>2.27</v>
      </c>
      <c r="G1073" s="317">
        <v>1.2</v>
      </c>
      <c r="H1073" s="319">
        <v>18.62</v>
      </c>
      <c r="I1073" s="320">
        <v>19.28</v>
      </c>
      <c r="J1073" s="320">
        <v>3</v>
      </c>
      <c r="K1073" s="57">
        <f t="shared" si="78"/>
        <v>0.12406900000000001</v>
      </c>
      <c r="L1073" s="310">
        <f t="shared" si="79"/>
        <v>7.3920704845814977E-2</v>
      </c>
      <c r="M1073" s="405">
        <f t="shared" si="80"/>
        <v>6.8949647545529817</v>
      </c>
      <c r="N1073" s="63">
        <f t="shared" si="81"/>
        <v>1.7005214185764439</v>
      </c>
    </row>
    <row r="1074" spans="1:14" ht="18" x14ac:dyDescent="0.25">
      <c r="A1074" s="317" t="s">
        <v>1445</v>
      </c>
      <c r="B1074" s="317" t="s">
        <v>1446</v>
      </c>
      <c r="C1074" s="317">
        <v>1.24</v>
      </c>
      <c r="D1074" s="317">
        <v>0.46</v>
      </c>
      <c r="E1074" s="318">
        <v>13.63</v>
      </c>
      <c r="F1074" s="317">
        <v>1.07</v>
      </c>
      <c r="G1074" s="317">
        <v>0</v>
      </c>
      <c r="H1074" s="319">
        <v>26.98</v>
      </c>
      <c r="I1074" s="320">
        <v>32.5</v>
      </c>
      <c r="J1074" s="320">
        <v>1.4</v>
      </c>
      <c r="K1074" s="57">
        <f t="shared" si="78"/>
        <v>9.7932000000000005E-2</v>
      </c>
      <c r="L1074" s="310">
        <f t="shared" si="79"/>
        <v>0.12738317757009346</v>
      </c>
      <c r="M1074" s="405">
        <f t="shared" si="80"/>
        <v>10.90532868010526</v>
      </c>
      <c r="N1074" s="63">
        <f t="shared" si="81"/>
        <v>1.4740198843543324</v>
      </c>
    </row>
    <row r="1075" spans="1:14" ht="18" x14ac:dyDescent="0.25">
      <c r="A1075" s="317" t="s">
        <v>1447</v>
      </c>
      <c r="B1075" s="317" t="s">
        <v>2208</v>
      </c>
      <c r="C1075" s="317">
        <v>1.59</v>
      </c>
      <c r="D1075" s="317">
        <v>3.19</v>
      </c>
      <c r="E1075" s="318">
        <v>12.78</v>
      </c>
      <c r="F1075" s="317">
        <v>1.24</v>
      </c>
      <c r="G1075" s="317">
        <v>2.1</v>
      </c>
      <c r="H1075" s="319">
        <v>60.45</v>
      </c>
      <c r="I1075" s="320">
        <v>79</v>
      </c>
      <c r="J1075" s="320">
        <v>1.6</v>
      </c>
      <c r="K1075" s="57">
        <f t="shared" si="78"/>
        <v>0.11343700000000001</v>
      </c>
      <c r="L1075" s="310">
        <f t="shared" si="79"/>
        <v>0.10306451612903227</v>
      </c>
      <c r="M1075" s="405">
        <f t="shared" si="80"/>
        <v>33.093052234453289</v>
      </c>
      <c r="N1075" s="63">
        <f t="shared" si="81"/>
        <v>0.82666740957382301</v>
      </c>
    </row>
    <row r="1076" spans="1:14" ht="18" x14ac:dyDescent="0.25">
      <c r="A1076" s="317" t="s">
        <v>5188</v>
      </c>
      <c r="B1076" s="317" t="s">
        <v>5189</v>
      </c>
      <c r="C1076" s="317">
        <v>1.76</v>
      </c>
      <c r="D1076" s="317">
        <v>5.44</v>
      </c>
      <c r="E1076" s="318">
        <v>10.119999999999999</v>
      </c>
      <c r="F1076" s="317">
        <v>0.88</v>
      </c>
      <c r="G1076" s="317">
        <v>0</v>
      </c>
      <c r="H1076" s="319">
        <v>47.85</v>
      </c>
      <c r="I1076" s="320">
        <v>62</v>
      </c>
      <c r="J1076" s="320">
        <v>2.2000000000000002</v>
      </c>
      <c r="K1076" s="57">
        <f t="shared" si="78"/>
        <v>0.12096800000000001</v>
      </c>
      <c r="L1076" s="310">
        <f t="shared" si="79"/>
        <v>0.11499999999999998</v>
      </c>
      <c r="M1076" s="405">
        <f t="shared" si="80"/>
        <v>89.249756103256232</v>
      </c>
      <c r="N1076" s="63">
        <f t="shared" si="81"/>
        <v>-0.46386408110022592</v>
      </c>
    </row>
    <row r="1077" spans="1:14" ht="18" x14ac:dyDescent="0.25">
      <c r="A1077" s="317" t="s">
        <v>4792</v>
      </c>
      <c r="B1077" s="317" t="s">
        <v>3766</v>
      </c>
      <c r="C1077" s="317">
        <v>1.49</v>
      </c>
      <c r="D1077" s="317">
        <v>0.89</v>
      </c>
      <c r="E1077" s="318">
        <v>20.09</v>
      </c>
      <c r="F1077" s="317">
        <v>0.34</v>
      </c>
      <c r="G1077" s="317">
        <v>1</v>
      </c>
      <c r="H1077" s="319">
        <v>28.12</v>
      </c>
      <c r="I1077" s="320">
        <v>37.74</v>
      </c>
      <c r="J1077" s="320">
        <v>3.3</v>
      </c>
      <c r="K1077" s="57">
        <f t="shared" si="78"/>
        <v>0.10900700000000001</v>
      </c>
      <c r="L1077" s="310">
        <f t="shared" si="79"/>
        <v>0.59088235294117641</v>
      </c>
      <c r="M1077" s="405">
        <f t="shared" si="80"/>
        <v>57.765911009820108</v>
      </c>
      <c r="N1077" s="63">
        <f t="shared" si="81"/>
        <v>-0.51320771180740754</v>
      </c>
    </row>
    <row r="1078" spans="1:14" ht="18" x14ac:dyDescent="0.25">
      <c r="A1078" s="317" t="s">
        <v>5190</v>
      </c>
      <c r="B1078" s="317" t="s">
        <v>5191</v>
      </c>
      <c r="C1078" s="317">
        <v>1.1299999999999999</v>
      </c>
      <c r="D1078" s="317">
        <v>2.4500000000000002</v>
      </c>
      <c r="E1078" s="318">
        <v>15.52</v>
      </c>
      <c r="F1078" s="317">
        <v>1.1599999999999999</v>
      </c>
      <c r="G1078" s="317">
        <v>0.6</v>
      </c>
      <c r="H1078" s="319">
        <v>49.5</v>
      </c>
      <c r="I1078" s="320">
        <v>57</v>
      </c>
      <c r="J1078" s="320">
        <v>2.5</v>
      </c>
      <c r="K1078" s="57">
        <f t="shared" si="78"/>
        <v>9.3059000000000003E-2</v>
      </c>
      <c r="L1078" s="310">
        <f t="shared" si="79"/>
        <v>0.13379310344827589</v>
      </c>
      <c r="M1078" s="405">
        <f t="shared" si="80"/>
        <v>56.905385882983737</v>
      </c>
      <c r="N1078" s="63">
        <f t="shared" si="81"/>
        <v>-0.13013506134923072</v>
      </c>
    </row>
    <row r="1079" spans="1:14" ht="18" x14ac:dyDescent="0.25">
      <c r="A1079" s="317" t="s">
        <v>1873</v>
      </c>
      <c r="B1079" s="317" t="s">
        <v>1874</v>
      </c>
      <c r="C1079" s="317"/>
      <c r="D1079" s="317"/>
      <c r="E1079" s="318"/>
      <c r="F1079" s="317"/>
      <c r="G1079" s="317"/>
      <c r="H1079" s="319"/>
      <c r="I1079" s="320"/>
      <c r="J1079" s="320"/>
      <c r="K1079" s="57">
        <f t="shared" si="78"/>
        <v>4.2999999999999997E-2</v>
      </c>
      <c r="L1079" s="310" t="e">
        <f t="shared" si="79"/>
        <v>#DIV/0!</v>
      </c>
      <c r="M1079" s="405" t="e">
        <f t="shared" si="80"/>
        <v>#DIV/0!</v>
      </c>
      <c r="N1079" s="63" t="e">
        <f t="shared" si="81"/>
        <v>#DIV/0!</v>
      </c>
    </row>
    <row r="1080" spans="1:14" ht="18" x14ac:dyDescent="0.25">
      <c r="A1080" s="317" t="s">
        <v>878</v>
      </c>
      <c r="B1080" s="317"/>
      <c r="C1080" s="317">
        <v>1.03</v>
      </c>
      <c r="D1080" s="317">
        <v>-0.94</v>
      </c>
      <c r="E1080" s="318">
        <v>13.64</v>
      </c>
      <c r="F1080" s="317">
        <v>-1.38</v>
      </c>
      <c r="G1080" s="317">
        <v>1.6</v>
      </c>
      <c r="H1080" s="319">
        <v>2.46</v>
      </c>
      <c r="I1080" s="320">
        <v>2.8</v>
      </c>
      <c r="J1080" s="320">
        <v>2.8</v>
      </c>
      <c r="K1080" s="57">
        <f t="shared" si="78"/>
        <v>8.8629000000000013E-2</v>
      </c>
      <c r="L1080" s="310">
        <f t="shared" si="79"/>
        <v>-9.8840579710144941E-2</v>
      </c>
      <c r="M1080" s="405">
        <f t="shared" si="80"/>
        <v>-10.709682535796993</v>
      </c>
      <c r="N1080" s="63">
        <f t="shared" si="81"/>
        <v>-1.2296986854444545</v>
      </c>
    </row>
    <row r="1081" spans="1:14" ht="18" x14ac:dyDescent="0.25">
      <c r="A1081" s="317" t="s">
        <v>2209</v>
      </c>
      <c r="B1081" s="317" t="s">
        <v>2210</v>
      </c>
      <c r="C1081" s="317">
        <v>1.25</v>
      </c>
      <c r="D1081" s="317">
        <v>3.4</v>
      </c>
      <c r="E1081" s="318">
        <v>7.77</v>
      </c>
      <c r="F1081" s="317">
        <v>0.91</v>
      </c>
      <c r="G1081" s="317">
        <v>0</v>
      </c>
      <c r="H1081" s="319">
        <v>32.32</v>
      </c>
      <c r="I1081" s="320">
        <v>41</v>
      </c>
      <c r="J1081" s="320">
        <v>2</v>
      </c>
      <c r="K1081" s="57">
        <f t="shared" si="78"/>
        <v>9.8375000000000004E-2</v>
      </c>
      <c r="L1081" s="310">
        <f t="shared" si="79"/>
        <v>8.5384615384615378E-2</v>
      </c>
      <c r="M1081" s="405">
        <f t="shared" si="80"/>
        <v>67.963612441789778</v>
      </c>
      <c r="N1081" s="63">
        <f t="shared" si="81"/>
        <v>-0.52445141100052928</v>
      </c>
    </row>
    <row r="1082" spans="1:14" ht="18" x14ac:dyDescent="0.25">
      <c r="A1082" s="317" t="s">
        <v>41</v>
      </c>
      <c r="B1082" s="317"/>
      <c r="C1082" s="317">
        <v>0.32</v>
      </c>
      <c r="D1082" s="317">
        <v>2.2599999999999998</v>
      </c>
      <c r="E1082" s="318">
        <v>14.59</v>
      </c>
      <c r="F1082" s="317">
        <v>2.81</v>
      </c>
      <c r="G1082" s="317">
        <v>4.8</v>
      </c>
      <c r="H1082" s="319">
        <v>39.380000000000003</v>
      </c>
      <c r="I1082" s="320">
        <v>40</v>
      </c>
      <c r="J1082" s="320">
        <v>2.5</v>
      </c>
      <c r="K1082" s="57">
        <f t="shared" si="78"/>
        <v>5.7175999999999998E-2</v>
      </c>
      <c r="L1082" s="310">
        <f t="shared" si="79"/>
        <v>5.1921708185053379E-2</v>
      </c>
      <c r="M1082" s="405">
        <f t="shared" si="80"/>
        <v>18.862159201784745</v>
      </c>
      <c r="N1082" s="63">
        <f t="shared" si="81"/>
        <v>1.0877779462424351</v>
      </c>
    </row>
    <row r="1083" spans="1:14" ht="18" x14ac:dyDescent="0.25">
      <c r="A1083" s="317" t="s">
        <v>2211</v>
      </c>
      <c r="B1083" s="317" t="s">
        <v>2212</v>
      </c>
      <c r="C1083" s="317">
        <v>2.08</v>
      </c>
      <c r="D1083" s="317">
        <v>0.66</v>
      </c>
      <c r="E1083" s="318">
        <v>9.42</v>
      </c>
      <c r="F1083" s="317">
        <v>2.41</v>
      </c>
      <c r="G1083" s="317">
        <v>0</v>
      </c>
      <c r="H1083" s="319">
        <v>24.22</v>
      </c>
      <c r="I1083" s="320">
        <v>31</v>
      </c>
      <c r="J1083" s="320">
        <v>1.6</v>
      </c>
      <c r="K1083" s="57">
        <f t="shared" si="78"/>
        <v>0.13514400000000001</v>
      </c>
      <c r="L1083" s="310">
        <f t="shared" si="79"/>
        <v>3.9087136929460579E-2</v>
      </c>
      <c r="M1083" s="405">
        <f t="shared" si="80"/>
        <v>7.0652085910564928</v>
      </c>
      <c r="N1083" s="63">
        <f t="shared" si="81"/>
        <v>2.4280658083696114</v>
      </c>
    </row>
    <row r="1084" spans="1:14" ht="18" x14ac:dyDescent="0.25">
      <c r="A1084" s="317" t="s">
        <v>2215</v>
      </c>
      <c r="B1084" s="317" t="s">
        <v>2216</v>
      </c>
      <c r="C1084" s="317">
        <v>1.36</v>
      </c>
      <c r="D1084" s="317">
        <v>1.08</v>
      </c>
      <c r="E1084" s="318">
        <v>7.54</v>
      </c>
      <c r="F1084" s="317">
        <v>0.66</v>
      </c>
      <c r="G1084" s="317">
        <v>0</v>
      </c>
      <c r="H1084" s="319">
        <v>10.71</v>
      </c>
      <c r="I1084" s="320">
        <v>14</v>
      </c>
      <c r="J1084" s="320">
        <v>1.8</v>
      </c>
      <c r="K1084" s="57">
        <f t="shared" si="78"/>
        <v>0.10324800000000001</v>
      </c>
      <c r="L1084" s="310">
        <f t="shared" si="79"/>
        <v>0.11424242424242424</v>
      </c>
      <c r="M1084" s="405">
        <f t="shared" si="80"/>
        <v>22.384999616459648</v>
      </c>
      <c r="N1084" s="63">
        <f t="shared" si="81"/>
        <v>-0.52155460426611056</v>
      </c>
    </row>
    <row r="1085" spans="1:14" ht="18" x14ac:dyDescent="0.25">
      <c r="A1085" s="317" t="s">
        <v>2217</v>
      </c>
      <c r="B1085" s="317" t="s">
        <v>2218</v>
      </c>
      <c r="C1085" s="317">
        <v>0.99</v>
      </c>
      <c r="D1085" s="317">
        <v>0.66</v>
      </c>
      <c r="E1085" s="318">
        <v>19.84</v>
      </c>
      <c r="F1085" s="317">
        <v>1.48</v>
      </c>
      <c r="G1085" s="317">
        <v>0</v>
      </c>
      <c r="H1085" s="319">
        <v>33.729999999999997</v>
      </c>
      <c r="I1085" s="320">
        <v>42</v>
      </c>
      <c r="J1085" s="320">
        <v>2</v>
      </c>
      <c r="K1085" s="57">
        <f t="shared" si="78"/>
        <v>8.6857000000000004E-2</v>
      </c>
      <c r="L1085" s="310">
        <f t="shared" si="79"/>
        <v>0.13405405405405404</v>
      </c>
      <c r="M1085" s="405">
        <f t="shared" si="80"/>
        <v>19.650245697000734</v>
      </c>
      <c r="N1085" s="63">
        <f t="shared" si="81"/>
        <v>0.7165179774392485</v>
      </c>
    </row>
    <row r="1086" spans="1:14" ht="18" x14ac:dyDescent="0.25">
      <c r="A1086" s="317" t="s">
        <v>4295</v>
      </c>
      <c r="B1086" s="317" t="s">
        <v>4296</v>
      </c>
      <c r="C1086" s="317">
        <v>1.73</v>
      </c>
      <c r="D1086" s="317">
        <v>1.06</v>
      </c>
      <c r="E1086" s="318">
        <v>3.75</v>
      </c>
      <c r="F1086" s="317">
        <v>0.32</v>
      </c>
      <c r="G1086" s="317">
        <v>0</v>
      </c>
      <c r="H1086" s="319">
        <v>4.99</v>
      </c>
      <c r="I1086" s="320">
        <v>12</v>
      </c>
      <c r="J1086" s="320">
        <v>1.9</v>
      </c>
      <c r="K1086" s="57">
        <f t="shared" si="78"/>
        <v>0.11963900000000001</v>
      </c>
      <c r="L1086" s="310">
        <f t="shared" si="79"/>
        <v>0.1171875</v>
      </c>
      <c r="M1086" s="405">
        <f t="shared" si="80"/>
        <v>17.812215247344355</v>
      </c>
      <c r="N1086" s="63">
        <f t="shared" si="81"/>
        <v>-0.71985517069562888</v>
      </c>
    </row>
    <row r="1087" spans="1:14" ht="18" x14ac:dyDescent="0.25">
      <c r="A1087" s="317" t="s">
        <v>2219</v>
      </c>
      <c r="B1087" s="317" t="s">
        <v>2220</v>
      </c>
      <c r="C1087" s="317">
        <v>1.64</v>
      </c>
      <c r="D1087" s="317">
        <v>2.1</v>
      </c>
      <c r="E1087" s="318">
        <v>16.32</v>
      </c>
      <c r="F1087" s="317">
        <v>2.89</v>
      </c>
      <c r="G1087" s="317">
        <v>2.8</v>
      </c>
      <c r="H1087" s="319">
        <v>115.69</v>
      </c>
      <c r="I1087" s="320">
        <v>120</v>
      </c>
      <c r="J1087" s="320">
        <v>1.9</v>
      </c>
      <c r="K1087" s="57">
        <f t="shared" si="78"/>
        <v>0.115652</v>
      </c>
      <c r="L1087" s="310">
        <f t="shared" si="79"/>
        <v>5.6470588235294113E-2</v>
      </c>
      <c r="M1087" s="405">
        <f t="shared" si="80"/>
        <v>-16.01506589654765</v>
      </c>
      <c r="N1087" s="63">
        <f t="shared" si="81"/>
        <v>-8.2238229144557664</v>
      </c>
    </row>
    <row r="1088" spans="1:14" ht="18" x14ac:dyDescent="0.25">
      <c r="A1088" s="317" t="s">
        <v>4976</v>
      </c>
      <c r="B1088" s="317"/>
      <c r="C1088" s="317">
        <v>0.91</v>
      </c>
      <c r="D1088" s="317">
        <v>1.21</v>
      </c>
      <c r="E1088" s="318">
        <v>11.94</v>
      </c>
      <c r="F1088" s="317">
        <v>0.9</v>
      </c>
      <c r="G1088" s="317">
        <v>1.9</v>
      </c>
      <c r="H1088" s="319">
        <v>20.89</v>
      </c>
      <c r="I1088" s="320">
        <v>25</v>
      </c>
      <c r="J1088" s="320">
        <v>2</v>
      </c>
      <c r="K1088" s="57">
        <f t="shared" si="78"/>
        <v>8.3312999999999998E-2</v>
      </c>
      <c r="L1088" s="310">
        <f t="shared" si="79"/>
        <v>0.13266666666666665</v>
      </c>
      <c r="M1088" s="405">
        <f t="shared" si="80"/>
        <v>25.926450409670284</v>
      </c>
      <c r="N1088" s="63">
        <f t="shared" si="81"/>
        <v>-0.19425915735043092</v>
      </c>
    </row>
    <row r="1089" spans="1:14" ht="18" x14ac:dyDescent="0.25">
      <c r="A1089" s="317" t="s">
        <v>879</v>
      </c>
      <c r="B1089" s="317"/>
      <c r="C1089" s="317">
        <v>0</v>
      </c>
      <c r="D1089" s="317">
        <v>-13.07</v>
      </c>
      <c r="E1089" s="318">
        <v>0</v>
      </c>
      <c r="F1089" s="317">
        <v>0</v>
      </c>
      <c r="G1089" s="317">
        <v>0</v>
      </c>
      <c r="H1089" s="319">
        <v>4.45</v>
      </c>
      <c r="I1089" s="320">
        <v>11.92</v>
      </c>
      <c r="J1089" s="320">
        <v>1</v>
      </c>
      <c r="K1089" s="57">
        <f t="shared" si="78"/>
        <v>4.2999999999999997E-2</v>
      </c>
      <c r="L1089" s="310" t="e">
        <f t="shared" si="79"/>
        <v>#DIV/0!</v>
      </c>
      <c r="M1089" s="405" t="e">
        <f t="shared" si="80"/>
        <v>#DIV/0!</v>
      </c>
      <c r="N1089" s="63" t="e">
        <f t="shared" si="81"/>
        <v>#DIV/0!</v>
      </c>
    </row>
    <row r="1090" spans="1:14" ht="18" x14ac:dyDescent="0.25">
      <c r="A1090" s="317" t="s">
        <v>3139</v>
      </c>
      <c r="B1090" s="317"/>
      <c r="C1090" s="317"/>
      <c r="D1090" s="317"/>
      <c r="E1090" s="318"/>
      <c r="F1090" s="317"/>
      <c r="G1090" s="317"/>
      <c r="H1090" s="319"/>
      <c r="I1090" s="320"/>
      <c r="J1090" s="320"/>
      <c r="K1090" s="57">
        <f t="shared" si="78"/>
        <v>4.2999999999999997E-2</v>
      </c>
      <c r="L1090" s="310" t="e">
        <f t="shared" si="79"/>
        <v>#DIV/0!</v>
      </c>
      <c r="M1090" s="405" t="e">
        <f t="shared" si="80"/>
        <v>#DIV/0!</v>
      </c>
      <c r="N1090" s="63" t="e">
        <f t="shared" si="81"/>
        <v>#DIV/0!</v>
      </c>
    </row>
    <row r="1091" spans="1:14" ht="18" x14ac:dyDescent="0.25">
      <c r="A1091" s="317" t="s">
        <v>5192</v>
      </c>
      <c r="B1091" s="317" t="s">
        <v>5193</v>
      </c>
      <c r="C1091" s="317">
        <v>0.2</v>
      </c>
      <c r="D1091" s="317">
        <v>2.39</v>
      </c>
      <c r="E1091" s="318">
        <v>27.73</v>
      </c>
      <c r="F1091" s="317">
        <v>2.12</v>
      </c>
      <c r="G1091" s="317">
        <v>0</v>
      </c>
      <c r="H1091" s="319">
        <v>89.3</v>
      </c>
      <c r="I1091" s="320">
        <v>91</v>
      </c>
      <c r="J1091" s="320">
        <v>2.2000000000000002</v>
      </c>
      <c r="K1091" s="57">
        <f t="shared" si="78"/>
        <v>5.1859999999999996E-2</v>
      </c>
      <c r="L1091" s="310">
        <f t="shared" si="79"/>
        <v>0.13080188679245283</v>
      </c>
      <c r="M1091" s="405">
        <f t="shared" si="80"/>
        <v>230.27365926213292</v>
      </c>
      <c r="N1091" s="63">
        <f t="shared" si="81"/>
        <v>-0.61220054310100225</v>
      </c>
    </row>
    <row r="1092" spans="1:14" ht="18" x14ac:dyDescent="0.25">
      <c r="A1092" s="317" t="s">
        <v>5194</v>
      </c>
      <c r="B1092" s="317" t="s">
        <v>5195</v>
      </c>
      <c r="C1092" s="317">
        <v>0.5</v>
      </c>
      <c r="D1092" s="317">
        <v>2.98</v>
      </c>
      <c r="E1092" s="318">
        <v>12.13</v>
      </c>
      <c r="F1092" s="317">
        <v>2.34</v>
      </c>
      <c r="G1092" s="317">
        <v>3.5</v>
      </c>
      <c r="H1092" s="319">
        <v>54.45</v>
      </c>
      <c r="I1092" s="320">
        <v>58.25</v>
      </c>
      <c r="J1092" s="320">
        <v>2</v>
      </c>
      <c r="K1092" s="57">
        <f t="shared" si="78"/>
        <v>6.515E-2</v>
      </c>
      <c r="L1092" s="310">
        <f t="shared" si="79"/>
        <v>5.1837606837606839E-2</v>
      </c>
      <c r="M1092" s="405">
        <f t="shared" si="80"/>
        <v>39.84505572666329</v>
      </c>
      <c r="N1092" s="63">
        <f t="shared" si="81"/>
        <v>0.36654345205403888</v>
      </c>
    </row>
    <row r="1093" spans="1:14" ht="18" x14ac:dyDescent="0.25">
      <c r="A1093" s="317" t="s">
        <v>4297</v>
      </c>
      <c r="B1093" s="317" t="s">
        <v>4298</v>
      </c>
      <c r="C1093" s="317">
        <v>1.45</v>
      </c>
      <c r="D1093" s="317">
        <v>4.3600000000000003</v>
      </c>
      <c r="E1093" s="318">
        <v>9.94</v>
      </c>
      <c r="F1093" s="317">
        <v>6.14</v>
      </c>
      <c r="G1093" s="317">
        <v>1.5</v>
      </c>
      <c r="H1093" s="319">
        <v>52.6</v>
      </c>
      <c r="I1093" s="320">
        <v>45.2</v>
      </c>
      <c r="J1093" s="320">
        <v>3.5</v>
      </c>
      <c r="K1093" s="57">
        <f t="shared" ref="K1093:K1156" si="82">$P$14+C1093*($Q$15-$P$14)</f>
        <v>0.107235</v>
      </c>
      <c r="L1093" s="310">
        <f t="shared" ref="L1093:L1156" si="83">E1093/F1093/100</f>
        <v>1.6188925081433225E-2</v>
      </c>
      <c r="M1093" s="405">
        <f t="shared" ref="M1093:M1156" si="84">(D1093-G1093*H1093/100)+(D1093-G1093*H1093/100)*(1+L1093)/(1+K1093)+(D1093-G1093*H1093/100)*(1+L1093)^2/(1+K1093)^2+(D1093-G1093*H1093/100)*(1+L1093)^3/(1+K1093)^3+(D1093-G1093*H1093/100)*(1+L1093)^4/(1+K1093)^4+((D1093-G1093*H1093/100)*(1+L1093)^5/(K1093-$T$22-$T$19))/((1+K1093)^5)</f>
        <v>47.79178375794649</v>
      </c>
      <c r="N1093" s="63">
        <f t="shared" ref="N1093:N1156" si="85">(H1093-M1093)/M1093</f>
        <v>0.10060759117939459</v>
      </c>
    </row>
    <row r="1094" spans="1:14" ht="18" x14ac:dyDescent="0.25">
      <c r="A1094" s="317" t="s">
        <v>958</v>
      </c>
      <c r="B1094" s="317"/>
      <c r="C1094" s="317">
        <v>1.57</v>
      </c>
      <c r="D1094" s="317">
        <v>0.56999999999999995</v>
      </c>
      <c r="E1094" s="318">
        <v>19</v>
      </c>
      <c r="F1094" s="317">
        <v>1.17</v>
      </c>
      <c r="G1094" s="317">
        <v>0</v>
      </c>
      <c r="H1094" s="319">
        <v>18.809999999999999</v>
      </c>
      <c r="I1094" s="320">
        <v>19.5</v>
      </c>
      <c r="J1094" s="320">
        <v>1.8</v>
      </c>
      <c r="K1094" s="57">
        <f t="shared" si="82"/>
        <v>0.11255100000000001</v>
      </c>
      <c r="L1094" s="310">
        <f t="shared" si="83"/>
        <v>0.16239316239316243</v>
      </c>
      <c r="M1094" s="405">
        <f t="shared" si="84"/>
        <v>12.387268123607896</v>
      </c>
      <c r="N1094" s="63">
        <f t="shared" si="85"/>
        <v>0.51849461982271428</v>
      </c>
    </row>
    <row r="1095" spans="1:14" ht="18" x14ac:dyDescent="0.25">
      <c r="A1095" s="317" t="s">
        <v>4021</v>
      </c>
      <c r="B1095" s="317"/>
      <c r="C1095" s="317">
        <v>1.85</v>
      </c>
      <c r="D1095" s="317">
        <v>1.39</v>
      </c>
      <c r="E1095" s="318">
        <v>7.89</v>
      </c>
      <c r="F1095" s="317">
        <v>0</v>
      </c>
      <c r="G1095" s="317">
        <v>8.1</v>
      </c>
      <c r="H1095" s="319">
        <v>11.99</v>
      </c>
      <c r="I1095" s="320">
        <v>15.34</v>
      </c>
      <c r="J1095" s="320">
        <v>1</v>
      </c>
      <c r="K1095" s="57">
        <f t="shared" si="82"/>
        <v>0.12495500000000001</v>
      </c>
      <c r="L1095" s="310" t="e">
        <f t="shared" si="83"/>
        <v>#DIV/0!</v>
      </c>
      <c r="M1095" s="405" t="e">
        <f t="shared" si="84"/>
        <v>#DIV/0!</v>
      </c>
      <c r="N1095" s="63" t="e">
        <f t="shared" si="85"/>
        <v>#DIV/0!</v>
      </c>
    </row>
    <row r="1096" spans="1:14" ht="18" x14ac:dyDescent="0.25">
      <c r="A1096" s="317" t="s">
        <v>2221</v>
      </c>
      <c r="B1096" s="317" t="s">
        <v>2222</v>
      </c>
      <c r="C1096" s="317">
        <v>1.77</v>
      </c>
      <c r="D1096" s="317">
        <v>0.34</v>
      </c>
      <c r="E1096" s="318">
        <v>16.68</v>
      </c>
      <c r="F1096" s="317">
        <v>1.99</v>
      </c>
      <c r="G1096" s="317">
        <v>1.5</v>
      </c>
      <c r="H1096" s="319">
        <v>7.84</v>
      </c>
      <c r="I1096" s="320">
        <v>9.5</v>
      </c>
      <c r="J1096" s="320">
        <v>2.2999999999999998</v>
      </c>
      <c r="K1096" s="57">
        <f t="shared" si="82"/>
        <v>0.12141100000000001</v>
      </c>
      <c r="L1096" s="310">
        <f t="shared" si="83"/>
        <v>8.3819095477386932E-2</v>
      </c>
      <c r="M1096" s="405">
        <f t="shared" si="84"/>
        <v>3.2356446718167411</v>
      </c>
      <c r="N1096" s="63">
        <f t="shared" si="85"/>
        <v>1.423010186590735</v>
      </c>
    </row>
    <row r="1097" spans="1:14" ht="18" x14ac:dyDescent="0.25">
      <c r="A1097" s="317" t="s">
        <v>5196</v>
      </c>
      <c r="B1097" s="317" t="s">
        <v>5197</v>
      </c>
      <c r="C1097" s="317">
        <v>1.52</v>
      </c>
      <c r="D1097" s="317">
        <v>-0.18</v>
      </c>
      <c r="E1097" s="318">
        <v>11.99</v>
      </c>
      <c r="F1097" s="317">
        <v>3.35</v>
      </c>
      <c r="G1097" s="317">
        <v>0.1</v>
      </c>
      <c r="H1097" s="319">
        <v>28.17</v>
      </c>
      <c r="I1097" s="320">
        <v>33</v>
      </c>
      <c r="J1097" s="320">
        <v>2.8</v>
      </c>
      <c r="K1097" s="57">
        <f t="shared" si="82"/>
        <v>0.110336</v>
      </c>
      <c r="L1097" s="310">
        <f t="shared" si="83"/>
        <v>3.5791044776119406E-2</v>
      </c>
      <c r="M1097" s="405">
        <f t="shared" si="84"/>
        <v>-2.888533047206205</v>
      </c>
      <c r="N1097" s="63">
        <f t="shared" si="85"/>
        <v>-10.752355101924863</v>
      </c>
    </row>
    <row r="1098" spans="1:14" ht="18" x14ac:dyDescent="0.25">
      <c r="A1098" s="317" t="s">
        <v>5198</v>
      </c>
      <c r="B1098" s="317" t="s">
        <v>5199</v>
      </c>
      <c r="C1098" s="317">
        <v>0.7</v>
      </c>
      <c r="D1098" s="317">
        <v>2.75</v>
      </c>
      <c r="E1098" s="318">
        <v>14.22</v>
      </c>
      <c r="F1098" s="317">
        <v>1.33</v>
      </c>
      <c r="G1098" s="317">
        <v>1.6</v>
      </c>
      <c r="H1098" s="319">
        <v>52.49</v>
      </c>
      <c r="I1098" s="320">
        <v>57</v>
      </c>
      <c r="J1098" s="320">
        <v>2.2999999999999998</v>
      </c>
      <c r="K1098" s="57">
        <f t="shared" si="82"/>
        <v>7.4009999999999992E-2</v>
      </c>
      <c r="L1098" s="310">
        <f t="shared" si="83"/>
        <v>0.10691729323308272</v>
      </c>
      <c r="M1098" s="405">
        <f t="shared" si="84"/>
        <v>68.59372430731085</v>
      </c>
      <c r="N1098" s="63">
        <f t="shared" si="85"/>
        <v>-0.23476964503579933</v>
      </c>
    </row>
    <row r="1099" spans="1:14" ht="18" x14ac:dyDescent="0.25">
      <c r="A1099" s="317" t="s">
        <v>2223</v>
      </c>
      <c r="B1099" s="317" t="s">
        <v>2224</v>
      </c>
      <c r="C1099" s="317">
        <v>1.78</v>
      </c>
      <c r="D1099" s="317">
        <v>0.64</v>
      </c>
      <c r="E1099" s="318">
        <v>7.66</v>
      </c>
      <c r="F1099" s="317">
        <v>0.31</v>
      </c>
      <c r="G1099" s="317">
        <v>2.2000000000000002</v>
      </c>
      <c r="H1099" s="319">
        <v>17.239999999999998</v>
      </c>
      <c r="I1099" s="320">
        <v>21.5</v>
      </c>
      <c r="J1099" s="320">
        <v>1.9</v>
      </c>
      <c r="K1099" s="57">
        <f t="shared" si="82"/>
        <v>0.121854</v>
      </c>
      <c r="L1099" s="310">
        <f t="shared" si="83"/>
        <v>0.24709677419354839</v>
      </c>
      <c r="M1099" s="405">
        <f t="shared" si="84"/>
        <v>6.7840641538083606</v>
      </c>
      <c r="N1099" s="63">
        <f t="shared" si="85"/>
        <v>1.5412495532374946</v>
      </c>
    </row>
    <row r="1100" spans="1:14" ht="18" x14ac:dyDescent="0.25">
      <c r="A1100" s="317" t="s">
        <v>2225</v>
      </c>
      <c r="B1100" s="317" t="s">
        <v>2226</v>
      </c>
      <c r="C1100" s="317">
        <v>1.42</v>
      </c>
      <c r="D1100" s="317">
        <v>2.16</v>
      </c>
      <c r="E1100" s="318">
        <v>12.19</v>
      </c>
      <c r="F1100" s="317">
        <v>2.1800000000000002</v>
      </c>
      <c r="G1100" s="317">
        <v>0</v>
      </c>
      <c r="H1100" s="319">
        <v>30.47</v>
      </c>
      <c r="I1100" s="320">
        <v>33</v>
      </c>
      <c r="J1100" s="320">
        <v>2.2000000000000002</v>
      </c>
      <c r="K1100" s="57">
        <f t="shared" si="82"/>
        <v>0.105906</v>
      </c>
      <c r="L1100" s="310">
        <f t="shared" si="83"/>
        <v>5.5917431192660544E-2</v>
      </c>
      <c r="M1100" s="405">
        <f t="shared" si="84"/>
        <v>34.385525473452091</v>
      </c>
      <c r="N1100" s="63">
        <f t="shared" si="85"/>
        <v>-0.11387132869250866</v>
      </c>
    </row>
    <row r="1101" spans="1:14" ht="18" x14ac:dyDescent="0.25">
      <c r="A1101" s="317" t="s">
        <v>2227</v>
      </c>
      <c r="B1101" s="317" t="s">
        <v>2228</v>
      </c>
      <c r="C1101" s="317">
        <v>1.0900000000000001</v>
      </c>
      <c r="D1101" s="317">
        <v>2.2799999999999998</v>
      </c>
      <c r="E1101" s="318">
        <v>8.17</v>
      </c>
      <c r="F1101" s="317">
        <v>2.4500000000000002</v>
      </c>
      <c r="G1101" s="317">
        <v>3.2</v>
      </c>
      <c r="H1101" s="319">
        <v>26.31</v>
      </c>
      <c r="I1101" s="320">
        <v>28.5</v>
      </c>
      <c r="J1101" s="320">
        <v>3</v>
      </c>
      <c r="K1101" s="57">
        <f t="shared" si="82"/>
        <v>9.1287000000000007E-2</v>
      </c>
      <c r="L1101" s="310">
        <f t="shared" si="83"/>
        <v>3.3346938775510197E-2</v>
      </c>
      <c r="M1101" s="405">
        <f t="shared" si="84"/>
        <v>26.267748890185906</v>
      </c>
      <c r="N1101" s="63">
        <f t="shared" si="85"/>
        <v>1.6084785183049341E-3</v>
      </c>
    </row>
    <row r="1102" spans="1:14" ht="18" x14ac:dyDescent="0.25">
      <c r="A1102" s="317" t="s">
        <v>5200</v>
      </c>
      <c r="B1102" s="317" t="s">
        <v>5201</v>
      </c>
      <c r="C1102" s="317">
        <v>0.73</v>
      </c>
      <c r="D1102" s="317">
        <v>1.91</v>
      </c>
      <c r="E1102" s="318">
        <v>14.33</v>
      </c>
      <c r="F1102" s="317">
        <v>2.97</v>
      </c>
      <c r="G1102" s="317">
        <v>3.5</v>
      </c>
      <c r="H1102" s="319">
        <v>17.059999999999999</v>
      </c>
      <c r="I1102" s="320">
        <v>19</v>
      </c>
      <c r="J1102" s="320">
        <v>2.7</v>
      </c>
      <c r="K1102" s="57">
        <f t="shared" si="82"/>
        <v>7.5339000000000003E-2</v>
      </c>
      <c r="L1102" s="310">
        <f t="shared" si="83"/>
        <v>4.8249158249158243E-2</v>
      </c>
      <c r="M1102" s="405">
        <f t="shared" si="84"/>
        <v>35.618747443950205</v>
      </c>
      <c r="N1102" s="63">
        <f t="shared" si="85"/>
        <v>-0.52103874436220199</v>
      </c>
    </row>
    <row r="1103" spans="1:14" ht="18" x14ac:dyDescent="0.25">
      <c r="A1103" s="317" t="s">
        <v>2229</v>
      </c>
      <c r="B1103" s="317" t="s">
        <v>2230</v>
      </c>
      <c r="C1103" s="317">
        <v>1.42</v>
      </c>
      <c r="D1103" s="317">
        <v>3.09</v>
      </c>
      <c r="E1103" s="318">
        <v>10.75</v>
      </c>
      <c r="F1103" s="317">
        <v>0.99</v>
      </c>
      <c r="G1103" s="317">
        <v>1.5</v>
      </c>
      <c r="H1103" s="319">
        <v>46.21</v>
      </c>
      <c r="I1103" s="320">
        <v>55</v>
      </c>
      <c r="J1103" s="320">
        <v>1.9</v>
      </c>
      <c r="K1103" s="57">
        <f t="shared" si="82"/>
        <v>0.105906</v>
      </c>
      <c r="L1103" s="310">
        <f t="shared" si="83"/>
        <v>0.10858585858585858</v>
      </c>
      <c r="M1103" s="405">
        <f t="shared" si="84"/>
        <v>46.746669235609218</v>
      </c>
      <c r="N1103" s="63">
        <f t="shared" si="85"/>
        <v>-1.1480373776029592E-2</v>
      </c>
    </row>
    <row r="1104" spans="1:14" ht="18" x14ac:dyDescent="0.25">
      <c r="A1104" s="317" t="s">
        <v>4299</v>
      </c>
      <c r="B1104" s="317" t="s">
        <v>4300</v>
      </c>
      <c r="C1104" s="317">
        <v>2.13</v>
      </c>
      <c r="D1104" s="317">
        <v>2.4</v>
      </c>
      <c r="E1104" s="318">
        <v>9.09</v>
      </c>
      <c r="F1104" s="317">
        <v>1.34</v>
      </c>
      <c r="G1104" s="317">
        <v>2</v>
      </c>
      <c r="H1104" s="319">
        <v>17.27</v>
      </c>
      <c r="I1104" s="320">
        <v>20</v>
      </c>
      <c r="J1104" s="320">
        <v>2.5</v>
      </c>
      <c r="K1104" s="57">
        <f t="shared" si="82"/>
        <v>0.13735900000000001</v>
      </c>
      <c r="L1104" s="310">
        <f t="shared" si="83"/>
        <v>6.7835820895522383E-2</v>
      </c>
      <c r="M1104" s="405">
        <f t="shared" si="84"/>
        <v>23.879203124571305</v>
      </c>
      <c r="N1104" s="63">
        <f t="shared" si="85"/>
        <v>-0.27677653605494668</v>
      </c>
    </row>
    <row r="1105" spans="1:14" ht="18" x14ac:dyDescent="0.25">
      <c r="A1105" s="317" t="s">
        <v>5202</v>
      </c>
      <c r="B1105" s="317" t="s">
        <v>4413</v>
      </c>
      <c r="C1105" s="317">
        <v>0.97</v>
      </c>
      <c r="D1105" s="317">
        <v>2.62</v>
      </c>
      <c r="E1105" s="318">
        <v>10.5</v>
      </c>
      <c r="F1105" s="317">
        <v>1.1599999999999999</v>
      </c>
      <c r="G1105" s="317">
        <v>0</v>
      </c>
      <c r="H1105" s="319">
        <v>22.57</v>
      </c>
      <c r="I1105" s="320">
        <v>22</v>
      </c>
      <c r="J1105" s="320">
        <v>2.8</v>
      </c>
      <c r="K1105" s="57">
        <f t="shared" si="82"/>
        <v>8.5970999999999992E-2</v>
      </c>
      <c r="L1105" s="310">
        <f t="shared" si="83"/>
        <v>9.0517241379310359E-2</v>
      </c>
      <c r="M1105" s="405">
        <f t="shared" si="84"/>
        <v>66.747236025464275</v>
      </c>
      <c r="N1105" s="63">
        <f t="shared" si="85"/>
        <v>-0.66185865746726236</v>
      </c>
    </row>
    <row r="1106" spans="1:14" ht="18" x14ac:dyDescent="0.25">
      <c r="A1106" s="317" t="s">
        <v>5098</v>
      </c>
      <c r="B1106" s="317"/>
      <c r="C1106" s="317">
        <v>1.59</v>
      </c>
      <c r="D1106" s="317">
        <v>2.4</v>
      </c>
      <c r="E1106" s="318">
        <v>12.82</v>
      </c>
      <c r="F1106" s="317">
        <v>0.56000000000000005</v>
      </c>
      <c r="G1106" s="317">
        <v>0.9</v>
      </c>
      <c r="H1106" s="319">
        <v>42.19</v>
      </c>
      <c r="I1106" s="320">
        <v>45.5</v>
      </c>
      <c r="J1106" s="320">
        <v>2.2999999999999998</v>
      </c>
      <c r="K1106" s="57">
        <f t="shared" si="82"/>
        <v>0.11343700000000001</v>
      </c>
      <c r="L1106" s="310">
        <f t="shared" si="83"/>
        <v>0.22892857142857143</v>
      </c>
      <c r="M1106" s="405">
        <f t="shared" si="84"/>
        <v>55.159536541362996</v>
      </c>
      <c r="N1106" s="63">
        <f t="shared" si="85"/>
        <v>-0.23512772866823148</v>
      </c>
    </row>
    <row r="1107" spans="1:14" ht="18" x14ac:dyDescent="0.25">
      <c r="A1107" s="317" t="s">
        <v>1712</v>
      </c>
      <c r="B1107" s="317" t="s">
        <v>1713</v>
      </c>
      <c r="C1107" s="317">
        <v>0.46</v>
      </c>
      <c r="D1107" s="317">
        <v>1.95</v>
      </c>
      <c r="E1107" s="318">
        <v>15.33</v>
      </c>
      <c r="F1107" s="317">
        <v>1.05</v>
      </c>
      <c r="G1107" s="317">
        <v>1.4</v>
      </c>
      <c r="H1107" s="319">
        <v>40.47</v>
      </c>
      <c r="I1107" s="320">
        <v>45</v>
      </c>
      <c r="J1107" s="320">
        <v>3.5</v>
      </c>
      <c r="K1107" s="57">
        <f t="shared" si="82"/>
        <v>6.3378000000000004E-2</v>
      </c>
      <c r="L1107" s="310">
        <f t="shared" si="83"/>
        <v>0.14599999999999999</v>
      </c>
      <c r="M1107" s="405">
        <f t="shared" si="84"/>
        <v>81.536451801034545</v>
      </c>
      <c r="N1107" s="63">
        <f t="shared" si="85"/>
        <v>-0.50365757761013452</v>
      </c>
    </row>
    <row r="1108" spans="1:14" ht="18" x14ac:dyDescent="0.25">
      <c r="A1108" s="317" t="s">
        <v>3442</v>
      </c>
      <c r="B1108" s="317" t="s">
        <v>3443</v>
      </c>
      <c r="C1108" s="317">
        <v>2.37</v>
      </c>
      <c r="D1108" s="317">
        <v>0.33</v>
      </c>
      <c r="E1108" s="318">
        <v>3.86</v>
      </c>
      <c r="F1108" s="317">
        <v>0.54</v>
      </c>
      <c r="G1108" s="317">
        <v>0</v>
      </c>
      <c r="H1108" s="319">
        <v>1.62</v>
      </c>
      <c r="I1108" s="320">
        <v>3.6</v>
      </c>
      <c r="J1108" s="320">
        <v>2</v>
      </c>
      <c r="K1108" s="57">
        <f t="shared" si="82"/>
        <v>0.14799100000000001</v>
      </c>
      <c r="L1108" s="310">
        <f t="shared" si="83"/>
        <v>7.1481481481481465E-2</v>
      </c>
      <c r="M1108" s="405">
        <f t="shared" si="84"/>
        <v>3.5314314301731233</v>
      </c>
      <c r="N1108" s="63">
        <f t="shared" si="85"/>
        <v>-0.54126250727723124</v>
      </c>
    </row>
    <row r="1109" spans="1:14" ht="18" x14ac:dyDescent="0.25">
      <c r="A1109" s="317" t="s">
        <v>4414</v>
      </c>
      <c r="B1109" s="317" t="s">
        <v>4415</v>
      </c>
      <c r="C1109" s="317">
        <v>1.06</v>
      </c>
      <c r="D1109" s="317">
        <v>-7.13</v>
      </c>
      <c r="E1109" s="318">
        <v>8.27</v>
      </c>
      <c r="F1109" s="317">
        <v>1.1200000000000001</v>
      </c>
      <c r="G1109" s="317">
        <v>3.1</v>
      </c>
      <c r="H1109" s="319">
        <v>10.83</v>
      </c>
      <c r="I1109" s="320">
        <v>9.5</v>
      </c>
      <c r="J1109" s="320">
        <v>3.3</v>
      </c>
      <c r="K1109" s="57">
        <f t="shared" si="82"/>
        <v>8.995800000000001E-2</v>
      </c>
      <c r="L1109" s="310">
        <f t="shared" si="83"/>
        <v>7.3839285714285705E-2</v>
      </c>
      <c r="M1109" s="405">
        <f t="shared" si="84"/>
        <v>-164.67008005385887</v>
      </c>
      <c r="N1109" s="63">
        <f t="shared" si="85"/>
        <v>-1.0657678674623698</v>
      </c>
    </row>
    <row r="1110" spans="1:14" ht="18" x14ac:dyDescent="0.25">
      <c r="A1110" s="317" t="s">
        <v>2231</v>
      </c>
      <c r="B1110" s="317" t="s">
        <v>2232</v>
      </c>
      <c r="C1110" s="317">
        <v>2.5</v>
      </c>
      <c r="D1110" s="317">
        <v>0.51</v>
      </c>
      <c r="E1110" s="318">
        <v>9.81</v>
      </c>
      <c r="F1110" s="317">
        <v>0</v>
      </c>
      <c r="G1110" s="317">
        <v>0</v>
      </c>
      <c r="H1110" s="319">
        <v>19.72</v>
      </c>
      <c r="I1110" s="320">
        <v>30</v>
      </c>
      <c r="J1110" s="320">
        <v>2</v>
      </c>
      <c r="K1110" s="57">
        <f t="shared" si="82"/>
        <v>0.15375</v>
      </c>
      <c r="L1110" s="310" t="e">
        <f t="shared" si="83"/>
        <v>#DIV/0!</v>
      </c>
      <c r="M1110" s="405" t="e">
        <f t="shared" si="84"/>
        <v>#DIV/0!</v>
      </c>
      <c r="N1110" s="63" t="e">
        <f t="shared" si="85"/>
        <v>#DIV/0!</v>
      </c>
    </row>
    <row r="1111" spans="1:14" ht="18" x14ac:dyDescent="0.25">
      <c r="A1111" s="317" t="s">
        <v>2233</v>
      </c>
      <c r="B1111" s="317" t="s">
        <v>2234</v>
      </c>
      <c r="C1111" s="317">
        <v>1.36</v>
      </c>
      <c r="D1111" s="317">
        <v>1.32</v>
      </c>
      <c r="E1111" s="318">
        <v>12.05</v>
      </c>
      <c r="F1111" s="317">
        <v>4.71</v>
      </c>
      <c r="G1111" s="317">
        <v>2.2999999999999998</v>
      </c>
      <c r="H1111" s="319">
        <v>73.650000000000006</v>
      </c>
      <c r="I1111" s="320">
        <v>87.5</v>
      </c>
      <c r="J1111" s="320">
        <v>1.9</v>
      </c>
      <c r="K1111" s="57">
        <f t="shared" si="82"/>
        <v>0.10324800000000001</v>
      </c>
      <c r="L1111" s="310">
        <f t="shared" si="83"/>
        <v>2.5583864118895967E-2</v>
      </c>
      <c r="M1111" s="405">
        <f t="shared" si="84"/>
        <v>-5.4847218319013207</v>
      </c>
      <c r="N1111" s="63">
        <f t="shared" si="85"/>
        <v>-14.428210628955211</v>
      </c>
    </row>
    <row r="1112" spans="1:14" ht="18" x14ac:dyDescent="0.25">
      <c r="A1112" s="317" t="s">
        <v>2450</v>
      </c>
      <c r="B1112" s="317" t="s">
        <v>2451</v>
      </c>
      <c r="C1112" s="317">
        <v>0.32</v>
      </c>
      <c r="D1112" s="317">
        <v>1.63</v>
      </c>
      <c r="E1112" s="318">
        <v>18.05</v>
      </c>
      <c r="F1112" s="317">
        <v>1.27</v>
      </c>
      <c r="G1112" s="317">
        <v>0</v>
      </c>
      <c r="H1112" s="319">
        <v>42.06</v>
      </c>
      <c r="I1112" s="320">
        <v>47</v>
      </c>
      <c r="J1112" s="320">
        <v>2.6</v>
      </c>
      <c r="K1112" s="57">
        <f t="shared" si="82"/>
        <v>5.7175999999999998E-2</v>
      </c>
      <c r="L1112" s="310">
        <f t="shared" si="83"/>
        <v>0.14212598425196851</v>
      </c>
      <c r="M1112" s="405">
        <f t="shared" si="84"/>
        <v>122.85560752304599</v>
      </c>
      <c r="N1112" s="63">
        <f t="shared" si="85"/>
        <v>-0.65764688443618546</v>
      </c>
    </row>
    <row r="1113" spans="1:14" ht="18" x14ac:dyDescent="0.25">
      <c r="A1113" s="317" t="s">
        <v>4416</v>
      </c>
      <c r="B1113" s="317" t="s">
        <v>4417</v>
      </c>
      <c r="C1113" s="317">
        <v>0.66</v>
      </c>
      <c r="D1113" s="317">
        <v>1.55</v>
      </c>
      <c r="E1113" s="318">
        <v>12.39</v>
      </c>
      <c r="F1113" s="317">
        <v>1.42</v>
      </c>
      <c r="G1113" s="317">
        <v>2</v>
      </c>
      <c r="H1113" s="319">
        <v>24.41</v>
      </c>
      <c r="I1113" s="320">
        <v>24</v>
      </c>
      <c r="J1113" s="320">
        <v>3</v>
      </c>
      <c r="K1113" s="57">
        <f t="shared" si="82"/>
        <v>7.2237999999999997E-2</v>
      </c>
      <c r="L1113" s="310">
        <f t="shared" si="83"/>
        <v>8.7253521126760575E-2</v>
      </c>
      <c r="M1113" s="405">
        <f t="shared" si="84"/>
        <v>36.8704200197106</v>
      </c>
      <c r="N1113" s="63">
        <f t="shared" si="85"/>
        <v>-0.33795167001214987</v>
      </c>
    </row>
    <row r="1114" spans="1:14" ht="18" x14ac:dyDescent="0.25">
      <c r="A1114" s="317" t="s">
        <v>4972</v>
      </c>
      <c r="B1114" s="317"/>
      <c r="C1114" s="317">
        <v>0.92</v>
      </c>
      <c r="D1114" s="317">
        <v>3.17</v>
      </c>
      <c r="E1114" s="318">
        <v>14.64</v>
      </c>
      <c r="F1114" s="317">
        <v>1.47</v>
      </c>
      <c r="G1114" s="317">
        <v>1.2</v>
      </c>
      <c r="H1114" s="319">
        <v>60.02</v>
      </c>
      <c r="I1114" s="320">
        <v>66</v>
      </c>
      <c r="J1114" s="320">
        <v>2.2000000000000002</v>
      </c>
      <c r="K1114" s="57">
        <f t="shared" si="82"/>
        <v>8.3755999999999997E-2</v>
      </c>
      <c r="L1114" s="310">
        <f t="shared" si="83"/>
        <v>9.9591836734693878E-2</v>
      </c>
      <c r="M1114" s="405">
        <f t="shared" si="84"/>
        <v>67.7683823849042</v>
      </c>
      <c r="N1114" s="63">
        <f t="shared" si="85"/>
        <v>-0.11433624519611071</v>
      </c>
    </row>
    <row r="1115" spans="1:14" ht="18" x14ac:dyDescent="0.25">
      <c r="A1115" s="317" t="s">
        <v>2235</v>
      </c>
      <c r="B1115" s="317" t="s">
        <v>2236</v>
      </c>
      <c r="C1115" s="317">
        <v>1.06</v>
      </c>
      <c r="D1115" s="317">
        <v>-0.22</v>
      </c>
      <c r="E1115" s="318">
        <v>12.98</v>
      </c>
      <c r="F1115" s="317">
        <v>1.3</v>
      </c>
      <c r="G1115" s="317">
        <v>0</v>
      </c>
      <c r="H1115" s="319">
        <v>21.15</v>
      </c>
      <c r="I1115" s="320">
        <v>24.5</v>
      </c>
      <c r="J1115" s="320">
        <v>1.8</v>
      </c>
      <c r="K1115" s="57">
        <f t="shared" si="82"/>
        <v>8.995800000000001E-2</v>
      </c>
      <c r="L1115" s="310">
        <f t="shared" si="83"/>
        <v>9.9846153846153848E-2</v>
      </c>
      <c r="M1115" s="405">
        <f t="shared" si="84"/>
        <v>-5.3857167739020193</v>
      </c>
      <c r="N1115" s="63">
        <f t="shared" si="85"/>
        <v>-4.9270538886278192</v>
      </c>
    </row>
    <row r="1116" spans="1:14" ht="18" x14ac:dyDescent="0.25">
      <c r="A1116" s="317" t="s">
        <v>4418</v>
      </c>
      <c r="B1116" s="317" t="s">
        <v>4419</v>
      </c>
      <c r="C1116" s="317">
        <v>0.92</v>
      </c>
      <c r="D1116" s="317">
        <v>0.77</v>
      </c>
      <c r="E1116" s="318">
        <v>12.41</v>
      </c>
      <c r="F1116" s="317">
        <v>1.51</v>
      </c>
      <c r="G1116" s="317">
        <v>0</v>
      </c>
      <c r="H1116" s="319">
        <v>19.61</v>
      </c>
      <c r="I1116" s="320">
        <v>21.5</v>
      </c>
      <c r="J1116" s="320">
        <v>2.1</v>
      </c>
      <c r="K1116" s="57">
        <f t="shared" si="82"/>
        <v>8.3755999999999997E-2</v>
      </c>
      <c r="L1116" s="310">
        <f t="shared" si="83"/>
        <v>8.2185430463576167E-2</v>
      </c>
      <c r="M1116" s="405">
        <f t="shared" si="84"/>
        <v>19.8459928702677</v>
      </c>
      <c r="N1116" s="63">
        <f t="shared" si="85"/>
        <v>-1.189121006998113E-2</v>
      </c>
    </row>
    <row r="1117" spans="1:14" ht="18" x14ac:dyDescent="0.25">
      <c r="A1117" s="317" t="s">
        <v>463</v>
      </c>
      <c r="B1117" s="317" t="s">
        <v>464</v>
      </c>
      <c r="C1117" s="317">
        <v>1.1399999999999999</v>
      </c>
      <c r="D1117" s="317">
        <v>2.73</v>
      </c>
      <c r="E1117" s="318">
        <v>15.79</v>
      </c>
      <c r="F1117" s="317">
        <v>1.21</v>
      </c>
      <c r="G1117" s="317">
        <v>0.4</v>
      </c>
      <c r="H1117" s="319">
        <v>52.89</v>
      </c>
      <c r="I1117" s="320">
        <v>63</v>
      </c>
      <c r="J1117" s="320">
        <v>1.8</v>
      </c>
      <c r="K1117" s="57">
        <f t="shared" si="82"/>
        <v>9.3502000000000002E-2</v>
      </c>
      <c r="L1117" s="310">
        <f t="shared" si="83"/>
        <v>0.13049586776859504</v>
      </c>
      <c r="M1117" s="405">
        <f t="shared" si="84"/>
        <v>65.197940929443106</v>
      </c>
      <c r="N1117" s="63">
        <f t="shared" si="85"/>
        <v>-0.18877806191399049</v>
      </c>
    </row>
    <row r="1118" spans="1:14" ht="18" x14ac:dyDescent="0.25">
      <c r="A1118" s="317" t="s">
        <v>1781</v>
      </c>
      <c r="B1118" s="317" t="s">
        <v>1782</v>
      </c>
      <c r="C1118" s="317">
        <v>2.21</v>
      </c>
      <c r="D1118" s="317">
        <v>-0.41</v>
      </c>
      <c r="E1118" s="318">
        <v>31.15</v>
      </c>
      <c r="F1118" s="317">
        <v>-0.59</v>
      </c>
      <c r="G1118" s="317">
        <v>0</v>
      </c>
      <c r="H1118" s="319">
        <v>10.28</v>
      </c>
      <c r="I1118" s="320">
        <v>12.75</v>
      </c>
      <c r="J1118" s="320">
        <v>2</v>
      </c>
      <c r="K1118" s="57">
        <f t="shared" si="82"/>
        <v>0.140903</v>
      </c>
      <c r="L1118" s="310">
        <f t="shared" si="83"/>
        <v>-0.5279661016949152</v>
      </c>
      <c r="M1118" s="405">
        <f t="shared" si="84"/>
        <v>-0.73824908816781021</v>
      </c>
      <c r="N1118" s="63">
        <f t="shared" si="85"/>
        <v>-14.92483941363605</v>
      </c>
    </row>
    <row r="1119" spans="1:14" ht="18" x14ac:dyDescent="0.25">
      <c r="A1119" s="317" t="s">
        <v>2237</v>
      </c>
      <c r="B1119" s="317" t="s">
        <v>2238</v>
      </c>
      <c r="C1119" s="317">
        <v>1.31</v>
      </c>
      <c r="D1119" s="317">
        <v>1.1299999999999999</v>
      </c>
      <c r="E1119" s="318">
        <v>6.96</v>
      </c>
      <c r="F1119" s="317">
        <v>0</v>
      </c>
      <c r="G1119" s="317">
        <v>0</v>
      </c>
      <c r="H1119" s="319">
        <v>12.52</v>
      </c>
      <c r="I1119" s="320">
        <v>19.5</v>
      </c>
      <c r="J1119" s="320">
        <v>1</v>
      </c>
      <c r="K1119" s="57">
        <f t="shared" si="82"/>
        <v>0.10103300000000001</v>
      </c>
      <c r="L1119" s="310" t="e">
        <f t="shared" si="83"/>
        <v>#DIV/0!</v>
      </c>
      <c r="M1119" s="405" t="e">
        <f t="shared" si="84"/>
        <v>#DIV/0!</v>
      </c>
      <c r="N1119" s="63" t="e">
        <f t="shared" si="85"/>
        <v>#DIV/0!</v>
      </c>
    </row>
    <row r="1120" spans="1:14" ht="18" x14ac:dyDescent="0.25">
      <c r="A1120" s="317" t="s">
        <v>1839</v>
      </c>
      <c r="B1120" s="317"/>
      <c r="C1120" s="317">
        <v>0.68</v>
      </c>
      <c r="D1120" s="317">
        <v>1.94</v>
      </c>
      <c r="E1120" s="318">
        <v>14</v>
      </c>
      <c r="F1120" s="317">
        <v>1.54</v>
      </c>
      <c r="G1120" s="317">
        <v>3.6</v>
      </c>
      <c r="H1120" s="319">
        <v>28.85</v>
      </c>
      <c r="I1120" s="320">
        <v>30</v>
      </c>
      <c r="J1120" s="320">
        <v>2.8</v>
      </c>
      <c r="K1120" s="57">
        <f t="shared" si="82"/>
        <v>7.3123999999999995E-2</v>
      </c>
      <c r="L1120" s="310">
        <f t="shared" si="83"/>
        <v>9.0909090909090898E-2</v>
      </c>
      <c r="M1120" s="405">
        <f t="shared" si="84"/>
        <v>31.019533601754919</v>
      </c>
      <c r="N1120" s="63">
        <f t="shared" si="85"/>
        <v>-6.9940884012265642E-2</v>
      </c>
    </row>
    <row r="1121" spans="1:14" ht="18" x14ac:dyDescent="0.25">
      <c r="A1121" s="317" t="s">
        <v>2239</v>
      </c>
      <c r="B1121" s="317" t="s">
        <v>2240</v>
      </c>
      <c r="C1121" s="317">
        <v>1.93</v>
      </c>
      <c r="D1121" s="317">
        <v>1.88</v>
      </c>
      <c r="E1121" s="318">
        <v>9.51</v>
      </c>
      <c r="F1121" s="317">
        <v>1.01</v>
      </c>
      <c r="G1121" s="317">
        <v>5.5</v>
      </c>
      <c r="H1121" s="319">
        <v>35</v>
      </c>
      <c r="I1121" s="320">
        <v>43</v>
      </c>
      <c r="J1121" s="320">
        <v>1.8</v>
      </c>
      <c r="K1121" s="57">
        <f t="shared" si="82"/>
        <v>0.128499</v>
      </c>
      <c r="L1121" s="310">
        <f t="shared" si="83"/>
        <v>9.4158415841584159E-2</v>
      </c>
      <c r="M1121" s="405">
        <f t="shared" si="84"/>
        <v>-0.62855792954087675</v>
      </c>
      <c r="N1121" s="63">
        <f t="shared" si="85"/>
        <v>-56.68301401521633</v>
      </c>
    </row>
    <row r="1122" spans="1:14" ht="18" x14ac:dyDescent="0.25">
      <c r="A1122" s="317" t="s">
        <v>4420</v>
      </c>
      <c r="B1122" s="317" t="s">
        <v>4421</v>
      </c>
      <c r="C1122" s="317">
        <v>0.72</v>
      </c>
      <c r="D1122" s="317">
        <v>3.78</v>
      </c>
      <c r="E1122" s="318">
        <v>10.97</v>
      </c>
      <c r="F1122" s="317">
        <v>1.2</v>
      </c>
      <c r="G1122" s="317">
        <v>2.2999999999999998</v>
      </c>
      <c r="H1122" s="319">
        <v>44.77</v>
      </c>
      <c r="I1122" s="320">
        <v>48.5</v>
      </c>
      <c r="J1122" s="320">
        <v>2.5</v>
      </c>
      <c r="K1122" s="57">
        <f t="shared" si="82"/>
        <v>7.489599999999999E-2</v>
      </c>
      <c r="L1122" s="310">
        <f t="shared" si="83"/>
        <v>9.1416666666666674E-2</v>
      </c>
      <c r="M1122" s="405">
        <f t="shared" si="84"/>
        <v>90.492947612742839</v>
      </c>
      <c r="N1122" s="63">
        <f t="shared" si="85"/>
        <v>-0.50526531424758592</v>
      </c>
    </row>
    <row r="1123" spans="1:14" ht="18" x14ac:dyDescent="0.25">
      <c r="A1123" s="317" t="s">
        <v>2241</v>
      </c>
      <c r="B1123" s="317" t="s">
        <v>2242</v>
      </c>
      <c r="C1123" s="317">
        <v>2.33</v>
      </c>
      <c r="D1123" s="317">
        <v>0.55000000000000004</v>
      </c>
      <c r="E1123" s="318">
        <v>10.59</v>
      </c>
      <c r="F1123" s="317">
        <v>1.21</v>
      </c>
      <c r="G1123" s="317">
        <v>0</v>
      </c>
      <c r="H1123" s="319">
        <v>9.5299999999999994</v>
      </c>
      <c r="I1123" s="320">
        <v>11</v>
      </c>
      <c r="J1123" s="320">
        <v>1</v>
      </c>
      <c r="K1123" s="57">
        <f t="shared" si="82"/>
        <v>0.14621900000000002</v>
      </c>
      <c r="L1123" s="310">
        <f t="shared" si="83"/>
        <v>8.7520661157024796E-2</v>
      </c>
      <c r="M1123" s="405">
        <f t="shared" si="84"/>
        <v>6.3190828879841021</v>
      </c>
      <c r="N1123" s="63">
        <f t="shared" si="85"/>
        <v>0.50813024119711081</v>
      </c>
    </row>
    <row r="1124" spans="1:14" ht="18" x14ac:dyDescent="0.25">
      <c r="A1124" s="317" t="s">
        <v>4301</v>
      </c>
      <c r="B1124" s="317" t="s">
        <v>4302</v>
      </c>
      <c r="C1124" s="317">
        <v>1.51</v>
      </c>
      <c r="D1124" s="317">
        <v>0.34</v>
      </c>
      <c r="E1124" s="318">
        <v>0</v>
      </c>
      <c r="F1124" s="317">
        <v>0</v>
      </c>
      <c r="G1124" s="317">
        <v>0</v>
      </c>
      <c r="H1124" s="319">
        <v>5.89</v>
      </c>
      <c r="I1124" s="320">
        <v>0</v>
      </c>
      <c r="J1124" s="320">
        <v>0</v>
      </c>
      <c r="K1124" s="57">
        <f t="shared" si="82"/>
        <v>0.109893</v>
      </c>
      <c r="L1124" s="310" t="e">
        <f t="shared" si="83"/>
        <v>#DIV/0!</v>
      </c>
      <c r="M1124" s="405" t="e">
        <f t="shared" si="84"/>
        <v>#DIV/0!</v>
      </c>
      <c r="N1124" s="63" t="e">
        <f t="shared" si="85"/>
        <v>#DIV/0!</v>
      </c>
    </row>
    <row r="1125" spans="1:14" ht="18" x14ac:dyDescent="0.25">
      <c r="A1125" s="317" t="s">
        <v>1698</v>
      </c>
      <c r="B1125" s="317" t="s">
        <v>1699</v>
      </c>
      <c r="C1125" s="317">
        <v>1.38</v>
      </c>
      <c r="D1125" s="317">
        <v>1.82</v>
      </c>
      <c r="E1125" s="318">
        <v>10.72</v>
      </c>
      <c r="F1125" s="317">
        <v>1.28</v>
      </c>
      <c r="G1125" s="317">
        <v>0</v>
      </c>
      <c r="H1125" s="319">
        <v>29.5</v>
      </c>
      <c r="I1125" s="320">
        <v>43.5</v>
      </c>
      <c r="J1125" s="320">
        <v>2.6</v>
      </c>
      <c r="K1125" s="57">
        <f t="shared" si="82"/>
        <v>0.104134</v>
      </c>
      <c r="L1125" s="310">
        <f t="shared" si="83"/>
        <v>8.3750000000000005E-2</v>
      </c>
      <c r="M1125" s="405">
        <f t="shared" si="84"/>
        <v>33.105862693971254</v>
      </c>
      <c r="N1125" s="63">
        <f t="shared" si="85"/>
        <v>-0.10891915813533232</v>
      </c>
    </row>
    <row r="1126" spans="1:14" ht="18" x14ac:dyDescent="0.25">
      <c r="A1126" s="317" t="s">
        <v>4022</v>
      </c>
      <c r="B1126" s="317"/>
      <c r="C1126" s="317">
        <v>1.97</v>
      </c>
      <c r="D1126" s="317">
        <v>-8.1199999999999992</v>
      </c>
      <c r="E1126" s="318">
        <v>0</v>
      </c>
      <c r="F1126" s="317">
        <v>-0.28999999999999998</v>
      </c>
      <c r="G1126" s="317">
        <v>0</v>
      </c>
      <c r="H1126" s="319">
        <v>1.65</v>
      </c>
      <c r="I1126" s="320">
        <v>3</v>
      </c>
      <c r="J1126" s="320">
        <v>3</v>
      </c>
      <c r="K1126" s="57">
        <f t="shared" si="82"/>
        <v>0.13027100000000003</v>
      </c>
      <c r="L1126" s="310">
        <f t="shared" si="83"/>
        <v>0</v>
      </c>
      <c r="M1126" s="405">
        <f t="shared" si="84"/>
        <v>-78.953534365503003</v>
      </c>
      <c r="N1126" s="63">
        <f t="shared" si="85"/>
        <v>-1.0208983677964509</v>
      </c>
    </row>
    <row r="1127" spans="1:14" ht="18" x14ac:dyDescent="0.25">
      <c r="A1127" s="317" t="s">
        <v>5099</v>
      </c>
      <c r="B1127" s="317"/>
      <c r="C1127" s="317">
        <v>2.84</v>
      </c>
      <c r="D1127" s="317">
        <v>0.75</v>
      </c>
      <c r="E1127" s="318">
        <v>10.32</v>
      </c>
      <c r="F1127" s="317">
        <v>0</v>
      </c>
      <c r="G1127" s="317">
        <v>0</v>
      </c>
      <c r="H1127" s="319">
        <v>11.45</v>
      </c>
      <c r="I1127" s="320">
        <v>16</v>
      </c>
      <c r="J1127" s="320">
        <v>2</v>
      </c>
      <c r="K1127" s="57">
        <f t="shared" si="82"/>
        <v>0.16881200000000002</v>
      </c>
      <c r="L1127" s="310" t="e">
        <f t="shared" si="83"/>
        <v>#DIV/0!</v>
      </c>
      <c r="M1127" s="405" t="e">
        <f t="shared" si="84"/>
        <v>#DIV/0!</v>
      </c>
      <c r="N1127" s="63" t="e">
        <f t="shared" si="85"/>
        <v>#DIV/0!</v>
      </c>
    </row>
    <row r="1128" spans="1:14" ht="18" x14ac:dyDescent="0.25">
      <c r="A1128" s="317" t="s">
        <v>3251</v>
      </c>
      <c r="B1128" s="317" t="s">
        <v>3252</v>
      </c>
      <c r="C1128" s="317">
        <v>3.73</v>
      </c>
      <c r="D1128" s="317">
        <v>2.5499999999999998</v>
      </c>
      <c r="E1128" s="318">
        <v>8.69</v>
      </c>
      <c r="F1128" s="317">
        <v>0.95</v>
      </c>
      <c r="G1128" s="317">
        <v>1.2</v>
      </c>
      <c r="H1128" s="319">
        <v>50.4</v>
      </c>
      <c r="I1128" s="320">
        <v>61.59</v>
      </c>
      <c r="J1128" s="320">
        <v>2.2000000000000002</v>
      </c>
      <c r="K1128" s="57">
        <f t="shared" si="82"/>
        <v>0.20823900000000001</v>
      </c>
      <c r="L1128" s="310">
        <f t="shared" si="83"/>
        <v>9.1473684210526318E-2</v>
      </c>
      <c r="M1128" s="405">
        <f t="shared" si="84"/>
        <v>14.813349331784998</v>
      </c>
      <c r="N1128" s="63">
        <f t="shared" si="85"/>
        <v>2.4023365594880515</v>
      </c>
    </row>
    <row r="1129" spans="1:14" ht="18" x14ac:dyDescent="0.25">
      <c r="A1129" s="317" t="s">
        <v>465</v>
      </c>
      <c r="B1129" s="317" t="s">
        <v>466</v>
      </c>
      <c r="C1129" s="317">
        <v>0.52</v>
      </c>
      <c r="D1129" s="317">
        <v>-1.76</v>
      </c>
      <c r="E1129" s="318">
        <v>0</v>
      </c>
      <c r="F1129" s="317">
        <v>-0.97</v>
      </c>
      <c r="G1129" s="317">
        <v>0</v>
      </c>
      <c r="H1129" s="319">
        <v>10.029999999999999</v>
      </c>
      <c r="I1129" s="320">
        <v>10.130000000000001</v>
      </c>
      <c r="J1129" s="320">
        <v>4</v>
      </c>
      <c r="K1129" s="57">
        <f t="shared" si="82"/>
        <v>6.6035999999999997E-2</v>
      </c>
      <c r="L1129" s="310">
        <f t="shared" si="83"/>
        <v>0</v>
      </c>
      <c r="M1129" s="405">
        <f t="shared" si="84"/>
        <v>-50.336171361862419</v>
      </c>
      <c r="N1129" s="63">
        <f t="shared" si="85"/>
        <v>-1.199260287952677</v>
      </c>
    </row>
    <row r="1130" spans="1:14" ht="18" x14ac:dyDescent="0.25">
      <c r="A1130" s="317" t="s">
        <v>2243</v>
      </c>
      <c r="B1130" s="317" t="s">
        <v>1453</v>
      </c>
      <c r="C1130" s="317">
        <v>1.39</v>
      </c>
      <c r="D1130" s="317">
        <v>5.67</v>
      </c>
      <c r="E1130" s="318">
        <v>11.37</v>
      </c>
      <c r="F1130" s="317">
        <v>1.02</v>
      </c>
      <c r="G1130" s="317">
        <v>3.2</v>
      </c>
      <c r="H1130" s="319">
        <v>84.46</v>
      </c>
      <c r="I1130" s="320">
        <v>91</v>
      </c>
      <c r="J1130" s="320">
        <v>1.6</v>
      </c>
      <c r="K1130" s="57">
        <f t="shared" si="82"/>
        <v>0.104577</v>
      </c>
      <c r="L1130" s="310">
        <f t="shared" si="83"/>
        <v>0.11147058823529411</v>
      </c>
      <c r="M1130" s="405">
        <f t="shared" si="84"/>
        <v>59.659225503835103</v>
      </c>
      <c r="N1130" s="63">
        <f t="shared" si="85"/>
        <v>0.41570728226384052</v>
      </c>
    </row>
    <row r="1131" spans="1:14" ht="18" x14ac:dyDescent="0.25">
      <c r="A1131" s="317" t="s">
        <v>4422</v>
      </c>
      <c r="B1131" s="317" t="s">
        <v>4423</v>
      </c>
      <c r="C1131" s="317">
        <v>0.91</v>
      </c>
      <c r="D1131" s="317">
        <v>1.77</v>
      </c>
      <c r="E1131" s="318">
        <v>21.45</v>
      </c>
      <c r="F1131" s="317">
        <v>2.0099999999999998</v>
      </c>
      <c r="G1131" s="317">
        <v>0</v>
      </c>
      <c r="H1131" s="319">
        <v>53.19</v>
      </c>
      <c r="I1131" s="320">
        <v>56</v>
      </c>
      <c r="J1131" s="320">
        <v>2.2000000000000002</v>
      </c>
      <c r="K1131" s="57">
        <f t="shared" si="82"/>
        <v>8.3312999999999998E-2</v>
      </c>
      <c r="L1131" s="310">
        <f t="shared" si="83"/>
        <v>0.10671641791044778</v>
      </c>
      <c r="M1131" s="405">
        <f t="shared" si="84"/>
        <v>50.87057610377795</v>
      </c>
      <c r="N1131" s="63">
        <f t="shared" si="85"/>
        <v>4.5594606428091815E-2</v>
      </c>
    </row>
    <row r="1132" spans="1:14" ht="18" x14ac:dyDescent="0.25">
      <c r="A1132" s="317" t="s">
        <v>3012</v>
      </c>
      <c r="B1132" s="317" t="s">
        <v>3038</v>
      </c>
      <c r="C1132" s="317">
        <v>1.17</v>
      </c>
      <c r="D1132" s="317">
        <v>2.92</v>
      </c>
      <c r="E1132" s="318">
        <v>15.95</v>
      </c>
      <c r="F1132" s="317">
        <v>-6.91</v>
      </c>
      <c r="G1132" s="317">
        <v>1.7</v>
      </c>
      <c r="H1132" s="319">
        <v>55.99</v>
      </c>
      <c r="I1132" s="320">
        <v>64.5</v>
      </c>
      <c r="J1132" s="320">
        <v>2.1</v>
      </c>
      <c r="K1132" s="57">
        <f t="shared" si="82"/>
        <v>9.4830999999999999E-2</v>
      </c>
      <c r="L1132" s="310">
        <f t="shared" si="83"/>
        <v>-2.3082489146164974E-2</v>
      </c>
      <c r="M1132" s="405">
        <f t="shared" si="84"/>
        <v>26.861283268499001</v>
      </c>
      <c r="N1132" s="63">
        <f t="shared" si="85"/>
        <v>1.0844127006270428</v>
      </c>
    </row>
    <row r="1133" spans="1:14" ht="18" x14ac:dyDescent="0.25">
      <c r="A1133" s="317" t="s">
        <v>1454</v>
      </c>
      <c r="B1133" s="317" t="s">
        <v>1455</v>
      </c>
      <c r="C1133" s="317">
        <v>1.49</v>
      </c>
      <c r="D1133" s="317">
        <v>3.27</v>
      </c>
      <c r="E1133" s="318">
        <v>14.21</v>
      </c>
      <c r="F1133" s="317">
        <v>2.5099999999999998</v>
      </c>
      <c r="G1133" s="317">
        <v>0</v>
      </c>
      <c r="H1133" s="319">
        <v>49.32</v>
      </c>
      <c r="I1133" s="320">
        <v>57</v>
      </c>
      <c r="J1133" s="320">
        <v>2.2999999999999998</v>
      </c>
      <c r="K1133" s="57">
        <f t="shared" si="82"/>
        <v>0.10900700000000001</v>
      </c>
      <c r="L1133" s="310">
        <f t="shared" si="83"/>
        <v>5.6613545816733078E-2</v>
      </c>
      <c r="M1133" s="405">
        <f t="shared" si="84"/>
        <v>50.039959856908453</v>
      </c>
      <c r="N1133" s="63">
        <f t="shared" si="85"/>
        <v>-1.43876985306785E-2</v>
      </c>
    </row>
    <row r="1134" spans="1:14" ht="18" x14ac:dyDescent="0.25">
      <c r="A1134" s="317" t="s">
        <v>4424</v>
      </c>
      <c r="B1134" s="317" t="s">
        <v>4425</v>
      </c>
      <c r="C1134" s="317">
        <v>0.87</v>
      </c>
      <c r="D1134" s="317">
        <v>1.1100000000000001</v>
      </c>
      <c r="E1134" s="318">
        <v>12.57</v>
      </c>
      <c r="F1134" s="317">
        <v>1.93</v>
      </c>
      <c r="G1134" s="317">
        <v>4.3</v>
      </c>
      <c r="H1134" s="319">
        <v>19.23</v>
      </c>
      <c r="I1134" s="320">
        <v>19</v>
      </c>
      <c r="J1134" s="320">
        <v>2.6</v>
      </c>
      <c r="K1134" s="57">
        <f t="shared" si="82"/>
        <v>8.1541000000000002E-2</v>
      </c>
      <c r="L1134" s="310">
        <f t="shared" si="83"/>
        <v>6.5129533678756471E-2</v>
      </c>
      <c r="M1134" s="405">
        <f t="shared" si="84"/>
        <v>7.132274062544723</v>
      </c>
      <c r="N1134" s="63">
        <f t="shared" si="85"/>
        <v>1.6961947664051107</v>
      </c>
    </row>
    <row r="1135" spans="1:14" ht="18" x14ac:dyDescent="0.25">
      <c r="A1135" s="317" t="s">
        <v>4456</v>
      </c>
      <c r="B1135" s="317"/>
      <c r="C1135" s="317">
        <v>0.87</v>
      </c>
      <c r="D1135" s="317">
        <v>1.1100000000000001</v>
      </c>
      <c r="E1135" s="318">
        <v>12.57</v>
      </c>
      <c r="F1135" s="317">
        <v>1.93</v>
      </c>
      <c r="G1135" s="317">
        <v>4.3</v>
      </c>
      <c r="H1135" s="319"/>
      <c r="I1135" s="320">
        <v>19</v>
      </c>
      <c r="J1135" s="320">
        <v>2.6</v>
      </c>
      <c r="K1135" s="57">
        <f t="shared" si="82"/>
        <v>8.1541000000000002E-2</v>
      </c>
      <c r="L1135" s="310">
        <f t="shared" si="83"/>
        <v>6.5129533678756471E-2</v>
      </c>
      <c r="M1135" s="405">
        <f t="shared" si="84"/>
        <v>27.963774537899184</v>
      </c>
      <c r="N1135" s="63">
        <f t="shared" si="85"/>
        <v>-1</v>
      </c>
    </row>
    <row r="1136" spans="1:14" ht="18" x14ac:dyDescent="0.25">
      <c r="A1136" s="317" t="s">
        <v>4426</v>
      </c>
      <c r="B1136" s="317" t="s">
        <v>4427</v>
      </c>
      <c r="C1136" s="317">
        <v>0.92</v>
      </c>
      <c r="D1136" s="317">
        <v>2.83</v>
      </c>
      <c r="E1136" s="318">
        <v>14.51</v>
      </c>
      <c r="F1136" s="317">
        <v>2.09</v>
      </c>
      <c r="G1136" s="317">
        <v>5.2</v>
      </c>
      <c r="H1136" s="319">
        <v>52.24</v>
      </c>
      <c r="I1136" s="320">
        <v>50</v>
      </c>
      <c r="J1136" s="320">
        <v>2.7</v>
      </c>
      <c r="K1136" s="57">
        <f t="shared" si="82"/>
        <v>8.3755999999999997E-2</v>
      </c>
      <c r="L1136" s="310">
        <f t="shared" si="83"/>
        <v>6.9425837320574169E-2</v>
      </c>
      <c r="M1136" s="405">
        <f t="shared" si="84"/>
        <v>2.7768146563299401</v>
      </c>
      <c r="N1136" s="63">
        <f t="shared" si="85"/>
        <v>17.812922886630307</v>
      </c>
    </row>
    <row r="1137" spans="1:14" ht="18" x14ac:dyDescent="0.25">
      <c r="A1137" s="317" t="s">
        <v>1783</v>
      </c>
      <c r="B1137" s="317" t="s">
        <v>1784</v>
      </c>
      <c r="C1137" s="317">
        <v>3.68</v>
      </c>
      <c r="D1137" s="317">
        <v>0.63</v>
      </c>
      <c r="E1137" s="318">
        <v>11.3</v>
      </c>
      <c r="F1137" s="317">
        <v>0.52</v>
      </c>
      <c r="G1137" s="317">
        <v>0</v>
      </c>
      <c r="H1137" s="319">
        <v>43.61</v>
      </c>
      <c r="I1137" s="320">
        <v>53.5</v>
      </c>
      <c r="J1137" s="320">
        <v>2.2999999999999998</v>
      </c>
      <c r="K1137" s="57">
        <f t="shared" si="82"/>
        <v>0.20602400000000004</v>
      </c>
      <c r="L1137" s="310">
        <f t="shared" si="83"/>
        <v>0.21730769230769231</v>
      </c>
      <c r="M1137" s="405">
        <f t="shared" si="84"/>
        <v>7.0914695690975478</v>
      </c>
      <c r="N1137" s="63">
        <f t="shared" si="85"/>
        <v>5.14964212637096</v>
      </c>
    </row>
    <row r="1138" spans="1:14" ht="18" x14ac:dyDescent="0.25">
      <c r="A1138" s="317" t="s">
        <v>4428</v>
      </c>
      <c r="B1138" s="317" t="s">
        <v>4429</v>
      </c>
      <c r="C1138" s="317">
        <v>1.99</v>
      </c>
      <c r="D1138" s="317">
        <v>1.73</v>
      </c>
      <c r="E1138" s="318">
        <v>8.27</v>
      </c>
      <c r="F1138" s="317">
        <v>0.68</v>
      </c>
      <c r="G1138" s="317">
        <v>0</v>
      </c>
      <c r="H1138" s="319">
        <v>16.3</v>
      </c>
      <c r="I1138" s="320">
        <v>20</v>
      </c>
      <c r="J1138" s="320">
        <v>2.1</v>
      </c>
      <c r="K1138" s="57">
        <f t="shared" si="82"/>
        <v>0.13115700000000002</v>
      </c>
      <c r="L1138" s="310">
        <f t="shared" si="83"/>
        <v>0.12161764705882351</v>
      </c>
      <c r="M1138" s="405">
        <f t="shared" si="84"/>
        <v>25.932027126237294</v>
      </c>
      <c r="N1138" s="63">
        <f t="shared" si="85"/>
        <v>-0.37143363607281898</v>
      </c>
    </row>
    <row r="1139" spans="1:14" ht="18" x14ac:dyDescent="0.25">
      <c r="A1139" s="317" t="s">
        <v>4323</v>
      </c>
      <c r="B1139" s="317" t="s">
        <v>4324</v>
      </c>
      <c r="C1139" s="317">
        <v>0.18</v>
      </c>
      <c r="D1139" s="317">
        <v>3.66</v>
      </c>
      <c r="E1139" s="318">
        <v>8.2799999999999994</v>
      </c>
      <c r="F1139" s="317">
        <v>0.87</v>
      </c>
      <c r="G1139" s="317">
        <v>1.9</v>
      </c>
      <c r="H1139" s="319">
        <v>47.28</v>
      </c>
      <c r="I1139" s="320">
        <v>65</v>
      </c>
      <c r="J1139" s="320">
        <v>1.8</v>
      </c>
      <c r="K1139" s="57">
        <f t="shared" si="82"/>
        <v>5.0973999999999998E-2</v>
      </c>
      <c r="L1139" s="310">
        <f t="shared" si="83"/>
        <v>9.5172413793103428E-2</v>
      </c>
      <c r="M1139" s="405">
        <f t="shared" si="84"/>
        <v>241.63443001049146</v>
      </c>
      <c r="N1139" s="63">
        <f t="shared" si="85"/>
        <v>-0.80433252000574929</v>
      </c>
    </row>
    <row r="1140" spans="1:14" ht="18" x14ac:dyDescent="0.25">
      <c r="A1140" s="317" t="s">
        <v>1456</v>
      </c>
      <c r="B1140" s="317" t="s">
        <v>1457</v>
      </c>
      <c r="C1140" s="317">
        <v>1.1499999999999999</v>
      </c>
      <c r="D1140" s="317">
        <v>5.69</v>
      </c>
      <c r="E1140" s="318">
        <v>11.37</v>
      </c>
      <c r="F1140" s="317">
        <v>1.34</v>
      </c>
      <c r="G1140" s="317">
        <v>0.2</v>
      </c>
      <c r="H1140" s="319">
        <v>87.3</v>
      </c>
      <c r="I1140" s="320">
        <v>110</v>
      </c>
      <c r="J1140" s="320">
        <v>1.8</v>
      </c>
      <c r="K1140" s="57">
        <f t="shared" si="82"/>
        <v>9.3945000000000001E-2</v>
      </c>
      <c r="L1140" s="310">
        <f t="shared" si="83"/>
        <v>8.4850746268656713E-2</v>
      </c>
      <c r="M1140" s="405">
        <f t="shared" si="84"/>
        <v>118.41446442482979</v>
      </c>
      <c r="N1140" s="63">
        <f t="shared" si="85"/>
        <v>-0.26275898452069124</v>
      </c>
    </row>
    <row r="1141" spans="1:14" ht="18" x14ac:dyDescent="0.25">
      <c r="A1141" s="317" t="s">
        <v>1458</v>
      </c>
      <c r="B1141" s="317" t="s">
        <v>1459</v>
      </c>
      <c r="C1141" s="317">
        <v>1.1599999999999999</v>
      </c>
      <c r="D1141" s="317">
        <v>0.16</v>
      </c>
      <c r="E1141" s="318">
        <v>11.09</v>
      </c>
      <c r="F1141" s="317">
        <v>0</v>
      </c>
      <c r="G1141" s="317">
        <v>0</v>
      </c>
      <c r="H1141" s="319">
        <v>5.21</v>
      </c>
      <c r="I1141" s="320">
        <v>5.88</v>
      </c>
      <c r="J1141" s="320">
        <v>2</v>
      </c>
      <c r="K1141" s="57">
        <f t="shared" si="82"/>
        <v>9.4388E-2</v>
      </c>
      <c r="L1141" s="310" t="e">
        <f t="shared" si="83"/>
        <v>#DIV/0!</v>
      </c>
      <c r="M1141" s="405" t="e">
        <f t="shared" si="84"/>
        <v>#DIV/0!</v>
      </c>
      <c r="N1141" s="63" t="e">
        <f t="shared" si="85"/>
        <v>#DIV/0!</v>
      </c>
    </row>
    <row r="1142" spans="1:14" ht="18" x14ac:dyDescent="0.25">
      <c r="A1142" s="317" t="s">
        <v>1840</v>
      </c>
      <c r="B1142" s="317" t="s">
        <v>1099</v>
      </c>
      <c r="C1142" s="317">
        <v>1</v>
      </c>
      <c r="D1142" s="317">
        <v>4</v>
      </c>
      <c r="E1142" s="318">
        <v>10.95</v>
      </c>
      <c r="F1142" s="317">
        <v>0.97</v>
      </c>
      <c r="G1142" s="317">
        <v>2</v>
      </c>
      <c r="H1142" s="319">
        <v>50.83</v>
      </c>
      <c r="I1142" s="320">
        <v>62</v>
      </c>
      <c r="J1142" s="320">
        <v>1.9</v>
      </c>
      <c r="K1142" s="57">
        <f t="shared" si="82"/>
        <v>8.7300000000000003E-2</v>
      </c>
      <c r="L1142" s="310">
        <f t="shared" si="83"/>
        <v>0.11288659793814432</v>
      </c>
      <c r="M1142" s="405">
        <f t="shared" si="84"/>
        <v>80.964134968652246</v>
      </c>
      <c r="N1142" s="63">
        <f t="shared" si="85"/>
        <v>-0.37219115575457706</v>
      </c>
    </row>
    <row r="1143" spans="1:14" ht="18" x14ac:dyDescent="0.25">
      <c r="A1143" s="317" t="s">
        <v>4430</v>
      </c>
      <c r="B1143" s="317" t="s">
        <v>4431</v>
      </c>
      <c r="C1143" s="317">
        <v>2.61</v>
      </c>
      <c r="D1143" s="317">
        <v>2.04</v>
      </c>
      <c r="E1143" s="318">
        <v>14.66</v>
      </c>
      <c r="F1143" s="317">
        <v>1.2</v>
      </c>
      <c r="G1143" s="317">
        <v>0</v>
      </c>
      <c r="H1143" s="319">
        <v>6.45</v>
      </c>
      <c r="I1143" s="320">
        <v>7.9</v>
      </c>
      <c r="J1143" s="320">
        <v>2.2000000000000002</v>
      </c>
      <c r="K1143" s="57">
        <f t="shared" si="82"/>
        <v>0.15862300000000001</v>
      </c>
      <c r="L1143" s="310">
        <f t="shared" si="83"/>
        <v>0.12216666666666667</v>
      </c>
      <c r="M1143" s="405">
        <f t="shared" si="84"/>
        <v>23.75662264557953</v>
      </c>
      <c r="N1143" s="63">
        <f t="shared" si="85"/>
        <v>-0.72849676083059844</v>
      </c>
    </row>
    <row r="1144" spans="1:14" ht="18" x14ac:dyDescent="0.25">
      <c r="A1144" s="317" t="s">
        <v>1460</v>
      </c>
      <c r="B1144" s="317" t="s">
        <v>643</v>
      </c>
      <c r="C1144" s="317">
        <v>2.06</v>
      </c>
      <c r="D1144" s="317">
        <v>1.96</v>
      </c>
      <c r="E1144" s="318">
        <v>11.6</v>
      </c>
      <c r="F1144" s="317">
        <v>0.85</v>
      </c>
      <c r="G1144" s="317">
        <v>1.3</v>
      </c>
      <c r="H1144" s="319">
        <v>30.73</v>
      </c>
      <c r="I1144" s="320">
        <v>44</v>
      </c>
      <c r="J1144" s="320">
        <v>1.7</v>
      </c>
      <c r="K1144" s="57">
        <f t="shared" si="82"/>
        <v>0.13425800000000002</v>
      </c>
      <c r="L1144" s="310">
        <f t="shared" si="83"/>
        <v>0.13647058823529412</v>
      </c>
      <c r="M1144" s="405">
        <f t="shared" si="84"/>
        <v>23.870318091385652</v>
      </c>
      <c r="N1144" s="63">
        <f t="shared" si="85"/>
        <v>0.28737287380723586</v>
      </c>
    </row>
    <row r="1145" spans="1:14" ht="18" x14ac:dyDescent="0.25">
      <c r="A1145" s="317" t="s">
        <v>5100</v>
      </c>
      <c r="B1145" s="317"/>
      <c r="C1145" s="317">
        <v>1.58</v>
      </c>
      <c r="D1145" s="317">
        <v>0.45</v>
      </c>
      <c r="E1145" s="318">
        <v>18.899999999999999</v>
      </c>
      <c r="F1145" s="317">
        <v>1.83</v>
      </c>
      <c r="G1145" s="317">
        <v>0</v>
      </c>
      <c r="H1145" s="319">
        <v>19.47</v>
      </c>
      <c r="I1145" s="320">
        <v>21</v>
      </c>
      <c r="J1145" s="320">
        <v>2.2999999999999998</v>
      </c>
      <c r="K1145" s="57">
        <f t="shared" si="82"/>
        <v>0.11299400000000001</v>
      </c>
      <c r="L1145" s="310">
        <f t="shared" si="83"/>
        <v>0.10327868852459016</v>
      </c>
      <c r="M1145" s="405">
        <f t="shared" si="84"/>
        <v>7.804999104436031</v>
      </c>
      <c r="N1145" s="63">
        <f t="shared" si="85"/>
        <v>1.4945550588127645</v>
      </c>
    </row>
    <row r="1146" spans="1:14" ht="18" x14ac:dyDescent="0.25">
      <c r="A1146" s="317" t="s">
        <v>644</v>
      </c>
      <c r="B1146" s="317" t="s">
        <v>5362</v>
      </c>
      <c r="C1146" s="317">
        <v>1.76</v>
      </c>
      <c r="D1146" s="317">
        <v>2.87</v>
      </c>
      <c r="E1146" s="318">
        <v>18.12</v>
      </c>
      <c r="F1146" s="317">
        <v>1.48</v>
      </c>
      <c r="G1146" s="317">
        <v>1.4</v>
      </c>
      <c r="H1146" s="319">
        <v>68.48</v>
      </c>
      <c r="I1146" s="320">
        <v>69.5</v>
      </c>
      <c r="J1146" s="320">
        <v>2.2000000000000002</v>
      </c>
      <c r="K1146" s="57">
        <f t="shared" si="82"/>
        <v>0.12096800000000001</v>
      </c>
      <c r="L1146" s="310">
        <f t="shared" si="83"/>
        <v>0.12243243243243244</v>
      </c>
      <c r="M1146" s="405">
        <f t="shared" si="84"/>
        <v>32.222832981820645</v>
      </c>
      <c r="N1146" s="63">
        <f t="shared" si="85"/>
        <v>1.1252010969561488</v>
      </c>
    </row>
    <row r="1147" spans="1:14" ht="18" x14ac:dyDescent="0.25">
      <c r="A1147" s="317" t="s">
        <v>1785</v>
      </c>
      <c r="B1147" s="317" t="s">
        <v>1786</v>
      </c>
      <c r="C1147" s="317">
        <v>2.76</v>
      </c>
      <c r="D1147" s="317">
        <v>1.52</v>
      </c>
      <c r="E1147" s="318">
        <v>11.06</v>
      </c>
      <c r="F1147" s="317">
        <v>2.74</v>
      </c>
      <c r="G1147" s="317">
        <v>2.2000000000000002</v>
      </c>
      <c r="H1147" s="319">
        <v>22.78</v>
      </c>
      <c r="I1147" s="320">
        <v>27</v>
      </c>
      <c r="J1147" s="320">
        <v>2.4</v>
      </c>
      <c r="K1147" s="57">
        <f t="shared" si="82"/>
        <v>0.165268</v>
      </c>
      <c r="L1147" s="310">
        <f t="shared" si="83"/>
        <v>4.0364963503649633E-2</v>
      </c>
      <c r="M1147" s="405">
        <f t="shared" si="84"/>
        <v>8.5841425689532969</v>
      </c>
      <c r="N1147" s="63">
        <f t="shared" si="85"/>
        <v>1.6537303891467949</v>
      </c>
    </row>
    <row r="1148" spans="1:14" ht="18" x14ac:dyDescent="0.25">
      <c r="A1148" s="317" t="s">
        <v>4457</v>
      </c>
      <c r="B1148" s="317" t="s">
        <v>971</v>
      </c>
      <c r="C1148" s="317">
        <v>0.71</v>
      </c>
      <c r="D1148" s="317">
        <v>3.31</v>
      </c>
      <c r="E1148" s="318">
        <v>12.26</v>
      </c>
      <c r="F1148" s="317">
        <v>1</v>
      </c>
      <c r="G1148" s="317">
        <v>1.4</v>
      </c>
      <c r="H1148" s="319">
        <v>53.09</v>
      </c>
      <c r="I1148" s="320">
        <v>55</v>
      </c>
      <c r="J1148" s="320">
        <v>2.4</v>
      </c>
      <c r="K1148" s="57">
        <f t="shared" si="82"/>
        <v>7.4452999999999991E-2</v>
      </c>
      <c r="L1148" s="310">
        <f t="shared" si="83"/>
        <v>0.1226</v>
      </c>
      <c r="M1148" s="405">
        <f t="shared" si="84"/>
        <v>97.143985439318868</v>
      </c>
      <c r="N1148" s="63">
        <f t="shared" si="85"/>
        <v>-0.45349164171195394</v>
      </c>
    </row>
    <row r="1149" spans="1:14" ht="18" x14ac:dyDescent="0.25">
      <c r="A1149" s="317" t="s">
        <v>5363</v>
      </c>
      <c r="B1149" s="317" t="s">
        <v>5364</v>
      </c>
      <c r="C1149" s="317">
        <v>2.06</v>
      </c>
      <c r="D1149" s="317">
        <v>3.64</v>
      </c>
      <c r="E1149" s="318">
        <v>11.19</v>
      </c>
      <c r="F1149" s="317">
        <v>0.96</v>
      </c>
      <c r="G1149" s="317">
        <v>1.3</v>
      </c>
      <c r="H1149" s="319">
        <v>52.7</v>
      </c>
      <c r="I1149" s="320">
        <v>65</v>
      </c>
      <c r="J1149" s="320">
        <v>2.1</v>
      </c>
      <c r="K1149" s="57">
        <f t="shared" si="82"/>
        <v>0.13425800000000002</v>
      </c>
      <c r="L1149" s="310">
        <f t="shared" si="83"/>
        <v>0.1165625</v>
      </c>
      <c r="M1149" s="405">
        <f t="shared" si="84"/>
        <v>42.119747829839561</v>
      </c>
      <c r="N1149" s="63">
        <f t="shared" si="85"/>
        <v>0.25119457535462514</v>
      </c>
    </row>
    <row r="1150" spans="1:14" ht="18" x14ac:dyDescent="0.25">
      <c r="A1150" s="317" t="s">
        <v>4432</v>
      </c>
      <c r="B1150" s="317" t="s">
        <v>4433</v>
      </c>
      <c r="C1150" s="317">
        <v>0.74</v>
      </c>
      <c r="D1150" s="317">
        <v>0.41</v>
      </c>
      <c r="E1150" s="318">
        <v>157</v>
      </c>
      <c r="F1150" s="317">
        <v>-9.36</v>
      </c>
      <c r="G1150" s="317">
        <v>1.6</v>
      </c>
      <c r="H1150" s="319">
        <v>4.71</v>
      </c>
      <c r="I1150" s="320">
        <v>5.45</v>
      </c>
      <c r="J1150" s="320">
        <v>3.1</v>
      </c>
      <c r="K1150" s="57">
        <f t="shared" si="82"/>
        <v>7.5782000000000002E-2</v>
      </c>
      <c r="L1150" s="310">
        <f t="shared" si="83"/>
        <v>-0.16773504273504275</v>
      </c>
      <c r="M1150" s="405">
        <f t="shared" si="84"/>
        <v>3.3998321430023557</v>
      </c>
      <c r="N1150" s="63">
        <f t="shared" si="85"/>
        <v>0.38536251258588577</v>
      </c>
    </row>
    <row r="1151" spans="1:14" ht="18" x14ac:dyDescent="0.25">
      <c r="A1151" s="317" t="s">
        <v>5365</v>
      </c>
      <c r="B1151" s="317" t="s">
        <v>5366</v>
      </c>
      <c r="C1151" s="317">
        <v>0.75</v>
      </c>
      <c r="D1151" s="317">
        <v>0.16</v>
      </c>
      <c r="E1151" s="318">
        <v>10.32</v>
      </c>
      <c r="F1151" s="317">
        <v>2.0699999999999998</v>
      </c>
      <c r="G1151" s="317">
        <v>0</v>
      </c>
      <c r="H1151" s="319">
        <v>5.16</v>
      </c>
      <c r="I1151" s="320">
        <v>7</v>
      </c>
      <c r="J1151" s="320">
        <v>2.5</v>
      </c>
      <c r="K1151" s="57">
        <f t="shared" si="82"/>
        <v>7.6225000000000001E-2</v>
      </c>
      <c r="L1151" s="310">
        <f t="shared" si="83"/>
        <v>4.9855072463768121E-2</v>
      </c>
      <c r="M1151" s="405">
        <f t="shared" si="84"/>
        <v>4.2753694245714433</v>
      </c>
      <c r="N1151" s="63">
        <f t="shared" si="85"/>
        <v>0.20691324832525576</v>
      </c>
    </row>
    <row r="1152" spans="1:14" ht="18" x14ac:dyDescent="0.25">
      <c r="A1152" s="317" t="s">
        <v>5367</v>
      </c>
      <c r="B1152" s="317" t="s">
        <v>5368</v>
      </c>
      <c r="C1152" s="317">
        <v>1.37</v>
      </c>
      <c r="D1152" s="317">
        <v>0.66</v>
      </c>
      <c r="E1152" s="318">
        <v>17.36</v>
      </c>
      <c r="F1152" s="317">
        <v>3.98</v>
      </c>
      <c r="G1152" s="317">
        <v>1</v>
      </c>
      <c r="H1152" s="319">
        <v>22.05</v>
      </c>
      <c r="I1152" s="320">
        <v>25</v>
      </c>
      <c r="J1152" s="320">
        <v>2</v>
      </c>
      <c r="K1152" s="57">
        <f t="shared" si="82"/>
        <v>0.10369100000000001</v>
      </c>
      <c r="L1152" s="310">
        <f t="shared" si="83"/>
        <v>4.3618090452261303E-2</v>
      </c>
      <c r="M1152" s="405">
        <f t="shared" si="84"/>
        <v>6.8788847955266377</v>
      </c>
      <c r="N1152" s="63">
        <f t="shared" si="85"/>
        <v>2.2054614454859296</v>
      </c>
    </row>
    <row r="1153" spans="1:14" ht="18" x14ac:dyDescent="0.25">
      <c r="A1153" s="317" t="s">
        <v>5101</v>
      </c>
      <c r="B1153" s="317"/>
      <c r="C1153" s="317">
        <v>1.7</v>
      </c>
      <c r="D1153" s="317">
        <v>6.17</v>
      </c>
      <c r="E1153" s="318">
        <v>8.65</v>
      </c>
      <c r="F1153" s="317">
        <v>0.95</v>
      </c>
      <c r="G1153" s="317">
        <v>1</v>
      </c>
      <c r="H1153" s="319">
        <v>65.900000000000006</v>
      </c>
      <c r="I1153" s="320">
        <v>70</v>
      </c>
      <c r="J1153" s="320">
        <v>2.7</v>
      </c>
      <c r="K1153" s="57">
        <f t="shared" si="82"/>
        <v>0.11831</v>
      </c>
      <c r="L1153" s="310">
        <f t="shared" si="83"/>
        <v>9.1052631578947385E-2</v>
      </c>
      <c r="M1153" s="405">
        <f t="shared" si="84"/>
        <v>85.426875139186819</v>
      </c>
      <c r="N1153" s="63">
        <f t="shared" si="85"/>
        <v>-0.22858000023261404</v>
      </c>
    </row>
    <row r="1154" spans="1:14" ht="18" x14ac:dyDescent="0.25">
      <c r="A1154" s="317" t="s">
        <v>4434</v>
      </c>
      <c r="B1154" s="317" t="s">
        <v>1352</v>
      </c>
      <c r="C1154" s="317">
        <v>0.77</v>
      </c>
      <c r="D1154" s="317">
        <v>2.5299999999999998</v>
      </c>
      <c r="E1154" s="318">
        <v>12.9</v>
      </c>
      <c r="F1154" s="317">
        <v>1.1200000000000001</v>
      </c>
      <c r="G1154" s="317">
        <v>0</v>
      </c>
      <c r="H1154" s="319">
        <v>59.99</v>
      </c>
      <c r="I1154" s="320">
        <v>69</v>
      </c>
      <c r="J1154" s="320">
        <v>1.5</v>
      </c>
      <c r="K1154" s="57">
        <f t="shared" si="82"/>
        <v>7.7110999999999999E-2</v>
      </c>
      <c r="L1154" s="310">
        <f t="shared" si="83"/>
        <v>0.11517857142857142</v>
      </c>
      <c r="M1154" s="405">
        <f t="shared" si="84"/>
        <v>86.788321010856009</v>
      </c>
      <c r="N1154" s="63">
        <f t="shared" si="85"/>
        <v>-0.30877796342556174</v>
      </c>
    </row>
    <row r="1155" spans="1:14" ht="18" x14ac:dyDescent="0.25">
      <c r="A1155" s="317" t="s">
        <v>378</v>
      </c>
      <c r="B1155" s="317" t="s">
        <v>379</v>
      </c>
      <c r="C1155" s="317"/>
      <c r="D1155" s="317"/>
      <c r="E1155" s="318"/>
      <c r="F1155" s="317"/>
      <c r="G1155" s="317"/>
      <c r="H1155" s="319"/>
      <c r="I1155" s="320"/>
      <c r="J1155" s="320"/>
      <c r="K1155" s="57">
        <f t="shared" si="82"/>
        <v>4.2999999999999997E-2</v>
      </c>
      <c r="L1155" s="310" t="e">
        <f t="shared" si="83"/>
        <v>#DIV/0!</v>
      </c>
      <c r="M1155" s="405" t="e">
        <f t="shared" si="84"/>
        <v>#DIV/0!</v>
      </c>
      <c r="N1155" s="63" t="e">
        <f t="shared" si="85"/>
        <v>#DIV/0!</v>
      </c>
    </row>
    <row r="1156" spans="1:14" ht="18" x14ac:dyDescent="0.25">
      <c r="A1156" s="317" t="s">
        <v>5369</v>
      </c>
      <c r="B1156" s="317" t="s">
        <v>5370</v>
      </c>
      <c r="C1156" s="317">
        <v>1.4</v>
      </c>
      <c r="D1156" s="317">
        <v>2.9</v>
      </c>
      <c r="E1156" s="318">
        <v>13.72</v>
      </c>
      <c r="F1156" s="317">
        <v>1.1599999999999999</v>
      </c>
      <c r="G1156" s="317">
        <v>0</v>
      </c>
      <c r="H1156" s="319">
        <v>55.97</v>
      </c>
      <c r="I1156" s="320">
        <v>65</v>
      </c>
      <c r="J1156" s="320">
        <v>2.1</v>
      </c>
      <c r="K1156" s="57">
        <f t="shared" si="82"/>
        <v>0.10502</v>
      </c>
      <c r="L1156" s="310">
        <f t="shared" si="83"/>
        <v>0.11827586206896554</v>
      </c>
      <c r="M1156" s="405">
        <f t="shared" si="84"/>
        <v>59.450260192886958</v>
      </c>
      <c r="N1156" s="63">
        <f t="shared" si="85"/>
        <v>-5.854070582021375E-2</v>
      </c>
    </row>
    <row r="1157" spans="1:14" ht="18" x14ac:dyDescent="0.25">
      <c r="A1157" s="317" t="s">
        <v>4325</v>
      </c>
      <c r="B1157" s="317" t="s">
        <v>4326</v>
      </c>
      <c r="C1157" s="317">
        <v>0.47</v>
      </c>
      <c r="D1157" s="317">
        <v>10.79</v>
      </c>
      <c r="E1157" s="318">
        <v>0</v>
      </c>
      <c r="F1157" s="317">
        <v>0</v>
      </c>
      <c r="G1157" s="317">
        <v>4.8</v>
      </c>
      <c r="H1157" s="319">
        <v>108.11</v>
      </c>
      <c r="I1157" s="320">
        <v>0</v>
      </c>
      <c r="J1157" s="320">
        <v>5</v>
      </c>
      <c r="K1157" s="57">
        <f t="shared" ref="K1157:K1220" si="86">$P$14+C1157*($Q$15-$P$14)</f>
        <v>6.3821000000000003E-2</v>
      </c>
      <c r="L1157" s="310" t="e">
        <f t="shared" ref="L1157:L1220" si="87">E1157/F1157/100</f>
        <v>#DIV/0!</v>
      </c>
      <c r="M1157" s="405" t="e">
        <f t="shared" ref="M1157:M1220" si="88">(D1157-G1157*H1157/100)+(D1157-G1157*H1157/100)*(1+L1157)/(1+K1157)+(D1157-G1157*H1157/100)*(1+L1157)^2/(1+K1157)^2+(D1157-G1157*H1157/100)*(1+L1157)^3/(1+K1157)^3+(D1157-G1157*H1157/100)*(1+L1157)^4/(1+K1157)^4+((D1157-G1157*H1157/100)*(1+L1157)^5/(K1157-$T$22-$T$19))/((1+K1157)^5)</f>
        <v>#DIV/0!</v>
      </c>
      <c r="N1157" s="63" t="e">
        <f t="shared" ref="N1157:N1220" si="89">(H1157-M1157)/M1157</f>
        <v>#DIV/0!</v>
      </c>
    </row>
    <row r="1158" spans="1:14" ht="18" x14ac:dyDescent="0.25">
      <c r="A1158" s="317" t="s">
        <v>4371</v>
      </c>
      <c r="B1158" s="317" t="s">
        <v>4372</v>
      </c>
      <c r="C1158" s="317">
        <v>2.4500000000000002</v>
      </c>
      <c r="D1158" s="317">
        <v>0.32</v>
      </c>
      <c r="E1158" s="318">
        <v>7.07</v>
      </c>
      <c r="F1158" s="317">
        <v>0.66</v>
      </c>
      <c r="G1158" s="317">
        <v>0</v>
      </c>
      <c r="H1158" s="319">
        <v>16.61</v>
      </c>
      <c r="I1158" s="320">
        <v>23</v>
      </c>
      <c r="J1158" s="320">
        <v>2.4</v>
      </c>
      <c r="K1158" s="57">
        <f t="shared" si="86"/>
        <v>0.15153500000000003</v>
      </c>
      <c r="L1158" s="310">
        <f t="shared" si="87"/>
        <v>0.10712121212121213</v>
      </c>
      <c r="M1158" s="405">
        <f t="shared" si="88"/>
        <v>3.7564842750232526</v>
      </c>
      <c r="N1158" s="63">
        <f t="shared" si="89"/>
        <v>3.4216876163809267</v>
      </c>
    </row>
    <row r="1159" spans="1:14" ht="18" x14ac:dyDescent="0.25">
      <c r="A1159" s="317" t="s">
        <v>4303</v>
      </c>
      <c r="B1159" s="317" t="s">
        <v>4304</v>
      </c>
      <c r="C1159" s="317">
        <v>1.47</v>
      </c>
      <c r="D1159" s="317">
        <v>2.13</v>
      </c>
      <c r="E1159" s="318">
        <v>9.89</v>
      </c>
      <c r="F1159" s="317">
        <v>0.93</v>
      </c>
      <c r="G1159" s="317">
        <v>0</v>
      </c>
      <c r="H1159" s="319">
        <v>26.5</v>
      </c>
      <c r="I1159" s="320">
        <v>27</v>
      </c>
      <c r="J1159" s="320">
        <v>2</v>
      </c>
      <c r="K1159" s="57">
        <f t="shared" si="86"/>
        <v>0.10812100000000001</v>
      </c>
      <c r="L1159" s="310">
        <f t="shared" si="87"/>
        <v>0.10634408602150539</v>
      </c>
      <c r="M1159" s="405">
        <f t="shared" si="88"/>
        <v>39.913565838315456</v>
      </c>
      <c r="N1159" s="63">
        <f t="shared" si="89"/>
        <v>-0.33606533409347655</v>
      </c>
    </row>
    <row r="1160" spans="1:14" ht="18" x14ac:dyDescent="0.25">
      <c r="A1160" s="317" t="s">
        <v>5371</v>
      </c>
      <c r="B1160" s="317" t="s">
        <v>5372</v>
      </c>
      <c r="C1160" s="317">
        <v>1.88</v>
      </c>
      <c r="D1160" s="317">
        <v>2.4</v>
      </c>
      <c r="E1160" s="318">
        <v>17.829999999999998</v>
      </c>
      <c r="F1160" s="317">
        <v>1.52</v>
      </c>
      <c r="G1160" s="317">
        <v>0</v>
      </c>
      <c r="H1160" s="319">
        <v>60.98</v>
      </c>
      <c r="I1160" s="320">
        <v>66</v>
      </c>
      <c r="J1160" s="320">
        <v>1.8</v>
      </c>
      <c r="K1160" s="57">
        <f t="shared" si="86"/>
        <v>0.12628400000000001</v>
      </c>
      <c r="L1160" s="310">
        <f t="shared" si="87"/>
        <v>0.11730263157894737</v>
      </c>
      <c r="M1160" s="405">
        <f t="shared" si="88"/>
        <v>37.349788566603138</v>
      </c>
      <c r="N1160" s="63">
        <f t="shared" si="89"/>
        <v>0.63267323163714395</v>
      </c>
    </row>
    <row r="1161" spans="1:14" ht="18" x14ac:dyDescent="0.25">
      <c r="A1161" s="317" t="s">
        <v>5373</v>
      </c>
      <c r="B1161" s="317" t="s">
        <v>5374</v>
      </c>
      <c r="C1161" s="317">
        <v>1.92</v>
      </c>
      <c r="D1161" s="317">
        <v>1.1299999999999999</v>
      </c>
      <c r="E1161" s="318">
        <v>12.32</v>
      </c>
      <c r="F1161" s="317">
        <v>0.86</v>
      </c>
      <c r="G1161" s="317">
        <v>0</v>
      </c>
      <c r="H1161" s="319">
        <v>12.94</v>
      </c>
      <c r="I1161" s="320">
        <v>14</v>
      </c>
      <c r="J1161" s="320">
        <v>2.2000000000000002</v>
      </c>
      <c r="K1161" s="57">
        <f t="shared" si="86"/>
        <v>0.128056</v>
      </c>
      <c r="L1161" s="310">
        <f t="shared" si="87"/>
        <v>0.14325581395348838</v>
      </c>
      <c r="M1161" s="405">
        <f t="shared" si="88"/>
        <v>18.929048276188929</v>
      </c>
      <c r="N1161" s="63">
        <f t="shared" si="89"/>
        <v>-0.31639457984385955</v>
      </c>
    </row>
    <row r="1162" spans="1:14" ht="18" x14ac:dyDescent="0.25">
      <c r="A1162" s="317" t="s">
        <v>4751</v>
      </c>
      <c r="B1162" s="317" t="s">
        <v>4752</v>
      </c>
      <c r="C1162" s="317">
        <v>3.44</v>
      </c>
      <c r="D1162" s="317">
        <v>0.36</v>
      </c>
      <c r="E1162" s="318">
        <v>0</v>
      </c>
      <c r="F1162" s="317">
        <v>1.33</v>
      </c>
      <c r="G1162" s="317">
        <v>0</v>
      </c>
      <c r="H1162" s="319">
        <v>24.03</v>
      </c>
      <c r="I1162" s="320">
        <v>32</v>
      </c>
      <c r="J1162" s="320">
        <v>1.4</v>
      </c>
      <c r="K1162" s="57">
        <f t="shared" si="86"/>
        <v>0.19539200000000001</v>
      </c>
      <c r="L1162" s="310">
        <f t="shared" si="87"/>
        <v>0</v>
      </c>
      <c r="M1162" s="405">
        <f t="shared" si="88"/>
        <v>2.2254466242407629</v>
      </c>
      <c r="N1162" s="63">
        <f t="shared" si="89"/>
        <v>9.7978325511168425</v>
      </c>
    </row>
    <row r="1163" spans="1:14" ht="18" x14ac:dyDescent="0.25">
      <c r="A1163" s="317" t="s">
        <v>2311</v>
      </c>
      <c r="B1163" s="317"/>
      <c r="C1163" s="317">
        <v>1.8</v>
      </c>
      <c r="D1163" s="317">
        <v>1.75</v>
      </c>
      <c r="E1163" s="318">
        <v>12.74</v>
      </c>
      <c r="F1163" s="317">
        <v>0.91</v>
      </c>
      <c r="G1163" s="317">
        <v>0</v>
      </c>
      <c r="H1163" s="319">
        <v>28.29</v>
      </c>
      <c r="I1163" s="320">
        <v>33.5</v>
      </c>
      <c r="J1163" s="320">
        <v>2.2999999999999998</v>
      </c>
      <c r="K1163" s="57">
        <f t="shared" si="86"/>
        <v>0.12274000000000002</v>
      </c>
      <c r="L1163" s="310">
        <f t="shared" si="87"/>
        <v>0.14000000000000001</v>
      </c>
      <c r="M1163" s="405">
        <f t="shared" si="88"/>
        <v>30.797632785848414</v>
      </c>
      <c r="N1163" s="63">
        <f t="shared" si="89"/>
        <v>-8.1422906860577876E-2</v>
      </c>
    </row>
    <row r="1164" spans="1:14" ht="18" x14ac:dyDescent="0.25">
      <c r="A1164" s="317" t="s">
        <v>652</v>
      </c>
      <c r="B1164" s="317" t="s">
        <v>653</v>
      </c>
      <c r="C1164" s="317">
        <v>2.63</v>
      </c>
      <c r="D1164" s="317">
        <v>1.1299999999999999</v>
      </c>
      <c r="E1164" s="318">
        <v>14.09</v>
      </c>
      <c r="F1164" s="317">
        <v>2.39</v>
      </c>
      <c r="G1164" s="317">
        <v>0.9</v>
      </c>
      <c r="H1164" s="319">
        <v>33.1</v>
      </c>
      <c r="I1164" s="320">
        <v>42</v>
      </c>
      <c r="J1164" s="320">
        <v>1.6</v>
      </c>
      <c r="K1164" s="57">
        <f t="shared" si="86"/>
        <v>0.15950900000000001</v>
      </c>
      <c r="L1164" s="310">
        <f t="shared" si="87"/>
        <v>5.8953974895397485E-2</v>
      </c>
      <c r="M1164" s="405">
        <f t="shared" si="88"/>
        <v>7.7792716522230085</v>
      </c>
      <c r="N1164" s="63">
        <f t="shared" si="89"/>
        <v>3.2548970494610932</v>
      </c>
    </row>
    <row r="1165" spans="1:14" ht="18" x14ac:dyDescent="0.25">
      <c r="A1165" s="317" t="s">
        <v>1353</v>
      </c>
      <c r="B1165" s="317" t="s">
        <v>1354</v>
      </c>
      <c r="C1165" s="317">
        <v>1.65</v>
      </c>
      <c r="D1165" s="317">
        <v>2.68</v>
      </c>
      <c r="E1165" s="318">
        <v>16.98</v>
      </c>
      <c r="F1165" s="317">
        <v>1.43</v>
      </c>
      <c r="G1165" s="317">
        <v>1.9</v>
      </c>
      <c r="H1165" s="319">
        <v>63.51</v>
      </c>
      <c r="I1165" s="320">
        <v>72</v>
      </c>
      <c r="J1165" s="320">
        <v>2.5</v>
      </c>
      <c r="K1165" s="57">
        <f t="shared" si="86"/>
        <v>0.116095</v>
      </c>
      <c r="L1165" s="310">
        <f t="shared" si="87"/>
        <v>0.11874125874125875</v>
      </c>
      <c r="M1165" s="405">
        <f t="shared" si="88"/>
        <v>26.015200054972944</v>
      </c>
      <c r="N1165" s="63">
        <f t="shared" si="89"/>
        <v>1.4412651013944335</v>
      </c>
    </row>
    <row r="1166" spans="1:14" ht="18" x14ac:dyDescent="0.25">
      <c r="A1166" s="317" t="s">
        <v>3255</v>
      </c>
      <c r="B1166" s="317" t="s">
        <v>3256</v>
      </c>
      <c r="C1166" s="317">
        <v>2.38</v>
      </c>
      <c r="D1166" s="317">
        <v>1.49</v>
      </c>
      <c r="E1166" s="318">
        <v>11.7</v>
      </c>
      <c r="F1166" s="317">
        <v>0.59</v>
      </c>
      <c r="G1166" s="317">
        <v>0</v>
      </c>
      <c r="H1166" s="319">
        <v>22.11</v>
      </c>
      <c r="I1166" s="320">
        <v>25</v>
      </c>
      <c r="J1166" s="320">
        <v>1.8</v>
      </c>
      <c r="K1166" s="57">
        <f t="shared" si="86"/>
        <v>0.14843400000000001</v>
      </c>
      <c r="L1166" s="310">
        <f t="shared" si="87"/>
        <v>0.19830508474576269</v>
      </c>
      <c r="M1166" s="405">
        <f t="shared" si="88"/>
        <v>24.516371096508834</v>
      </c>
      <c r="N1166" s="63">
        <f t="shared" si="89"/>
        <v>-9.8153641378495263E-2</v>
      </c>
    </row>
    <row r="1167" spans="1:14" ht="18" x14ac:dyDescent="0.25">
      <c r="A1167" s="317" t="s">
        <v>2125</v>
      </c>
      <c r="B1167" s="317" t="s">
        <v>2085</v>
      </c>
      <c r="C1167" s="317">
        <v>0.56000000000000005</v>
      </c>
      <c r="D1167" s="317">
        <v>7.32</v>
      </c>
      <c r="E1167" s="318">
        <v>10.19</v>
      </c>
      <c r="F1167" s="317">
        <v>1.18</v>
      </c>
      <c r="G1167" s="317">
        <v>2.6</v>
      </c>
      <c r="H1167" s="319">
        <v>63.5</v>
      </c>
      <c r="I1167" s="320">
        <v>62</v>
      </c>
      <c r="J1167" s="320">
        <v>2.5</v>
      </c>
      <c r="K1167" s="57">
        <f t="shared" si="86"/>
        <v>6.7808000000000007E-2</v>
      </c>
      <c r="L1167" s="310">
        <f t="shared" si="87"/>
        <v>8.6355932203389829E-2</v>
      </c>
      <c r="M1167" s="405">
        <f t="shared" si="88"/>
        <v>223.59871642745446</v>
      </c>
      <c r="N1167" s="63">
        <f t="shared" si="89"/>
        <v>-0.7160091032069843</v>
      </c>
    </row>
    <row r="1168" spans="1:14" ht="18" x14ac:dyDescent="0.25">
      <c r="A1168" s="317" t="s">
        <v>5102</v>
      </c>
      <c r="B1168" s="317"/>
      <c r="C1168" s="317">
        <v>1.63</v>
      </c>
      <c r="D1168" s="317">
        <v>1.91</v>
      </c>
      <c r="E1168" s="318">
        <v>13.98</v>
      </c>
      <c r="F1168" s="317">
        <v>1.07</v>
      </c>
      <c r="G1168" s="317">
        <v>1</v>
      </c>
      <c r="H1168" s="319">
        <v>46.96</v>
      </c>
      <c r="I1168" s="320">
        <v>52</v>
      </c>
      <c r="J1168" s="320">
        <v>2.5</v>
      </c>
      <c r="K1168" s="57">
        <f t="shared" si="86"/>
        <v>0.11520900000000001</v>
      </c>
      <c r="L1168" s="310">
        <f t="shared" si="87"/>
        <v>0.13065420560747662</v>
      </c>
      <c r="M1168" s="405">
        <f t="shared" si="88"/>
        <v>26.883702755619012</v>
      </c>
      <c r="N1168" s="63">
        <f t="shared" si="89"/>
        <v>0.74678318782500319</v>
      </c>
    </row>
    <row r="1169" spans="1:14" ht="18" x14ac:dyDescent="0.25">
      <c r="A1169" s="317" t="s">
        <v>1496</v>
      </c>
      <c r="B1169" s="317" t="s">
        <v>1497</v>
      </c>
      <c r="C1169" s="317">
        <v>3.03</v>
      </c>
      <c r="D1169" s="317">
        <v>4.18</v>
      </c>
      <c r="E1169" s="318">
        <v>6.23</v>
      </c>
      <c r="F1169" s="317">
        <v>0.41</v>
      </c>
      <c r="G1169" s="317">
        <v>0</v>
      </c>
      <c r="H1169" s="319">
        <v>25.8</v>
      </c>
      <c r="I1169" s="320">
        <v>37.5</v>
      </c>
      <c r="J1169" s="320">
        <v>1.9</v>
      </c>
      <c r="K1169" s="57">
        <f t="shared" si="86"/>
        <v>0.17722900000000003</v>
      </c>
      <c r="L1169" s="310">
        <f t="shared" si="87"/>
        <v>0.15195121951219515</v>
      </c>
      <c r="M1169" s="405">
        <f t="shared" si="88"/>
        <v>46.574799587284751</v>
      </c>
      <c r="N1169" s="63">
        <f t="shared" si="89"/>
        <v>-0.44605236676007981</v>
      </c>
    </row>
    <row r="1170" spans="1:14" ht="18" x14ac:dyDescent="0.25">
      <c r="A1170" s="317" t="s">
        <v>1355</v>
      </c>
      <c r="B1170" s="317" t="s">
        <v>1356</v>
      </c>
      <c r="C1170" s="317">
        <v>1.24</v>
      </c>
      <c r="D1170" s="317">
        <v>2.42</v>
      </c>
      <c r="E1170" s="318">
        <v>9.4600000000000009</v>
      </c>
      <c r="F1170" s="317">
        <v>1.3</v>
      </c>
      <c r="G1170" s="317">
        <v>0.8</v>
      </c>
      <c r="H1170" s="319">
        <v>19.399999999999999</v>
      </c>
      <c r="I1170" s="320">
        <v>22</v>
      </c>
      <c r="J1170" s="320">
        <v>2.1</v>
      </c>
      <c r="K1170" s="57">
        <f t="shared" si="86"/>
        <v>9.7932000000000005E-2</v>
      </c>
      <c r="L1170" s="310">
        <f t="shared" si="87"/>
        <v>7.276923076923078E-2</v>
      </c>
      <c r="M1170" s="405">
        <f t="shared" si="88"/>
        <v>43.38305524603485</v>
      </c>
      <c r="N1170" s="63">
        <f t="shared" si="89"/>
        <v>-0.55282079858188105</v>
      </c>
    </row>
    <row r="1171" spans="1:14" ht="18" x14ac:dyDescent="0.25">
      <c r="A1171" s="317" t="s">
        <v>972</v>
      </c>
      <c r="B1171" s="317" t="s">
        <v>973</v>
      </c>
      <c r="C1171" s="317">
        <v>1.28</v>
      </c>
      <c r="D1171" s="317">
        <v>-0.21</v>
      </c>
      <c r="E1171" s="318">
        <v>8.99</v>
      </c>
      <c r="F1171" s="317">
        <v>0.49</v>
      </c>
      <c r="G1171" s="317">
        <v>0</v>
      </c>
      <c r="H1171" s="319">
        <v>24.55</v>
      </c>
      <c r="I1171" s="320">
        <v>27.5</v>
      </c>
      <c r="J1171" s="320">
        <v>2.5</v>
      </c>
      <c r="K1171" s="57">
        <f t="shared" si="86"/>
        <v>9.9704000000000015E-2</v>
      </c>
      <c r="L1171" s="310">
        <f t="shared" si="87"/>
        <v>0.18346938775510202</v>
      </c>
      <c r="M1171" s="405">
        <f t="shared" si="88"/>
        <v>-5.9809896027916096</v>
      </c>
      <c r="N1171" s="63">
        <f t="shared" si="89"/>
        <v>-5.104671907227754</v>
      </c>
    </row>
    <row r="1172" spans="1:14" ht="18" x14ac:dyDescent="0.25">
      <c r="A1172" s="317" t="s">
        <v>2972</v>
      </c>
      <c r="B1172" s="317"/>
      <c r="C1172" s="317">
        <v>0.62</v>
      </c>
      <c r="D1172" s="317">
        <v>-0.94</v>
      </c>
      <c r="E1172" s="318">
        <v>0</v>
      </c>
      <c r="F1172" s="317">
        <v>-0.36</v>
      </c>
      <c r="G1172" s="317">
        <v>0</v>
      </c>
      <c r="H1172" s="319">
        <v>4.6500000000000004</v>
      </c>
      <c r="I1172" s="320">
        <v>5</v>
      </c>
      <c r="J1172" s="320">
        <v>1.5</v>
      </c>
      <c r="K1172" s="57">
        <f t="shared" si="86"/>
        <v>7.0466000000000001E-2</v>
      </c>
      <c r="L1172" s="310">
        <f t="shared" si="87"/>
        <v>0</v>
      </c>
      <c r="M1172" s="405">
        <f t="shared" si="88"/>
        <v>-23.523797073632572</v>
      </c>
      <c r="N1172" s="63">
        <f t="shared" si="89"/>
        <v>-1.1976721693970105</v>
      </c>
    </row>
    <row r="1173" spans="1:14" ht="18" x14ac:dyDescent="0.25">
      <c r="A1173" s="317" t="s">
        <v>1357</v>
      </c>
      <c r="B1173" s="317" t="s">
        <v>1358</v>
      </c>
      <c r="C1173" s="317">
        <v>0.9</v>
      </c>
      <c r="D1173" s="317">
        <v>0.98</v>
      </c>
      <c r="E1173" s="318">
        <v>15.49</v>
      </c>
      <c r="F1173" s="317">
        <v>1.99</v>
      </c>
      <c r="G1173" s="317">
        <v>1.5</v>
      </c>
      <c r="H1173" s="319">
        <v>18.739999999999998</v>
      </c>
      <c r="I1173" s="320">
        <v>17.75</v>
      </c>
      <c r="J1173" s="320">
        <v>3</v>
      </c>
      <c r="K1173" s="57">
        <f t="shared" si="86"/>
        <v>8.2869999999999999E-2</v>
      </c>
      <c r="L1173" s="310">
        <f t="shared" si="87"/>
        <v>7.7839195979899495E-2</v>
      </c>
      <c r="M1173" s="405">
        <f t="shared" si="88"/>
        <v>18.030462987151921</v>
      </c>
      <c r="N1173" s="63">
        <f t="shared" si="89"/>
        <v>3.9352123866906612E-2</v>
      </c>
    </row>
    <row r="1174" spans="1:14" ht="18" x14ac:dyDescent="0.25">
      <c r="A1174" s="317" t="s">
        <v>4305</v>
      </c>
      <c r="B1174" s="317" t="s">
        <v>4306</v>
      </c>
      <c r="C1174" s="317">
        <v>3.07</v>
      </c>
      <c r="D1174" s="317">
        <v>2.33</v>
      </c>
      <c r="E1174" s="318">
        <v>2.33</v>
      </c>
      <c r="F1174" s="317">
        <v>0.08</v>
      </c>
      <c r="G1174" s="317">
        <v>0</v>
      </c>
      <c r="H1174" s="319">
        <v>6.48</v>
      </c>
      <c r="I1174" s="320">
        <v>12</v>
      </c>
      <c r="J1174" s="320">
        <v>2</v>
      </c>
      <c r="K1174" s="57">
        <f t="shared" si="86"/>
        <v>0.17900100000000002</v>
      </c>
      <c r="L1174" s="310">
        <f t="shared" si="87"/>
        <v>0.29125000000000001</v>
      </c>
      <c r="M1174" s="405">
        <f t="shared" si="88"/>
        <v>39.764008022079523</v>
      </c>
      <c r="N1174" s="63">
        <f t="shared" si="89"/>
        <v>-0.83703856018734601</v>
      </c>
    </row>
    <row r="1175" spans="1:14" ht="18" x14ac:dyDescent="0.25">
      <c r="A1175" s="317" t="s">
        <v>467</v>
      </c>
      <c r="B1175" s="317" t="s">
        <v>468</v>
      </c>
      <c r="C1175" s="317">
        <v>2.23</v>
      </c>
      <c r="D1175" s="317">
        <v>1.01</v>
      </c>
      <c r="E1175" s="318">
        <v>7.43</v>
      </c>
      <c r="F1175" s="317">
        <v>0.27</v>
      </c>
      <c r="G1175" s="317">
        <v>1.1000000000000001</v>
      </c>
      <c r="H1175" s="319">
        <v>25.41</v>
      </c>
      <c r="I1175" s="320">
        <v>32</v>
      </c>
      <c r="J1175" s="320">
        <v>1</v>
      </c>
      <c r="K1175" s="57">
        <f t="shared" si="86"/>
        <v>0.141789</v>
      </c>
      <c r="L1175" s="310">
        <f t="shared" si="87"/>
        <v>0.27518518518518514</v>
      </c>
      <c r="M1175" s="405">
        <f t="shared" si="88"/>
        <v>16.609609320673428</v>
      </c>
      <c r="N1175" s="63">
        <f t="shared" si="89"/>
        <v>0.52983730739367951</v>
      </c>
    </row>
    <row r="1176" spans="1:14" ht="18" x14ac:dyDescent="0.25">
      <c r="A1176" s="317" t="s">
        <v>5375</v>
      </c>
      <c r="B1176" s="317" t="s">
        <v>5376</v>
      </c>
      <c r="C1176" s="317">
        <v>1.81</v>
      </c>
      <c r="D1176" s="317">
        <v>1.01</v>
      </c>
      <c r="E1176" s="318">
        <v>9.11</v>
      </c>
      <c r="F1176" s="317">
        <v>0.51</v>
      </c>
      <c r="G1176" s="317">
        <v>0</v>
      </c>
      <c r="H1176" s="319">
        <v>17.850000000000001</v>
      </c>
      <c r="I1176" s="320">
        <v>23</v>
      </c>
      <c r="J1176" s="320">
        <v>1.6</v>
      </c>
      <c r="K1176" s="57">
        <f t="shared" si="86"/>
        <v>0.12318300000000001</v>
      </c>
      <c r="L1176" s="310">
        <f t="shared" si="87"/>
        <v>0.17862745098039212</v>
      </c>
      <c r="M1176" s="405">
        <f t="shared" si="88"/>
        <v>20.314552673393607</v>
      </c>
      <c r="N1176" s="63">
        <f t="shared" si="89"/>
        <v>-0.12131956400996617</v>
      </c>
    </row>
    <row r="1177" spans="1:14" ht="18" x14ac:dyDescent="0.25">
      <c r="A1177" s="317" t="s">
        <v>5377</v>
      </c>
      <c r="B1177" s="317" t="s">
        <v>5378</v>
      </c>
      <c r="C1177" s="317">
        <v>1.7</v>
      </c>
      <c r="D1177" s="317">
        <v>3.68</v>
      </c>
      <c r="E1177" s="318">
        <v>12.29</v>
      </c>
      <c r="F1177" s="317">
        <v>0.96</v>
      </c>
      <c r="G1177" s="317">
        <v>1.9</v>
      </c>
      <c r="H1177" s="319">
        <v>62.43</v>
      </c>
      <c r="I1177" s="320">
        <v>72</v>
      </c>
      <c r="J1177" s="320">
        <v>1.7</v>
      </c>
      <c r="K1177" s="57">
        <f t="shared" si="86"/>
        <v>0.11831</v>
      </c>
      <c r="L1177" s="310">
        <f t="shared" si="87"/>
        <v>0.12802083333333333</v>
      </c>
      <c r="M1177" s="405">
        <f t="shared" si="88"/>
        <v>44.324117313866594</v>
      </c>
      <c r="N1177" s="63">
        <f t="shared" si="89"/>
        <v>0.40848828546144705</v>
      </c>
    </row>
    <row r="1178" spans="1:14" ht="18" x14ac:dyDescent="0.25">
      <c r="A1178" s="317" t="s">
        <v>1359</v>
      </c>
      <c r="B1178" s="317" t="s">
        <v>1360</v>
      </c>
      <c r="C1178" s="317">
        <v>0.72</v>
      </c>
      <c r="D1178" s="317">
        <v>3.97</v>
      </c>
      <c r="E1178" s="318">
        <v>13.56</v>
      </c>
      <c r="F1178" s="317">
        <v>1.05</v>
      </c>
      <c r="G1178" s="317">
        <v>2.5</v>
      </c>
      <c r="H1178" s="319">
        <v>76.75</v>
      </c>
      <c r="I1178" s="320">
        <v>84</v>
      </c>
      <c r="J1178" s="320">
        <v>2</v>
      </c>
      <c r="K1178" s="57">
        <f t="shared" si="86"/>
        <v>7.489599999999999E-2</v>
      </c>
      <c r="L1178" s="310">
        <f t="shared" si="87"/>
        <v>0.12914285714285714</v>
      </c>
      <c r="M1178" s="405">
        <f t="shared" si="88"/>
        <v>78.801853231310773</v>
      </c>
      <c r="N1178" s="63">
        <f t="shared" si="89"/>
        <v>-2.6038134221131472E-2</v>
      </c>
    </row>
    <row r="1179" spans="1:14" ht="18" x14ac:dyDescent="0.25">
      <c r="A1179" s="317" t="s">
        <v>783</v>
      </c>
      <c r="B1179" s="317" t="s">
        <v>784</v>
      </c>
      <c r="C1179" s="317">
        <v>2.2000000000000002</v>
      </c>
      <c r="D1179" s="317">
        <v>0.9</v>
      </c>
      <c r="E1179" s="318">
        <v>14.17</v>
      </c>
      <c r="F1179" s="317">
        <v>1.67</v>
      </c>
      <c r="G1179" s="317">
        <v>0.9</v>
      </c>
      <c r="H1179" s="319">
        <v>31.6</v>
      </c>
      <c r="I1179" s="320">
        <v>41</v>
      </c>
      <c r="J1179" s="320">
        <v>1</v>
      </c>
      <c r="K1179" s="57">
        <f t="shared" si="86"/>
        <v>0.14046000000000003</v>
      </c>
      <c r="L1179" s="310">
        <f t="shared" si="87"/>
        <v>8.4850299401197607E-2</v>
      </c>
      <c r="M1179" s="405">
        <f t="shared" si="88"/>
        <v>7.3819500610530415</v>
      </c>
      <c r="N1179" s="63">
        <f t="shared" si="89"/>
        <v>3.2807117006549129</v>
      </c>
    </row>
    <row r="1180" spans="1:14" ht="18" x14ac:dyDescent="0.25">
      <c r="A1180" s="317" t="s">
        <v>1361</v>
      </c>
      <c r="B1180" s="317" t="s">
        <v>1362</v>
      </c>
      <c r="C1180" s="317">
        <v>1.3</v>
      </c>
      <c r="D1180" s="317">
        <v>2.25</v>
      </c>
      <c r="E1180" s="318">
        <v>11.56</v>
      </c>
      <c r="F1180" s="317">
        <v>0.94</v>
      </c>
      <c r="G1180" s="317">
        <v>2.5</v>
      </c>
      <c r="H1180" s="319">
        <v>36.200000000000003</v>
      </c>
      <c r="I1180" s="320">
        <v>41</v>
      </c>
      <c r="J1180" s="320">
        <v>2.1</v>
      </c>
      <c r="K1180" s="57">
        <f t="shared" si="86"/>
        <v>0.10059000000000001</v>
      </c>
      <c r="L1180" s="310">
        <f t="shared" si="87"/>
        <v>0.12297872340425534</v>
      </c>
      <c r="M1180" s="405">
        <f t="shared" si="88"/>
        <v>30.033851871705117</v>
      </c>
      <c r="N1180" s="63">
        <f t="shared" si="89"/>
        <v>0.2053066038493721</v>
      </c>
    </row>
    <row r="1181" spans="1:14" ht="18" x14ac:dyDescent="0.25">
      <c r="A1181" s="317" t="s">
        <v>1787</v>
      </c>
      <c r="B1181" s="317" t="s">
        <v>5217</v>
      </c>
      <c r="C1181" s="317">
        <v>2.5</v>
      </c>
      <c r="D1181" s="317">
        <v>3.1</v>
      </c>
      <c r="E1181" s="318">
        <v>8.49</v>
      </c>
      <c r="F1181" s="317">
        <v>1.1599999999999999</v>
      </c>
      <c r="G1181" s="317">
        <v>1.5</v>
      </c>
      <c r="H1181" s="319">
        <v>33.020000000000003</v>
      </c>
      <c r="I1181" s="320">
        <v>47</v>
      </c>
      <c r="J1181" s="320">
        <v>1.9</v>
      </c>
      <c r="K1181" s="57">
        <f t="shared" si="86"/>
        <v>0.15375</v>
      </c>
      <c r="L1181" s="310">
        <f t="shared" si="87"/>
        <v>7.3189655172413798E-2</v>
      </c>
      <c r="M1181" s="405">
        <f t="shared" si="88"/>
        <v>26.730936872406424</v>
      </c>
      <c r="N1181" s="63">
        <f t="shared" si="89"/>
        <v>0.23527282854367881</v>
      </c>
    </row>
    <row r="1182" spans="1:14" ht="18" x14ac:dyDescent="0.25">
      <c r="A1182" s="317" t="s">
        <v>974</v>
      </c>
      <c r="B1182" s="317" t="s">
        <v>975</v>
      </c>
      <c r="C1182" s="317">
        <v>2.1800000000000002</v>
      </c>
      <c r="D1182" s="317">
        <v>-2.36</v>
      </c>
      <c r="E1182" s="318">
        <v>0</v>
      </c>
      <c r="F1182" s="317">
        <v>-6.47</v>
      </c>
      <c r="G1182" s="317">
        <v>0.7</v>
      </c>
      <c r="H1182" s="319">
        <v>40.409999999999997</v>
      </c>
      <c r="I1182" s="320">
        <v>42.5</v>
      </c>
      <c r="J1182" s="320">
        <v>3.1</v>
      </c>
      <c r="K1182" s="57">
        <f t="shared" si="86"/>
        <v>0.13957400000000003</v>
      </c>
      <c r="L1182" s="310">
        <f t="shared" si="87"/>
        <v>0</v>
      </c>
      <c r="M1182" s="405">
        <f t="shared" si="88"/>
        <v>-23.627542835912596</v>
      </c>
      <c r="N1182" s="63">
        <f t="shared" si="89"/>
        <v>-2.710292106150749</v>
      </c>
    </row>
    <row r="1183" spans="1:14" ht="18" x14ac:dyDescent="0.25">
      <c r="A1183" s="317" t="s">
        <v>1363</v>
      </c>
      <c r="B1183" s="317" t="s">
        <v>1364</v>
      </c>
      <c r="C1183" s="317">
        <v>1.08</v>
      </c>
      <c r="D1183" s="317">
        <v>2.62</v>
      </c>
      <c r="E1183" s="318">
        <v>12.58</v>
      </c>
      <c r="F1183" s="317">
        <v>1.41</v>
      </c>
      <c r="G1183" s="317">
        <v>1.5</v>
      </c>
      <c r="H1183" s="319">
        <v>35.479999999999997</v>
      </c>
      <c r="I1183" s="320">
        <v>38</v>
      </c>
      <c r="J1183" s="320">
        <v>2.4</v>
      </c>
      <c r="K1183" s="57">
        <f t="shared" si="86"/>
        <v>9.0844000000000008E-2</v>
      </c>
      <c r="L1183" s="310">
        <f t="shared" si="87"/>
        <v>8.9219858156028384E-2</v>
      </c>
      <c r="M1183" s="405">
        <f t="shared" si="88"/>
        <v>48.193384259865915</v>
      </c>
      <c r="N1183" s="63">
        <f t="shared" si="89"/>
        <v>-0.26379936696940509</v>
      </c>
    </row>
    <row r="1184" spans="1:14" ht="18" x14ac:dyDescent="0.25">
      <c r="A1184" s="317" t="s">
        <v>1365</v>
      </c>
      <c r="B1184" s="317" t="s">
        <v>1366</v>
      </c>
      <c r="C1184" s="317">
        <v>2.89</v>
      </c>
      <c r="D1184" s="317">
        <v>0.39</v>
      </c>
      <c r="E1184" s="318">
        <v>13.79</v>
      </c>
      <c r="F1184" s="317">
        <v>0.98</v>
      </c>
      <c r="G1184" s="317">
        <v>0.3</v>
      </c>
      <c r="H1184" s="319">
        <v>25.22</v>
      </c>
      <c r="I1184" s="320">
        <v>30</v>
      </c>
      <c r="J1184" s="320">
        <v>2.1</v>
      </c>
      <c r="K1184" s="57">
        <f t="shared" si="86"/>
        <v>0.17102700000000004</v>
      </c>
      <c r="L1184" s="310">
        <f t="shared" si="87"/>
        <v>0.14071428571428571</v>
      </c>
      <c r="M1184" s="405">
        <f t="shared" si="88"/>
        <v>3.5342841884810472</v>
      </c>
      <c r="N1184" s="63">
        <f t="shared" si="89"/>
        <v>6.1358155301141668</v>
      </c>
    </row>
    <row r="1185" spans="1:14" ht="18" x14ac:dyDescent="0.25">
      <c r="A1185" s="317" t="s">
        <v>976</v>
      </c>
      <c r="B1185" s="317" t="s">
        <v>977</v>
      </c>
      <c r="C1185" s="317">
        <v>1.22</v>
      </c>
      <c r="D1185" s="317">
        <v>3.05</v>
      </c>
      <c r="E1185" s="318">
        <v>13.52</v>
      </c>
      <c r="F1185" s="317">
        <v>1.22</v>
      </c>
      <c r="G1185" s="317">
        <v>2.2999999999999998</v>
      </c>
      <c r="H1185" s="319">
        <v>49.33</v>
      </c>
      <c r="I1185" s="320">
        <v>53</v>
      </c>
      <c r="J1185" s="320">
        <v>2.5</v>
      </c>
      <c r="K1185" s="57">
        <f t="shared" si="86"/>
        <v>9.7045999999999993E-2</v>
      </c>
      <c r="L1185" s="310">
        <f t="shared" si="87"/>
        <v>0.11081967213114755</v>
      </c>
      <c r="M1185" s="405">
        <f t="shared" si="88"/>
        <v>43.216857576144427</v>
      </c>
      <c r="N1185" s="63">
        <f t="shared" si="89"/>
        <v>0.14145272855817279</v>
      </c>
    </row>
    <row r="1186" spans="1:14" ht="18" x14ac:dyDescent="0.25">
      <c r="A1186" s="317" t="s">
        <v>2312</v>
      </c>
      <c r="B1186" s="317"/>
      <c r="C1186" s="317">
        <v>2.08</v>
      </c>
      <c r="D1186" s="317">
        <v>0.51</v>
      </c>
      <c r="E1186" s="318">
        <v>14.84</v>
      </c>
      <c r="F1186" s="317">
        <v>1.38</v>
      </c>
      <c r="G1186" s="317">
        <v>0</v>
      </c>
      <c r="H1186" s="319">
        <v>13.8</v>
      </c>
      <c r="I1186" s="320">
        <v>16.5</v>
      </c>
      <c r="J1186" s="320">
        <v>1.5</v>
      </c>
      <c r="K1186" s="57">
        <f t="shared" si="86"/>
        <v>0.13514400000000001</v>
      </c>
      <c r="L1186" s="310">
        <f t="shared" si="87"/>
        <v>0.10753623188405799</v>
      </c>
      <c r="M1186" s="405">
        <f t="shared" si="88"/>
        <v>6.977134063338899</v>
      </c>
      <c r="N1186" s="63">
        <f t="shared" si="89"/>
        <v>0.97788947076588462</v>
      </c>
    </row>
    <row r="1187" spans="1:14" ht="18" x14ac:dyDescent="0.25">
      <c r="A1187" s="317" t="s">
        <v>5379</v>
      </c>
      <c r="B1187" s="317" t="s">
        <v>5380</v>
      </c>
      <c r="C1187" s="317">
        <v>1.0900000000000001</v>
      </c>
      <c r="D1187" s="317">
        <v>0.48</v>
      </c>
      <c r="E1187" s="318">
        <v>5.26</v>
      </c>
      <c r="F1187" s="317">
        <v>2.17</v>
      </c>
      <c r="G1187" s="317">
        <v>0</v>
      </c>
      <c r="H1187" s="319">
        <v>25.58</v>
      </c>
      <c r="I1187" s="320">
        <v>32</v>
      </c>
      <c r="J1187" s="320">
        <v>1.9</v>
      </c>
      <c r="K1187" s="57">
        <f t="shared" si="86"/>
        <v>9.1287000000000007E-2</v>
      </c>
      <c r="L1187" s="310">
        <f t="shared" si="87"/>
        <v>2.4239631336405529E-2</v>
      </c>
      <c r="M1187" s="405">
        <f t="shared" si="88"/>
        <v>8.4457791921793159</v>
      </c>
      <c r="N1187" s="63">
        <f t="shared" si="89"/>
        <v>2.0287317982083586</v>
      </c>
    </row>
    <row r="1188" spans="1:14" ht="18" x14ac:dyDescent="0.25">
      <c r="A1188" s="317" t="s">
        <v>3673</v>
      </c>
      <c r="B1188" s="317" t="s">
        <v>3674</v>
      </c>
      <c r="C1188" s="317">
        <v>2.88</v>
      </c>
      <c r="D1188" s="317">
        <v>0.95</v>
      </c>
      <c r="E1188" s="318">
        <v>7.67</v>
      </c>
      <c r="F1188" s="317">
        <v>0.56000000000000005</v>
      </c>
      <c r="G1188" s="317">
        <v>0</v>
      </c>
      <c r="H1188" s="319">
        <v>10.82</v>
      </c>
      <c r="I1188" s="320">
        <v>14.75</v>
      </c>
      <c r="J1188" s="320">
        <v>2.2999999999999998</v>
      </c>
      <c r="K1188" s="57">
        <f t="shared" si="86"/>
        <v>0.17058400000000001</v>
      </c>
      <c r="L1188" s="310">
        <f t="shared" si="87"/>
        <v>0.13696428571428571</v>
      </c>
      <c r="M1188" s="405">
        <f t="shared" si="88"/>
        <v>10.586587215394175</v>
      </c>
      <c r="N1188" s="63">
        <f t="shared" si="89"/>
        <v>2.2047972576697314E-2</v>
      </c>
    </row>
    <row r="1189" spans="1:14" ht="18" x14ac:dyDescent="0.25">
      <c r="A1189" s="317" t="s">
        <v>5381</v>
      </c>
      <c r="B1189" s="317" t="s">
        <v>431</v>
      </c>
      <c r="C1189" s="317">
        <v>1.26</v>
      </c>
      <c r="D1189" s="317">
        <v>0.42</v>
      </c>
      <c r="E1189" s="318">
        <v>4.8</v>
      </c>
      <c r="F1189" s="317">
        <v>0.54</v>
      </c>
      <c r="G1189" s="317">
        <v>0</v>
      </c>
      <c r="H1189" s="319">
        <v>8.01</v>
      </c>
      <c r="I1189" s="320">
        <v>19</v>
      </c>
      <c r="J1189" s="320">
        <v>1</v>
      </c>
      <c r="K1189" s="57">
        <f t="shared" si="86"/>
        <v>9.8818000000000003E-2</v>
      </c>
      <c r="L1189" s="310">
        <f t="shared" si="87"/>
        <v>8.8888888888888878E-2</v>
      </c>
      <c r="M1189" s="405">
        <f t="shared" si="88"/>
        <v>8.4517028599914354</v>
      </c>
      <c r="N1189" s="63">
        <f t="shared" si="89"/>
        <v>-5.2261995873324307E-2</v>
      </c>
    </row>
    <row r="1190" spans="1:14" ht="18" x14ac:dyDescent="0.25">
      <c r="A1190" s="317" t="s">
        <v>344</v>
      </c>
      <c r="B1190" s="317" t="s">
        <v>345</v>
      </c>
      <c r="C1190" s="317">
        <v>2.06</v>
      </c>
      <c r="D1190" s="317">
        <v>1.05</v>
      </c>
      <c r="E1190" s="318">
        <v>0</v>
      </c>
      <c r="F1190" s="317">
        <v>0</v>
      </c>
      <c r="G1190" s="317">
        <v>0</v>
      </c>
      <c r="H1190" s="319">
        <v>15.17</v>
      </c>
      <c r="I1190" s="320">
        <v>1.5</v>
      </c>
      <c r="J1190" s="320">
        <v>0</v>
      </c>
      <c r="K1190" s="57">
        <f t="shared" si="86"/>
        <v>0.13425800000000002</v>
      </c>
      <c r="L1190" s="310" t="e">
        <f t="shared" si="87"/>
        <v>#DIV/0!</v>
      </c>
      <c r="M1190" s="405" t="e">
        <f t="shared" si="88"/>
        <v>#DIV/0!</v>
      </c>
      <c r="N1190" s="63" t="e">
        <f t="shared" si="89"/>
        <v>#DIV/0!</v>
      </c>
    </row>
    <row r="1191" spans="1:14" ht="18" x14ac:dyDescent="0.25">
      <c r="A1191" s="317" t="s">
        <v>432</v>
      </c>
      <c r="B1191" s="317" t="s">
        <v>433</v>
      </c>
      <c r="C1191" s="317">
        <v>1.49</v>
      </c>
      <c r="D1191" s="317">
        <v>0.65</v>
      </c>
      <c r="E1191" s="318">
        <v>19.04</v>
      </c>
      <c r="F1191" s="317">
        <v>3.13</v>
      </c>
      <c r="G1191" s="317">
        <v>1.2</v>
      </c>
      <c r="H1191" s="319">
        <v>31.99</v>
      </c>
      <c r="I1191" s="320">
        <v>35.5</v>
      </c>
      <c r="J1191" s="320">
        <v>3</v>
      </c>
      <c r="K1191" s="57">
        <f t="shared" si="86"/>
        <v>0.10900700000000001</v>
      </c>
      <c r="L1191" s="310">
        <f t="shared" si="87"/>
        <v>6.0830670926517574E-2</v>
      </c>
      <c r="M1191" s="405">
        <f t="shared" si="88"/>
        <v>4.1391629761370172</v>
      </c>
      <c r="N1191" s="63">
        <f t="shared" si="89"/>
        <v>6.7286157091247238</v>
      </c>
    </row>
    <row r="1192" spans="1:14" ht="18" x14ac:dyDescent="0.25">
      <c r="A1192" s="317" t="s">
        <v>4307</v>
      </c>
      <c r="B1192" s="317" t="s">
        <v>4308</v>
      </c>
      <c r="C1192" s="317">
        <v>1.81</v>
      </c>
      <c r="D1192" s="317">
        <v>1.37</v>
      </c>
      <c r="E1192" s="318">
        <v>10.039999999999999</v>
      </c>
      <c r="F1192" s="317">
        <v>0</v>
      </c>
      <c r="G1192" s="317">
        <v>0</v>
      </c>
      <c r="H1192" s="319">
        <v>16.96</v>
      </c>
      <c r="I1192" s="320">
        <v>20</v>
      </c>
      <c r="J1192" s="320">
        <v>1.7</v>
      </c>
      <c r="K1192" s="57">
        <f t="shared" si="86"/>
        <v>0.12318300000000001</v>
      </c>
      <c r="L1192" s="310" t="e">
        <f t="shared" si="87"/>
        <v>#DIV/0!</v>
      </c>
      <c r="M1192" s="405" t="e">
        <f t="shared" si="88"/>
        <v>#DIV/0!</v>
      </c>
      <c r="N1192" s="63" t="e">
        <f t="shared" si="89"/>
        <v>#DIV/0!</v>
      </c>
    </row>
    <row r="1193" spans="1:14" ht="18" x14ac:dyDescent="0.25">
      <c r="A1193" s="317" t="s">
        <v>654</v>
      </c>
      <c r="B1193" s="317" t="s">
        <v>655</v>
      </c>
      <c r="C1193" s="317">
        <v>3.03</v>
      </c>
      <c r="D1193" s="317">
        <v>14</v>
      </c>
      <c r="E1193" s="318">
        <v>11.28</v>
      </c>
      <c r="F1193" s="317">
        <v>6.48</v>
      </c>
      <c r="G1193" s="317">
        <v>1</v>
      </c>
      <c r="H1193" s="319">
        <v>95.91</v>
      </c>
      <c r="I1193" s="320">
        <v>105</v>
      </c>
      <c r="J1193" s="320">
        <v>2.4</v>
      </c>
      <c r="K1193" s="57">
        <f t="shared" si="86"/>
        <v>0.17722900000000003</v>
      </c>
      <c r="L1193" s="310">
        <f t="shared" si="87"/>
        <v>1.7407407407407406E-2</v>
      </c>
      <c r="M1193" s="405">
        <f t="shared" si="88"/>
        <v>94.2647285290995</v>
      </c>
      <c r="N1193" s="63">
        <f t="shared" si="89"/>
        <v>1.7453733719634081E-2</v>
      </c>
    </row>
    <row r="1194" spans="1:14" ht="18" x14ac:dyDescent="0.25">
      <c r="A1194" s="317" t="s">
        <v>434</v>
      </c>
      <c r="B1194" s="317" t="s">
        <v>435</v>
      </c>
      <c r="C1194" s="317">
        <v>1.1499999999999999</v>
      </c>
      <c r="D1194" s="317">
        <v>2.34</v>
      </c>
      <c r="E1194" s="318">
        <v>12.68</v>
      </c>
      <c r="F1194" s="317">
        <v>1.1499999999999999</v>
      </c>
      <c r="G1194" s="317">
        <v>0.4</v>
      </c>
      <c r="H1194" s="319">
        <v>54.67</v>
      </c>
      <c r="I1194" s="320">
        <v>62</v>
      </c>
      <c r="J1194" s="320">
        <v>1.9</v>
      </c>
      <c r="K1194" s="57">
        <f t="shared" si="86"/>
        <v>9.3945000000000001E-2</v>
      </c>
      <c r="L1194" s="310">
        <f t="shared" si="87"/>
        <v>0.1102608695652174</v>
      </c>
      <c r="M1194" s="405">
        <f t="shared" si="88"/>
        <v>50.349678893296812</v>
      </c>
      <c r="N1194" s="63">
        <f t="shared" si="89"/>
        <v>8.5806328891570471E-2</v>
      </c>
    </row>
    <row r="1195" spans="1:14" ht="18" x14ac:dyDescent="0.25">
      <c r="A1195" s="317" t="s">
        <v>436</v>
      </c>
      <c r="B1195" s="317" t="s">
        <v>437</v>
      </c>
      <c r="C1195" s="317">
        <v>1.58</v>
      </c>
      <c r="D1195" s="317">
        <v>1.1599999999999999</v>
      </c>
      <c r="E1195" s="318">
        <v>28.48</v>
      </c>
      <c r="F1195" s="317">
        <v>1.54</v>
      </c>
      <c r="G1195" s="317">
        <v>0</v>
      </c>
      <c r="H1195" s="319">
        <v>53.55</v>
      </c>
      <c r="I1195" s="320">
        <v>48</v>
      </c>
      <c r="J1195" s="320">
        <v>2.1</v>
      </c>
      <c r="K1195" s="57">
        <f t="shared" si="86"/>
        <v>0.11299400000000001</v>
      </c>
      <c r="L1195" s="310">
        <f t="shared" si="87"/>
        <v>0.18493506493506495</v>
      </c>
      <c r="M1195" s="405">
        <f t="shared" si="88"/>
        <v>27.20660710612097</v>
      </c>
      <c r="N1195" s="63">
        <f t="shared" si="89"/>
        <v>0.96827189039504546</v>
      </c>
    </row>
    <row r="1196" spans="1:14" ht="18" x14ac:dyDescent="0.25">
      <c r="A1196" s="317" t="s">
        <v>2986</v>
      </c>
      <c r="B1196" s="317" t="s">
        <v>2987</v>
      </c>
      <c r="C1196" s="317">
        <v>2.14</v>
      </c>
      <c r="D1196" s="317">
        <v>-0.18</v>
      </c>
      <c r="E1196" s="318">
        <v>6.95</v>
      </c>
      <c r="F1196" s="317">
        <v>-12.23</v>
      </c>
      <c r="G1196" s="317">
        <v>0</v>
      </c>
      <c r="H1196" s="319">
        <v>5.21</v>
      </c>
      <c r="I1196" s="320">
        <v>9.5</v>
      </c>
      <c r="J1196" s="320">
        <v>1</v>
      </c>
      <c r="K1196" s="57">
        <f t="shared" si="86"/>
        <v>0.13780200000000004</v>
      </c>
      <c r="L1196" s="310">
        <f t="shared" si="87"/>
        <v>-5.6827473426001637E-3</v>
      </c>
      <c r="M1196" s="405">
        <f t="shared" si="88"/>
        <v>-1.6010452368120063</v>
      </c>
      <c r="N1196" s="63">
        <f t="shared" si="89"/>
        <v>-4.2541241685176416</v>
      </c>
    </row>
    <row r="1197" spans="1:14" ht="18" x14ac:dyDescent="0.25">
      <c r="A1197" s="317" t="s">
        <v>5357</v>
      </c>
      <c r="B1197" s="317"/>
      <c r="C1197" s="317">
        <v>1.01</v>
      </c>
      <c r="D1197" s="317">
        <v>4.0999999999999996</v>
      </c>
      <c r="E1197" s="318">
        <v>10.92</v>
      </c>
      <c r="F1197" s="317">
        <v>1.01</v>
      </c>
      <c r="G1197" s="317">
        <v>1</v>
      </c>
      <c r="H1197" s="319">
        <v>50.03</v>
      </c>
      <c r="I1197" s="320">
        <v>55</v>
      </c>
      <c r="J1197" s="320">
        <v>2</v>
      </c>
      <c r="K1197" s="57">
        <f t="shared" si="86"/>
        <v>8.7743000000000002E-2</v>
      </c>
      <c r="L1197" s="310">
        <f t="shared" si="87"/>
        <v>0.10811881188118813</v>
      </c>
      <c r="M1197" s="405">
        <f t="shared" si="88"/>
        <v>95.0189964250971</v>
      </c>
      <c r="N1197" s="63">
        <f t="shared" si="89"/>
        <v>-0.47347370649785436</v>
      </c>
    </row>
    <row r="1198" spans="1:14" ht="18" x14ac:dyDescent="0.25">
      <c r="A1198" s="317" t="s">
        <v>1367</v>
      </c>
      <c r="B1198" s="317" t="s">
        <v>2603</v>
      </c>
      <c r="C1198" s="317">
        <v>1.82</v>
      </c>
      <c r="D1198" s="317">
        <v>2.71</v>
      </c>
      <c r="E1198" s="318">
        <v>7.98</v>
      </c>
      <c r="F1198" s="317">
        <v>0.73</v>
      </c>
      <c r="G1198" s="317">
        <v>1.4</v>
      </c>
      <c r="H1198" s="319">
        <v>26.27</v>
      </c>
      <c r="I1198" s="320">
        <v>29</v>
      </c>
      <c r="J1198" s="320">
        <v>2.4</v>
      </c>
      <c r="K1198" s="57">
        <f t="shared" si="86"/>
        <v>0.12362600000000001</v>
      </c>
      <c r="L1198" s="310">
        <f t="shared" si="87"/>
        <v>0.10931506849315069</v>
      </c>
      <c r="M1198" s="405">
        <f t="shared" si="88"/>
        <v>36.486909030566615</v>
      </c>
      <c r="N1198" s="63">
        <f t="shared" si="89"/>
        <v>-0.28001574542824337</v>
      </c>
    </row>
    <row r="1199" spans="1:14" ht="18" x14ac:dyDescent="0.25">
      <c r="A1199" s="317" t="s">
        <v>1233</v>
      </c>
      <c r="B1199" s="317" t="s">
        <v>1234</v>
      </c>
      <c r="C1199" s="317">
        <v>1.1399999999999999</v>
      </c>
      <c r="D1199" s="317">
        <v>5.82</v>
      </c>
      <c r="E1199" s="318">
        <v>13.21</v>
      </c>
      <c r="F1199" s="317">
        <v>1.1299999999999999</v>
      </c>
      <c r="G1199" s="317">
        <v>1.5</v>
      </c>
      <c r="H1199" s="319">
        <v>101.71</v>
      </c>
      <c r="I1199" s="320">
        <v>112</v>
      </c>
      <c r="J1199" s="320">
        <v>1.8</v>
      </c>
      <c r="K1199" s="57">
        <f t="shared" si="86"/>
        <v>9.3502000000000002E-2</v>
      </c>
      <c r="L1199" s="310">
        <f t="shared" si="87"/>
        <v>0.11690265486725666</v>
      </c>
      <c r="M1199" s="405">
        <f t="shared" si="88"/>
        <v>105.43260755571092</v>
      </c>
      <c r="N1199" s="63">
        <f t="shared" si="89"/>
        <v>-3.5307934063414731E-2</v>
      </c>
    </row>
    <row r="1200" spans="1:14" ht="18" x14ac:dyDescent="0.25">
      <c r="A1200" s="317" t="s">
        <v>978</v>
      </c>
      <c r="B1200" s="317" t="s">
        <v>979</v>
      </c>
      <c r="C1200" s="317">
        <v>0.69</v>
      </c>
      <c r="D1200" s="317">
        <v>3.01</v>
      </c>
      <c r="E1200" s="318">
        <v>16.3</v>
      </c>
      <c r="F1200" s="317">
        <v>1.1100000000000001</v>
      </c>
      <c r="G1200" s="317">
        <v>0</v>
      </c>
      <c r="H1200" s="319">
        <v>47.92</v>
      </c>
      <c r="I1200" s="320">
        <v>55</v>
      </c>
      <c r="J1200" s="320">
        <v>2.5</v>
      </c>
      <c r="K1200" s="57">
        <f t="shared" si="86"/>
        <v>7.3566999999999994E-2</v>
      </c>
      <c r="L1200" s="310">
        <f t="shared" si="87"/>
        <v>0.14684684684684685</v>
      </c>
      <c r="M1200" s="405">
        <f t="shared" si="88"/>
        <v>128.71539110521013</v>
      </c>
      <c r="N1200" s="63">
        <f t="shared" si="89"/>
        <v>-0.62770574996092832</v>
      </c>
    </row>
    <row r="1201" spans="1:14" ht="18" x14ac:dyDescent="0.25">
      <c r="A1201" s="317" t="s">
        <v>980</v>
      </c>
      <c r="B1201" s="317" t="s">
        <v>981</v>
      </c>
      <c r="C1201" s="317">
        <v>0.92</v>
      </c>
      <c r="D1201" s="317">
        <v>3.83</v>
      </c>
      <c r="E1201" s="318">
        <v>15.06</v>
      </c>
      <c r="F1201" s="317">
        <v>1.52</v>
      </c>
      <c r="G1201" s="317">
        <v>2.8</v>
      </c>
      <c r="H1201" s="319">
        <v>74.83</v>
      </c>
      <c r="I1201" s="320">
        <v>87</v>
      </c>
      <c r="J1201" s="320">
        <v>1.8</v>
      </c>
      <c r="K1201" s="57">
        <f t="shared" si="86"/>
        <v>8.3755999999999997E-2</v>
      </c>
      <c r="L1201" s="310">
        <f t="shared" si="87"/>
        <v>9.9078947368421058E-2</v>
      </c>
      <c r="M1201" s="405">
        <f t="shared" si="88"/>
        <v>47.889687349220566</v>
      </c>
      <c r="N1201" s="63">
        <f t="shared" si="89"/>
        <v>0.56254935335713574</v>
      </c>
    </row>
    <row r="1202" spans="1:14" ht="18" x14ac:dyDescent="0.25">
      <c r="A1202" s="317" t="s">
        <v>2604</v>
      </c>
      <c r="B1202" s="317" t="s">
        <v>2605</v>
      </c>
      <c r="C1202" s="317">
        <v>0.92</v>
      </c>
      <c r="D1202" s="317">
        <v>1.6</v>
      </c>
      <c r="E1202" s="318">
        <v>15.88</v>
      </c>
      <c r="F1202" s="317">
        <v>1.01</v>
      </c>
      <c r="G1202" s="317">
        <v>0</v>
      </c>
      <c r="H1202" s="319">
        <v>31.91</v>
      </c>
      <c r="I1202" s="320">
        <v>37</v>
      </c>
      <c r="J1202" s="320">
        <v>2.4</v>
      </c>
      <c r="K1202" s="57">
        <f t="shared" si="86"/>
        <v>8.3755999999999997E-2</v>
      </c>
      <c r="L1202" s="310">
        <f t="shared" si="87"/>
        <v>0.15722772277227723</v>
      </c>
      <c r="M1202" s="405">
        <f t="shared" si="88"/>
        <v>55.668860983984814</v>
      </c>
      <c r="N1202" s="63">
        <f t="shared" si="89"/>
        <v>-0.4267890623955809</v>
      </c>
    </row>
    <row r="1203" spans="1:14" ht="18" x14ac:dyDescent="0.25">
      <c r="A1203" s="317" t="s">
        <v>3660</v>
      </c>
      <c r="B1203" s="317" t="s">
        <v>3661</v>
      </c>
      <c r="C1203" s="317">
        <v>2.62</v>
      </c>
      <c r="D1203" s="317">
        <v>-0.23</v>
      </c>
      <c r="E1203" s="318">
        <v>8.44</v>
      </c>
      <c r="F1203" s="317">
        <v>0</v>
      </c>
      <c r="G1203" s="317">
        <v>0</v>
      </c>
      <c r="H1203" s="319">
        <v>2.7</v>
      </c>
      <c r="I1203" s="320">
        <v>5.44</v>
      </c>
      <c r="J1203" s="320">
        <v>1.5</v>
      </c>
      <c r="K1203" s="57">
        <f t="shared" si="86"/>
        <v>0.15906600000000001</v>
      </c>
      <c r="L1203" s="310" t="e">
        <f t="shared" si="87"/>
        <v>#DIV/0!</v>
      </c>
      <c r="M1203" s="405" t="e">
        <f t="shared" si="88"/>
        <v>#DIV/0!</v>
      </c>
      <c r="N1203" s="63" t="e">
        <f t="shared" si="89"/>
        <v>#DIV/0!</v>
      </c>
    </row>
    <row r="1204" spans="1:14" ht="18" x14ac:dyDescent="0.25">
      <c r="A1204" s="317" t="s">
        <v>2606</v>
      </c>
      <c r="B1204" s="317" t="s">
        <v>2607</v>
      </c>
      <c r="C1204" s="317">
        <v>1.1200000000000001</v>
      </c>
      <c r="D1204" s="317">
        <v>1.73</v>
      </c>
      <c r="E1204" s="318">
        <v>9.92</v>
      </c>
      <c r="F1204" s="317">
        <v>1.1000000000000001</v>
      </c>
      <c r="G1204" s="317">
        <v>1.9</v>
      </c>
      <c r="H1204" s="319">
        <v>25.5</v>
      </c>
      <c r="I1204" s="320">
        <v>30</v>
      </c>
      <c r="J1204" s="320">
        <v>2.2999999999999998</v>
      </c>
      <c r="K1204" s="57">
        <f t="shared" si="86"/>
        <v>9.2616000000000004E-2</v>
      </c>
      <c r="L1204" s="310">
        <f t="shared" si="87"/>
        <v>9.0181818181818182E-2</v>
      </c>
      <c r="M1204" s="405">
        <f t="shared" si="88"/>
        <v>27.954931898490159</v>
      </c>
      <c r="N1204" s="63">
        <f t="shared" si="89"/>
        <v>-8.7817488069886845E-2</v>
      </c>
    </row>
    <row r="1205" spans="1:14" ht="18" x14ac:dyDescent="0.25">
      <c r="A1205" s="317" t="s">
        <v>1128</v>
      </c>
      <c r="B1205" s="317" t="s">
        <v>1129</v>
      </c>
      <c r="C1205" s="317"/>
      <c r="D1205" s="317"/>
      <c r="E1205" s="318"/>
      <c r="F1205" s="317"/>
      <c r="G1205" s="317"/>
      <c r="H1205" s="319">
        <v>40.85</v>
      </c>
      <c r="I1205" s="320"/>
      <c r="J1205" s="320"/>
      <c r="K1205" s="57">
        <f>$P$14+C1205*($Q$15-$P$14)</f>
        <v>4.2999999999999997E-2</v>
      </c>
      <c r="L1205" s="310" t="e">
        <f t="shared" si="87"/>
        <v>#DIV/0!</v>
      </c>
      <c r="M1205" s="405" t="e">
        <f t="shared" si="88"/>
        <v>#DIV/0!</v>
      </c>
      <c r="N1205" s="63" t="e">
        <f t="shared" si="89"/>
        <v>#DIV/0!</v>
      </c>
    </row>
    <row r="1206" spans="1:14" ht="18" x14ac:dyDescent="0.25">
      <c r="A1206" s="317" t="s">
        <v>438</v>
      </c>
      <c r="B1206" s="317" t="s">
        <v>439</v>
      </c>
      <c r="C1206" s="317">
        <v>1.6</v>
      </c>
      <c r="D1206" s="317">
        <v>4.67</v>
      </c>
      <c r="E1206" s="318">
        <v>11.5</v>
      </c>
      <c r="F1206" s="317">
        <v>0.88</v>
      </c>
      <c r="G1206" s="317">
        <v>1.4</v>
      </c>
      <c r="H1206" s="319">
        <v>70.72</v>
      </c>
      <c r="I1206" s="320">
        <v>85</v>
      </c>
      <c r="J1206" s="320">
        <v>1.8</v>
      </c>
      <c r="K1206" s="57">
        <f t="shared" si="86"/>
        <v>0.11388000000000001</v>
      </c>
      <c r="L1206" s="310">
        <f t="shared" si="87"/>
        <v>0.13068181818181818</v>
      </c>
      <c r="M1206" s="405">
        <f t="shared" si="88"/>
        <v>69.88710971312905</v>
      </c>
      <c r="N1206" s="63">
        <f t="shared" si="89"/>
        <v>1.1917652486843101E-2</v>
      </c>
    </row>
    <row r="1207" spans="1:14" ht="18" x14ac:dyDescent="0.25">
      <c r="A1207" s="317" t="s">
        <v>2313</v>
      </c>
      <c r="B1207" s="317"/>
      <c r="C1207" s="317">
        <v>1.95</v>
      </c>
      <c r="D1207" s="317">
        <v>1.25</v>
      </c>
      <c r="E1207" s="318">
        <v>0</v>
      </c>
      <c r="F1207" s="317">
        <v>0</v>
      </c>
      <c r="G1207" s="317">
        <v>0</v>
      </c>
      <c r="H1207" s="319">
        <v>3.96</v>
      </c>
      <c r="I1207" s="320">
        <v>12</v>
      </c>
      <c r="J1207" s="320">
        <v>3</v>
      </c>
      <c r="K1207" s="57">
        <f t="shared" si="86"/>
        <v>0.129385</v>
      </c>
      <c r="L1207" s="310" t="e">
        <f t="shared" si="87"/>
        <v>#DIV/0!</v>
      </c>
      <c r="M1207" s="405" t="e">
        <f t="shared" si="88"/>
        <v>#DIV/0!</v>
      </c>
      <c r="N1207" s="63" t="e">
        <f t="shared" si="89"/>
        <v>#DIV/0!</v>
      </c>
    </row>
    <row r="1208" spans="1:14" ht="18" x14ac:dyDescent="0.25">
      <c r="A1208" s="317" t="s">
        <v>440</v>
      </c>
      <c r="B1208" s="317" t="s">
        <v>441</v>
      </c>
      <c r="C1208" s="317">
        <v>1.37</v>
      </c>
      <c r="D1208" s="317">
        <v>0.68</v>
      </c>
      <c r="E1208" s="318">
        <v>19.32</v>
      </c>
      <c r="F1208" s="317">
        <v>1.34</v>
      </c>
      <c r="G1208" s="317">
        <v>0.3</v>
      </c>
      <c r="H1208" s="319">
        <v>22.02</v>
      </c>
      <c r="I1208" s="320">
        <v>23</v>
      </c>
      <c r="J1208" s="320">
        <v>2.2000000000000002</v>
      </c>
      <c r="K1208" s="57">
        <f t="shared" si="86"/>
        <v>0.10369100000000001</v>
      </c>
      <c r="L1208" s="310">
        <f t="shared" si="87"/>
        <v>0.14417910447761192</v>
      </c>
      <c r="M1208" s="405">
        <f t="shared" si="88"/>
        <v>14.163277344555967</v>
      </c>
      <c r="N1208" s="63">
        <f t="shared" si="89"/>
        <v>0.55472490330523494</v>
      </c>
    </row>
    <row r="1209" spans="1:14" ht="18" x14ac:dyDescent="0.25">
      <c r="A1209" s="317" t="s">
        <v>2130</v>
      </c>
      <c r="B1209" s="317" t="s">
        <v>1604</v>
      </c>
      <c r="C1209" s="317">
        <v>1.05</v>
      </c>
      <c r="D1209" s="317">
        <v>4.92</v>
      </c>
      <c r="E1209" s="318">
        <v>14.51</v>
      </c>
      <c r="F1209" s="317">
        <v>1.63</v>
      </c>
      <c r="G1209" s="317">
        <v>2.1</v>
      </c>
      <c r="H1209" s="319">
        <v>89.4</v>
      </c>
      <c r="I1209" s="320">
        <v>98</v>
      </c>
      <c r="J1209" s="320">
        <v>1.9</v>
      </c>
      <c r="K1209" s="57">
        <f t="shared" si="86"/>
        <v>8.9515000000000011E-2</v>
      </c>
      <c r="L1209" s="310">
        <f t="shared" si="87"/>
        <v>8.9018404907975468E-2</v>
      </c>
      <c r="M1209" s="405">
        <f t="shared" si="88"/>
        <v>71.924772513520324</v>
      </c>
      <c r="N1209" s="63">
        <f t="shared" si="89"/>
        <v>0.24296534943081971</v>
      </c>
    </row>
    <row r="1210" spans="1:14" ht="18" x14ac:dyDescent="0.25">
      <c r="A1210" s="317" t="s">
        <v>2608</v>
      </c>
      <c r="B1210" s="317" t="s">
        <v>2609</v>
      </c>
      <c r="C1210" s="317">
        <v>0.8</v>
      </c>
      <c r="D1210" s="317">
        <v>4.33</v>
      </c>
      <c r="E1210" s="318">
        <v>13.99</v>
      </c>
      <c r="F1210" s="317">
        <v>0.83</v>
      </c>
      <c r="G1210" s="317">
        <v>0.8</v>
      </c>
      <c r="H1210" s="319">
        <v>78.739999999999995</v>
      </c>
      <c r="I1210" s="320">
        <v>98.5</v>
      </c>
      <c r="J1210" s="320">
        <v>1.7</v>
      </c>
      <c r="K1210" s="57">
        <f t="shared" si="86"/>
        <v>7.844000000000001E-2</v>
      </c>
      <c r="L1210" s="310">
        <f t="shared" si="87"/>
        <v>0.16855421686746991</v>
      </c>
      <c r="M1210" s="405">
        <f t="shared" si="88"/>
        <v>152.08823134922818</v>
      </c>
      <c r="N1210" s="63">
        <f t="shared" si="89"/>
        <v>-0.48227420819172023</v>
      </c>
    </row>
    <row r="1211" spans="1:14" ht="18" x14ac:dyDescent="0.25">
      <c r="A1211" s="317" t="s">
        <v>4327</v>
      </c>
      <c r="B1211" s="317"/>
      <c r="C1211" s="317">
        <v>1.49</v>
      </c>
      <c r="D1211" s="317">
        <v>3.61</v>
      </c>
      <c r="E1211" s="318">
        <v>6.18</v>
      </c>
      <c r="F1211" s="317">
        <v>1.63</v>
      </c>
      <c r="G1211" s="317">
        <v>2.2000000000000002</v>
      </c>
      <c r="H1211" s="319">
        <v>31.13</v>
      </c>
      <c r="I1211" s="320">
        <v>44</v>
      </c>
      <c r="J1211" s="320">
        <v>2</v>
      </c>
      <c r="K1211" s="57">
        <f t="shared" si="86"/>
        <v>0.10900700000000001</v>
      </c>
      <c r="L1211" s="310">
        <f t="shared" si="87"/>
        <v>3.7914110429447853E-2</v>
      </c>
      <c r="M1211" s="405">
        <f t="shared" si="88"/>
        <v>41.63548115523286</v>
      </c>
      <c r="N1211" s="63">
        <f t="shared" si="89"/>
        <v>-0.25232039750097862</v>
      </c>
    </row>
    <row r="1212" spans="1:14" ht="18" x14ac:dyDescent="0.25">
      <c r="A1212" s="317" t="s">
        <v>2610</v>
      </c>
      <c r="B1212" s="317" t="s">
        <v>2611</v>
      </c>
      <c r="C1212" s="317">
        <v>0.86</v>
      </c>
      <c r="D1212" s="317">
        <v>3.07</v>
      </c>
      <c r="E1212" s="318">
        <v>17.71</v>
      </c>
      <c r="F1212" s="317">
        <v>1.35</v>
      </c>
      <c r="G1212" s="317">
        <v>0</v>
      </c>
      <c r="H1212" s="319">
        <v>69.760000000000005</v>
      </c>
      <c r="I1212" s="320">
        <v>76</v>
      </c>
      <c r="J1212" s="320">
        <v>2.4</v>
      </c>
      <c r="K1212" s="57">
        <f t="shared" si="86"/>
        <v>8.1098000000000003E-2</v>
      </c>
      <c r="L1212" s="310">
        <f t="shared" si="87"/>
        <v>0.13118518518518518</v>
      </c>
      <c r="M1212" s="405">
        <f t="shared" si="88"/>
        <v>102.21350750412037</v>
      </c>
      <c r="N1212" s="63">
        <f t="shared" si="89"/>
        <v>-0.31750703303878031</v>
      </c>
    </row>
    <row r="1213" spans="1:14" ht="18" x14ac:dyDescent="0.25">
      <c r="A1213" s="317" t="s">
        <v>346</v>
      </c>
      <c r="B1213" s="317" t="s">
        <v>347</v>
      </c>
      <c r="C1213" s="317">
        <v>3.6</v>
      </c>
      <c r="D1213" s="317">
        <v>7.42</v>
      </c>
      <c r="E1213" s="318">
        <v>8.14</v>
      </c>
      <c r="F1213" s="317">
        <v>0.59</v>
      </c>
      <c r="G1213" s="317">
        <v>0</v>
      </c>
      <c r="H1213" s="319">
        <v>27.1</v>
      </c>
      <c r="I1213" s="320">
        <v>40</v>
      </c>
      <c r="J1213" s="320">
        <v>1.8</v>
      </c>
      <c r="K1213" s="57">
        <f t="shared" si="86"/>
        <v>0.20248000000000005</v>
      </c>
      <c r="L1213" s="310">
        <f t="shared" si="87"/>
        <v>0.13796610169491527</v>
      </c>
      <c r="M1213" s="405">
        <f t="shared" si="88"/>
        <v>67.15680569878937</v>
      </c>
      <c r="N1213" s="63">
        <f t="shared" si="89"/>
        <v>-0.5964668105039348</v>
      </c>
    </row>
    <row r="1214" spans="1:14" ht="18" x14ac:dyDescent="0.25">
      <c r="A1214" s="317" t="s">
        <v>442</v>
      </c>
      <c r="B1214" s="317" t="s">
        <v>443</v>
      </c>
      <c r="C1214" s="317">
        <v>1.85</v>
      </c>
      <c r="D1214" s="317">
        <v>1.79</v>
      </c>
      <c r="E1214" s="318">
        <v>15.91</v>
      </c>
      <c r="F1214" s="317">
        <v>1.47</v>
      </c>
      <c r="G1214" s="317">
        <v>4.4000000000000004</v>
      </c>
      <c r="H1214" s="319">
        <v>32.619999999999997</v>
      </c>
      <c r="I1214" s="320">
        <v>35.1</v>
      </c>
      <c r="J1214" s="320">
        <v>2</v>
      </c>
      <c r="K1214" s="57">
        <f t="shared" si="86"/>
        <v>0.12495500000000001</v>
      </c>
      <c r="L1214" s="310">
        <f t="shared" si="87"/>
        <v>0.10823129251700682</v>
      </c>
      <c r="M1214" s="405">
        <f t="shared" si="88"/>
        <v>5.4215588414846607</v>
      </c>
      <c r="N1214" s="63">
        <f t="shared" si="89"/>
        <v>5.0167197209773731</v>
      </c>
    </row>
    <row r="1215" spans="1:14" ht="18" x14ac:dyDescent="0.25">
      <c r="A1215" s="317" t="s">
        <v>348</v>
      </c>
      <c r="B1215" s="317" t="s">
        <v>349</v>
      </c>
      <c r="C1215" s="317">
        <v>2.72</v>
      </c>
      <c r="D1215" s="317">
        <v>9.1300000000000008</v>
      </c>
      <c r="E1215" s="318">
        <v>12.42</v>
      </c>
      <c r="F1215" s="317">
        <v>0.73</v>
      </c>
      <c r="G1215" s="317">
        <v>0</v>
      </c>
      <c r="H1215" s="319">
        <v>50.06</v>
      </c>
      <c r="I1215" s="320">
        <v>55</v>
      </c>
      <c r="J1215" s="320">
        <v>2.2999999999999998</v>
      </c>
      <c r="K1215" s="57">
        <f t="shared" si="86"/>
        <v>0.16349600000000003</v>
      </c>
      <c r="L1215" s="310">
        <f t="shared" si="87"/>
        <v>0.17013698630136986</v>
      </c>
      <c r="M1215" s="405">
        <f t="shared" si="88"/>
        <v>119.85133218534972</v>
      </c>
      <c r="N1215" s="63">
        <f t="shared" si="89"/>
        <v>-0.58231586510375732</v>
      </c>
    </row>
    <row r="1216" spans="1:14" ht="18" x14ac:dyDescent="0.25">
      <c r="A1216" s="317" t="s">
        <v>2612</v>
      </c>
      <c r="B1216" s="317" t="s">
        <v>2613</v>
      </c>
      <c r="C1216" s="317">
        <v>1.07</v>
      </c>
      <c r="D1216" s="317">
        <v>5.54</v>
      </c>
      <c r="E1216" s="318">
        <v>12.67</v>
      </c>
      <c r="F1216" s="317">
        <v>1.34</v>
      </c>
      <c r="G1216" s="317">
        <v>2.5</v>
      </c>
      <c r="H1216" s="319">
        <v>100.63</v>
      </c>
      <c r="I1216" s="320">
        <v>108</v>
      </c>
      <c r="J1216" s="320">
        <v>2.2000000000000002</v>
      </c>
      <c r="K1216" s="57">
        <f t="shared" si="86"/>
        <v>9.0401000000000009E-2</v>
      </c>
      <c r="L1216" s="310">
        <f t="shared" si="87"/>
        <v>9.4552238805970135E-2</v>
      </c>
      <c r="M1216" s="405">
        <f t="shared" si="88"/>
        <v>71.894932765258559</v>
      </c>
      <c r="N1216" s="63">
        <f t="shared" si="89"/>
        <v>0.39968139797227747</v>
      </c>
    </row>
    <row r="1217" spans="1:14" ht="18" x14ac:dyDescent="0.25">
      <c r="A1217" s="317" t="s">
        <v>2614</v>
      </c>
      <c r="B1217" s="317" t="s">
        <v>2615</v>
      </c>
      <c r="C1217" s="317">
        <v>1.32</v>
      </c>
      <c r="D1217" s="317">
        <v>1.72</v>
      </c>
      <c r="E1217" s="318">
        <v>0</v>
      </c>
      <c r="F1217" s="317">
        <v>0</v>
      </c>
      <c r="G1217" s="317">
        <v>1.2</v>
      </c>
      <c r="H1217" s="319">
        <v>49.89</v>
      </c>
      <c r="I1217" s="320"/>
      <c r="J1217" s="320"/>
      <c r="K1217" s="57">
        <f t="shared" si="86"/>
        <v>0.10147600000000001</v>
      </c>
      <c r="L1217" s="310" t="e">
        <f t="shared" si="87"/>
        <v>#DIV/0!</v>
      </c>
      <c r="M1217" s="405" t="e">
        <f t="shared" si="88"/>
        <v>#DIV/0!</v>
      </c>
      <c r="N1217" s="63" t="e">
        <f t="shared" si="89"/>
        <v>#DIV/0!</v>
      </c>
    </row>
    <row r="1218" spans="1:14" ht="18" x14ac:dyDescent="0.25">
      <c r="A1218" s="317" t="s">
        <v>5103</v>
      </c>
      <c r="B1218" s="317"/>
      <c r="C1218" s="317">
        <v>0</v>
      </c>
      <c r="D1218" s="317">
        <v>1.39</v>
      </c>
      <c r="E1218" s="318">
        <v>6.97</v>
      </c>
      <c r="F1218" s="317">
        <v>0.63</v>
      </c>
      <c r="G1218" s="317">
        <v>1.9</v>
      </c>
      <c r="H1218" s="319">
        <v>13.94</v>
      </c>
      <c r="I1218" s="320">
        <v>21.05</v>
      </c>
      <c r="J1218" s="320">
        <v>1.7</v>
      </c>
      <c r="K1218" s="57">
        <f t="shared" si="86"/>
        <v>4.2999999999999997E-2</v>
      </c>
      <c r="L1218" s="310">
        <f t="shared" si="87"/>
        <v>0.11063492063492063</v>
      </c>
      <c r="M1218" s="405">
        <f t="shared" si="88"/>
        <v>226.46544582762829</v>
      </c>
      <c r="N1218" s="63">
        <f t="shared" si="89"/>
        <v>-0.93844535554174446</v>
      </c>
    </row>
    <row r="1219" spans="1:14" ht="18" x14ac:dyDescent="0.25">
      <c r="A1219" s="317" t="s">
        <v>1107</v>
      </c>
      <c r="B1219" s="317" t="s">
        <v>1103</v>
      </c>
      <c r="C1219" s="317">
        <v>1.48</v>
      </c>
      <c r="D1219" s="317">
        <v>0.69</v>
      </c>
      <c r="E1219" s="318">
        <v>25.54</v>
      </c>
      <c r="F1219" s="317">
        <v>1.19</v>
      </c>
      <c r="G1219" s="317">
        <v>0</v>
      </c>
      <c r="H1219" s="319">
        <v>30.9</v>
      </c>
      <c r="I1219" s="320">
        <v>37</v>
      </c>
      <c r="J1219" s="320">
        <v>1.9</v>
      </c>
      <c r="K1219" s="57">
        <f t="shared" si="86"/>
        <v>0.10856400000000001</v>
      </c>
      <c r="L1219" s="310">
        <f t="shared" si="87"/>
        <v>0.21462184873949583</v>
      </c>
      <c r="M1219" s="405">
        <f t="shared" si="88"/>
        <v>19.191509995235425</v>
      </c>
      <c r="N1219" s="63">
        <f t="shared" si="89"/>
        <v>0.61008696072749768</v>
      </c>
    </row>
    <row r="1220" spans="1:14" ht="18" x14ac:dyDescent="0.25">
      <c r="A1220" s="317" t="s">
        <v>982</v>
      </c>
      <c r="B1220" s="317" t="s">
        <v>983</v>
      </c>
      <c r="C1220" s="317">
        <v>1.1499999999999999</v>
      </c>
      <c r="D1220" s="317">
        <v>0.93</v>
      </c>
      <c r="E1220" s="318">
        <v>7.12</v>
      </c>
      <c r="F1220" s="317">
        <v>1.06</v>
      </c>
      <c r="G1220" s="317">
        <v>0.7</v>
      </c>
      <c r="H1220" s="319">
        <v>26.47</v>
      </c>
      <c r="I1220" s="320">
        <v>33</v>
      </c>
      <c r="J1220" s="320">
        <v>2.4</v>
      </c>
      <c r="K1220" s="57">
        <f t="shared" si="86"/>
        <v>9.3945000000000001E-2</v>
      </c>
      <c r="L1220" s="310">
        <f t="shared" si="87"/>
        <v>6.716981132075471E-2</v>
      </c>
      <c r="M1220" s="405">
        <f t="shared" si="88"/>
        <v>14.900011182727365</v>
      </c>
      <c r="N1220" s="63">
        <f t="shared" si="89"/>
        <v>0.77650873381121932</v>
      </c>
    </row>
    <row r="1221" spans="1:14" ht="18" x14ac:dyDescent="0.25">
      <c r="A1221" s="317" t="s">
        <v>2616</v>
      </c>
      <c r="B1221" s="317" t="s">
        <v>2617</v>
      </c>
      <c r="C1221" s="317">
        <v>1.32</v>
      </c>
      <c r="D1221" s="317">
        <v>-0.75</v>
      </c>
      <c r="E1221" s="318">
        <v>474.29</v>
      </c>
      <c r="F1221" s="317">
        <v>-10.16</v>
      </c>
      <c r="G1221" s="317">
        <v>2.2000000000000002</v>
      </c>
      <c r="H1221" s="319">
        <v>42.69</v>
      </c>
      <c r="I1221" s="320">
        <v>42.5</v>
      </c>
      <c r="J1221" s="320">
        <v>2.8</v>
      </c>
      <c r="K1221" s="57">
        <f t="shared" ref="K1221:K1228" si="90">$P$14+C1221*($Q$15-$P$14)</f>
        <v>0.10147600000000001</v>
      </c>
      <c r="L1221" s="310">
        <f t="shared" ref="L1221:L1228" si="91">E1221/F1221/100</f>
        <v>-0.46682086614173229</v>
      </c>
      <c r="M1221" s="405">
        <f t="shared" ref="M1221:M1228" si="92">(D1221-G1221*H1221/100)+(D1221-G1221*H1221/100)*(1+L1221)/(1+K1221)+(D1221-G1221*H1221/100)*(1+L1221)^2/(1+K1221)^2+(D1221-G1221*H1221/100)*(1+L1221)^3/(1+K1221)^3+(D1221-G1221*H1221/100)*(1+L1221)^4/(1+K1221)^4+((D1221-G1221*H1221/100)*(1+L1221)^5/(K1221-$T$22-$T$19))/((1+K1221)^5)</f>
        <v>-3.872589552911831</v>
      </c>
      <c r="N1221" s="63">
        <f t="shared" ref="N1221:N1229" si="93">(H1221-M1221)/M1221</f>
        <v>-12.02363145299017</v>
      </c>
    </row>
    <row r="1222" spans="1:14" ht="18" x14ac:dyDescent="0.25">
      <c r="A1222" s="317" t="s">
        <v>444</v>
      </c>
      <c r="B1222" s="317" t="s">
        <v>445</v>
      </c>
      <c r="C1222" s="317">
        <v>1.5</v>
      </c>
      <c r="D1222" s="317">
        <v>3.92</v>
      </c>
      <c r="E1222" s="318">
        <v>15.18</v>
      </c>
      <c r="F1222" s="317">
        <v>0.9</v>
      </c>
      <c r="G1222" s="317">
        <v>0.7</v>
      </c>
      <c r="H1222" s="319">
        <v>101.38</v>
      </c>
      <c r="I1222" s="320">
        <v>115</v>
      </c>
      <c r="J1222" s="320">
        <v>2</v>
      </c>
      <c r="K1222" s="57">
        <f t="shared" si="90"/>
        <v>0.10945000000000001</v>
      </c>
      <c r="L1222" s="310">
        <f t="shared" si="91"/>
        <v>0.16866666666666666</v>
      </c>
      <c r="M1222" s="405">
        <f t="shared" si="92"/>
        <v>74.544880505445889</v>
      </c>
      <c r="N1222" s="63">
        <f t="shared" si="93"/>
        <v>0.35998608237883839</v>
      </c>
    </row>
    <row r="1223" spans="1:14" ht="18" x14ac:dyDescent="0.25">
      <c r="A1223" s="317" t="s">
        <v>2057</v>
      </c>
      <c r="B1223" s="317" t="s">
        <v>2058</v>
      </c>
      <c r="C1223" s="317">
        <v>5.98</v>
      </c>
      <c r="D1223" s="317">
        <v>0.25</v>
      </c>
      <c r="E1223" s="318">
        <v>59.54</v>
      </c>
      <c r="F1223" s="317">
        <v>-12.67</v>
      </c>
      <c r="G1223" s="317">
        <v>0</v>
      </c>
      <c r="H1223" s="319">
        <v>7.74</v>
      </c>
      <c r="I1223" s="320">
        <v>13</v>
      </c>
      <c r="J1223" s="320">
        <v>1.3</v>
      </c>
      <c r="K1223" s="57">
        <f t="shared" si="90"/>
        <v>0.30791400000000002</v>
      </c>
      <c r="L1223" s="310">
        <f t="shared" si="91"/>
        <v>-4.699289660615627E-2</v>
      </c>
      <c r="M1223" s="405">
        <f t="shared" si="92"/>
        <v>0.92091768314437206</v>
      </c>
      <c r="N1223" s="63">
        <f t="shared" si="93"/>
        <v>7.4046599839115066</v>
      </c>
    </row>
    <row r="1224" spans="1:14" ht="18" x14ac:dyDescent="0.25">
      <c r="A1224" s="317" t="s">
        <v>2618</v>
      </c>
      <c r="B1224" s="317" t="s">
        <v>3345</v>
      </c>
      <c r="C1224" s="317">
        <v>1.75</v>
      </c>
      <c r="D1224" s="317">
        <v>3.24</v>
      </c>
      <c r="E1224" s="318">
        <v>16.760000000000002</v>
      </c>
      <c r="F1224" s="317">
        <v>6.43</v>
      </c>
      <c r="G1224" s="317">
        <v>2.9</v>
      </c>
      <c r="H1224" s="319">
        <v>94.21</v>
      </c>
      <c r="I1224" s="320">
        <v>91</v>
      </c>
      <c r="J1224" s="320">
        <v>2.5</v>
      </c>
      <c r="K1224" s="57">
        <f t="shared" si="90"/>
        <v>0.12052500000000001</v>
      </c>
      <c r="L1224" s="310">
        <f t="shared" si="91"/>
        <v>2.6065318818040438E-2</v>
      </c>
      <c r="M1224" s="405">
        <f t="shared" si="92"/>
        <v>6.0147169463990782</v>
      </c>
      <c r="N1224" s="63">
        <f t="shared" si="93"/>
        <v>14.663247471088747</v>
      </c>
    </row>
    <row r="1225" spans="1:14" ht="18" x14ac:dyDescent="0.25">
      <c r="A1225" s="317" t="s">
        <v>1714</v>
      </c>
      <c r="B1225" s="317" t="s">
        <v>1715</v>
      </c>
      <c r="C1225" s="317">
        <v>2.1</v>
      </c>
      <c r="D1225" s="317">
        <v>0.53</v>
      </c>
      <c r="E1225" s="318">
        <v>0</v>
      </c>
      <c r="F1225" s="317">
        <v>0</v>
      </c>
      <c r="G1225" s="317">
        <v>0</v>
      </c>
      <c r="H1225" s="319">
        <v>7.11</v>
      </c>
      <c r="I1225" s="320">
        <v>9</v>
      </c>
      <c r="J1225" s="320">
        <v>3</v>
      </c>
      <c r="K1225" s="57">
        <f t="shared" si="90"/>
        <v>0.13603000000000001</v>
      </c>
      <c r="L1225" s="310" t="e">
        <f t="shared" si="91"/>
        <v>#DIV/0!</v>
      </c>
      <c r="M1225" s="405" t="e">
        <f t="shared" si="92"/>
        <v>#DIV/0!</v>
      </c>
      <c r="N1225" s="63" t="e">
        <f t="shared" si="93"/>
        <v>#DIV/0!</v>
      </c>
    </row>
    <row r="1226" spans="1:14" ht="18" x14ac:dyDescent="0.25">
      <c r="A1226" s="317" t="s">
        <v>446</v>
      </c>
      <c r="B1226" s="317" t="s">
        <v>447</v>
      </c>
      <c r="C1226" s="317">
        <v>1.61</v>
      </c>
      <c r="D1226" s="317">
        <v>1.62</v>
      </c>
      <c r="E1226" s="318">
        <v>33.549999999999997</v>
      </c>
      <c r="F1226" s="317">
        <v>2.88</v>
      </c>
      <c r="G1226" s="317">
        <v>0</v>
      </c>
      <c r="H1226" s="319">
        <v>18.79</v>
      </c>
      <c r="I1226" s="320">
        <v>23</v>
      </c>
      <c r="J1226" s="320">
        <v>2</v>
      </c>
      <c r="K1226" s="57">
        <f t="shared" si="90"/>
        <v>0.11432300000000001</v>
      </c>
      <c r="L1226" s="310">
        <f t="shared" si="91"/>
        <v>0.11649305555555556</v>
      </c>
      <c r="M1226" s="405">
        <f t="shared" si="92"/>
        <v>29.01737333339506</v>
      </c>
      <c r="N1226" s="63">
        <f t="shared" si="93"/>
        <v>-0.3524568959391215</v>
      </c>
    </row>
    <row r="1227" spans="1:14" ht="18" x14ac:dyDescent="0.25">
      <c r="A1227" s="317" t="s">
        <v>448</v>
      </c>
      <c r="B1227" s="317" t="s">
        <v>449</v>
      </c>
      <c r="C1227" s="317">
        <v>1.1100000000000001</v>
      </c>
      <c r="D1227" s="317">
        <v>1.59</v>
      </c>
      <c r="E1227" s="318">
        <v>20.38</v>
      </c>
      <c r="F1227" s="317">
        <v>1.18</v>
      </c>
      <c r="G1227" s="317">
        <v>0</v>
      </c>
      <c r="H1227" s="319">
        <v>53.79</v>
      </c>
      <c r="I1227" s="320">
        <v>61</v>
      </c>
      <c r="J1227" s="320">
        <v>2</v>
      </c>
      <c r="K1227" s="57">
        <f t="shared" si="90"/>
        <v>9.2173000000000005E-2</v>
      </c>
      <c r="L1227" s="310">
        <f t="shared" si="91"/>
        <v>0.17271186440677966</v>
      </c>
      <c r="M1227" s="405">
        <f t="shared" si="92"/>
        <v>49.611034834146082</v>
      </c>
      <c r="N1227" s="63">
        <f t="shared" si="93"/>
        <v>8.4234589740459026E-2</v>
      </c>
    </row>
    <row r="1228" spans="1:14" ht="18" x14ac:dyDescent="0.25">
      <c r="A1228" s="317" t="s">
        <v>3346</v>
      </c>
      <c r="B1228" s="317" t="s">
        <v>303</v>
      </c>
      <c r="C1228" s="317">
        <v>0.74</v>
      </c>
      <c r="D1228" s="317">
        <v>4.6900000000000004</v>
      </c>
      <c r="E1228" s="318">
        <v>18.89</v>
      </c>
      <c r="F1228" s="317">
        <v>1.45</v>
      </c>
      <c r="G1228" s="317">
        <v>0</v>
      </c>
      <c r="H1228" s="319">
        <v>34.380000000000003</v>
      </c>
      <c r="I1228" s="320">
        <v>41.5</v>
      </c>
      <c r="J1228" s="320">
        <v>2.2000000000000002</v>
      </c>
      <c r="K1228" s="57">
        <f t="shared" si="90"/>
        <v>7.5782000000000002E-2</v>
      </c>
      <c r="L1228" s="310">
        <f t="shared" si="91"/>
        <v>0.13027586206896552</v>
      </c>
      <c r="M1228" s="405">
        <f t="shared" si="92"/>
        <v>176.8831624213143</v>
      </c>
      <c r="N1228" s="63">
        <f t="shared" si="93"/>
        <v>-0.80563441127250435</v>
      </c>
    </row>
    <row r="1229" spans="1:14" ht="18" x14ac:dyDescent="0.25">
      <c r="A1229" s="317" t="s">
        <v>304</v>
      </c>
      <c r="B1229" s="317" t="s">
        <v>305</v>
      </c>
      <c r="C1229" s="317">
        <v>1.36</v>
      </c>
      <c r="D1229" s="317">
        <v>1.56</v>
      </c>
      <c r="E1229" s="318">
        <v>16.11</v>
      </c>
      <c r="F1229" s="317">
        <v>2.65</v>
      </c>
      <c r="G1229" s="317">
        <v>4.0999999999999996</v>
      </c>
      <c r="H1229" s="319">
        <v>55.42</v>
      </c>
      <c r="I1229" s="320">
        <v>55</v>
      </c>
      <c r="J1229" s="320">
        <v>2.6</v>
      </c>
      <c r="K1229" s="57">
        <f>$P$14+C1229*($Q$15-$P$14)</f>
        <v>0.10324800000000001</v>
      </c>
      <c r="L1229" s="310">
        <f>E1229/F1229/100</f>
        <v>6.0792452830188679E-2</v>
      </c>
      <c r="M1229" s="405">
        <f>(D1229-G1229*H1229/100)+(D1229-G1229*H1229/100)*(1+L1229)/(1+K1229)+(D1229-G1229*H1229/100)*(1+L1229)^2/(1+K1229)^2+(D1229-G1229*H1229/100)*(1+L1229)^3/(1+K1229)^3+(D1229-G1229*H1229/100)*(1+L1229)^4/(1+K1229)^4+((D1229-G1229*H1229/100)*(1+L1229)^5/(K1229-$T$22-$T$19))/((1+K1229)^5)</f>
        <v>-12.001412537097341</v>
      </c>
      <c r="N1229" s="63">
        <f t="shared" si="93"/>
        <v>-5.6177897667205654</v>
      </c>
    </row>
    <row r="1230" spans="1:14" ht="18" x14ac:dyDescent="0.25">
      <c r="A1230" s="317" t="s">
        <v>547</v>
      </c>
      <c r="B1230" s="317" t="s">
        <v>3431</v>
      </c>
      <c r="C1230" s="317">
        <v>3.21</v>
      </c>
      <c r="D1230" s="317">
        <v>0.4</v>
      </c>
      <c r="E1230" s="318">
        <v>6</v>
      </c>
      <c r="F1230" s="317">
        <v>0.44</v>
      </c>
      <c r="G1230" s="317">
        <v>0</v>
      </c>
      <c r="H1230" s="319">
        <v>3.54</v>
      </c>
      <c r="I1230" s="320">
        <v>6</v>
      </c>
      <c r="J1230" s="320">
        <v>1</v>
      </c>
      <c r="K1230" s="57">
        <f>$P$14+C1230*($Q$15-$P$14)</f>
        <v>0.18520300000000001</v>
      </c>
      <c r="L1230" s="310">
        <f>E1230/F1230/100</f>
        <v>0.13636363636363635</v>
      </c>
      <c r="M1230" s="405">
        <f>(D1230-G1230*H1230/100)+(D1230-G1230*H1230/100)*(1+L1230)/(1+K1230)+(D1230-G1230*H1230/100)*(1+L1230)^2/(1+K1230)^2+(D1230-G1230*H1230/100)*(1+L1230)^3/(1+K1230)^3+(D1230-G1230*H1230/100)*(1+L1230)^4/(1+K1230)^4+((D1230-G1230*H1230/100)*(1+L1230)^5/(K1230-$T$22-$T$19))/((1+K1230)^5)</f>
        <v>4.0140508808935369</v>
      </c>
      <c r="N1230" s="63">
        <f>(H1230-M1230)/M1230</f>
        <v>-0.11809787542802946</v>
      </c>
    </row>
    <row r="1231" spans="1:14" ht="18" x14ac:dyDescent="0.25">
      <c r="A1231" s="317" t="s">
        <v>4309</v>
      </c>
      <c r="B1231" s="317" t="s">
        <v>4310</v>
      </c>
      <c r="C1231" s="317"/>
      <c r="D1231" s="317"/>
      <c r="E1231" s="318"/>
      <c r="F1231" s="317"/>
      <c r="G1231" s="317"/>
      <c r="H1231" s="319">
        <v>48.4</v>
      </c>
      <c r="I1231" s="320"/>
      <c r="J1231" s="320"/>
      <c r="K1231" s="57">
        <f>$P$14+C1231*($Q$15-$P$14)</f>
        <v>4.2999999999999997E-2</v>
      </c>
      <c r="L1231" s="310" t="e">
        <f t="shared" ref="L1231:L1270" si="94">E1231/F1231/100</f>
        <v>#DIV/0!</v>
      </c>
      <c r="M1231" s="405" t="e">
        <f>(D1231-G1231*H1231/100)+(D1231-G1231*H1231/100)*(1+L1231)/(1+K1231)+(D1231-G1231*H1231/100)*(1+L1231)^2/(1+K1231)^2+(D1231-G1231*H1231/100)*(1+L1231)^3/(1+K1231)^3+(D1231-G1231*H1231/100)*(1+L1231)^4/(1+K1231)^4+((D1231-G1231*H1231/100)*(1+L1231)^5/(K1231-$T$22-$T$19))/((1+K1231)^5)</f>
        <v>#DIV/0!</v>
      </c>
      <c r="N1231" s="63" t="e">
        <f>(H1231-M1231)/M1231</f>
        <v>#DIV/0!</v>
      </c>
    </row>
    <row r="1232" spans="1:14" ht="18" x14ac:dyDescent="0.25">
      <c r="A1232" s="317" t="s">
        <v>2252</v>
      </c>
      <c r="B1232" s="317" t="s">
        <v>2253</v>
      </c>
      <c r="C1232" s="317"/>
      <c r="D1232" s="317"/>
      <c r="E1232" s="318"/>
      <c r="F1232" s="317"/>
      <c r="G1232" s="317"/>
      <c r="H1232" s="319">
        <v>24.74</v>
      </c>
      <c r="I1232" s="320"/>
      <c r="J1232" s="320"/>
      <c r="K1232" s="57">
        <f t="shared" ref="K1232:K1269" si="95">$P$14+C1232*($Q$15-$P$14)</f>
        <v>4.2999999999999997E-2</v>
      </c>
      <c r="L1232" s="310" t="e">
        <f t="shared" si="94"/>
        <v>#DIV/0!</v>
      </c>
      <c r="M1232" s="405" t="e">
        <f t="shared" ref="M1232:M1270" si="96">(D1232-G1232*H1232/100)+(D1232-G1232*H1232/100)*(1+L1232)/(1+K1232)+(D1232-G1232*H1232/100)*(1+L1232)^2/(1+K1232)^2+(D1232-G1232*H1232/100)*(1+L1232)^3/(1+K1232)^3+(D1232-G1232*H1232/100)*(1+L1232)^4/(1+K1232)^4+((D1232-G1232*H1232/100)*(1+L1232)^5/(K1232-$T$22-$T$19))/((1+K1232)^5)</f>
        <v>#DIV/0!</v>
      </c>
      <c r="N1232" s="63" t="e">
        <f t="shared" ref="N1232:N1270" si="97">(H1232-M1232)/M1232</f>
        <v>#DIV/0!</v>
      </c>
    </row>
    <row r="1233" spans="1:14" ht="18" x14ac:dyDescent="0.25">
      <c r="A1233" s="317" t="s">
        <v>5282</v>
      </c>
      <c r="B1233" s="317" t="s">
        <v>5283</v>
      </c>
      <c r="C1233" s="317">
        <v>0.56999999999999995</v>
      </c>
      <c r="D1233" s="317">
        <v>1.25</v>
      </c>
      <c r="E1233" s="318">
        <v>14.09</v>
      </c>
      <c r="F1233" s="317">
        <v>2.0299999999999998</v>
      </c>
      <c r="G1233" s="317">
        <v>5.2</v>
      </c>
      <c r="H1233" s="319">
        <v>37.06</v>
      </c>
      <c r="I1233" s="320">
        <v>38</v>
      </c>
      <c r="J1233" s="320">
        <v>2.5</v>
      </c>
      <c r="K1233" s="57">
        <f t="shared" si="95"/>
        <v>6.8251000000000006E-2</v>
      </c>
      <c r="L1233" s="310">
        <f t="shared" si="94"/>
        <v>6.9408866995073898E-2</v>
      </c>
      <c r="M1233" s="405">
        <f t="shared" si="96"/>
        <v>-24.502295213990926</v>
      </c>
      <c r="N1233" s="63">
        <f t="shared" si="97"/>
        <v>-2.512511365826601</v>
      </c>
    </row>
    <row r="1234" spans="1:14" ht="18" x14ac:dyDescent="0.25">
      <c r="A1234" s="317" t="s">
        <v>306</v>
      </c>
      <c r="B1234" s="317" t="s">
        <v>307</v>
      </c>
      <c r="C1234" s="317">
        <v>1.1200000000000001</v>
      </c>
      <c r="D1234" s="317">
        <v>2.36</v>
      </c>
      <c r="E1234" s="318">
        <v>14.31</v>
      </c>
      <c r="F1234" s="317">
        <v>1.21</v>
      </c>
      <c r="G1234" s="317">
        <v>1.6</v>
      </c>
      <c r="H1234" s="319">
        <v>42.8</v>
      </c>
      <c r="I1234" s="320">
        <v>46</v>
      </c>
      <c r="J1234" s="320">
        <v>2.1</v>
      </c>
      <c r="K1234" s="57">
        <f t="shared" si="95"/>
        <v>9.2616000000000004E-2</v>
      </c>
      <c r="L1234" s="310">
        <f t="shared" si="94"/>
        <v>0.11826446280991736</v>
      </c>
      <c r="M1234" s="405">
        <f t="shared" si="96"/>
        <v>42.007203662534323</v>
      </c>
      <c r="N1234" s="63">
        <f t="shared" si="97"/>
        <v>1.887286627871302E-2</v>
      </c>
    </row>
    <row r="1235" spans="1:14" ht="18" x14ac:dyDescent="0.25">
      <c r="A1235" s="317" t="s">
        <v>308</v>
      </c>
      <c r="B1235" s="317" t="s">
        <v>309</v>
      </c>
      <c r="C1235" s="317">
        <v>0.92</v>
      </c>
      <c r="D1235" s="317">
        <v>4.0599999999999996</v>
      </c>
      <c r="E1235" s="318">
        <v>18.47</v>
      </c>
      <c r="F1235" s="317">
        <v>1.43</v>
      </c>
      <c r="G1235" s="317">
        <v>0</v>
      </c>
      <c r="H1235" s="319">
        <v>96.59</v>
      </c>
      <c r="I1235" s="320">
        <v>106.75</v>
      </c>
      <c r="J1235" s="320">
        <v>2.4</v>
      </c>
      <c r="K1235" s="57">
        <f t="shared" si="95"/>
        <v>8.3755999999999997E-2</v>
      </c>
      <c r="L1235" s="310">
        <f t="shared" si="94"/>
        <v>0.12916083916083917</v>
      </c>
      <c r="M1235" s="405">
        <f t="shared" si="96"/>
        <v>126.45428258583576</v>
      </c>
      <c r="N1235" s="63">
        <f t="shared" si="97"/>
        <v>-0.23616663647246752</v>
      </c>
    </row>
    <row r="1236" spans="1:14" ht="18" x14ac:dyDescent="0.25">
      <c r="A1236" s="317" t="s">
        <v>2314</v>
      </c>
      <c r="B1236" s="317"/>
      <c r="C1236" s="317">
        <v>2.37</v>
      </c>
      <c r="D1236" s="317">
        <v>0.91</v>
      </c>
      <c r="E1236" s="318">
        <v>4.37</v>
      </c>
      <c r="F1236" s="317">
        <v>0.28999999999999998</v>
      </c>
      <c r="G1236" s="317">
        <v>0</v>
      </c>
      <c r="H1236" s="319">
        <v>5.55</v>
      </c>
      <c r="I1236" s="320">
        <v>12.75</v>
      </c>
      <c r="J1236" s="320">
        <v>1.7</v>
      </c>
      <c r="K1236" s="57">
        <f t="shared" si="95"/>
        <v>0.14799100000000001</v>
      </c>
      <c r="L1236" s="310">
        <f t="shared" si="94"/>
        <v>0.15068965517241381</v>
      </c>
      <c r="M1236" s="405">
        <f t="shared" si="96"/>
        <v>12.793052770795118</v>
      </c>
      <c r="N1236" s="63">
        <f t="shared" si="97"/>
        <v>-0.56617078820546018</v>
      </c>
    </row>
    <row r="1237" spans="1:14" ht="18" x14ac:dyDescent="0.25">
      <c r="A1237" s="317" t="s">
        <v>1716</v>
      </c>
      <c r="B1237" s="317" t="s">
        <v>1717</v>
      </c>
      <c r="C1237" s="317">
        <v>2.41</v>
      </c>
      <c r="D1237" s="317">
        <v>-1.26</v>
      </c>
      <c r="E1237" s="318">
        <v>13.58</v>
      </c>
      <c r="F1237" s="317">
        <v>1.45</v>
      </c>
      <c r="G1237" s="317">
        <v>0</v>
      </c>
      <c r="H1237" s="319">
        <v>42.77</v>
      </c>
      <c r="I1237" s="320">
        <v>43</v>
      </c>
      <c r="J1237" s="320">
        <v>2.6</v>
      </c>
      <c r="K1237" s="57">
        <f t="shared" si="95"/>
        <v>0.14976300000000003</v>
      </c>
      <c r="L1237" s="310">
        <f t="shared" si="94"/>
        <v>9.3655172413793106E-2</v>
      </c>
      <c r="M1237" s="405">
        <f t="shared" si="96"/>
        <v>-14.33882763744694</v>
      </c>
      <c r="N1237" s="63">
        <f t="shared" si="97"/>
        <v>-3.9828101070343362</v>
      </c>
    </row>
    <row r="1238" spans="1:14" ht="18" x14ac:dyDescent="0.25">
      <c r="A1238" s="317" t="s">
        <v>310</v>
      </c>
      <c r="B1238" s="317" t="s">
        <v>311</v>
      </c>
      <c r="C1238" s="317">
        <v>1.43</v>
      </c>
      <c r="D1238" s="317">
        <v>4.63</v>
      </c>
      <c r="E1238" s="318">
        <v>9.9700000000000006</v>
      </c>
      <c r="F1238" s="317">
        <v>22.21</v>
      </c>
      <c r="G1238" s="317">
        <v>0</v>
      </c>
      <c r="H1238" s="319">
        <v>38.1</v>
      </c>
      <c r="I1238" s="320">
        <v>45</v>
      </c>
      <c r="J1238" s="320">
        <v>2.2000000000000002</v>
      </c>
      <c r="K1238" s="57">
        <f t="shared" si="95"/>
        <v>0.106349</v>
      </c>
      <c r="L1238" s="310">
        <f t="shared" si="94"/>
        <v>4.4889689329131021E-3</v>
      </c>
      <c r="M1238" s="405">
        <f t="shared" si="96"/>
        <v>59.867766884524961</v>
      </c>
      <c r="N1238" s="63">
        <f t="shared" si="97"/>
        <v>-0.36359744178384651</v>
      </c>
    </row>
    <row r="1239" spans="1:14" ht="18" x14ac:dyDescent="0.25">
      <c r="A1239" s="317" t="s">
        <v>312</v>
      </c>
      <c r="B1239" s="317" t="s">
        <v>313</v>
      </c>
      <c r="C1239" s="317">
        <v>0.33</v>
      </c>
      <c r="D1239" s="317">
        <v>1.93</v>
      </c>
      <c r="E1239" s="318">
        <v>14.05</v>
      </c>
      <c r="F1239" s="317">
        <v>1.71</v>
      </c>
      <c r="G1239" s="317">
        <v>3.5</v>
      </c>
      <c r="H1239" s="319">
        <v>31.61</v>
      </c>
      <c r="I1239" s="320">
        <v>32</v>
      </c>
      <c r="J1239" s="320">
        <v>2.4</v>
      </c>
      <c r="K1239" s="57">
        <f t="shared" si="95"/>
        <v>5.7619000000000004E-2</v>
      </c>
      <c r="L1239" s="310">
        <f t="shared" si="94"/>
        <v>8.2163742690058494E-2</v>
      </c>
      <c r="M1239" s="405">
        <f t="shared" si="96"/>
        <v>47.04318647450166</v>
      </c>
      <c r="N1239" s="63">
        <f t="shared" si="97"/>
        <v>-0.32806422419677617</v>
      </c>
    </row>
    <row r="1240" spans="1:14" ht="18" x14ac:dyDescent="0.25">
      <c r="A1240" s="317" t="s">
        <v>656</v>
      </c>
      <c r="B1240" s="317" t="s">
        <v>657</v>
      </c>
      <c r="C1240" s="317">
        <v>2.35</v>
      </c>
      <c r="D1240" s="317">
        <v>4.16</v>
      </c>
      <c r="E1240" s="318">
        <v>5.79</v>
      </c>
      <c r="F1240" s="317">
        <v>1.55</v>
      </c>
      <c r="G1240" s="317">
        <v>0</v>
      </c>
      <c r="H1240" s="319">
        <v>39.11</v>
      </c>
      <c r="I1240" s="320">
        <v>48</v>
      </c>
      <c r="J1240" s="320">
        <v>3</v>
      </c>
      <c r="K1240" s="57">
        <f t="shared" si="95"/>
        <v>0.14710500000000001</v>
      </c>
      <c r="L1240" s="310">
        <f t="shared" si="94"/>
        <v>3.7354838709677415E-2</v>
      </c>
      <c r="M1240" s="405">
        <f t="shared" si="96"/>
        <v>39.828248718241454</v>
      </c>
      <c r="N1240" s="63">
        <f t="shared" si="97"/>
        <v>-1.8033650520829822E-2</v>
      </c>
    </row>
    <row r="1241" spans="1:14" ht="18" x14ac:dyDescent="0.25">
      <c r="A1241" s="317" t="s">
        <v>5067</v>
      </c>
      <c r="B1241" s="317" t="s">
        <v>1605</v>
      </c>
      <c r="C1241" s="317">
        <v>1.5</v>
      </c>
      <c r="D1241" s="317">
        <v>2.21</v>
      </c>
      <c r="E1241" s="318">
        <v>8.19</v>
      </c>
      <c r="F1241" s="317">
        <v>1.93</v>
      </c>
      <c r="G1241" s="317">
        <v>1.6</v>
      </c>
      <c r="H1241" s="319">
        <v>28.42</v>
      </c>
      <c r="I1241" s="320">
        <v>37</v>
      </c>
      <c r="J1241" s="320">
        <v>2.2999999999999998</v>
      </c>
      <c r="K1241" s="57">
        <f t="shared" si="95"/>
        <v>0.10945000000000001</v>
      </c>
      <c r="L1241" s="310">
        <f t="shared" si="94"/>
        <v>4.2435233160621762E-2</v>
      </c>
      <c r="M1241" s="405">
        <f t="shared" si="96"/>
        <v>25.279218550150784</v>
      </c>
      <c r="N1241" s="63">
        <f t="shared" si="97"/>
        <v>0.12424361313298919</v>
      </c>
    </row>
    <row r="1242" spans="1:14" ht="18" x14ac:dyDescent="0.25">
      <c r="A1242" s="317" t="s">
        <v>3799</v>
      </c>
      <c r="B1242" s="317"/>
      <c r="C1242" s="317">
        <v>1.1499999999999999</v>
      </c>
      <c r="D1242" s="317">
        <v>1.62</v>
      </c>
      <c r="E1242" s="318">
        <v>29.3</v>
      </c>
      <c r="F1242" s="317">
        <v>1.98</v>
      </c>
      <c r="G1242" s="317">
        <v>0.6</v>
      </c>
      <c r="H1242" s="319">
        <v>60.68</v>
      </c>
      <c r="I1242" s="320">
        <v>63</v>
      </c>
      <c r="J1242" s="320">
        <v>2.6</v>
      </c>
      <c r="K1242" s="57">
        <f t="shared" si="95"/>
        <v>9.3945000000000001E-2</v>
      </c>
      <c r="L1242" s="310">
        <f t="shared" si="94"/>
        <v>0.14797979797979799</v>
      </c>
      <c r="M1242" s="405">
        <f t="shared" si="96"/>
        <v>34.514252902709472</v>
      </c>
      <c r="N1242" s="63">
        <f t="shared" si="97"/>
        <v>0.75811425416183464</v>
      </c>
    </row>
    <row r="1243" spans="1:14" ht="18" x14ac:dyDescent="0.25">
      <c r="A1243" s="317" t="s">
        <v>5104</v>
      </c>
      <c r="B1243" s="317"/>
      <c r="C1243" s="317">
        <v>1.33</v>
      </c>
      <c r="D1243" s="317">
        <v>0.15</v>
      </c>
      <c r="E1243" s="318">
        <v>8.0399999999999991</v>
      </c>
      <c r="F1243" s="317">
        <v>0.65</v>
      </c>
      <c r="G1243" s="317">
        <v>0</v>
      </c>
      <c r="H1243" s="319">
        <v>11.09</v>
      </c>
      <c r="I1243" s="320">
        <v>15</v>
      </c>
      <c r="J1243" s="320">
        <v>2.5</v>
      </c>
      <c r="K1243" s="57">
        <f t="shared" si="95"/>
        <v>0.10191900000000001</v>
      </c>
      <c r="L1243" s="310">
        <f t="shared" si="94"/>
        <v>0.12369230769230768</v>
      </c>
      <c r="M1243" s="405">
        <f t="shared" si="96"/>
        <v>3.2896273754891765</v>
      </c>
      <c r="N1243" s="63">
        <f t="shared" si="97"/>
        <v>2.3712024901759237</v>
      </c>
    </row>
    <row r="1244" spans="1:14" ht="18" x14ac:dyDescent="0.25">
      <c r="A1244" s="317" t="s">
        <v>3665</v>
      </c>
      <c r="B1244" s="317" t="s">
        <v>3666</v>
      </c>
      <c r="C1244" s="317">
        <v>2.41</v>
      </c>
      <c r="D1244" s="317">
        <v>-0.86</v>
      </c>
      <c r="E1244" s="318">
        <v>13.8</v>
      </c>
      <c r="F1244" s="317">
        <v>5.99</v>
      </c>
      <c r="G1244" s="317">
        <v>0</v>
      </c>
      <c r="H1244" s="319">
        <v>9.8000000000000007</v>
      </c>
      <c r="I1244" s="320">
        <v>11</v>
      </c>
      <c r="J1244" s="320">
        <v>2.5</v>
      </c>
      <c r="K1244" s="57">
        <f t="shared" si="95"/>
        <v>0.14976300000000003</v>
      </c>
      <c r="L1244" s="310">
        <f t="shared" si="94"/>
        <v>2.3038397328881469E-2</v>
      </c>
      <c r="M1244" s="405">
        <f t="shared" si="96"/>
        <v>-7.6671115083243535</v>
      </c>
      <c r="N1244" s="63">
        <f t="shared" si="97"/>
        <v>-2.278186705561791</v>
      </c>
    </row>
    <row r="1245" spans="1:14" ht="18" x14ac:dyDescent="0.25">
      <c r="A1245" s="317" t="s">
        <v>450</v>
      </c>
      <c r="B1245" s="317" t="s">
        <v>3572</v>
      </c>
      <c r="C1245" s="317"/>
      <c r="D1245" s="317"/>
      <c r="E1245" s="318"/>
      <c r="F1245" s="317"/>
      <c r="G1245" s="317"/>
      <c r="H1245" s="319"/>
      <c r="I1245" s="320"/>
      <c r="J1245" s="320"/>
      <c r="K1245" s="57">
        <f t="shared" si="95"/>
        <v>4.2999999999999997E-2</v>
      </c>
      <c r="L1245" s="310" t="e">
        <f t="shared" si="94"/>
        <v>#DIV/0!</v>
      </c>
      <c r="M1245" s="405" t="e">
        <f t="shared" si="96"/>
        <v>#DIV/0!</v>
      </c>
      <c r="N1245" s="63" t="e">
        <f t="shared" si="97"/>
        <v>#DIV/0!</v>
      </c>
    </row>
    <row r="1246" spans="1:14" ht="18" x14ac:dyDescent="0.25">
      <c r="A1246" s="317" t="s">
        <v>314</v>
      </c>
      <c r="B1246" s="317" t="s">
        <v>315</v>
      </c>
      <c r="C1246" s="317">
        <v>2.1800000000000002</v>
      </c>
      <c r="D1246" s="317">
        <v>8.01</v>
      </c>
      <c r="E1246" s="318">
        <v>8.66</v>
      </c>
      <c r="F1246" s="317">
        <v>0.56000000000000005</v>
      </c>
      <c r="G1246" s="317">
        <v>2.2999999999999998</v>
      </c>
      <c r="H1246" s="319">
        <v>84.39</v>
      </c>
      <c r="I1246" s="320">
        <v>100</v>
      </c>
      <c r="J1246" s="320">
        <v>2.1</v>
      </c>
      <c r="K1246" s="57">
        <f t="shared" si="95"/>
        <v>0.13957400000000003</v>
      </c>
      <c r="L1246" s="310">
        <f t="shared" si="94"/>
        <v>0.15464285714285714</v>
      </c>
      <c r="M1246" s="405">
        <f t="shared" si="96"/>
        <v>93.732401165182196</v>
      </c>
      <c r="N1246" s="63">
        <f t="shared" si="97"/>
        <v>-9.9670989423586015E-2</v>
      </c>
    </row>
    <row r="1247" spans="1:14" ht="18" x14ac:dyDescent="0.25">
      <c r="A1247" s="317" t="s">
        <v>316</v>
      </c>
      <c r="B1247" s="317" t="s">
        <v>317</v>
      </c>
      <c r="C1247" s="317">
        <v>0.92</v>
      </c>
      <c r="D1247" s="317">
        <v>0.66</v>
      </c>
      <c r="E1247" s="318">
        <v>15.25</v>
      </c>
      <c r="F1247" s="317">
        <v>10.47</v>
      </c>
      <c r="G1247" s="317">
        <v>7.8</v>
      </c>
      <c r="H1247" s="319">
        <v>12.66</v>
      </c>
      <c r="I1247" s="320">
        <v>14</v>
      </c>
      <c r="J1247" s="320">
        <v>2.4</v>
      </c>
      <c r="K1247" s="57">
        <f t="shared" si="95"/>
        <v>8.3755999999999997E-2</v>
      </c>
      <c r="L1247" s="310">
        <f t="shared" si="94"/>
        <v>1.4565425023877745E-2</v>
      </c>
      <c r="M1247" s="405">
        <f t="shared" si="96"/>
        <v>-6.3718507823340609</v>
      </c>
      <c r="N1247" s="63">
        <f t="shared" si="97"/>
        <v>-2.9868638536074661</v>
      </c>
    </row>
    <row r="1248" spans="1:14" ht="18" x14ac:dyDescent="0.25">
      <c r="A1248" s="317" t="s">
        <v>5073</v>
      </c>
      <c r="B1248" s="317" t="s">
        <v>4018</v>
      </c>
      <c r="C1248" s="317">
        <v>1.76</v>
      </c>
      <c r="D1248" s="317">
        <v>0.47</v>
      </c>
      <c r="E1248" s="318">
        <v>21.9</v>
      </c>
      <c r="F1248" s="317">
        <v>1.59</v>
      </c>
      <c r="G1248" s="317">
        <v>0.6</v>
      </c>
      <c r="H1248" s="319">
        <v>13.58</v>
      </c>
      <c r="I1248" s="320">
        <v>14</v>
      </c>
      <c r="J1248" s="320">
        <v>3.3</v>
      </c>
      <c r="K1248" s="57">
        <f t="shared" si="95"/>
        <v>0.12096800000000001</v>
      </c>
      <c r="L1248" s="310">
        <f t="shared" si="94"/>
        <v>0.13773584905660377</v>
      </c>
      <c r="M1248" s="405">
        <f t="shared" si="96"/>
        <v>6.9265114214267776</v>
      </c>
      <c r="N1248" s="63">
        <f t="shared" si="97"/>
        <v>0.96058292172752735</v>
      </c>
    </row>
    <row r="1249" spans="1:14" ht="18" x14ac:dyDescent="0.25">
      <c r="A1249" s="317" t="s">
        <v>5105</v>
      </c>
      <c r="B1249" s="317"/>
      <c r="C1249" s="317">
        <v>1.87</v>
      </c>
      <c r="D1249" s="317">
        <v>2.5499999999999998</v>
      </c>
      <c r="E1249" s="318">
        <v>11.41</v>
      </c>
      <c r="F1249" s="317">
        <v>0.81</v>
      </c>
      <c r="G1249" s="317">
        <v>0</v>
      </c>
      <c r="H1249" s="319">
        <v>63.56</v>
      </c>
      <c r="I1249" s="320">
        <v>80</v>
      </c>
      <c r="J1249" s="320">
        <v>1.9</v>
      </c>
      <c r="K1249" s="57">
        <f t="shared" si="95"/>
        <v>0.12584100000000001</v>
      </c>
      <c r="L1249" s="310">
        <f t="shared" si="94"/>
        <v>0.14086419753086418</v>
      </c>
      <c r="M1249" s="405">
        <f t="shared" si="96"/>
        <v>43.423281394561158</v>
      </c>
      <c r="N1249" s="63">
        <f t="shared" si="97"/>
        <v>0.46373092863408066</v>
      </c>
    </row>
    <row r="1250" spans="1:14" ht="18" x14ac:dyDescent="0.25">
      <c r="A1250" s="317" t="s">
        <v>3573</v>
      </c>
      <c r="B1250" s="317" t="s">
        <v>3574</v>
      </c>
      <c r="C1250" s="317">
        <v>1.02</v>
      </c>
      <c r="D1250" s="317">
        <v>7.36</v>
      </c>
      <c r="E1250" s="318">
        <v>10.24</v>
      </c>
      <c r="F1250" s="317">
        <v>1.17</v>
      </c>
      <c r="G1250" s="317">
        <v>1.3</v>
      </c>
      <c r="H1250" s="319">
        <v>78.31</v>
      </c>
      <c r="I1250" s="320">
        <v>86.5</v>
      </c>
      <c r="J1250" s="320">
        <v>2</v>
      </c>
      <c r="K1250" s="57">
        <f t="shared" si="95"/>
        <v>8.8186E-2</v>
      </c>
      <c r="L1250" s="310">
        <f t="shared" si="94"/>
        <v>8.7521367521367535E-2</v>
      </c>
      <c r="M1250" s="405">
        <f t="shared" si="96"/>
        <v>152.8267395890737</v>
      </c>
      <c r="N1250" s="63">
        <f t="shared" si="97"/>
        <v>-0.48758967042964546</v>
      </c>
    </row>
    <row r="1251" spans="1:14" ht="18" x14ac:dyDescent="0.25">
      <c r="A1251" s="317" t="s">
        <v>1235</v>
      </c>
      <c r="B1251" s="317"/>
      <c r="C1251" s="317">
        <v>1.9</v>
      </c>
      <c r="D1251" s="317">
        <v>7.18</v>
      </c>
      <c r="E1251" s="318">
        <v>8.18</v>
      </c>
      <c r="F1251" s="317">
        <v>0.49</v>
      </c>
      <c r="G1251" s="317">
        <v>0.4</v>
      </c>
      <c r="H1251" s="319">
        <v>128.57</v>
      </c>
      <c r="I1251" s="320">
        <v>158</v>
      </c>
      <c r="J1251" s="320">
        <v>2</v>
      </c>
      <c r="K1251" s="57">
        <f t="shared" si="95"/>
        <v>0.12717000000000001</v>
      </c>
      <c r="L1251" s="310">
        <f t="shared" si="94"/>
        <v>0.16693877551020406</v>
      </c>
      <c r="M1251" s="405">
        <f t="shared" si="96"/>
        <v>122.71860608616049</v>
      </c>
      <c r="N1251" s="63">
        <f t="shared" si="97"/>
        <v>4.7681391603578427E-2</v>
      </c>
    </row>
    <row r="1252" spans="1:14" ht="18" x14ac:dyDescent="0.25">
      <c r="A1252" s="317" t="s">
        <v>1718</v>
      </c>
      <c r="B1252" s="317" t="s">
        <v>1719</v>
      </c>
      <c r="C1252" s="317">
        <v>0.57999999999999996</v>
      </c>
      <c r="D1252" s="317">
        <v>2</v>
      </c>
      <c r="E1252" s="318">
        <v>14.89</v>
      </c>
      <c r="F1252" s="317">
        <v>1.77</v>
      </c>
      <c r="G1252" s="317">
        <v>3.4</v>
      </c>
      <c r="H1252" s="319">
        <v>38.72</v>
      </c>
      <c r="I1252" s="320">
        <v>40</v>
      </c>
      <c r="J1252" s="320">
        <v>2.2000000000000002</v>
      </c>
      <c r="K1252" s="57">
        <f t="shared" si="95"/>
        <v>6.8694000000000005E-2</v>
      </c>
      <c r="L1252" s="310">
        <f t="shared" si="94"/>
        <v>8.412429378531075E-2</v>
      </c>
      <c r="M1252" s="405">
        <f t="shared" si="96"/>
        <v>25.977825494892066</v>
      </c>
      <c r="N1252" s="63">
        <f t="shared" si="97"/>
        <v>0.49050196705699578</v>
      </c>
    </row>
    <row r="1253" spans="1:14" ht="18" x14ac:dyDescent="0.25">
      <c r="A1253" s="317" t="s">
        <v>3575</v>
      </c>
      <c r="B1253" s="317" t="s">
        <v>3576</v>
      </c>
      <c r="C1253" s="317">
        <v>1.26</v>
      </c>
      <c r="D1253" s="317">
        <v>-1.88</v>
      </c>
      <c r="E1253" s="318">
        <v>17.95</v>
      </c>
      <c r="F1253" s="317">
        <v>1.3</v>
      </c>
      <c r="G1253" s="317">
        <v>2.4</v>
      </c>
      <c r="H1253" s="319">
        <v>30.86</v>
      </c>
      <c r="I1253" s="320">
        <v>36</v>
      </c>
      <c r="J1253" s="320">
        <v>1.8</v>
      </c>
      <c r="K1253" s="57">
        <f t="shared" si="95"/>
        <v>9.8818000000000003E-2</v>
      </c>
      <c r="L1253" s="310">
        <f t="shared" si="94"/>
        <v>0.13807692307692307</v>
      </c>
      <c r="M1253" s="405">
        <f t="shared" si="96"/>
        <v>-63.796015509637066</v>
      </c>
      <c r="N1253" s="63">
        <f t="shared" si="97"/>
        <v>-1.4837292698215339</v>
      </c>
    </row>
    <row r="1254" spans="1:14" ht="18" x14ac:dyDescent="0.25">
      <c r="A1254" s="317" t="s">
        <v>2315</v>
      </c>
      <c r="B1254" s="317"/>
      <c r="C1254" s="317">
        <v>1.6</v>
      </c>
      <c r="D1254" s="317">
        <v>1.89</v>
      </c>
      <c r="E1254" s="318">
        <v>16.11</v>
      </c>
      <c r="F1254" s="317">
        <v>1.61</v>
      </c>
      <c r="G1254" s="317">
        <v>0</v>
      </c>
      <c r="H1254" s="319">
        <v>33.340000000000003</v>
      </c>
      <c r="I1254" s="320">
        <v>40</v>
      </c>
      <c r="J1254" s="320">
        <v>2.2000000000000002</v>
      </c>
      <c r="K1254" s="57">
        <f t="shared" si="95"/>
        <v>0.11388000000000001</v>
      </c>
      <c r="L1254" s="310">
        <f t="shared" si="94"/>
        <v>0.10006211180124223</v>
      </c>
      <c r="M1254" s="405">
        <f t="shared" si="96"/>
        <v>32.018170979378766</v>
      </c>
      <c r="N1254" s="63">
        <f t="shared" si="97"/>
        <v>4.1283714221919746E-2</v>
      </c>
    </row>
    <row r="1255" spans="1:14" ht="18" x14ac:dyDescent="0.25">
      <c r="A1255" s="317" t="s">
        <v>287</v>
      </c>
      <c r="B1255" s="317" t="s">
        <v>1606</v>
      </c>
      <c r="C1255" s="317">
        <v>0.37</v>
      </c>
      <c r="D1255" s="317">
        <v>4.46</v>
      </c>
      <c r="E1255" s="318">
        <v>11.36</v>
      </c>
      <c r="F1255" s="317">
        <v>1.1599999999999999</v>
      </c>
      <c r="G1255" s="317">
        <v>2.8</v>
      </c>
      <c r="H1255" s="319">
        <v>55.46</v>
      </c>
      <c r="I1255" s="320">
        <v>61</v>
      </c>
      <c r="J1255" s="320">
        <v>2.1</v>
      </c>
      <c r="K1255" s="57">
        <f t="shared" si="95"/>
        <v>5.9390999999999999E-2</v>
      </c>
      <c r="L1255" s="310">
        <f t="shared" si="94"/>
        <v>9.7931034482758625E-2</v>
      </c>
      <c r="M1255" s="405">
        <f t="shared" si="96"/>
        <v>164.22870204219458</v>
      </c>
      <c r="N1255" s="63">
        <f t="shared" si="97"/>
        <v>-0.66230019898865844</v>
      </c>
    </row>
    <row r="1256" spans="1:14" ht="18" x14ac:dyDescent="0.25">
      <c r="A1256" s="317" t="s">
        <v>469</v>
      </c>
      <c r="B1256" s="317" t="s">
        <v>470</v>
      </c>
      <c r="C1256" s="317">
        <v>1.0900000000000001</v>
      </c>
      <c r="D1256" s="317">
        <v>0.12</v>
      </c>
      <c r="E1256" s="318">
        <v>9.09</v>
      </c>
      <c r="F1256" s="317">
        <v>0.71</v>
      </c>
      <c r="G1256" s="317">
        <v>0</v>
      </c>
      <c r="H1256" s="319">
        <v>10</v>
      </c>
      <c r="I1256" s="320">
        <v>11</v>
      </c>
      <c r="J1256" s="320">
        <v>3.1</v>
      </c>
      <c r="K1256" s="57">
        <f t="shared" si="95"/>
        <v>9.1287000000000007E-2</v>
      </c>
      <c r="L1256" s="310">
        <f t="shared" si="94"/>
        <v>0.12802816901408451</v>
      </c>
      <c r="M1256" s="405">
        <f t="shared" si="96"/>
        <v>3.2030998259948795</v>
      </c>
      <c r="N1256" s="63">
        <f t="shared" si="97"/>
        <v>2.1219757557490455</v>
      </c>
    </row>
    <row r="1257" spans="1:14" ht="18" x14ac:dyDescent="0.25">
      <c r="A1257" s="317" t="s">
        <v>318</v>
      </c>
      <c r="B1257" s="317" t="s">
        <v>3383</v>
      </c>
      <c r="C1257" s="317">
        <v>0.41</v>
      </c>
      <c r="D1257" s="317">
        <v>1.27</v>
      </c>
      <c r="E1257" s="318">
        <v>12.09</v>
      </c>
      <c r="F1257" s="317">
        <v>1.52</v>
      </c>
      <c r="G1257" s="317">
        <v>0</v>
      </c>
      <c r="H1257" s="319">
        <v>62.64</v>
      </c>
      <c r="I1257" s="320">
        <v>64</v>
      </c>
      <c r="J1257" s="320">
        <v>2.2999999999999998</v>
      </c>
      <c r="K1257" s="57">
        <f t="shared" si="95"/>
        <v>6.1162999999999995E-2</v>
      </c>
      <c r="L1257" s="310">
        <f t="shared" si="94"/>
        <v>7.9539473684210521E-2</v>
      </c>
      <c r="M1257" s="405">
        <f t="shared" si="96"/>
        <v>61.568801480239429</v>
      </c>
      <c r="N1257" s="63">
        <f t="shared" si="97"/>
        <v>1.739839811733827E-2</v>
      </c>
    </row>
    <row r="1258" spans="1:14" ht="18" x14ac:dyDescent="0.25">
      <c r="A1258" s="317" t="s">
        <v>3384</v>
      </c>
      <c r="B1258" s="317" t="s">
        <v>3385</v>
      </c>
      <c r="C1258" s="317">
        <v>1.02</v>
      </c>
      <c r="D1258" s="317">
        <v>31.04</v>
      </c>
      <c r="E1258" s="318">
        <v>26.28</v>
      </c>
      <c r="F1258" s="317">
        <v>0.73</v>
      </c>
      <c r="G1258" s="317">
        <v>2.2000000000000002</v>
      </c>
      <c r="H1258" s="319">
        <v>441.32</v>
      </c>
      <c r="I1258" s="320">
        <v>445</v>
      </c>
      <c r="J1258" s="320">
        <v>3</v>
      </c>
      <c r="K1258" s="57">
        <f t="shared" si="95"/>
        <v>8.8186E-2</v>
      </c>
      <c r="L1258" s="310">
        <f t="shared" si="94"/>
        <v>0.36</v>
      </c>
      <c r="M1258" s="405">
        <f t="shared" si="96"/>
        <v>1421.3273000632139</v>
      </c>
      <c r="N1258" s="63">
        <f t="shared" si="97"/>
        <v>-0.68950149625608959</v>
      </c>
    </row>
    <row r="1259" spans="1:14" ht="18" x14ac:dyDescent="0.25">
      <c r="A1259" s="317" t="s">
        <v>3577</v>
      </c>
      <c r="B1259" s="317" t="s">
        <v>3578</v>
      </c>
      <c r="C1259" s="317">
        <v>1.57</v>
      </c>
      <c r="D1259" s="317">
        <v>0.75</v>
      </c>
      <c r="E1259" s="318">
        <v>12.02</v>
      </c>
      <c r="F1259" s="317">
        <v>0</v>
      </c>
      <c r="G1259" s="317">
        <v>1.8</v>
      </c>
      <c r="H1259" s="319">
        <v>6.97</v>
      </c>
      <c r="I1259" s="320">
        <v>9</v>
      </c>
      <c r="J1259" s="320">
        <v>3</v>
      </c>
      <c r="K1259" s="57">
        <f t="shared" si="95"/>
        <v>0.11255100000000001</v>
      </c>
      <c r="L1259" s="310" t="e">
        <f t="shared" si="94"/>
        <v>#DIV/0!</v>
      </c>
      <c r="M1259" s="405" t="e">
        <f t="shared" si="96"/>
        <v>#DIV/0!</v>
      </c>
      <c r="N1259" s="63" t="e">
        <f t="shared" si="97"/>
        <v>#DIV/0!</v>
      </c>
    </row>
    <row r="1260" spans="1:14" ht="18" x14ac:dyDescent="0.25">
      <c r="A1260" s="317" t="s">
        <v>3579</v>
      </c>
      <c r="B1260" s="317" t="s">
        <v>3580</v>
      </c>
      <c r="C1260" s="317">
        <v>1.61</v>
      </c>
      <c r="D1260" s="317">
        <v>2.99</v>
      </c>
      <c r="E1260" s="318">
        <v>13.44</v>
      </c>
      <c r="F1260" s="317">
        <v>0.94</v>
      </c>
      <c r="G1260" s="317">
        <v>0</v>
      </c>
      <c r="H1260" s="319">
        <v>62.61</v>
      </c>
      <c r="I1260" s="320">
        <v>65</v>
      </c>
      <c r="J1260" s="320">
        <v>1.7</v>
      </c>
      <c r="K1260" s="57">
        <f t="shared" si="95"/>
        <v>0.11432300000000001</v>
      </c>
      <c r="L1260" s="310">
        <f t="shared" si="94"/>
        <v>0.14297872340425533</v>
      </c>
      <c r="M1260" s="405">
        <f t="shared" si="96"/>
        <v>59.081748118053838</v>
      </c>
      <c r="N1260" s="63">
        <f t="shared" si="97"/>
        <v>5.9718136215201459E-2</v>
      </c>
    </row>
    <row r="1261" spans="1:14" ht="18" x14ac:dyDescent="0.25">
      <c r="A1261" s="317" t="s">
        <v>2316</v>
      </c>
      <c r="B1261" s="317"/>
      <c r="C1261" s="317">
        <v>1.77</v>
      </c>
      <c r="D1261" s="317">
        <v>5.29</v>
      </c>
      <c r="E1261" s="318">
        <v>9.32</v>
      </c>
      <c r="F1261" s="317">
        <v>0.97</v>
      </c>
      <c r="G1261" s="317">
        <v>0</v>
      </c>
      <c r="H1261" s="319">
        <v>67.599999999999994</v>
      </c>
      <c r="I1261" s="320">
        <v>69.5</v>
      </c>
      <c r="J1261" s="320">
        <v>2.2999999999999998</v>
      </c>
      <c r="K1261" s="57">
        <f t="shared" si="95"/>
        <v>0.12141100000000001</v>
      </c>
      <c r="L1261" s="310">
        <f t="shared" si="94"/>
        <v>9.6082474226804132E-2</v>
      </c>
      <c r="M1261" s="405">
        <f t="shared" si="96"/>
        <v>80.532083071653787</v>
      </c>
      <c r="N1261" s="63">
        <f t="shared" si="97"/>
        <v>-0.1605829947320177</v>
      </c>
    </row>
    <row r="1262" spans="1:14" ht="18" x14ac:dyDescent="0.25">
      <c r="A1262" s="317" t="s">
        <v>2206</v>
      </c>
      <c r="B1262" s="317" t="s">
        <v>2207</v>
      </c>
      <c r="C1262" s="317">
        <v>1.82</v>
      </c>
      <c r="D1262" s="317">
        <v>1.83</v>
      </c>
      <c r="E1262" s="318">
        <v>17.399999999999999</v>
      </c>
      <c r="F1262" s="317">
        <v>1.29</v>
      </c>
      <c r="G1262" s="317">
        <v>1.6</v>
      </c>
      <c r="H1262" s="319">
        <v>43.32</v>
      </c>
      <c r="I1262" s="320">
        <v>41</v>
      </c>
      <c r="J1262" s="320">
        <v>2.4</v>
      </c>
      <c r="K1262" s="57">
        <f t="shared" si="95"/>
        <v>0.12362600000000001</v>
      </c>
      <c r="L1262" s="310">
        <f t="shared" si="94"/>
        <v>0.13488372093023254</v>
      </c>
      <c r="M1262" s="405">
        <f t="shared" si="96"/>
        <v>19.436789060291261</v>
      </c>
      <c r="N1262" s="63">
        <f t="shared" si="97"/>
        <v>1.2287631905468057</v>
      </c>
    </row>
    <row r="1263" spans="1:14" ht="18" x14ac:dyDescent="0.25">
      <c r="A1263" s="317" t="s">
        <v>3581</v>
      </c>
      <c r="B1263" s="317" t="s">
        <v>3582</v>
      </c>
      <c r="C1263" s="317">
        <v>1.26</v>
      </c>
      <c r="D1263" s="317">
        <v>0.12</v>
      </c>
      <c r="E1263" s="318">
        <v>16.48</v>
      </c>
      <c r="F1263" s="317">
        <v>0.9</v>
      </c>
      <c r="G1263" s="317">
        <v>0</v>
      </c>
      <c r="H1263" s="319">
        <v>4.45</v>
      </c>
      <c r="I1263" s="320">
        <v>5</v>
      </c>
      <c r="J1263" s="320">
        <v>2</v>
      </c>
      <c r="K1263" s="57">
        <f t="shared" si="95"/>
        <v>9.8818000000000003E-2</v>
      </c>
      <c r="L1263" s="310">
        <f t="shared" si="94"/>
        <v>0.18311111111111111</v>
      </c>
      <c r="M1263" s="405">
        <f t="shared" si="96"/>
        <v>3.4637606190814259</v>
      </c>
      <c r="N1263" s="63">
        <f t="shared" si="97"/>
        <v>0.28473081410000001</v>
      </c>
    </row>
    <row r="1264" spans="1:14" ht="18" x14ac:dyDescent="0.25">
      <c r="A1264" s="317" t="s">
        <v>5106</v>
      </c>
      <c r="B1264" s="317"/>
      <c r="C1264" s="317">
        <v>1.45</v>
      </c>
      <c r="D1264" s="317">
        <v>1.36</v>
      </c>
      <c r="E1264" s="318">
        <v>12.16</v>
      </c>
      <c r="F1264" s="317">
        <v>1.1599999999999999</v>
      </c>
      <c r="G1264" s="317">
        <v>1.3</v>
      </c>
      <c r="H1264" s="319">
        <v>20.78</v>
      </c>
      <c r="I1264" s="320">
        <v>24</v>
      </c>
      <c r="J1264" s="320">
        <v>2</v>
      </c>
      <c r="K1264" s="57">
        <f t="shared" si="95"/>
        <v>0.107235</v>
      </c>
      <c r="L1264" s="310">
        <f t="shared" si="94"/>
        <v>0.10482758620689657</v>
      </c>
      <c r="M1264" s="405">
        <f t="shared" si="96"/>
        <v>20.559553185201601</v>
      </c>
      <c r="N1264" s="63">
        <f t="shared" si="97"/>
        <v>1.072235436308382E-2</v>
      </c>
    </row>
    <row r="1265" spans="1:14" ht="18" x14ac:dyDescent="0.25">
      <c r="A1265" s="317" t="s">
        <v>4373</v>
      </c>
      <c r="B1265" s="317" t="s">
        <v>4374</v>
      </c>
      <c r="C1265" s="317">
        <v>-0.56000000000000005</v>
      </c>
      <c r="D1265" s="317">
        <v>0.53</v>
      </c>
      <c r="E1265" s="318">
        <v>6.21</v>
      </c>
      <c r="F1265" s="317">
        <v>0.32</v>
      </c>
      <c r="G1265" s="317">
        <v>0</v>
      </c>
      <c r="H1265" s="319">
        <v>4.72</v>
      </c>
      <c r="I1265" s="320">
        <v>9</v>
      </c>
      <c r="J1265" s="320">
        <v>1.7</v>
      </c>
      <c r="K1265" s="57">
        <f t="shared" si="95"/>
        <v>1.8191999999999989E-2</v>
      </c>
      <c r="L1265" s="310">
        <f t="shared" si="94"/>
        <v>0.1940625</v>
      </c>
      <c r="M1265" s="405">
        <f t="shared" si="96"/>
        <v>-62.278044977211813</v>
      </c>
      <c r="N1265" s="63">
        <f t="shared" si="97"/>
        <v>-1.075789148514972</v>
      </c>
    </row>
    <row r="1266" spans="1:14" ht="18" x14ac:dyDescent="0.25">
      <c r="A1266" s="317" t="s">
        <v>3583</v>
      </c>
      <c r="B1266" s="317" t="s">
        <v>3584</v>
      </c>
      <c r="C1266" s="317">
        <v>1.1599999999999999</v>
      </c>
      <c r="D1266" s="317">
        <v>2.11</v>
      </c>
      <c r="E1266" s="318">
        <v>13.86</v>
      </c>
      <c r="F1266" s="317">
        <v>1.2</v>
      </c>
      <c r="G1266" s="317">
        <v>1.2</v>
      </c>
      <c r="H1266" s="319">
        <v>38.25</v>
      </c>
      <c r="I1266" s="320">
        <v>44</v>
      </c>
      <c r="J1266" s="320">
        <v>2.4</v>
      </c>
      <c r="K1266" s="57">
        <f t="shared" si="95"/>
        <v>9.4388E-2</v>
      </c>
      <c r="L1266" s="310">
        <f t="shared" si="94"/>
        <v>0.11550000000000001</v>
      </c>
      <c r="M1266" s="405">
        <f t="shared" si="96"/>
        <v>39.69075526203973</v>
      </c>
      <c r="N1266" s="63">
        <f t="shared" si="97"/>
        <v>-3.629951741980756E-2</v>
      </c>
    </row>
    <row r="1267" spans="1:14" ht="18" x14ac:dyDescent="0.25">
      <c r="A1267" s="317" t="s">
        <v>3585</v>
      </c>
      <c r="B1267" s="317" t="s">
        <v>3586</v>
      </c>
      <c r="C1267" s="317">
        <v>1.86</v>
      </c>
      <c r="D1267" s="317">
        <v>1.2</v>
      </c>
      <c r="E1267" s="318">
        <v>14.06</v>
      </c>
      <c r="F1267" s="317">
        <v>0.94</v>
      </c>
      <c r="G1267" s="317">
        <v>0</v>
      </c>
      <c r="H1267" s="319">
        <v>17.43</v>
      </c>
      <c r="I1267" s="320">
        <v>21</v>
      </c>
      <c r="J1267" s="320">
        <v>1.6</v>
      </c>
      <c r="K1267" s="57">
        <f t="shared" si="95"/>
        <v>0.12539800000000001</v>
      </c>
      <c r="L1267" s="310">
        <f t="shared" si="94"/>
        <v>0.14957446808510638</v>
      </c>
      <c r="M1267" s="405">
        <f t="shared" si="96"/>
        <v>21.191618146966103</v>
      </c>
      <c r="N1267" s="63">
        <f t="shared" si="97"/>
        <v>-0.17750499848000684</v>
      </c>
    </row>
    <row r="1268" spans="1:14" ht="18" x14ac:dyDescent="0.25">
      <c r="A1268" s="317" t="s">
        <v>3386</v>
      </c>
      <c r="B1268" s="317" t="s">
        <v>3387</v>
      </c>
      <c r="C1268" s="317">
        <v>1.1399999999999999</v>
      </c>
      <c r="D1268" s="317">
        <v>3.99</v>
      </c>
      <c r="E1268" s="318">
        <v>24.04</v>
      </c>
      <c r="F1268" s="317">
        <v>14.52</v>
      </c>
      <c r="G1268" s="317">
        <v>2.6</v>
      </c>
      <c r="H1268" s="319">
        <v>22.36</v>
      </c>
      <c r="I1268" s="320">
        <v>22.75</v>
      </c>
      <c r="J1268" s="320">
        <v>3.1</v>
      </c>
      <c r="K1268" s="57">
        <f t="shared" si="95"/>
        <v>9.3502000000000002E-2</v>
      </c>
      <c r="L1268" s="310">
        <f t="shared" si="94"/>
        <v>1.6556473829201102E-2</v>
      </c>
      <c r="M1268" s="405">
        <f t="shared" si="96"/>
        <v>55.965930045784205</v>
      </c>
      <c r="N1268" s="63">
        <f t="shared" si="97"/>
        <v>-0.60047121558226779</v>
      </c>
    </row>
    <row r="1269" spans="1:14" ht="18" x14ac:dyDescent="0.25">
      <c r="A1269" s="317" t="s">
        <v>350</v>
      </c>
      <c r="B1269" s="317" t="s">
        <v>351</v>
      </c>
      <c r="C1269" s="317">
        <v>3.41</v>
      </c>
      <c r="D1269" s="317">
        <v>2.2000000000000002</v>
      </c>
      <c r="E1269" s="318">
        <v>13.02</v>
      </c>
      <c r="F1269" s="317">
        <v>3.92</v>
      </c>
      <c r="G1269" s="317">
        <v>1.7</v>
      </c>
      <c r="H1269" s="319">
        <v>33.85</v>
      </c>
      <c r="I1269" s="320">
        <v>41</v>
      </c>
      <c r="J1269" s="320">
        <v>1.8</v>
      </c>
      <c r="K1269" s="57">
        <f t="shared" si="95"/>
        <v>0.19406300000000004</v>
      </c>
      <c r="L1269" s="310">
        <f t="shared" si="94"/>
        <v>3.321428571428571E-2</v>
      </c>
      <c r="M1269" s="405">
        <f t="shared" si="96"/>
        <v>11.195451107614957</v>
      </c>
      <c r="N1269" s="63">
        <f t="shared" si="97"/>
        <v>2.0235494465225972</v>
      </c>
    </row>
    <row r="1270" spans="1:14" ht="18" x14ac:dyDescent="0.25">
      <c r="A1270" s="317" t="s">
        <v>1720</v>
      </c>
      <c r="B1270" s="317" t="s">
        <v>1721</v>
      </c>
      <c r="C1270" s="317">
        <v>2.54</v>
      </c>
      <c r="D1270" s="317">
        <v>1.29</v>
      </c>
      <c r="E1270" s="318">
        <v>35.71</v>
      </c>
      <c r="F1270" s="317">
        <v>1.19</v>
      </c>
      <c r="G1270" s="317">
        <v>0.8</v>
      </c>
      <c r="H1270" s="319">
        <v>145.69</v>
      </c>
      <c r="I1270" s="320">
        <v>127</v>
      </c>
      <c r="J1270" s="320">
        <v>2.6</v>
      </c>
      <c r="K1270" s="57">
        <f>$P$14+C1270*($Q$15-$P$14)</f>
        <v>0.15552199999999999</v>
      </c>
      <c r="L1270" s="310">
        <f t="shared" si="94"/>
        <v>0.30008403361344543</v>
      </c>
      <c r="M1270" s="405">
        <f t="shared" si="96"/>
        <v>2.6765266804723788</v>
      </c>
      <c r="N1270" s="63">
        <f t="shared" si="97"/>
        <v>53.432485602679378</v>
      </c>
    </row>
    <row r="1271" spans="1:14" ht="18" x14ac:dyDescent="0.25">
      <c r="A1271" s="317" t="s">
        <v>3791</v>
      </c>
      <c r="B1271" s="317" t="s">
        <v>3388</v>
      </c>
      <c r="C1271" s="317">
        <v>2.46</v>
      </c>
      <c r="D1271" s="317">
        <v>-2.86</v>
      </c>
      <c r="E1271" s="318">
        <v>8.52</v>
      </c>
      <c r="F1271" s="317">
        <v>0.63</v>
      </c>
      <c r="G1271" s="317">
        <v>0.4</v>
      </c>
      <c r="H1271" s="319">
        <v>46.44</v>
      </c>
      <c r="I1271" s="320">
        <v>60.5</v>
      </c>
      <c r="J1271" s="320">
        <v>2.6</v>
      </c>
      <c r="K1271" s="57">
        <f t="shared" ref="K1271:K1294" si="98">$P$14+C1271*($Q$15-$P$14)</f>
        <v>0.151978</v>
      </c>
      <c r="L1271" s="310">
        <f t="shared" ref="L1271:L1294" si="99">E1271/F1271/100</f>
        <v>0.13523809523809524</v>
      </c>
      <c r="M1271" s="405">
        <f t="shared" ref="M1271:M1294" si="100">(D1271-G1271*H1271/100)+(D1271-G1271*H1271/100)*(1+L1271)/(1+K1271)+(D1271-G1271*H1271/100)*(1+L1271)^2/(1+K1271)^2+(D1271-G1271*H1271/100)*(1+L1271)^3/(1+K1271)^3+(D1271-G1271*H1271/100)*(1+L1271)^4/(1+K1271)^4+((D1271-G1271*H1271/100)*(1+L1271)^5/(K1271-$T$22-$T$19))/((1+K1271)^5)</f>
        <v>-39.200688914837095</v>
      </c>
      <c r="N1271" s="63">
        <f t="shared" ref="N1271:N1294" si="101">(H1271-M1271)/M1271</f>
        <v>-2.184673057682486</v>
      </c>
    </row>
    <row r="1272" spans="1:14" ht="18" x14ac:dyDescent="0.25">
      <c r="A1272" s="317" t="s">
        <v>3587</v>
      </c>
      <c r="B1272" s="317" t="s">
        <v>3588</v>
      </c>
      <c r="C1272" s="317">
        <v>1.4</v>
      </c>
      <c r="D1272" s="317">
        <v>3.11</v>
      </c>
      <c r="E1272" s="318">
        <v>20.78</v>
      </c>
      <c r="F1272" s="317">
        <v>2.02</v>
      </c>
      <c r="G1272" s="317">
        <v>0.8</v>
      </c>
      <c r="H1272" s="319">
        <v>20.36</v>
      </c>
      <c r="I1272" s="320">
        <v>20.5</v>
      </c>
      <c r="J1272" s="320">
        <v>3</v>
      </c>
      <c r="K1272" s="57">
        <f t="shared" si="98"/>
        <v>0.10502</v>
      </c>
      <c r="L1272" s="310">
        <f t="shared" si="99"/>
        <v>0.10287128712871288</v>
      </c>
      <c r="M1272" s="405">
        <f t="shared" si="100"/>
        <v>56.964377047808199</v>
      </c>
      <c r="N1272" s="63">
        <f t="shared" si="101"/>
        <v>-0.64258364516279065</v>
      </c>
    </row>
    <row r="1273" spans="1:14" ht="18" x14ac:dyDescent="0.25">
      <c r="A1273" s="317" t="s">
        <v>3389</v>
      </c>
      <c r="B1273" s="317" t="s">
        <v>3390</v>
      </c>
      <c r="C1273" s="317">
        <v>0.39</v>
      </c>
      <c r="D1273" s="317">
        <v>1.62</v>
      </c>
      <c r="E1273" s="318">
        <v>13.33</v>
      </c>
      <c r="F1273" s="317">
        <v>2.61</v>
      </c>
      <c r="G1273" s="317">
        <v>4.2</v>
      </c>
      <c r="H1273" s="319">
        <v>24.26</v>
      </c>
      <c r="I1273" s="320">
        <v>25</v>
      </c>
      <c r="J1273" s="320">
        <v>2.6</v>
      </c>
      <c r="K1273" s="57">
        <f t="shared" si="98"/>
        <v>6.0276999999999997E-2</v>
      </c>
      <c r="L1273" s="310">
        <f t="shared" si="99"/>
        <v>5.1072796934865904E-2</v>
      </c>
      <c r="M1273" s="405">
        <f t="shared" si="100"/>
        <v>26.656738219965575</v>
      </c>
      <c r="N1273" s="63">
        <f t="shared" si="101"/>
        <v>-8.991115867921326E-2</v>
      </c>
    </row>
    <row r="1274" spans="1:14" ht="18" x14ac:dyDescent="0.25">
      <c r="A1274" s="317" t="s">
        <v>4753</v>
      </c>
      <c r="B1274" s="317" t="s">
        <v>4754</v>
      </c>
      <c r="C1274" s="317">
        <v>2.41</v>
      </c>
      <c r="D1274" s="317">
        <v>1.01</v>
      </c>
      <c r="E1274" s="318">
        <v>10.15</v>
      </c>
      <c r="F1274" s="317">
        <v>0</v>
      </c>
      <c r="G1274" s="317">
        <v>0</v>
      </c>
      <c r="H1274" s="319">
        <v>9.74</v>
      </c>
      <c r="I1274" s="320">
        <v>14.5</v>
      </c>
      <c r="J1274" s="320">
        <v>1.7</v>
      </c>
      <c r="K1274" s="57">
        <f t="shared" si="98"/>
        <v>0.14976300000000003</v>
      </c>
      <c r="L1274" s="310" t="e">
        <f t="shared" si="99"/>
        <v>#DIV/0!</v>
      </c>
      <c r="M1274" s="405" t="e">
        <f t="shared" si="100"/>
        <v>#DIV/0!</v>
      </c>
      <c r="N1274" s="63" t="e">
        <f t="shared" si="101"/>
        <v>#DIV/0!</v>
      </c>
    </row>
    <row r="1275" spans="1:14" ht="18" x14ac:dyDescent="0.25">
      <c r="A1275" s="317" t="s">
        <v>3589</v>
      </c>
      <c r="B1275" s="317" t="s">
        <v>3590</v>
      </c>
      <c r="C1275" s="317">
        <v>1.28</v>
      </c>
      <c r="D1275" s="317">
        <v>0.66</v>
      </c>
      <c r="E1275" s="318">
        <v>1.93</v>
      </c>
      <c r="F1275" s="317">
        <v>0.11</v>
      </c>
      <c r="G1275" s="317">
        <v>0</v>
      </c>
      <c r="H1275" s="319">
        <v>2.2000000000000002</v>
      </c>
      <c r="I1275" s="320">
        <v>6.5</v>
      </c>
      <c r="J1275" s="320">
        <v>1.5</v>
      </c>
      <c r="K1275" s="57">
        <f t="shared" si="98"/>
        <v>9.9704000000000015E-2</v>
      </c>
      <c r="L1275" s="310">
        <f t="shared" si="99"/>
        <v>0.17545454545454542</v>
      </c>
      <c r="M1275" s="405">
        <f t="shared" si="100"/>
        <v>18.242344785237101</v>
      </c>
      <c r="N1275" s="63">
        <f t="shared" si="101"/>
        <v>-0.87940146807331565</v>
      </c>
    </row>
    <row r="1276" spans="1:14" ht="18" x14ac:dyDescent="0.25">
      <c r="A1276" s="317" t="s">
        <v>3391</v>
      </c>
      <c r="B1276" s="317" t="s">
        <v>3392</v>
      </c>
      <c r="C1276" s="317">
        <v>2.66</v>
      </c>
      <c r="D1276" s="317">
        <v>1.73</v>
      </c>
      <c r="E1276" s="318">
        <v>10.83</v>
      </c>
      <c r="F1276" s="317">
        <v>1.89</v>
      </c>
      <c r="G1276" s="317">
        <v>1.8</v>
      </c>
      <c r="H1276" s="319">
        <v>23.61</v>
      </c>
      <c r="I1276" s="320">
        <v>27</v>
      </c>
      <c r="J1276" s="320">
        <v>2.2999999999999998</v>
      </c>
      <c r="K1276" s="57">
        <f t="shared" si="98"/>
        <v>0.16083800000000004</v>
      </c>
      <c r="L1276" s="310">
        <f t="shared" si="99"/>
        <v>5.7301587301587305E-2</v>
      </c>
      <c r="M1276" s="405">
        <f t="shared" si="100"/>
        <v>12.01290137767924</v>
      </c>
      <c r="N1276" s="63">
        <f t="shared" si="101"/>
        <v>0.96538698335349116</v>
      </c>
    </row>
    <row r="1277" spans="1:14" ht="18" x14ac:dyDescent="0.25">
      <c r="A1277" s="317" t="s">
        <v>3393</v>
      </c>
      <c r="B1277" s="317" t="s">
        <v>3394</v>
      </c>
      <c r="C1277" s="317">
        <v>0.92</v>
      </c>
      <c r="D1277" s="317">
        <v>2.33</v>
      </c>
      <c r="E1277" s="318">
        <v>14.99</v>
      </c>
      <c r="F1277" s="317">
        <v>1.27</v>
      </c>
      <c r="G1277" s="317">
        <v>2.2000000000000002</v>
      </c>
      <c r="H1277" s="319">
        <v>35.68</v>
      </c>
      <c r="I1277" s="320">
        <v>36</v>
      </c>
      <c r="J1277" s="320">
        <v>2.5</v>
      </c>
      <c r="K1277" s="57">
        <f t="shared" si="98"/>
        <v>8.3755999999999997E-2</v>
      </c>
      <c r="L1277" s="310">
        <f t="shared" si="99"/>
        <v>0.11803149606299213</v>
      </c>
      <c r="M1277" s="405">
        <f t="shared" si="100"/>
        <v>46.032380972509699</v>
      </c>
      <c r="N1277" s="63">
        <f t="shared" si="101"/>
        <v>-0.22489345008445441</v>
      </c>
    </row>
    <row r="1278" spans="1:14" ht="18" x14ac:dyDescent="0.25">
      <c r="A1278" s="317" t="s">
        <v>5068</v>
      </c>
      <c r="B1278" s="317" t="s">
        <v>1607</v>
      </c>
      <c r="C1278" s="317">
        <v>0.41</v>
      </c>
      <c r="D1278" s="317">
        <v>7.02</v>
      </c>
      <c r="E1278" s="318">
        <v>9.26</v>
      </c>
      <c r="F1278" s="317">
        <v>1.03</v>
      </c>
      <c r="G1278" s="317">
        <v>2.1</v>
      </c>
      <c r="H1278" s="319">
        <v>83</v>
      </c>
      <c r="I1278" s="320">
        <v>92.5</v>
      </c>
      <c r="J1278" s="320">
        <v>2.4</v>
      </c>
      <c r="K1278" s="57">
        <f t="shared" si="98"/>
        <v>6.1162999999999995E-2</v>
      </c>
      <c r="L1278" s="310">
        <f t="shared" si="99"/>
        <v>8.9902912621359229E-2</v>
      </c>
      <c r="M1278" s="405">
        <f t="shared" si="100"/>
        <v>267.54526532867146</v>
      </c>
      <c r="N1278" s="63">
        <f t="shared" si="101"/>
        <v>-0.68977212174531677</v>
      </c>
    </row>
    <row r="1279" spans="1:14" ht="18" x14ac:dyDescent="0.25">
      <c r="A1279" s="317" t="s">
        <v>3395</v>
      </c>
      <c r="B1279" s="317" t="s">
        <v>3396</v>
      </c>
      <c r="C1279" s="317">
        <v>1.0900000000000001</v>
      </c>
      <c r="D1279" s="317">
        <v>1.89</v>
      </c>
      <c r="E1279" s="318">
        <v>17.46</v>
      </c>
      <c r="F1279" s="317">
        <v>1.8</v>
      </c>
      <c r="G1279" s="317">
        <v>0.5</v>
      </c>
      <c r="H1279" s="319">
        <v>38.08</v>
      </c>
      <c r="I1279" s="320">
        <v>41</v>
      </c>
      <c r="J1279" s="320">
        <v>2.2000000000000002</v>
      </c>
      <c r="K1279" s="57">
        <f t="shared" si="98"/>
        <v>9.1287000000000007E-2</v>
      </c>
      <c r="L1279" s="310">
        <f t="shared" si="99"/>
        <v>9.7000000000000017E-2</v>
      </c>
      <c r="M1279" s="405">
        <f t="shared" si="100"/>
        <v>40.141988183962098</v>
      </c>
      <c r="N1279" s="63">
        <f t="shared" si="101"/>
        <v>-5.136736562505205E-2</v>
      </c>
    </row>
    <row r="1280" spans="1:14" ht="18" x14ac:dyDescent="0.25">
      <c r="A1280" s="317" t="s">
        <v>3591</v>
      </c>
      <c r="B1280" s="317" t="s">
        <v>3592</v>
      </c>
      <c r="C1280" s="317">
        <v>2.08</v>
      </c>
      <c r="D1280" s="317">
        <v>3.75</v>
      </c>
      <c r="E1280" s="318">
        <v>6.13</v>
      </c>
      <c r="F1280" s="317">
        <v>2.25</v>
      </c>
      <c r="G1280" s="317">
        <v>0</v>
      </c>
      <c r="H1280" s="319">
        <v>9.74</v>
      </c>
      <c r="I1280" s="320">
        <v>12.5</v>
      </c>
      <c r="J1280" s="320">
        <v>2</v>
      </c>
      <c r="K1280" s="57">
        <f t="shared" si="98"/>
        <v>0.13514400000000001</v>
      </c>
      <c r="L1280" s="310">
        <f t="shared" si="99"/>
        <v>2.7244444444444446E-2</v>
      </c>
      <c r="M1280" s="405">
        <f t="shared" si="100"/>
        <v>38.463604268121841</v>
      </c>
      <c r="N1280" s="63">
        <f t="shared" si="101"/>
        <v>-0.74677360103581369</v>
      </c>
    </row>
    <row r="1281" spans="1:14" ht="18" x14ac:dyDescent="0.25">
      <c r="A1281" s="317" t="s">
        <v>3593</v>
      </c>
      <c r="B1281" s="317" t="s">
        <v>3594</v>
      </c>
      <c r="C1281" s="317">
        <v>1.68</v>
      </c>
      <c r="D1281" s="317">
        <v>0.43</v>
      </c>
      <c r="E1281" s="318">
        <v>8.14</v>
      </c>
      <c r="F1281" s="317">
        <v>0.62</v>
      </c>
      <c r="G1281" s="317">
        <v>1.7</v>
      </c>
      <c r="H1281" s="319">
        <v>10.18</v>
      </c>
      <c r="I1281" s="320">
        <v>12</v>
      </c>
      <c r="J1281" s="320">
        <v>2.1</v>
      </c>
      <c r="K1281" s="57">
        <f t="shared" si="98"/>
        <v>0.117424</v>
      </c>
      <c r="L1281" s="310">
        <f t="shared" si="99"/>
        <v>0.13129032258064519</v>
      </c>
      <c r="M1281" s="405">
        <f t="shared" si="100"/>
        <v>4.6732737729707647</v>
      </c>
      <c r="N1281" s="63">
        <f t="shared" si="101"/>
        <v>1.1783444528499452</v>
      </c>
    </row>
    <row r="1282" spans="1:14" ht="18" x14ac:dyDescent="0.25">
      <c r="A1282" s="317" t="s">
        <v>2452</v>
      </c>
      <c r="B1282" s="317" t="s">
        <v>2453</v>
      </c>
      <c r="C1282" s="317"/>
      <c r="D1282" s="317"/>
      <c r="E1282" s="318"/>
      <c r="F1282" s="317"/>
      <c r="G1282" s="317"/>
      <c r="H1282" s="319"/>
      <c r="I1282" s="320"/>
      <c r="J1282" s="320"/>
      <c r="K1282" s="57">
        <f t="shared" si="98"/>
        <v>4.2999999999999997E-2</v>
      </c>
      <c r="L1282" s="310" t="e">
        <f t="shared" si="99"/>
        <v>#DIV/0!</v>
      </c>
      <c r="M1282" s="405" t="e">
        <f t="shared" si="100"/>
        <v>#DIV/0!</v>
      </c>
      <c r="N1282" s="63" t="e">
        <f t="shared" si="101"/>
        <v>#DIV/0!</v>
      </c>
    </row>
    <row r="1283" spans="1:14" ht="18" x14ac:dyDescent="0.25">
      <c r="A1283" s="317" t="s">
        <v>4182</v>
      </c>
      <c r="B1283" s="317" t="s">
        <v>4183</v>
      </c>
      <c r="C1283" s="317">
        <v>0.5</v>
      </c>
      <c r="D1283" s="317">
        <v>21.85</v>
      </c>
      <c r="E1283" s="318">
        <v>23.7</v>
      </c>
      <c r="F1283" s="317">
        <v>0</v>
      </c>
      <c r="G1283" s="317">
        <v>0</v>
      </c>
      <c r="H1283" s="319">
        <v>331.8</v>
      </c>
      <c r="I1283" s="320">
        <v>0</v>
      </c>
      <c r="J1283" s="320">
        <v>3</v>
      </c>
      <c r="K1283" s="57">
        <f t="shared" si="98"/>
        <v>6.515E-2</v>
      </c>
      <c r="L1283" s="310" t="e">
        <f t="shared" si="99"/>
        <v>#DIV/0!</v>
      </c>
      <c r="M1283" s="405" t="e">
        <f t="shared" si="100"/>
        <v>#DIV/0!</v>
      </c>
      <c r="N1283" s="63" t="e">
        <f t="shared" si="101"/>
        <v>#DIV/0!</v>
      </c>
    </row>
    <row r="1284" spans="1:14" ht="18" x14ac:dyDescent="0.25">
      <c r="A1284" s="317" t="s">
        <v>3397</v>
      </c>
      <c r="B1284" s="317" t="s">
        <v>3398</v>
      </c>
      <c r="C1284" s="317">
        <v>0.93</v>
      </c>
      <c r="D1284" s="317">
        <v>0.9</v>
      </c>
      <c r="E1284" s="318">
        <v>20.16</v>
      </c>
      <c r="F1284" s="317">
        <v>1.74</v>
      </c>
      <c r="G1284" s="317">
        <v>0</v>
      </c>
      <c r="H1284" s="319">
        <v>18.36</v>
      </c>
      <c r="I1284" s="320">
        <v>19</v>
      </c>
      <c r="J1284" s="320">
        <v>2.5</v>
      </c>
      <c r="K1284" s="57">
        <f t="shared" si="98"/>
        <v>8.4198999999999996E-2</v>
      </c>
      <c r="L1284" s="310">
        <f t="shared" si="99"/>
        <v>0.11586206896551725</v>
      </c>
      <c r="M1284" s="405">
        <f t="shared" si="100"/>
        <v>26.333767767092858</v>
      </c>
      <c r="N1284" s="63">
        <f t="shared" si="101"/>
        <v>-0.30279631223364173</v>
      </c>
    </row>
    <row r="1285" spans="1:14" ht="18" x14ac:dyDescent="0.25">
      <c r="A1285" s="317" t="s">
        <v>2317</v>
      </c>
      <c r="B1285" s="317"/>
      <c r="C1285" s="317">
        <v>1.64</v>
      </c>
      <c r="D1285" s="317">
        <v>1.05</v>
      </c>
      <c r="E1285" s="318">
        <v>4.1900000000000004</v>
      </c>
      <c r="F1285" s="317">
        <v>0.28000000000000003</v>
      </c>
      <c r="G1285" s="317">
        <v>0</v>
      </c>
      <c r="H1285" s="319">
        <v>5.4</v>
      </c>
      <c r="I1285" s="320">
        <v>7.4</v>
      </c>
      <c r="J1285" s="320">
        <v>2.5</v>
      </c>
      <c r="K1285" s="57">
        <f t="shared" si="98"/>
        <v>0.115652</v>
      </c>
      <c r="L1285" s="310">
        <f t="shared" si="99"/>
        <v>0.14964285714285713</v>
      </c>
      <c r="M1285" s="405">
        <f t="shared" si="100"/>
        <v>20.89644557705175</v>
      </c>
      <c r="N1285" s="63">
        <f t="shared" si="101"/>
        <v>-0.74158284574816768</v>
      </c>
    </row>
    <row r="1286" spans="1:14" ht="18" x14ac:dyDescent="0.25">
      <c r="A1286" s="317" t="s">
        <v>3399</v>
      </c>
      <c r="B1286" s="317" t="s">
        <v>3400</v>
      </c>
      <c r="C1286" s="317">
        <v>0.9</v>
      </c>
      <c r="D1286" s="317">
        <v>2.42</v>
      </c>
      <c r="E1286" s="318">
        <v>16.89</v>
      </c>
      <c r="F1286" s="317">
        <v>1.48</v>
      </c>
      <c r="G1286" s="317">
        <v>1.9</v>
      </c>
      <c r="H1286" s="319">
        <v>53.87</v>
      </c>
      <c r="I1286" s="320">
        <v>57</v>
      </c>
      <c r="J1286" s="320">
        <v>2.2999999999999998</v>
      </c>
      <c r="K1286" s="57">
        <f t="shared" si="98"/>
        <v>8.2869999999999999E-2</v>
      </c>
      <c r="L1286" s="310">
        <f t="shared" si="99"/>
        <v>0.11412162162162164</v>
      </c>
      <c r="M1286" s="405">
        <f t="shared" si="100"/>
        <v>41.746484455084804</v>
      </c>
      <c r="N1286" s="63">
        <f t="shared" si="101"/>
        <v>0.29040805958065591</v>
      </c>
    </row>
    <row r="1287" spans="1:14" ht="18" x14ac:dyDescent="0.25">
      <c r="A1287" s="317" t="s">
        <v>2318</v>
      </c>
      <c r="B1287" s="317"/>
      <c r="C1287" s="317">
        <v>2.4</v>
      </c>
      <c r="D1287" s="317">
        <v>2.94</v>
      </c>
      <c r="E1287" s="318">
        <v>0</v>
      </c>
      <c r="F1287" s="317">
        <v>0</v>
      </c>
      <c r="G1287" s="317">
        <v>0.8</v>
      </c>
      <c r="H1287" s="319">
        <v>36.29</v>
      </c>
      <c r="I1287" s="320">
        <v>0</v>
      </c>
      <c r="J1287" s="320">
        <v>0</v>
      </c>
      <c r="K1287" s="57">
        <f t="shared" si="98"/>
        <v>0.14932000000000001</v>
      </c>
      <c r="L1287" s="310" t="e">
        <f t="shared" si="99"/>
        <v>#DIV/0!</v>
      </c>
      <c r="M1287" s="405" t="e">
        <f t="shared" si="100"/>
        <v>#DIV/0!</v>
      </c>
      <c r="N1287" s="63" t="e">
        <f t="shared" si="101"/>
        <v>#DIV/0!</v>
      </c>
    </row>
    <row r="1288" spans="1:14" ht="18" x14ac:dyDescent="0.25">
      <c r="A1288" s="317" t="s">
        <v>388</v>
      </c>
      <c r="B1288" s="317" t="s">
        <v>389</v>
      </c>
      <c r="C1288" s="317">
        <v>2.37</v>
      </c>
      <c r="D1288" s="317">
        <v>-0.16</v>
      </c>
      <c r="E1288" s="318">
        <v>0</v>
      </c>
      <c r="F1288" s="317">
        <v>0</v>
      </c>
      <c r="G1288" s="317">
        <v>0</v>
      </c>
      <c r="H1288" s="319">
        <v>0.6</v>
      </c>
      <c r="I1288" s="320">
        <v>2</v>
      </c>
      <c r="J1288" s="320">
        <v>2</v>
      </c>
      <c r="K1288" s="57">
        <f t="shared" si="98"/>
        <v>0.14799100000000001</v>
      </c>
      <c r="L1288" s="310" t="e">
        <f t="shared" si="99"/>
        <v>#DIV/0!</v>
      </c>
      <c r="M1288" s="405" t="e">
        <f t="shared" si="100"/>
        <v>#DIV/0!</v>
      </c>
      <c r="N1288" s="63" t="e">
        <f t="shared" si="101"/>
        <v>#DIV/0!</v>
      </c>
    </row>
    <row r="1289" spans="1:14" ht="18" x14ac:dyDescent="0.25">
      <c r="A1289" s="317" t="s">
        <v>4932</v>
      </c>
      <c r="B1289" s="317" t="s">
        <v>4933</v>
      </c>
      <c r="C1289" s="317">
        <v>2.41</v>
      </c>
      <c r="D1289" s="317">
        <v>0.56999999999999995</v>
      </c>
      <c r="E1289" s="318">
        <v>9.93</v>
      </c>
      <c r="F1289" s="317">
        <v>1.42</v>
      </c>
      <c r="G1289" s="317">
        <v>0</v>
      </c>
      <c r="H1289" s="319">
        <v>14.59</v>
      </c>
      <c r="I1289" s="320">
        <v>20</v>
      </c>
      <c r="J1289" s="320">
        <v>2</v>
      </c>
      <c r="K1289" s="57">
        <f t="shared" si="98"/>
        <v>0.14976300000000003</v>
      </c>
      <c r="L1289" s="310">
        <f t="shared" si="99"/>
        <v>6.9929577464788728E-2</v>
      </c>
      <c r="M1289" s="405">
        <f t="shared" si="100"/>
        <v>5.9770578245373365</v>
      </c>
      <c r="N1289" s="63">
        <f t="shared" si="101"/>
        <v>1.4410003095677533</v>
      </c>
    </row>
    <row r="1290" spans="1:14" ht="18" x14ac:dyDescent="0.25">
      <c r="A1290" s="317" t="s">
        <v>3401</v>
      </c>
      <c r="B1290" s="317" t="s">
        <v>3402</v>
      </c>
      <c r="C1290" s="317">
        <v>1.27</v>
      </c>
      <c r="D1290" s="317">
        <v>-1.79</v>
      </c>
      <c r="E1290" s="318">
        <v>13.53</v>
      </c>
      <c r="F1290" s="317">
        <v>7.56</v>
      </c>
      <c r="G1290" s="317">
        <v>0.2</v>
      </c>
      <c r="H1290" s="319">
        <v>24.08</v>
      </c>
      <c r="I1290" s="320">
        <v>27</v>
      </c>
      <c r="J1290" s="320">
        <v>2.4</v>
      </c>
      <c r="K1290" s="57">
        <f t="shared" si="98"/>
        <v>9.9261000000000002E-2</v>
      </c>
      <c r="L1290" s="310">
        <f t="shared" si="99"/>
        <v>1.7896825396825397E-2</v>
      </c>
      <c r="M1290" s="405">
        <f t="shared" si="100"/>
        <v>-27.708903440870699</v>
      </c>
      <c r="N1290" s="63">
        <f t="shared" si="101"/>
        <v>-1.8690347509198773</v>
      </c>
    </row>
    <row r="1291" spans="1:14" ht="18" x14ac:dyDescent="0.25">
      <c r="A1291" s="317" t="s">
        <v>2973</v>
      </c>
      <c r="B1291" s="317" t="s">
        <v>2974</v>
      </c>
      <c r="C1291" s="317">
        <v>3.61</v>
      </c>
      <c r="D1291" s="317">
        <v>-3.47</v>
      </c>
      <c r="E1291" s="318">
        <v>0</v>
      </c>
      <c r="F1291" s="317">
        <v>-0.2</v>
      </c>
      <c r="G1291" s="317">
        <v>0</v>
      </c>
      <c r="H1291" s="319">
        <v>3.36</v>
      </c>
      <c r="I1291" s="320">
        <v>4.38</v>
      </c>
      <c r="J1291" s="320">
        <v>3</v>
      </c>
      <c r="K1291" s="57">
        <f t="shared" si="98"/>
        <v>0.20292300000000002</v>
      </c>
      <c r="L1291" s="310">
        <f t="shared" si="99"/>
        <v>0</v>
      </c>
      <c r="M1291" s="405">
        <f t="shared" si="100"/>
        <v>-20.656610800710965</v>
      </c>
      <c r="N1291" s="63">
        <f t="shared" si="101"/>
        <v>-1.1626597912124266</v>
      </c>
    </row>
    <row r="1292" spans="1:14" ht="18" x14ac:dyDescent="0.25">
      <c r="A1292" s="317" t="s">
        <v>3403</v>
      </c>
      <c r="B1292" s="317" t="s">
        <v>3404</v>
      </c>
      <c r="C1292" s="317">
        <v>1.22</v>
      </c>
      <c r="D1292" s="317">
        <v>3.02</v>
      </c>
      <c r="E1292" s="318">
        <v>12.79</v>
      </c>
      <c r="F1292" s="317">
        <v>1.4</v>
      </c>
      <c r="G1292" s="317">
        <v>0</v>
      </c>
      <c r="H1292" s="319">
        <v>66.89</v>
      </c>
      <c r="I1292" s="320">
        <v>72</v>
      </c>
      <c r="J1292" s="320">
        <v>2.2000000000000002</v>
      </c>
      <c r="K1292" s="57">
        <f t="shared" si="98"/>
        <v>9.7045999999999993E-2</v>
      </c>
      <c r="L1292" s="310">
        <f t="shared" si="99"/>
        <v>9.1357142857142859E-2</v>
      </c>
      <c r="M1292" s="405">
        <f t="shared" si="100"/>
        <v>63.145644732097651</v>
      </c>
      <c r="N1292" s="63">
        <f t="shared" si="101"/>
        <v>5.9297126251354138E-2</v>
      </c>
    </row>
    <row r="1293" spans="1:14" ht="18" x14ac:dyDescent="0.25">
      <c r="A1293" s="317" t="s">
        <v>4311</v>
      </c>
      <c r="B1293" s="317" t="s">
        <v>451</v>
      </c>
      <c r="C1293" s="317">
        <v>1.71</v>
      </c>
      <c r="D1293" s="317">
        <v>5</v>
      </c>
      <c r="E1293" s="318">
        <v>79.94</v>
      </c>
      <c r="F1293" s="317">
        <v>4.1500000000000004</v>
      </c>
      <c r="G1293" s="317">
        <v>0</v>
      </c>
      <c r="H1293" s="319">
        <v>25.58</v>
      </c>
      <c r="I1293" s="320">
        <v>23.08</v>
      </c>
      <c r="J1293" s="320">
        <v>3</v>
      </c>
      <c r="K1293" s="57">
        <f t="shared" si="98"/>
        <v>0.11875300000000001</v>
      </c>
      <c r="L1293" s="310">
        <f t="shared" si="99"/>
        <v>0.19262650602409637</v>
      </c>
      <c r="M1293" s="405">
        <f t="shared" si="100"/>
        <v>111.71046003040848</v>
      </c>
      <c r="N1293" s="63">
        <f t="shared" si="101"/>
        <v>-0.77101517625979776</v>
      </c>
    </row>
    <row r="1294" spans="1:14" ht="18" x14ac:dyDescent="0.25">
      <c r="A1294" s="317" t="s">
        <v>3595</v>
      </c>
      <c r="B1294" s="317" t="s">
        <v>3596</v>
      </c>
      <c r="C1294" s="317">
        <v>1.41</v>
      </c>
      <c r="D1294" s="317">
        <v>0.94</v>
      </c>
      <c r="E1294" s="318">
        <v>34.71</v>
      </c>
      <c r="F1294" s="317">
        <v>1.04</v>
      </c>
      <c r="G1294" s="317">
        <v>0</v>
      </c>
      <c r="H1294" s="319">
        <v>58.31</v>
      </c>
      <c r="I1294" s="320">
        <v>60</v>
      </c>
      <c r="J1294" s="320">
        <v>1.3</v>
      </c>
      <c r="K1294" s="57">
        <f t="shared" si="98"/>
        <v>0.105463</v>
      </c>
      <c r="L1294" s="310">
        <f t="shared" si="99"/>
        <v>0.33374999999999999</v>
      </c>
      <c r="M1294" s="405">
        <f t="shared" si="100"/>
        <v>41.681107736321565</v>
      </c>
      <c r="N1294" s="63">
        <f t="shared" si="101"/>
        <v>0.39895514219234063</v>
      </c>
    </row>
    <row r="1295" spans="1:14" ht="18" x14ac:dyDescent="0.25">
      <c r="A1295" s="317" t="s">
        <v>4222</v>
      </c>
      <c r="B1295" s="317"/>
      <c r="C1295" s="317">
        <v>1.94</v>
      </c>
      <c r="D1295" s="317">
        <v>-0.21</v>
      </c>
      <c r="E1295" s="318">
        <v>38.29</v>
      </c>
      <c r="F1295" s="317">
        <v>-14.48</v>
      </c>
      <c r="G1295" s="317">
        <v>0</v>
      </c>
      <c r="H1295" s="319">
        <v>11.87</v>
      </c>
      <c r="I1295" s="320">
        <v>14</v>
      </c>
      <c r="J1295" s="320">
        <v>3</v>
      </c>
      <c r="K1295" s="57">
        <f>$P$14+C1299*($Q$15-$P$14)</f>
        <v>0.13159999999999999</v>
      </c>
      <c r="L1295" s="310" t="e">
        <f>E1299/F1299/100</f>
        <v>#DIV/0!</v>
      </c>
      <c r="M1295" s="405" t="e">
        <f>(D1299-G1299*H1299/100)+(D1299-G1299*H1299/100)*(1+L1295)/(1+K1295)+(D1299-G1299*H1299/100)*(1+L1295)^2/(1+K1295)^2+(D1299-G1299*H1299/100)*(1+L1295)^3/(1+K1295)^3+(D1299-G1299*H1299/100)*(1+L1295)^4/(1+K1295)^4+((D1299-G1299*H1299/100)*(1+L1295)^5/(K1295-$T$22-$T$19))/((1+K1295)^5)</f>
        <v>#DIV/0!</v>
      </c>
      <c r="N1295" s="63" t="e">
        <f>(H1299-M1295)/M1295</f>
        <v>#DIV/0!</v>
      </c>
    </row>
    <row r="1296" spans="1:14" ht="18" x14ac:dyDescent="0.25">
      <c r="A1296" s="317" t="s">
        <v>3379</v>
      </c>
      <c r="B1296" s="317" t="s">
        <v>3380</v>
      </c>
      <c r="C1296" s="317">
        <v>1.47</v>
      </c>
      <c r="D1296" s="317">
        <v>-0.02</v>
      </c>
      <c r="E1296" s="318">
        <v>68.64</v>
      </c>
      <c r="F1296" s="317">
        <v>32.369999999999997</v>
      </c>
      <c r="G1296" s="317">
        <v>0</v>
      </c>
      <c r="H1296" s="319">
        <v>30.2</v>
      </c>
      <c r="I1296" s="320">
        <v>32.5</v>
      </c>
      <c r="J1296" s="320">
        <v>2</v>
      </c>
    </row>
    <row r="1297" spans="1:10" ht="18" x14ac:dyDescent="0.25">
      <c r="A1297" s="317" t="s">
        <v>3381</v>
      </c>
      <c r="B1297" s="317" t="s">
        <v>3382</v>
      </c>
      <c r="C1297" s="317">
        <v>0</v>
      </c>
      <c r="D1297" s="317">
        <v>-3.04</v>
      </c>
      <c r="E1297" s="318">
        <v>0</v>
      </c>
      <c r="F1297" s="317">
        <v>-0.64</v>
      </c>
      <c r="G1297" s="317">
        <v>0</v>
      </c>
      <c r="H1297" s="319">
        <v>27.24</v>
      </c>
      <c r="I1297" s="320">
        <v>30</v>
      </c>
      <c r="J1297" s="320">
        <v>2.7</v>
      </c>
    </row>
    <row r="1298" spans="1:10" ht="18" x14ac:dyDescent="0.25">
      <c r="A1298" s="317" t="s">
        <v>2550</v>
      </c>
      <c r="B1298" s="317" t="s">
        <v>2551</v>
      </c>
      <c r="C1298" s="317">
        <v>0.44</v>
      </c>
      <c r="D1298" s="317">
        <v>4.2</v>
      </c>
      <c r="E1298" s="318">
        <v>14.62</v>
      </c>
      <c r="F1298" s="317">
        <v>5.09</v>
      </c>
      <c r="G1298" s="317">
        <v>2.8</v>
      </c>
      <c r="H1298" s="319">
        <v>34.950000000000003</v>
      </c>
      <c r="I1298" s="320">
        <v>35.5</v>
      </c>
      <c r="J1298" s="320">
        <v>1.8</v>
      </c>
    </row>
    <row r="1299" spans="1:10" ht="18" x14ac:dyDescent="0.25">
      <c r="A1299" s="317" t="s">
        <v>2554</v>
      </c>
      <c r="B1299" s="317" t="s">
        <v>2555</v>
      </c>
      <c r="C1299" s="317">
        <v>2</v>
      </c>
      <c r="D1299" s="317">
        <v>0.16</v>
      </c>
      <c r="E1299" s="318">
        <v>8.7799999999999994</v>
      </c>
      <c r="F1299" s="317">
        <v>0</v>
      </c>
      <c r="G1299" s="317">
        <v>0</v>
      </c>
      <c r="H1299" s="319">
        <v>20.010000000000002</v>
      </c>
      <c r="I1299" s="320">
        <v>28.5</v>
      </c>
      <c r="J1299" s="320">
        <v>1.8</v>
      </c>
    </row>
    <row r="1300" spans="1:10" ht="18" x14ac:dyDescent="0.25">
      <c r="A1300" s="317"/>
      <c r="B1300" s="317"/>
      <c r="C1300" s="317"/>
      <c r="D1300" s="317"/>
      <c r="E1300" s="318"/>
      <c r="F1300" s="317"/>
      <c r="G1300" s="317"/>
      <c r="H1300" s="317"/>
      <c r="I1300" s="317"/>
      <c r="J1300" s="320"/>
    </row>
    <row r="1301" spans="1:10" ht="18" x14ac:dyDescent="0.25">
      <c r="H1301" s="317"/>
      <c r="I1301" s="317"/>
      <c r="J1301" s="317"/>
    </row>
    <row r="1302" spans="1:10" ht="18" x14ac:dyDescent="0.25">
      <c r="H1302" s="317"/>
      <c r="I1302" s="317"/>
    </row>
    <row r="1303" spans="1:10" ht="18" x14ac:dyDescent="0.25">
      <c r="H1303" s="317"/>
      <c r="I1303" s="317"/>
    </row>
    <row r="1304" spans="1:10" ht="18" x14ac:dyDescent="0.25">
      <c r="H1304" s="317"/>
      <c r="I1304" s="317"/>
    </row>
  </sheetData>
  <phoneticPr fontId="2" type="noConversion"/>
  <conditionalFormatting sqref="O88 N1">
    <cfRule type="cellIs" dxfId="23" priority="1" stopIfTrue="1" operator="greaterThan">
      <formula>0.5</formula>
    </cfRule>
    <cfRule type="cellIs" dxfId="22" priority="2" stopIfTrue="1" operator="lessThan">
      <formula>-0.1</formula>
    </cfRule>
  </conditionalFormatting>
  <conditionalFormatting sqref="P42 N2:N1295">
    <cfRule type="cellIs" dxfId="21" priority="3" stopIfTrue="1" operator="greaterThan">
      <formula>0.3</formula>
    </cfRule>
    <cfRule type="cellIs" dxfId="20" priority="4" stopIfTrue="1" operator="lessThan">
      <formula>-0.15</formula>
    </cfRule>
  </conditionalFormatting>
  <conditionalFormatting sqref="L2:L1295">
    <cfRule type="cellIs" dxfId="19" priority="5" stopIfTrue="1" operator="greaterThan">
      <formula>0.19</formula>
    </cfRule>
  </conditionalFormatting>
  <conditionalFormatting sqref="I2:I1299">
    <cfRule type="cellIs" dxfId="18" priority="6" stopIfTrue="1" operator="greaterThan">
      <formula>H2*1.2</formula>
    </cfRule>
  </conditionalFormatting>
  <conditionalFormatting sqref="C2:C1300">
    <cfRule type="cellIs" dxfId="17" priority="7" stopIfTrue="1" operator="greaterThan">
      <formula>2.5</formula>
    </cfRule>
  </conditionalFormatting>
  <conditionalFormatting sqref="J2:J1300">
    <cfRule type="cellIs" dxfId="16" priority="8" stopIfTrue="1" operator="greaterThan">
      <formula>2.5</formula>
    </cfRule>
  </conditionalFormatting>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topLeftCell="B1" workbookViewId="0">
      <selection activeCell="B40" sqref="B40"/>
    </sheetView>
  </sheetViews>
  <sheetFormatPr defaultRowHeight="12.75" x14ac:dyDescent="0.2"/>
  <cols>
    <col min="1" max="1" width="3" hidden="1" customWidth="1"/>
    <col min="2" max="2" width="7.42578125" customWidth="1"/>
    <col min="3" max="3" width="9" customWidth="1"/>
    <col min="4" max="4" width="12" customWidth="1"/>
    <col min="5" max="5" width="9.7109375" customWidth="1"/>
    <col min="6" max="7" width="10.7109375" customWidth="1"/>
    <col min="8" max="8" width="18.140625" customWidth="1"/>
    <col min="9" max="9" width="15.5703125" customWidth="1"/>
    <col min="10" max="11" width="8.7109375" style="18" customWidth="1"/>
    <col min="12" max="12" width="9" style="18" customWidth="1"/>
    <col min="13" max="13" width="22.7109375" style="18" customWidth="1"/>
    <col min="14" max="14" width="17.5703125" style="18" customWidth="1"/>
    <col min="15" max="15" width="12.42578125" style="18" customWidth="1"/>
    <col min="16" max="16" width="7.85546875" style="18" bestFit="1" customWidth="1"/>
    <col min="17" max="17" width="8.7109375" style="18" customWidth="1"/>
    <col min="18" max="18" width="11.28515625" style="18" customWidth="1"/>
    <col min="19" max="19" width="10.28515625" bestFit="1" customWidth="1"/>
  </cols>
  <sheetData>
    <row r="1" spans="1:18" x14ac:dyDescent="0.2">
      <c r="A1" s="264" t="s">
        <v>2117</v>
      </c>
      <c r="B1" s="266" t="s">
        <v>2118</v>
      </c>
      <c r="C1" s="267" t="s">
        <v>2119</v>
      </c>
      <c r="D1" s="267" t="s">
        <v>1895</v>
      </c>
      <c r="E1" s="267" t="s">
        <v>2120</v>
      </c>
      <c r="F1" s="267" t="s">
        <v>2109</v>
      </c>
      <c r="G1" s="267" t="s">
        <v>565</v>
      </c>
      <c r="H1" s="267" t="s">
        <v>2121</v>
      </c>
      <c r="I1" s="267" t="s">
        <v>2122</v>
      </c>
      <c r="J1" s="268" t="s">
        <v>2123</v>
      </c>
      <c r="K1" s="267" t="s">
        <v>2934</v>
      </c>
      <c r="L1" s="267" t="s">
        <v>3600</v>
      </c>
      <c r="M1" s="432"/>
      <c r="N1" s="436"/>
      <c r="O1" s="315" t="s">
        <v>2990</v>
      </c>
      <c r="P1"/>
      <c r="Q1"/>
      <c r="R1"/>
    </row>
    <row r="2" spans="1:18" x14ac:dyDescent="0.2">
      <c r="A2" s="265">
        <v>3</v>
      </c>
      <c r="B2" s="22" t="s">
        <v>1105</v>
      </c>
      <c r="C2" s="1">
        <v>1000.414</v>
      </c>
      <c r="D2" s="1">
        <v>3.1577401956756037</v>
      </c>
      <c r="E2" s="262">
        <v>40087</v>
      </c>
      <c r="F2" s="444">
        <v>2.35</v>
      </c>
      <c r="G2" s="1">
        <v>3.5</v>
      </c>
      <c r="H2" s="263">
        <v>-18.560426887797004</v>
      </c>
      <c r="I2" s="263">
        <v>-25.579691349585087</v>
      </c>
      <c r="J2" s="51">
        <v>-808.07460011661328</v>
      </c>
      <c r="K2" s="1">
        <v>2.41</v>
      </c>
      <c r="L2" s="563">
        <v>1.5370926602368006E-2</v>
      </c>
      <c r="M2" s="579"/>
      <c r="N2" s="437">
        <f>F2/G2</f>
        <v>0.67142857142857149</v>
      </c>
      <c r="O2" s="192">
        <f t="shared" ref="O2:O21" si="0">C2*F2/($F$24+$F$35)</f>
        <v>1.3075636020341411E-2</v>
      </c>
      <c r="P2"/>
      <c r="Q2"/>
      <c r="R2"/>
    </row>
    <row r="3" spans="1:18" x14ac:dyDescent="0.2">
      <c r="A3" s="265">
        <v>4</v>
      </c>
      <c r="B3" s="22" t="s">
        <v>5095</v>
      </c>
      <c r="C3" s="1">
        <v>150</v>
      </c>
      <c r="D3" s="1">
        <v>67.069999999999993</v>
      </c>
      <c r="E3" s="262">
        <v>40085</v>
      </c>
      <c r="F3" s="444">
        <v>48.27</v>
      </c>
      <c r="G3" s="1">
        <v>61</v>
      </c>
      <c r="H3" s="263">
        <v>-20.593174813091615</v>
      </c>
      <c r="I3" s="263">
        <v>-28.030415983301019</v>
      </c>
      <c r="J3" s="51">
        <v>-2819.9999999999982</v>
      </c>
      <c r="K3" s="1">
        <v>1.85</v>
      </c>
      <c r="L3" s="563">
        <v>2.960158519663848E-2</v>
      </c>
      <c r="M3" s="579"/>
      <c r="N3" s="437">
        <f t="shared" ref="N3:N21" si="1">F3/G3</f>
        <v>0.79131147540983615</v>
      </c>
      <c r="O3" s="192">
        <f t="shared" si="0"/>
        <v>4.0270197332041555E-2</v>
      </c>
      <c r="P3"/>
      <c r="Q3"/>
      <c r="R3"/>
    </row>
    <row r="4" spans="1:18" x14ac:dyDescent="0.2">
      <c r="A4" s="265">
        <v>8</v>
      </c>
      <c r="B4" s="22" t="s">
        <v>1619</v>
      </c>
      <c r="C4" s="1">
        <v>500</v>
      </c>
      <c r="D4" s="1">
        <v>2.2000000000000002</v>
      </c>
      <c r="E4" s="262">
        <v>40105</v>
      </c>
      <c r="F4" s="444">
        <v>4.6100000000000003</v>
      </c>
      <c r="G4" s="1">
        <v>9</v>
      </c>
      <c r="H4" s="263">
        <v>47.960254222942226</v>
      </c>
      <c r="I4" s="263">
        <v>109.54545454545452</v>
      </c>
      <c r="J4" s="51">
        <v>1205</v>
      </c>
      <c r="K4" s="1">
        <v>3.52</v>
      </c>
      <c r="L4" s="563">
        <v>2.4404474290273395E-2</v>
      </c>
      <c r="M4" s="579"/>
      <c r="N4" s="437">
        <f t="shared" si="1"/>
        <v>0.51222222222222225</v>
      </c>
      <c r="O4" s="192">
        <f t="shared" si="0"/>
        <v>1.2819944043968756E-2</v>
      </c>
      <c r="P4"/>
      <c r="Q4"/>
      <c r="R4"/>
    </row>
    <row r="5" spans="1:18" x14ac:dyDescent="0.2">
      <c r="A5" s="265">
        <v>9</v>
      </c>
      <c r="B5" s="22" t="s">
        <v>5065</v>
      </c>
      <c r="C5" s="1">
        <v>175</v>
      </c>
      <c r="D5" s="1">
        <v>15.3</v>
      </c>
      <c r="E5" s="262">
        <v>40162</v>
      </c>
      <c r="F5" s="444">
        <v>12.32</v>
      </c>
      <c r="G5" s="1">
        <v>17</v>
      </c>
      <c r="H5" s="263">
        <v>-15.657334189495218</v>
      </c>
      <c r="I5" s="263">
        <v>-19.477124183006534</v>
      </c>
      <c r="J5" s="51">
        <v>-521.50000000000011</v>
      </c>
      <c r="K5" s="1">
        <v>2.4500000000000002</v>
      </c>
      <c r="L5" s="563">
        <v>1.5730574100726952E-2</v>
      </c>
      <c r="M5" s="579"/>
      <c r="N5" s="437">
        <f t="shared" si="1"/>
        <v>0.7247058823529412</v>
      </c>
      <c r="O5" s="192">
        <f t="shared" si="0"/>
        <v>1.1991236164336935E-2</v>
      </c>
      <c r="P5"/>
      <c r="Q5"/>
      <c r="R5"/>
    </row>
    <row r="6" spans="1:18" x14ac:dyDescent="0.2">
      <c r="A6" s="265">
        <v>10</v>
      </c>
      <c r="B6" s="22" t="s">
        <v>1593</v>
      </c>
      <c r="C6" s="1">
        <v>115</v>
      </c>
      <c r="D6" s="1">
        <v>2.84</v>
      </c>
      <c r="E6" s="262">
        <v>40164</v>
      </c>
      <c r="F6" s="444">
        <v>1.4</v>
      </c>
      <c r="G6" s="1">
        <v>6</v>
      </c>
      <c r="H6" s="263">
        <v>-51.327258981400426</v>
      </c>
      <c r="I6" s="263">
        <v>-50.70422535211268</v>
      </c>
      <c r="J6" s="51">
        <v>-165.6</v>
      </c>
      <c r="K6" s="1">
        <v>1.85</v>
      </c>
      <c r="L6" s="563">
        <v>2.9650188091244103E-2</v>
      </c>
      <c r="M6" s="579"/>
      <c r="N6" s="437">
        <f t="shared" si="1"/>
        <v>0.23333333333333331</v>
      </c>
      <c r="O6" s="192">
        <f t="shared" si="0"/>
        <v>8.9544945383035555E-4</v>
      </c>
      <c r="P6"/>
      <c r="Q6"/>
      <c r="R6"/>
    </row>
    <row r="7" spans="1:18" x14ac:dyDescent="0.2">
      <c r="A7" s="265">
        <v>11</v>
      </c>
      <c r="B7" s="22" t="s">
        <v>2057</v>
      </c>
      <c r="C7" s="1">
        <v>400</v>
      </c>
      <c r="D7" s="1">
        <v>11</v>
      </c>
      <c r="E7" s="262">
        <v>40184</v>
      </c>
      <c r="F7" s="444">
        <v>7.74</v>
      </c>
      <c r="G7" s="1">
        <v>13</v>
      </c>
      <c r="H7" s="263">
        <v>-26.562144637020332</v>
      </c>
      <c r="I7" s="263">
        <v>-29.636363636363637</v>
      </c>
      <c r="J7" s="51">
        <v>-1304</v>
      </c>
      <c r="K7" s="1">
        <v>5.98</v>
      </c>
      <c r="L7" s="563">
        <v>2.4766680470714307E-2</v>
      </c>
      <c r="M7" s="579"/>
      <c r="N7" s="437">
        <f t="shared" si="1"/>
        <v>0.5953846153846154</v>
      </c>
      <c r="O7" s="192">
        <f t="shared" si="0"/>
        <v>1.721932614322224E-2</v>
      </c>
      <c r="P7"/>
      <c r="Q7"/>
      <c r="R7"/>
    </row>
    <row r="8" spans="1:18" x14ac:dyDescent="0.2">
      <c r="A8" s="265">
        <v>13</v>
      </c>
      <c r="B8" s="22" t="s">
        <v>1598</v>
      </c>
      <c r="C8" s="1">
        <v>8.0701999999999998</v>
      </c>
      <c r="D8" s="1">
        <v>17.714087540000001</v>
      </c>
      <c r="E8" s="262">
        <v>40190</v>
      </c>
      <c r="F8" s="444">
        <v>11.35</v>
      </c>
      <c r="G8" s="1">
        <v>17</v>
      </c>
      <c r="H8" s="263">
        <v>-34.062265646773469</v>
      </c>
      <c r="I8" s="263">
        <v>-35.926702550325103</v>
      </c>
      <c r="J8" s="51">
        <v>-51.359459265308011</v>
      </c>
      <c r="K8" s="1">
        <v>1.72</v>
      </c>
      <c r="L8" s="563">
        <v>2.5569287466381648E-2</v>
      </c>
      <c r="M8" s="579"/>
      <c r="N8" s="437">
        <f t="shared" si="1"/>
        <v>0.66764705882352937</v>
      </c>
      <c r="O8" s="192">
        <f t="shared" si="0"/>
        <v>5.0944271844176824E-4</v>
      </c>
      <c r="P8"/>
      <c r="Q8"/>
      <c r="R8"/>
    </row>
    <row r="9" spans="1:18" x14ac:dyDescent="0.2">
      <c r="A9" s="265">
        <v>14</v>
      </c>
      <c r="B9" s="22" t="s">
        <v>569</v>
      </c>
      <c r="C9" s="1">
        <v>800</v>
      </c>
      <c r="D9" s="1">
        <v>6</v>
      </c>
      <c r="E9" s="262">
        <v>40199</v>
      </c>
      <c r="F9" s="444">
        <v>2.62</v>
      </c>
      <c r="G9" s="1">
        <v>9</v>
      </c>
      <c r="H9" s="263">
        <v>-64.622559889122442</v>
      </c>
      <c r="I9" s="263">
        <v>-56.333333333333336</v>
      </c>
      <c r="J9" s="51">
        <v>-2704</v>
      </c>
      <c r="K9" s="1">
        <v>1.3</v>
      </c>
      <c r="L9" s="563">
        <v>4.2319509276273697E-2</v>
      </c>
      <c r="M9" s="579"/>
      <c r="N9" s="437">
        <f t="shared" si="1"/>
        <v>0.2911111111111111</v>
      </c>
      <c r="O9" s="192">
        <f t="shared" si="0"/>
        <v>1.1657528293344255E-2</v>
      </c>
      <c r="P9"/>
      <c r="Q9"/>
      <c r="R9"/>
    </row>
    <row r="10" spans="1:18" x14ac:dyDescent="0.2">
      <c r="A10" s="265">
        <v>15</v>
      </c>
      <c r="B10" s="22" t="s">
        <v>1808</v>
      </c>
      <c r="C10" s="1">
        <v>100</v>
      </c>
      <c r="D10" s="1">
        <v>50</v>
      </c>
      <c r="E10" s="262">
        <v>40199</v>
      </c>
      <c r="F10" s="444">
        <v>61.77</v>
      </c>
      <c r="G10" s="1"/>
      <c r="H10" s="263">
        <v>16.486987940614643</v>
      </c>
      <c r="I10" s="263">
        <v>23.540000000000006</v>
      </c>
      <c r="J10" s="51">
        <v>1177.0000000000002</v>
      </c>
      <c r="K10" s="1"/>
      <c r="L10" s="563">
        <v>8.1889641967335912E-3</v>
      </c>
      <c r="M10" s="579"/>
      <c r="N10" s="437" t="e">
        <f t="shared" si="1"/>
        <v>#DIV/0!</v>
      </c>
      <c r="O10" s="192">
        <f t="shared" si="0"/>
        <v>3.4355225318696309E-2</v>
      </c>
      <c r="P10"/>
      <c r="Q10"/>
      <c r="R10"/>
    </row>
    <row r="11" spans="1:18" x14ac:dyDescent="0.2">
      <c r="A11" s="312">
        <v>16</v>
      </c>
      <c r="B11" s="31" t="s">
        <v>2314</v>
      </c>
      <c r="C11" s="106">
        <v>120</v>
      </c>
      <c r="D11" s="106">
        <v>11.5</v>
      </c>
      <c r="E11" s="313">
        <v>40200</v>
      </c>
      <c r="F11" s="445">
        <v>5.55</v>
      </c>
      <c r="G11" s="1">
        <v>12.75</v>
      </c>
      <c r="H11" s="263">
        <v>-56.94227500598808</v>
      </c>
      <c r="I11" s="263">
        <v>-51.739130434782609</v>
      </c>
      <c r="J11" s="103">
        <v>-714</v>
      </c>
      <c r="K11" s="106">
        <v>2.37</v>
      </c>
      <c r="L11" s="564">
        <v>3.2110700948198179E-2</v>
      </c>
      <c r="M11" s="579"/>
      <c r="N11" s="437">
        <f t="shared" si="1"/>
        <v>0.43529411764705883</v>
      </c>
      <c r="O11" s="192">
        <f t="shared" si="0"/>
        <v>3.7041573680187379E-3</v>
      </c>
      <c r="P11"/>
      <c r="Q11"/>
      <c r="R11"/>
    </row>
    <row r="12" spans="1:18" x14ac:dyDescent="0.2">
      <c r="A12" s="265">
        <v>18</v>
      </c>
      <c r="B12" s="22" t="s">
        <v>1101</v>
      </c>
      <c r="C12" s="1">
        <v>350</v>
      </c>
      <c r="D12" s="1">
        <v>12.5</v>
      </c>
      <c r="E12" s="262">
        <v>40204</v>
      </c>
      <c r="F12" s="444">
        <v>3.91</v>
      </c>
      <c r="G12" s="1">
        <v>15</v>
      </c>
      <c r="H12" s="263">
        <v>-91.619830164904513</v>
      </c>
      <c r="I12" s="263">
        <v>-68.72</v>
      </c>
      <c r="J12" s="51">
        <v>-3006.5</v>
      </c>
      <c r="K12" s="1">
        <v>2.96</v>
      </c>
      <c r="L12" s="563">
        <v>3.0420632863997977E-2</v>
      </c>
      <c r="M12" s="579"/>
      <c r="N12" s="437">
        <f t="shared" si="1"/>
        <v>0.26066666666666666</v>
      </c>
      <c r="O12" s="192">
        <f t="shared" si="0"/>
        <v>7.6113203575580218E-3</v>
      </c>
      <c r="P12"/>
      <c r="Q12"/>
      <c r="R12"/>
    </row>
    <row r="13" spans="1:18" x14ac:dyDescent="0.2">
      <c r="A13" s="312">
        <v>19</v>
      </c>
      <c r="B13" s="31" t="s">
        <v>4377</v>
      </c>
      <c r="C13" s="106">
        <v>900</v>
      </c>
      <c r="D13" s="106">
        <v>5.5</v>
      </c>
      <c r="E13" s="313">
        <v>40305</v>
      </c>
      <c r="F13" s="445">
        <v>3.96</v>
      </c>
      <c r="G13" s="1">
        <v>8.5</v>
      </c>
      <c r="H13" s="263">
        <v>-33.031400673496748</v>
      </c>
      <c r="I13" s="263">
        <v>-28</v>
      </c>
      <c r="J13" s="103">
        <v>-1386</v>
      </c>
      <c r="K13" s="106">
        <v>2.4900000000000002</v>
      </c>
      <c r="L13" s="564">
        <v>3.0140560137207395E-2</v>
      </c>
      <c r="M13" s="579"/>
      <c r="N13" s="437">
        <f t="shared" si="1"/>
        <v>0.46588235294117647</v>
      </c>
      <c r="O13" s="192">
        <f t="shared" si="0"/>
        <v>1.9822247536965137E-2</v>
      </c>
      <c r="P13"/>
      <c r="Q13"/>
      <c r="R13"/>
    </row>
    <row r="14" spans="1:18" x14ac:dyDescent="0.2">
      <c r="A14" s="312">
        <v>20</v>
      </c>
      <c r="B14" s="31" t="s">
        <v>2053</v>
      </c>
      <c r="C14" s="106">
        <v>500</v>
      </c>
      <c r="D14" s="106">
        <v>21</v>
      </c>
      <c r="E14" s="313">
        <v>40305</v>
      </c>
      <c r="F14" s="445">
        <v>15.6</v>
      </c>
      <c r="G14" s="1">
        <v>37</v>
      </c>
      <c r="H14" s="263">
        <v>-29.888927290852632</v>
      </c>
      <c r="I14" s="263">
        <v>-25.714285714285715</v>
      </c>
      <c r="J14" s="103">
        <v>-2700</v>
      </c>
      <c r="K14" s="106">
        <v>2.54</v>
      </c>
      <c r="L14" s="564">
        <v>1.0475084908780156E-2</v>
      </c>
      <c r="M14" s="579"/>
      <c r="N14" s="437">
        <f t="shared" si="1"/>
        <v>0.42162162162162159</v>
      </c>
      <c r="O14" s="192">
        <f t="shared" si="0"/>
        <v>4.3382023229048279E-2</v>
      </c>
      <c r="P14"/>
      <c r="Q14"/>
      <c r="R14"/>
    </row>
    <row r="15" spans="1:18" x14ac:dyDescent="0.2">
      <c r="A15" s="312">
        <v>25</v>
      </c>
      <c r="B15" s="31" t="s">
        <v>4799</v>
      </c>
      <c r="C15" s="106">
        <v>900</v>
      </c>
      <c r="D15" s="106">
        <v>2</v>
      </c>
      <c r="E15" s="313">
        <v>40315</v>
      </c>
      <c r="F15" s="445">
        <v>2.5299999999999998</v>
      </c>
      <c r="G15" s="106">
        <v>2.5</v>
      </c>
      <c r="H15" s="420">
        <v>24.30632424802025</v>
      </c>
      <c r="I15" s="420">
        <v>26.499999999999989</v>
      </c>
      <c r="J15" s="103">
        <v>476.99999999999983</v>
      </c>
      <c r="K15" s="106">
        <v>3.73</v>
      </c>
      <c r="L15" s="564">
        <v>9.6749595010084594E-2</v>
      </c>
      <c r="M15" s="579"/>
      <c r="N15" s="437">
        <f t="shared" si="1"/>
        <v>1.012</v>
      </c>
      <c r="O15" s="192">
        <f t="shared" si="0"/>
        <v>1.2664213704172171E-2</v>
      </c>
      <c r="P15"/>
      <c r="Q15"/>
      <c r="R15"/>
    </row>
    <row r="16" spans="1:18" x14ac:dyDescent="0.2">
      <c r="A16" s="312">
        <v>26</v>
      </c>
      <c r="B16" s="31" t="s">
        <v>392</v>
      </c>
      <c r="C16" s="106">
        <v>900</v>
      </c>
      <c r="D16" s="106">
        <v>2.5</v>
      </c>
      <c r="E16" s="313">
        <v>40319</v>
      </c>
      <c r="F16" s="445">
        <v>4.1399999999999997</v>
      </c>
      <c r="G16" s="106">
        <v>10</v>
      </c>
      <c r="H16" s="420">
        <v>52.752964305593061</v>
      </c>
      <c r="I16" s="420">
        <v>65.599999999999994</v>
      </c>
      <c r="J16" s="103">
        <v>1475.9999999999998</v>
      </c>
      <c r="K16" s="106">
        <v>2.02</v>
      </c>
      <c r="L16" s="564">
        <v>2.9482785068317665E-2</v>
      </c>
      <c r="M16" s="579"/>
      <c r="N16" s="437">
        <f t="shared" si="1"/>
        <v>0.41399999999999998</v>
      </c>
      <c r="O16" s="192">
        <f t="shared" si="0"/>
        <v>2.0723258788645369E-2</v>
      </c>
      <c r="P16"/>
      <c r="Q16"/>
      <c r="R16"/>
    </row>
    <row r="17" spans="1:18" x14ac:dyDescent="0.2">
      <c r="A17" s="312">
        <v>27</v>
      </c>
      <c r="B17" s="31" t="s">
        <v>2317</v>
      </c>
      <c r="C17" s="106">
        <v>900</v>
      </c>
      <c r="D17" s="106">
        <v>6.5</v>
      </c>
      <c r="E17" s="313">
        <v>40360</v>
      </c>
      <c r="F17" s="445">
        <v>5.4</v>
      </c>
      <c r="G17" s="106">
        <v>7.4</v>
      </c>
      <c r="H17" s="420">
        <v>-21.971485881801097</v>
      </c>
      <c r="I17" s="420">
        <v>-16.92307692307692</v>
      </c>
      <c r="J17" s="103">
        <v>-989.99999999999955</v>
      </c>
      <c r="K17" s="106">
        <v>1.64</v>
      </c>
      <c r="L17" s="564">
        <v>3.5717595588384513E-2</v>
      </c>
      <c r="M17" s="579"/>
      <c r="N17" s="437">
        <f t="shared" si="1"/>
        <v>0.72972972972972971</v>
      </c>
      <c r="O17" s="192">
        <f t="shared" si="0"/>
        <v>2.7030337550407006E-2</v>
      </c>
      <c r="P17"/>
      <c r="Q17"/>
      <c r="R17"/>
    </row>
    <row r="18" spans="1:18" x14ac:dyDescent="0.2">
      <c r="A18" s="312">
        <v>42</v>
      </c>
      <c r="B18" s="31" t="s">
        <v>2051</v>
      </c>
      <c r="C18" s="106">
        <v>900</v>
      </c>
      <c r="D18" s="106">
        <v>9</v>
      </c>
      <c r="E18" s="313">
        <v>40616</v>
      </c>
      <c r="F18" s="445">
        <v>8.0399999999999991</v>
      </c>
      <c r="G18" s="106">
        <v>18</v>
      </c>
      <c r="H18" s="420">
        <v>-79.173760313559129</v>
      </c>
      <c r="I18" s="420">
        <v>-10.666666666666677</v>
      </c>
      <c r="J18" s="103">
        <v>-864.0000000000008</v>
      </c>
      <c r="K18" s="106">
        <v>0</v>
      </c>
      <c r="L18" s="564">
        <v>3.3569195185238133E-2</v>
      </c>
      <c r="M18" s="579"/>
      <c r="N18" s="437">
        <f t="shared" si="1"/>
        <v>0.4466666666666666</v>
      </c>
      <c r="O18" s="192">
        <f t="shared" si="0"/>
        <v>4.0245169241717095E-2</v>
      </c>
      <c r="P18"/>
      <c r="Q18"/>
      <c r="R18"/>
    </row>
    <row r="19" spans="1:18" x14ac:dyDescent="0.2">
      <c r="A19" s="312">
        <v>47</v>
      </c>
      <c r="B19" s="31" t="s">
        <v>4743</v>
      </c>
      <c r="C19" s="106">
        <v>2000</v>
      </c>
      <c r="D19" s="106">
        <v>1.8</v>
      </c>
      <c r="E19" s="313">
        <v>40623</v>
      </c>
      <c r="F19" s="445">
        <v>1E-3</v>
      </c>
      <c r="G19" s="106">
        <v>4.5</v>
      </c>
      <c r="H19" s="420">
        <v>-4274.8012648714903</v>
      </c>
      <c r="I19" s="420">
        <v>-99.944444444444443</v>
      </c>
      <c r="J19" s="103">
        <v>-3598.0000000000005</v>
      </c>
      <c r="K19" s="106">
        <v>2.02</v>
      </c>
      <c r="L19" s="564">
        <v>0</v>
      </c>
      <c r="M19" s="579"/>
      <c r="N19" s="437">
        <f t="shared" si="1"/>
        <v>2.2222222222222223E-4</v>
      </c>
      <c r="O19" s="192">
        <f t="shared" si="0"/>
        <v>1.1123595699755969E-5</v>
      </c>
      <c r="P19"/>
      <c r="Q19"/>
      <c r="R19"/>
    </row>
    <row r="20" spans="1:18" x14ac:dyDescent="0.2">
      <c r="A20" s="312">
        <v>51</v>
      </c>
      <c r="B20" s="31" t="s">
        <v>4566</v>
      </c>
      <c r="C20" s="106">
        <v>1000</v>
      </c>
      <c r="D20" s="106">
        <v>29.4</v>
      </c>
      <c r="E20" s="313">
        <v>40630</v>
      </c>
      <c r="F20" s="445">
        <v>29.33</v>
      </c>
      <c r="G20" s="106">
        <v>29.25</v>
      </c>
      <c r="H20" s="420">
        <v>-2.289694328094293</v>
      </c>
      <c r="I20" s="420">
        <v>-0.23809523809523908</v>
      </c>
      <c r="J20" s="103">
        <v>-70.000000000000284</v>
      </c>
      <c r="K20" s="106">
        <v>0.84</v>
      </c>
      <c r="L20" s="564">
        <v>6.5409791815787155E-2</v>
      </c>
      <c r="M20" s="579"/>
      <c r="N20" s="437">
        <f t="shared" si="1"/>
        <v>1.0027350427350428</v>
      </c>
      <c r="O20" s="192">
        <f t="shared" si="0"/>
        <v>0.16312753093692128</v>
      </c>
      <c r="P20"/>
      <c r="Q20"/>
      <c r="R20"/>
    </row>
    <row r="21" spans="1:18" x14ac:dyDescent="0.2">
      <c r="A21" s="265">
        <v>52</v>
      </c>
      <c r="B21" s="22" t="s">
        <v>402</v>
      </c>
      <c r="C21" s="1">
        <v>2000</v>
      </c>
      <c r="D21" s="1">
        <v>2.5</v>
      </c>
      <c r="E21" s="262">
        <v>40632</v>
      </c>
      <c r="F21" s="444">
        <v>2.34</v>
      </c>
      <c r="G21" s="1">
        <v>4.5</v>
      </c>
      <c r="H21" s="263">
        <v>-67.058410872663757</v>
      </c>
      <c r="I21" s="263">
        <v>-6.4000000000000057</v>
      </c>
      <c r="J21" s="51">
        <v>-320.00000000000028</v>
      </c>
      <c r="K21" s="1">
        <v>2.37</v>
      </c>
      <c r="L21" s="563">
        <v>3.2519557724781323E-2</v>
      </c>
      <c r="M21" s="579"/>
      <c r="N21" s="437">
        <f t="shared" si="1"/>
        <v>0.52</v>
      </c>
      <c r="O21" s="192">
        <f t="shared" si="0"/>
        <v>2.6029213937428967E-2</v>
      </c>
      <c r="P21"/>
      <c r="Q21"/>
      <c r="R21"/>
    </row>
    <row r="22" spans="1:18" x14ac:dyDescent="0.2">
      <c r="A22" s="312">
        <v>55</v>
      </c>
      <c r="B22" s="31" t="s">
        <v>4753</v>
      </c>
      <c r="C22" s="106">
        <v>1000</v>
      </c>
      <c r="D22" s="106">
        <v>10</v>
      </c>
      <c r="E22" s="313">
        <v>40644</v>
      </c>
      <c r="F22" s="445">
        <v>9.74</v>
      </c>
      <c r="G22" s="106">
        <v>14.5</v>
      </c>
      <c r="H22" s="420">
        <v>-40.064795828978014</v>
      </c>
      <c r="I22" s="420">
        <v>-2.5999999999999979</v>
      </c>
      <c r="J22" s="103">
        <v>-259.99999999999977</v>
      </c>
      <c r="K22" s="106">
        <v>2.41</v>
      </c>
      <c r="L22" s="564">
        <v>3.0268986412853974E-2</v>
      </c>
      <c r="M22" s="579"/>
      <c r="N22" s="437">
        <f>F23/G23</f>
        <v>0.71153846153846156</v>
      </c>
      <c r="O22" s="192">
        <f>C23*F23/($F$24+$F$35)</f>
        <v>5.1446630111371357E-2</v>
      </c>
      <c r="P22"/>
      <c r="Q22"/>
      <c r="R22"/>
    </row>
    <row r="23" spans="1:18" ht="13.5" thickBot="1" x14ac:dyDescent="0.25">
      <c r="A23" s="277">
        <v>56</v>
      </c>
      <c r="B23" s="278" t="s">
        <v>2140</v>
      </c>
      <c r="C23" s="79">
        <v>1000</v>
      </c>
      <c r="D23" s="79">
        <v>7.25</v>
      </c>
      <c r="E23" s="279">
        <v>40645</v>
      </c>
      <c r="F23" s="446">
        <v>9.25</v>
      </c>
      <c r="G23" s="79">
        <v>13</v>
      </c>
      <c r="H23" s="411">
        <v>386.61765291338668</v>
      </c>
      <c r="I23" s="411">
        <v>27.586206896551719</v>
      </c>
      <c r="J23" s="280">
        <v>2000</v>
      </c>
      <c r="K23" s="79">
        <v>2.4500000000000002</v>
      </c>
      <c r="L23" s="565">
        <v>2.5481422342863529E-2</v>
      </c>
      <c r="M23" s="562"/>
      <c r="N23"/>
      <c r="O23"/>
      <c r="P23"/>
      <c r="Q23"/>
      <c r="R23"/>
    </row>
    <row r="24" spans="1:18" ht="13.5" thickBot="1" x14ac:dyDescent="0.25">
      <c r="A24" s="271"/>
      <c r="B24" s="272"/>
      <c r="C24" s="273"/>
      <c r="D24" s="282">
        <f>SUMPRODUCT(C2:C23,D2:D23)</f>
        <v>126121.60372938192</v>
      </c>
      <c r="E24" s="273"/>
      <c r="F24" s="282">
        <f>SUMPRODUCT(C2:C23,F2:F23)</f>
        <v>110173.56967</v>
      </c>
      <c r="G24" s="282"/>
      <c r="H24" s="275">
        <f>SUMPRODUCT(O2:O16,H2:H16)/SUM(O2:O16)</f>
        <v>-11.213111856375207</v>
      </c>
      <c r="I24" s="275"/>
      <c r="J24" s="433">
        <f>SUM(J2:J23)</f>
        <v>-15948.03405938192</v>
      </c>
      <c r="K24" s="314" t="e">
        <f>SUMPRODUCT(K2:K23,O2:O17)/SUM(O2:O17)</f>
        <v>#VALUE!</v>
      </c>
      <c r="L24" s="562"/>
      <c r="M24" s="261"/>
      <c r="N24" s="261"/>
      <c r="O24" s="402"/>
      <c r="P24" s="431"/>
      <c r="Q24"/>
      <c r="R24"/>
    </row>
    <row r="25" spans="1:18" x14ac:dyDescent="0.2">
      <c r="B25" s="401"/>
      <c r="C25" s="284"/>
      <c r="D25" s="285"/>
      <c r="G25" s="18"/>
      <c r="I25" s="70"/>
      <c r="J25" s="261"/>
      <c r="K25" s="261"/>
      <c r="L25" s="261"/>
      <c r="M25"/>
      <c r="N25" s="261"/>
      <c r="P25"/>
      <c r="Q25"/>
      <c r="R25"/>
    </row>
    <row r="26" spans="1:18" ht="13.5" thickBot="1" x14ac:dyDescent="0.25">
      <c r="B26" s="401"/>
      <c r="C26" s="284"/>
      <c r="D26" s="285"/>
      <c r="G26" s="18"/>
      <c r="I26" s="70"/>
      <c r="J26" s="261"/>
      <c r="K26" s="261"/>
      <c r="L26"/>
      <c r="M26" s="261"/>
      <c r="N26" s="430"/>
      <c r="O26"/>
      <c r="P26"/>
      <c r="Q26"/>
      <c r="R26"/>
    </row>
    <row r="27" spans="1:18" x14ac:dyDescent="0.2">
      <c r="B27" s="266" t="s">
        <v>2118</v>
      </c>
      <c r="C27" s="266" t="s">
        <v>2119</v>
      </c>
      <c r="D27" s="266" t="s">
        <v>1895</v>
      </c>
      <c r="E27" s="266" t="s">
        <v>2120</v>
      </c>
      <c r="F27" s="266" t="s">
        <v>1427</v>
      </c>
      <c r="G27" s="266" t="s">
        <v>2110</v>
      </c>
      <c r="H27" s="266" t="s">
        <v>2121</v>
      </c>
      <c r="I27" s="266" t="s">
        <v>2122</v>
      </c>
      <c r="J27" s="266" t="s">
        <v>2123</v>
      </c>
      <c r="K27" s="266" t="s">
        <v>1559</v>
      </c>
      <c r="L27" s="261"/>
      <c r="M27" s="261"/>
      <c r="N27" s="430"/>
      <c r="O27"/>
      <c r="P27"/>
      <c r="Q27"/>
      <c r="R27"/>
    </row>
    <row r="28" spans="1:18" x14ac:dyDescent="0.2">
      <c r="B28" s="22" t="s">
        <v>3879</v>
      </c>
      <c r="C28" s="22">
        <v>672.77700000000004</v>
      </c>
      <c r="D28" s="22">
        <v>22.295635690000001</v>
      </c>
      <c r="E28" s="262">
        <v>40102</v>
      </c>
      <c r="F28" s="22">
        <v>31.62</v>
      </c>
      <c r="G28" s="262">
        <v>40668</v>
      </c>
      <c r="H28" s="263">
        <v>22.531906665130236</v>
      </c>
      <c r="I28" s="263">
        <v>41.821477708223171</v>
      </c>
      <c r="J28" s="51">
        <v>6273.2178473888707</v>
      </c>
      <c r="K28" s="185">
        <v>0.01</v>
      </c>
      <c r="L28" s="261"/>
      <c r="N28"/>
      <c r="O28"/>
      <c r="P28"/>
      <c r="Q28"/>
      <c r="R28"/>
    </row>
    <row r="29" spans="1:18" x14ac:dyDescent="0.2">
      <c r="B29" s="22" t="s">
        <v>2989</v>
      </c>
      <c r="C29" s="22">
        <v>264.358</v>
      </c>
      <c r="D29" s="22">
        <v>18.911582289999998</v>
      </c>
      <c r="E29" s="262">
        <v>40102</v>
      </c>
      <c r="F29" s="22">
        <v>22.05</v>
      </c>
      <c r="G29" s="262">
        <v>40668</v>
      </c>
      <c r="H29" s="263">
        <v>9.9013052121799365</v>
      </c>
      <c r="I29" s="263">
        <v>16.595214836463072</v>
      </c>
      <c r="J29" s="51">
        <v>829.66582898018066</v>
      </c>
      <c r="K29" s="185">
        <v>1.83</v>
      </c>
      <c r="N29"/>
      <c r="O29"/>
      <c r="P29"/>
      <c r="Q29"/>
      <c r="R29"/>
    </row>
    <row r="30" spans="1:18" x14ac:dyDescent="0.2">
      <c r="B30" s="22" t="s">
        <v>2988</v>
      </c>
      <c r="C30" s="22">
        <v>135.32400000000001</v>
      </c>
      <c r="D30" s="22">
        <v>36.948476550000002</v>
      </c>
      <c r="E30" s="262">
        <v>40102</v>
      </c>
      <c r="F30" s="22">
        <v>45.96</v>
      </c>
      <c r="G30" s="262">
        <v>40668</v>
      </c>
      <c r="H30" s="263">
        <v>14.074234684465754</v>
      </c>
      <c r="I30" s="263">
        <v>24.3894316936323</v>
      </c>
      <c r="J30" s="51">
        <v>1219.4753993478</v>
      </c>
      <c r="K30" s="51">
        <v>0</v>
      </c>
      <c r="M30" s="432"/>
      <c r="N30"/>
      <c r="O30"/>
      <c r="P30"/>
      <c r="Q30"/>
      <c r="R30"/>
    </row>
    <row r="31" spans="1:18" x14ac:dyDescent="0.2">
      <c r="B31" s="22" t="s">
        <v>2880</v>
      </c>
      <c r="C31" s="22">
        <v>737.327</v>
      </c>
      <c r="D31" s="22">
        <v>10.85</v>
      </c>
      <c r="E31" s="262">
        <v>40189</v>
      </c>
      <c r="F31" s="22">
        <v>12.8</v>
      </c>
      <c r="G31" s="262">
        <v>40668</v>
      </c>
      <c r="H31" s="263">
        <v>12.620760082169994</v>
      </c>
      <c r="I31" s="263">
        <v>17.972350230414758</v>
      </c>
      <c r="J31" s="51">
        <v>1437.7876500000009</v>
      </c>
      <c r="K31" s="185">
        <v>1.35</v>
      </c>
      <c r="L31" s="432"/>
      <c r="M31" s="61"/>
      <c r="N31"/>
      <c r="O31"/>
      <c r="P31"/>
      <c r="Q31"/>
      <c r="R31"/>
    </row>
    <row r="32" spans="1:18" x14ac:dyDescent="0.2">
      <c r="B32" s="22" t="s">
        <v>1793</v>
      </c>
      <c r="C32" s="22">
        <v>1109.8779999999999</v>
      </c>
      <c r="D32" s="22">
        <v>9.01</v>
      </c>
      <c r="E32" s="262">
        <v>40618</v>
      </c>
      <c r="F32" s="22">
        <v>9.42</v>
      </c>
      <c r="G32" s="262">
        <v>40668</v>
      </c>
      <c r="H32" s="263">
        <v>32.485012386658411</v>
      </c>
      <c r="I32" s="263">
        <v>4.5504994450610452</v>
      </c>
      <c r="J32" s="51">
        <v>455.04998000000012</v>
      </c>
      <c r="K32" s="185">
        <v>0</v>
      </c>
      <c r="L32" s="61"/>
      <c r="M32" s="61"/>
      <c r="N32"/>
      <c r="O32"/>
      <c r="P32"/>
      <c r="Q32"/>
      <c r="R32"/>
    </row>
    <row r="33" spans="1:18" x14ac:dyDescent="0.2">
      <c r="B33" s="22" t="s">
        <v>1792</v>
      </c>
      <c r="C33" s="22">
        <v>520.29100000000005</v>
      </c>
      <c r="D33" s="22">
        <v>19.22</v>
      </c>
      <c r="E33" s="262">
        <v>40618</v>
      </c>
      <c r="F33" s="22">
        <v>20.85</v>
      </c>
      <c r="G33" s="262">
        <v>40668</v>
      </c>
      <c r="H33" s="263">
        <v>59.423857632944816</v>
      </c>
      <c r="I33" s="263">
        <v>8.4807492195629699</v>
      </c>
      <c r="J33" s="51">
        <v>848.0743300000014</v>
      </c>
      <c r="K33" s="185">
        <v>0.81</v>
      </c>
      <c r="L33" s="61"/>
      <c r="M33" s="61"/>
      <c r="N33" s="261"/>
      <c r="O33" s="261"/>
      <c r="P33" s="61"/>
      <c r="Q33"/>
      <c r="R33"/>
    </row>
    <row r="34" spans="1:18" ht="13.5" thickBot="1" x14ac:dyDescent="0.25">
      <c r="A34" s="264" t="s">
        <v>2117</v>
      </c>
      <c r="B34" s="22" t="s">
        <v>4067</v>
      </c>
      <c r="C34" s="22">
        <v>115.58</v>
      </c>
      <c r="D34" s="22">
        <v>43.26</v>
      </c>
      <c r="E34" s="262">
        <v>40619</v>
      </c>
      <c r="F34" s="22">
        <v>48.12</v>
      </c>
      <c r="G34" s="262">
        <v>40668</v>
      </c>
      <c r="H34" s="263">
        <v>79.308891351574218</v>
      </c>
      <c r="I34" s="263">
        <v>11.234396671289874</v>
      </c>
      <c r="J34" s="51">
        <v>561.71879999999987</v>
      </c>
      <c r="K34" s="185">
        <v>0</v>
      </c>
      <c r="L34" s="61"/>
      <c r="M34" s="61"/>
      <c r="N34" s="261"/>
      <c r="O34" s="261"/>
      <c r="P34" s="61"/>
      <c r="Q34"/>
      <c r="R34"/>
    </row>
    <row r="35" spans="1:18" ht="13.5" thickBot="1" x14ac:dyDescent="0.25">
      <c r="B35" s="1"/>
      <c r="C35" s="1"/>
      <c r="D35" s="282">
        <f>SUMPRODUCT(C28:C34,D28:D34)</f>
        <v>57999.417154283154</v>
      </c>
      <c r="E35" s="1"/>
      <c r="F35" s="316">
        <f>SUMPRODUCT(C28:C34,F28:F34)</f>
        <v>69624.406990000003</v>
      </c>
      <c r="G35" s="1"/>
      <c r="H35" s="275"/>
      <c r="I35" s="1"/>
      <c r="J35" s="276">
        <f>SUM(J28:J34)</f>
        <v>11624.989835716853</v>
      </c>
      <c r="K35" s="449"/>
      <c r="L35" s="61"/>
      <c r="M35" s="185"/>
      <c r="N35" s="261"/>
      <c r="O35" s="261"/>
      <c r="P35" s="61"/>
      <c r="Q35"/>
      <c r="R35"/>
    </row>
    <row r="36" spans="1:18" ht="13.5" thickBot="1" x14ac:dyDescent="0.25">
      <c r="A36" s="265">
        <v>2</v>
      </c>
      <c r="B36" s="283" t="s">
        <v>1822</v>
      </c>
      <c r="C36" s="284"/>
      <c r="D36" s="421">
        <f>(J24+J35)/(D24+D35)</f>
        <v>-2.3479362665474991E-2</v>
      </c>
      <c r="F36" s="422">
        <f>F35+F24</f>
        <v>179797.97665999999</v>
      </c>
      <c r="G36" s="18"/>
      <c r="I36" s="70"/>
      <c r="J36" s="261"/>
      <c r="K36" s="261"/>
      <c r="L36" s="185"/>
      <c r="M36" s="185"/>
      <c r="N36" s="261"/>
      <c r="O36" s="261"/>
      <c r="P36" s="61"/>
      <c r="Q36"/>
      <c r="R36"/>
    </row>
    <row r="37" spans="1:18" x14ac:dyDescent="0.2">
      <c r="A37" s="265"/>
      <c r="B37" s="401"/>
      <c r="C37" s="284"/>
      <c r="D37" s="462"/>
      <c r="F37" s="422"/>
      <c r="G37" s="18"/>
      <c r="I37" s="70"/>
      <c r="J37" s="261"/>
      <c r="K37" s="261"/>
      <c r="L37" s="185"/>
      <c r="M37" s="185"/>
      <c r="N37" s="261"/>
      <c r="O37" s="261"/>
      <c r="P37" s="61"/>
      <c r="Q37"/>
      <c r="R37"/>
    </row>
    <row r="38" spans="1:18" x14ac:dyDescent="0.2">
      <c r="A38" s="265"/>
      <c r="B38" s="401"/>
      <c r="C38" s="284"/>
      <c r="D38" s="462"/>
      <c r="F38" s="422"/>
      <c r="G38" s="18"/>
      <c r="I38" s="70"/>
      <c r="J38" s="261"/>
      <c r="K38" s="261"/>
      <c r="L38" s="185"/>
      <c r="M38" s="185"/>
      <c r="N38" s="261"/>
      <c r="O38" s="261"/>
      <c r="P38" s="61"/>
      <c r="Q38"/>
      <c r="R38"/>
    </row>
    <row r="39" spans="1:18" x14ac:dyDescent="0.2">
      <c r="A39" s="265"/>
      <c r="B39" s="401" t="s">
        <v>2118</v>
      </c>
      <c r="C39" s="284" t="s">
        <v>2119</v>
      </c>
      <c r="D39" s="462" t="s">
        <v>1895</v>
      </c>
      <c r="E39" t="s">
        <v>2120</v>
      </c>
      <c r="F39" s="422" t="s">
        <v>2911</v>
      </c>
      <c r="G39" s="18" t="s">
        <v>2110</v>
      </c>
      <c r="H39" s="263" t="s">
        <v>2121</v>
      </c>
      <c r="I39" s="263" t="s">
        <v>2122</v>
      </c>
      <c r="J39" s="261" t="s">
        <v>2123</v>
      </c>
      <c r="K39" s="261" t="s">
        <v>2534</v>
      </c>
      <c r="L39" s="566" t="s">
        <v>3467</v>
      </c>
      <c r="M39" s="588" t="s">
        <v>3182</v>
      </c>
      <c r="N39" s="51">
        <f t="shared" ref="N39" si="2">IF(K40="SC",C40*D40,-1*C40*D40)</f>
        <v>0</v>
      </c>
      <c r="O39" s="62"/>
      <c r="P39" s="179" t="e">
        <f t="shared" ref="P39" si="3">(L40/F40)</f>
        <v>#DIV/0!</v>
      </c>
      <c r="Q39"/>
      <c r="R39"/>
    </row>
    <row r="40" spans="1:18" x14ac:dyDescent="0.2">
      <c r="A40" s="265"/>
      <c r="B40" s="401"/>
      <c r="C40" s="284"/>
      <c r="E40" s="262"/>
      <c r="F40" s="422"/>
      <c r="G40" s="262"/>
      <c r="H40" s="263"/>
      <c r="I40" s="263"/>
      <c r="J40" s="51"/>
      <c r="K40" s="580"/>
      <c r="L40" s="566"/>
      <c r="M40" s="589"/>
      <c r="N40" s="51" t="e">
        <f>IF(#REF!="SC",#REF!*#REF!,-1*#REF!*#REF!)</f>
        <v>#REF!</v>
      </c>
      <c r="O40" s="62"/>
      <c r="P40" s="179" t="e">
        <f>(#REF!/#REF!)</f>
        <v>#REF!</v>
      </c>
      <c r="Q40"/>
      <c r="R40"/>
    </row>
    <row r="41" spans="1:18" x14ac:dyDescent="0.2">
      <c r="A41" s="265"/>
      <c r="B41" s="1"/>
      <c r="C41" s="591"/>
      <c r="D41" s="591"/>
      <c r="E41" s="262"/>
      <c r="F41" s="591"/>
      <c r="G41" s="262"/>
      <c r="H41" s="263"/>
      <c r="I41" s="263"/>
      <c r="J41" s="51"/>
      <c r="K41" s="587"/>
      <c r="L41" s="566"/>
      <c r="M41" s="590"/>
      <c r="N41" s="51" t="e">
        <f>IF(#REF!="SC",#REF!*#REF!,-1*#REF!*#REF!)</f>
        <v>#REF!</v>
      </c>
      <c r="O41" s="62"/>
      <c r="P41" s="179" t="e">
        <f>(#REF!/#REF!)</f>
        <v>#REF!</v>
      </c>
      <c r="Q41"/>
      <c r="R41"/>
    </row>
    <row r="42" spans="1:18" x14ac:dyDescent="0.2">
      <c r="A42" s="265"/>
      <c r="N42" s="51" t="e">
        <f>IF(#REF!="SC",#REF!*#REF!,-1*#REF!*#REF!)</f>
        <v>#REF!</v>
      </c>
      <c r="O42" s="62"/>
      <c r="P42" s="179" t="e">
        <f>(#REF!/#REF!)</f>
        <v>#REF!</v>
      </c>
      <c r="Q42"/>
      <c r="R42"/>
    </row>
    <row r="43" spans="1:18" x14ac:dyDescent="0.2">
      <c r="A43" s="265"/>
      <c r="N43" s="51" t="e">
        <f>IF(#REF!="SC",#REF!*#REF!,-1*#REF!*#REF!)</f>
        <v>#REF!</v>
      </c>
      <c r="O43" s="62"/>
      <c r="P43" s="179" t="e">
        <f>(#REF!/#REF!)</f>
        <v>#REF!</v>
      </c>
      <c r="Q43"/>
      <c r="R43"/>
    </row>
    <row r="44" spans="1:18" x14ac:dyDescent="0.2">
      <c r="A44" s="265"/>
      <c r="N44" s="51" t="e">
        <f>IF(#REF!="SC",#REF!*#REF!,-1*#REF!*#REF!)</f>
        <v>#REF!</v>
      </c>
      <c r="O44" s="62"/>
      <c r="P44" s="179" t="e">
        <f>(#REF!/#REF!)</f>
        <v>#REF!</v>
      </c>
      <c r="Q44"/>
      <c r="R44"/>
    </row>
    <row r="45" spans="1:18" x14ac:dyDescent="0.2">
      <c r="A45" s="265"/>
      <c r="N45" s="51" t="e">
        <f>IF(#REF!="SC",#REF!*#REF!,-1*#REF!*#REF!)</f>
        <v>#REF!</v>
      </c>
      <c r="O45" s="62"/>
      <c r="P45" s="179" t="e">
        <f>(#REF!/#REF!)</f>
        <v>#REF!</v>
      </c>
      <c r="Q45"/>
      <c r="R45"/>
    </row>
    <row r="46" spans="1:18" x14ac:dyDescent="0.2">
      <c r="A46" s="265"/>
      <c r="N46" s="51" t="e">
        <f>IF(#REF!="SC",#REF!*#REF!,-1*#REF!*#REF!)</f>
        <v>#REF!</v>
      </c>
      <c r="O46" s="62"/>
      <c r="P46" s="179" t="e">
        <f>(#REF!/#REF!)</f>
        <v>#REF!</v>
      </c>
      <c r="Q46"/>
      <c r="R46"/>
    </row>
    <row r="47" spans="1:18" x14ac:dyDescent="0.2">
      <c r="A47" s="265"/>
      <c r="N47" s="51" t="e">
        <f>IF(#REF!="SC",#REF!*#REF!,-1*#REF!*#REF!)</f>
        <v>#REF!</v>
      </c>
      <c r="O47" s="62"/>
      <c r="P47" s="179" t="e">
        <f>(#REF!/#REF!)</f>
        <v>#REF!</v>
      </c>
      <c r="Q47"/>
      <c r="R47"/>
    </row>
    <row r="48" spans="1:18" x14ac:dyDescent="0.2">
      <c r="A48" s="265"/>
      <c r="N48" s="51" t="e">
        <f>IF(#REF!="SC",#REF!*#REF!,-1*#REF!*#REF!)</f>
        <v>#REF!</v>
      </c>
      <c r="O48" s="62"/>
      <c r="P48" s="179" t="e">
        <f>(#REF!/#REF!)</f>
        <v>#REF!</v>
      </c>
      <c r="Q48"/>
      <c r="R48"/>
    </row>
    <row r="49" spans="1:17" x14ac:dyDescent="0.2">
      <c r="A49" s="265"/>
      <c r="N49" s="51" t="e">
        <f>IF(#REF!="SC",#REF!*#REF!,-1*#REF!*#REF!)</f>
        <v>#REF!</v>
      </c>
      <c r="O49" s="62"/>
      <c r="P49" s="179" t="e">
        <f>(#REF!/#REF!)</f>
        <v>#REF!</v>
      </c>
      <c r="Q49"/>
    </row>
    <row r="50" spans="1:17" x14ac:dyDescent="0.2">
      <c r="A50" s="265"/>
      <c r="N50" s="51">
        <f>IF(K41="SC",C41*D41,-1*C41*D41)</f>
        <v>0</v>
      </c>
      <c r="O50" s="62"/>
      <c r="P50" s="179" t="e">
        <f>(L41/F41)</f>
        <v>#DIV/0!</v>
      </c>
    </row>
    <row r="51" spans="1:17" x14ac:dyDescent="0.2">
      <c r="N51" s="51">
        <f>IF(K42="SC",C42*D42,-1*C42*D42)</f>
        <v>0</v>
      </c>
      <c r="O51" s="62"/>
      <c r="P51" s="179" t="e">
        <f>(L42/F42)</f>
        <v>#DIV/0!</v>
      </c>
    </row>
  </sheetData>
  <phoneticPr fontId="2" type="noConversion"/>
  <conditionalFormatting sqref="J28:K34 J40 M40:N40 M35:M38 J2:J23 L36:L40 N39:N51 J41:L41">
    <cfRule type="cellIs" dxfId="15" priority="4" stopIfTrue="1" operator="greaterThan">
      <formula>100</formula>
    </cfRule>
  </conditionalFormatting>
  <conditionalFormatting sqref="G2:G23">
    <cfRule type="cellIs" dxfId="14" priority="5" stopIfTrue="1" operator="lessThan">
      <formula>F2</formula>
    </cfRule>
  </conditionalFormatting>
  <conditionalFormatting sqref="H24:I24 H35 D36:D39">
    <cfRule type="cellIs" dxfId="13" priority="6" stopIfTrue="1" operator="lessThan">
      <formula>0.1</formula>
    </cfRule>
  </conditionalFormatting>
  <conditionalFormatting sqref="H28:I34 H2:I23 H39:I41">
    <cfRule type="cellIs" dxfId="12" priority="7" stopIfTrue="1" operator="lessThan">
      <formula>10</formula>
    </cfRule>
  </conditionalFormatting>
  <conditionalFormatting sqref="N2:N22">
    <cfRule type="cellIs" dxfId="11" priority="8" stopIfTrue="1" operator="greaterThanOrEqual">
      <formula>0.9</formula>
    </cfRule>
  </conditionalFormatting>
  <conditionalFormatting sqref="K40:K41">
    <cfRule type="cellIs" dxfId="10" priority="3" stopIfTrue="1" operator="equal">
      <formula>BC</formula>
    </cfRule>
  </conditionalFormatting>
  <conditionalFormatting sqref="K40:K41">
    <cfRule type="containsText" dxfId="9" priority="2" stopIfTrue="1" operator="containsText" text="BC">
      <formula>NOT(ISERROR(SEARCH("BC",K40)))</formula>
    </cfRule>
  </conditionalFormatting>
  <conditionalFormatting sqref="K40:K41">
    <cfRule type="containsText" dxfId="8" priority="1" stopIfTrue="1" operator="containsText" text="BP">
      <formula>NOT(ISERROR(SEARCH("BP",K40)))</formula>
    </cfRule>
  </conditionalFormatting>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3"/>
  <sheetViews>
    <sheetView topLeftCell="A37" workbookViewId="0">
      <selection activeCell="C76" sqref="C76"/>
    </sheetView>
  </sheetViews>
  <sheetFormatPr defaultRowHeight="12.75" x14ac:dyDescent="0.2"/>
  <cols>
    <col min="2" max="2" width="22.42578125" bestFit="1" customWidth="1"/>
    <col min="5" max="5" width="14.42578125" bestFit="1" customWidth="1"/>
    <col min="7" max="7" width="16.7109375" customWidth="1"/>
    <col min="10" max="10" width="10.7109375" bestFit="1" customWidth="1"/>
  </cols>
  <sheetData>
    <row r="1" spans="1:17" ht="13.5" thickBot="1" x14ac:dyDescent="0.25">
      <c r="A1" s="265">
        <v>18</v>
      </c>
      <c r="B1" s="116" t="s">
        <v>3768</v>
      </c>
      <c r="J1" s="18"/>
      <c r="K1" s="18"/>
      <c r="L1" s="18"/>
      <c r="M1" s="18"/>
      <c r="N1" s="18"/>
      <c r="O1" s="61"/>
      <c r="Q1" s="61"/>
    </row>
    <row r="2" spans="1:17" x14ac:dyDescent="0.2">
      <c r="A2" s="312"/>
      <c r="B2" s="266" t="s">
        <v>2118</v>
      </c>
      <c r="C2" s="267" t="s">
        <v>2119</v>
      </c>
      <c r="D2" s="267" t="s">
        <v>1895</v>
      </c>
      <c r="E2" s="267" t="s">
        <v>2120</v>
      </c>
      <c r="F2" s="267" t="s">
        <v>3951</v>
      </c>
      <c r="G2" s="268" t="s">
        <v>3950</v>
      </c>
      <c r="H2" s="267" t="s">
        <v>2121</v>
      </c>
      <c r="I2" s="267" t="s">
        <v>2122</v>
      </c>
      <c r="J2" s="268" t="s">
        <v>2123</v>
      </c>
      <c r="K2" s="473" t="s">
        <v>2004</v>
      </c>
      <c r="L2" s="473"/>
      <c r="M2" s="399" t="s">
        <v>2312</v>
      </c>
      <c r="N2" s="269" t="s">
        <v>4097</v>
      </c>
      <c r="O2" s="61"/>
    </row>
    <row r="3" spans="1:17" ht="21.75" customHeight="1" x14ac:dyDescent="0.2">
      <c r="A3" s="312"/>
      <c r="B3" s="22" t="s">
        <v>2497</v>
      </c>
      <c r="C3" s="1">
        <v>200</v>
      </c>
      <c r="D3" s="1">
        <v>45.05</v>
      </c>
      <c r="E3" s="262">
        <v>40093</v>
      </c>
      <c r="F3" s="1">
        <v>46</v>
      </c>
      <c r="G3" s="287">
        <v>40123</v>
      </c>
      <c r="H3" s="156">
        <f t="shared" ref="H3:H43" si="0">LN(F3/D3)/((G3-E3)/365)</f>
        <v>0.25389901795610192</v>
      </c>
      <c r="I3" s="156">
        <f t="shared" ref="I3:I43" si="1">F3/D3-1</f>
        <v>2.1087680355160954E-2</v>
      </c>
      <c r="J3" s="51">
        <f t="shared" ref="J3:J43" si="2">C3*(F3-D3)</f>
        <v>190.00000000000057</v>
      </c>
      <c r="K3" s="51"/>
      <c r="L3" s="51"/>
      <c r="M3" s="51"/>
      <c r="N3" s="270">
        <f t="shared" ref="N3:N43" si="3">F3*C3</f>
        <v>9200</v>
      </c>
      <c r="O3" s="61"/>
    </row>
    <row r="4" spans="1:17" x14ac:dyDescent="0.2">
      <c r="A4" s="312"/>
      <c r="B4" s="22" t="s">
        <v>3464</v>
      </c>
      <c r="C4" s="1">
        <v>15</v>
      </c>
      <c r="D4" s="1">
        <v>92.52</v>
      </c>
      <c r="E4" s="262">
        <v>40023</v>
      </c>
      <c r="F4" s="1">
        <v>99.25</v>
      </c>
      <c r="G4" s="287">
        <v>40029</v>
      </c>
      <c r="H4" s="156">
        <f t="shared" si="0"/>
        <v>4.2715391674137306</v>
      </c>
      <c r="I4" s="156">
        <f t="shared" si="1"/>
        <v>7.2741028966709864E-2</v>
      </c>
      <c r="J4" s="51">
        <f t="shared" si="2"/>
        <v>100.95000000000006</v>
      </c>
      <c r="K4" s="51"/>
      <c r="L4" s="51"/>
      <c r="M4" s="51"/>
      <c r="N4" s="270">
        <f t="shared" si="3"/>
        <v>1488.75</v>
      </c>
      <c r="O4" s="61"/>
    </row>
    <row r="5" spans="1:17" x14ac:dyDescent="0.2">
      <c r="A5" s="312"/>
      <c r="B5" s="22" t="s">
        <v>3464</v>
      </c>
      <c r="C5" s="1">
        <v>50</v>
      </c>
      <c r="D5" s="1">
        <v>96.9</v>
      </c>
      <c r="E5" s="262">
        <v>40058</v>
      </c>
      <c r="F5" s="1">
        <v>103</v>
      </c>
      <c r="G5" s="287">
        <v>40065</v>
      </c>
      <c r="H5" s="156">
        <f t="shared" si="0"/>
        <v>3.183293758073436</v>
      </c>
      <c r="I5" s="156">
        <f t="shared" si="1"/>
        <v>6.2951496388028882E-2</v>
      </c>
      <c r="J5" s="51">
        <f t="shared" si="2"/>
        <v>304.99999999999972</v>
      </c>
      <c r="K5" s="51"/>
      <c r="L5" s="51"/>
      <c r="M5" s="51"/>
      <c r="N5" s="270">
        <f t="shared" si="3"/>
        <v>5150</v>
      </c>
      <c r="O5" s="61"/>
    </row>
    <row r="6" spans="1:17" x14ac:dyDescent="0.2">
      <c r="A6" s="312">
        <v>7</v>
      </c>
      <c r="B6" s="22" t="s">
        <v>5076</v>
      </c>
      <c r="C6" s="1">
        <v>20</v>
      </c>
      <c r="D6" s="1">
        <v>159.18</v>
      </c>
      <c r="E6" s="262">
        <v>40042</v>
      </c>
      <c r="F6" s="1">
        <v>167.02</v>
      </c>
      <c r="G6" s="287">
        <v>40064</v>
      </c>
      <c r="H6" s="156">
        <f t="shared" si="0"/>
        <v>0.79765653849062446</v>
      </c>
      <c r="I6" s="156">
        <f t="shared" si="1"/>
        <v>4.9252418645558516E-2</v>
      </c>
      <c r="J6" s="51">
        <f t="shared" si="2"/>
        <v>156.80000000000007</v>
      </c>
      <c r="K6" s="51"/>
      <c r="L6" s="51"/>
      <c r="M6" s="51"/>
      <c r="N6" s="270">
        <f t="shared" si="3"/>
        <v>3340.4</v>
      </c>
      <c r="O6" s="61"/>
    </row>
    <row r="7" spans="1:17" x14ac:dyDescent="0.2">
      <c r="A7" s="61"/>
      <c r="B7" s="22" t="s">
        <v>5095</v>
      </c>
      <c r="C7" s="1">
        <v>60</v>
      </c>
      <c r="D7" s="1">
        <v>74</v>
      </c>
      <c r="E7" s="262">
        <v>40053</v>
      </c>
      <c r="F7" s="1">
        <v>78.22</v>
      </c>
      <c r="G7" s="287">
        <v>40064</v>
      </c>
      <c r="H7" s="156">
        <f t="shared" si="0"/>
        <v>1.8402727986333973</v>
      </c>
      <c r="I7" s="156">
        <f t="shared" si="1"/>
        <v>5.7027027027027E-2</v>
      </c>
      <c r="J7" s="51">
        <f t="shared" si="2"/>
        <v>253.19999999999993</v>
      </c>
      <c r="K7" s="51"/>
      <c r="L7" s="51"/>
      <c r="M7" s="51"/>
      <c r="N7" s="270">
        <f t="shared" si="3"/>
        <v>4693.2</v>
      </c>
      <c r="O7" s="61"/>
    </row>
    <row r="8" spans="1:17" x14ac:dyDescent="0.2">
      <c r="B8" s="22" t="s">
        <v>5096</v>
      </c>
      <c r="C8" s="1">
        <v>1000</v>
      </c>
      <c r="D8" s="1">
        <v>5.4</v>
      </c>
      <c r="E8" s="262">
        <v>40043</v>
      </c>
      <c r="F8" s="1">
        <v>6.3</v>
      </c>
      <c r="G8" s="287">
        <v>40056</v>
      </c>
      <c r="H8" s="156">
        <f t="shared" si="0"/>
        <v>4.3280767797653255</v>
      </c>
      <c r="I8" s="156">
        <f t="shared" si="1"/>
        <v>0.16666666666666652</v>
      </c>
      <c r="J8" s="51">
        <f t="shared" si="2"/>
        <v>899.99999999999943</v>
      </c>
      <c r="K8" s="51"/>
      <c r="L8" s="51"/>
      <c r="M8" s="51"/>
      <c r="N8" s="270">
        <f t="shared" si="3"/>
        <v>6300</v>
      </c>
      <c r="O8" s="61"/>
    </row>
    <row r="9" spans="1:17" x14ac:dyDescent="0.2">
      <c r="B9" s="22" t="s">
        <v>5078</v>
      </c>
      <c r="C9" s="1">
        <v>200</v>
      </c>
      <c r="D9" s="1">
        <v>31</v>
      </c>
      <c r="E9" s="262">
        <v>40039</v>
      </c>
      <c r="F9" s="1">
        <v>33</v>
      </c>
      <c r="G9" s="287">
        <v>40065</v>
      </c>
      <c r="H9" s="156">
        <f t="shared" si="0"/>
        <v>0.87768962685334173</v>
      </c>
      <c r="I9" s="156">
        <f t="shared" si="1"/>
        <v>6.4516129032258007E-2</v>
      </c>
      <c r="J9" s="51">
        <f t="shared" si="2"/>
        <v>400</v>
      </c>
      <c r="K9" s="51"/>
      <c r="L9" s="51"/>
      <c r="M9" s="51"/>
      <c r="N9" s="270">
        <f t="shared" si="3"/>
        <v>6600</v>
      </c>
      <c r="O9" s="61"/>
    </row>
    <row r="10" spans="1:17" x14ac:dyDescent="0.2">
      <c r="B10" s="22" t="s">
        <v>287</v>
      </c>
      <c r="C10" s="1">
        <v>200</v>
      </c>
      <c r="D10" s="1">
        <v>51.9</v>
      </c>
      <c r="E10" s="262">
        <v>40106</v>
      </c>
      <c r="F10" s="1">
        <v>53.5</v>
      </c>
      <c r="G10" s="287">
        <v>40134</v>
      </c>
      <c r="H10" s="156">
        <f t="shared" si="0"/>
        <v>0.39580161648189488</v>
      </c>
      <c r="I10" s="156">
        <f t="shared" si="1"/>
        <v>3.0828516377649384E-2</v>
      </c>
      <c r="J10" s="51">
        <f t="shared" si="2"/>
        <v>320.00000000000028</v>
      </c>
      <c r="K10" s="51"/>
      <c r="L10" s="51"/>
      <c r="M10" s="51"/>
      <c r="N10" s="270">
        <f t="shared" si="3"/>
        <v>10700</v>
      </c>
      <c r="O10" s="438"/>
    </row>
    <row r="11" spans="1:17" x14ac:dyDescent="0.2">
      <c r="B11" s="31" t="s">
        <v>1104</v>
      </c>
      <c r="C11" s="106">
        <v>900</v>
      </c>
      <c r="D11" s="106">
        <v>4.95</v>
      </c>
      <c r="E11" s="313">
        <v>40088</v>
      </c>
      <c r="F11" s="106">
        <v>5.39</v>
      </c>
      <c r="G11" s="287">
        <v>40136</v>
      </c>
      <c r="H11" s="156">
        <f t="shared" si="0"/>
        <v>0.64755416758774942</v>
      </c>
      <c r="I11" s="156">
        <f t="shared" si="1"/>
        <v>8.8888888888888795E-2</v>
      </c>
      <c r="J11" s="51">
        <f t="shared" si="2"/>
        <v>395.99999999999955</v>
      </c>
      <c r="K11" s="51"/>
      <c r="L11" s="51"/>
      <c r="M11" s="51"/>
      <c r="N11" s="270">
        <f t="shared" si="3"/>
        <v>4851</v>
      </c>
      <c r="O11" s="18"/>
    </row>
    <row r="12" spans="1:17" x14ac:dyDescent="0.2">
      <c r="B12" s="31" t="s">
        <v>1107</v>
      </c>
      <c r="C12" s="106">
        <v>300</v>
      </c>
      <c r="D12" s="106">
        <v>15.46</v>
      </c>
      <c r="E12" s="313">
        <v>40115</v>
      </c>
      <c r="F12" s="106">
        <v>21</v>
      </c>
      <c r="G12" s="287">
        <v>40184</v>
      </c>
      <c r="H12" s="156">
        <f t="shared" si="0"/>
        <v>1.6201048408103429</v>
      </c>
      <c r="I12" s="156">
        <f t="shared" si="1"/>
        <v>0.35834411384217324</v>
      </c>
      <c r="J12" s="51">
        <f t="shared" si="2"/>
        <v>1661.9999999999998</v>
      </c>
      <c r="K12" s="51"/>
      <c r="L12" s="51"/>
      <c r="M12" s="51"/>
      <c r="N12" s="270">
        <f t="shared" si="3"/>
        <v>6300</v>
      </c>
      <c r="O12" s="18"/>
    </row>
    <row r="13" spans="1:17" x14ac:dyDescent="0.2">
      <c r="B13" s="31" t="s">
        <v>1101</v>
      </c>
      <c r="C13" s="106">
        <v>900</v>
      </c>
      <c r="D13" s="106">
        <v>10.51</v>
      </c>
      <c r="E13" s="313">
        <v>40087</v>
      </c>
      <c r="F13" s="106">
        <v>20</v>
      </c>
      <c r="G13" s="287">
        <v>40184</v>
      </c>
      <c r="H13" s="156">
        <f t="shared" si="0"/>
        <v>2.4210603851832255</v>
      </c>
      <c r="I13" s="156">
        <f t="shared" si="1"/>
        <v>0.90294957183634628</v>
      </c>
      <c r="J13" s="51">
        <f t="shared" si="2"/>
        <v>8541</v>
      </c>
      <c r="K13" s="51"/>
      <c r="L13" s="51"/>
      <c r="M13" s="51"/>
      <c r="N13" s="270">
        <f t="shared" si="3"/>
        <v>18000</v>
      </c>
      <c r="O13" s="18"/>
    </row>
    <row r="14" spans="1:17" x14ac:dyDescent="0.2">
      <c r="B14" s="31" t="s">
        <v>5096</v>
      </c>
      <c r="C14" s="106">
        <v>588</v>
      </c>
      <c r="D14" s="106">
        <v>6.32</v>
      </c>
      <c r="E14" s="313">
        <v>40077</v>
      </c>
      <c r="F14" s="106">
        <v>4.57</v>
      </c>
      <c r="G14" s="287">
        <v>40178</v>
      </c>
      <c r="H14" s="156">
        <f t="shared" si="0"/>
        <v>-1.1716355563090917</v>
      </c>
      <c r="I14" s="156">
        <f t="shared" si="1"/>
        <v>-0.27689873417721522</v>
      </c>
      <c r="J14" s="51">
        <f t="shared" si="2"/>
        <v>-1029</v>
      </c>
      <c r="K14" s="51"/>
      <c r="L14" s="51"/>
      <c r="M14" s="51"/>
      <c r="N14" s="270">
        <f t="shared" si="3"/>
        <v>2687.1600000000003</v>
      </c>
      <c r="O14" s="18"/>
    </row>
    <row r="15" spans="1:17" x14ac:dyDescent="0.2">
      <c r="B15" s="31" t="s">
        <v>287</v>
      </c>
      <c r="C15" s="106">
        <v>100</v>
      </c>
      <c r="D15" s="106">
        <v>51.9</v>
      </c>
      <c r="E15" s="313">
        <v>40106</v>
      </c>
      <c r="F15" s="106">
        <v>54.11</v>
      </c>
      <c r="G15" s="439">
        <v>40242</v>
      </c>
      <c r="H15" s="156">
        <f t="shared" si="0"/>
        <v>0.11191603559722337</v>
      </c>
      <c r="I15" s="156">
        <f t="shared" si="1"/>
        <v>4.258188824662823E-2</v>
      </c>
      <c r="J15" s="51">
        <f t="shared" si="2"/>
        <v>221.00000000000009</v>
      </c>
      <c r="K15" s="51"/>
      <c r="L15" s="51"/>
      <c r="M15" s="51"/>
      <c r="N15" s="270">
        <f t="shared" si="3"/>
        <v>5411</v>
      </c>
      <c r="O15" s="18"/>
    </row>
    <row r="16" spans="1:17" x14ac:dyDescent="0.2">
      <c r="B16" s="31" t="s">
        <v>5097</v>
      </c>
      <c r="C16" s="106">
        <v>600</v>
      </c>
      <c r="D16" s="106">
        <v>16.02</v>
      </c>
      <c r="E16" s="313">
        <v>40087</v>
      </c>
      <c r="F16" s="106">
        <v>18.36</v>
      </c>
      <c r="G16" s="287">
        <v>40128</v>
      </c>
      <c r="H16" s="156">
        <f t="shared" si="0"/>
        <v>1.2137268755250703</v>
      </c>
      <c r="I16" s="156">
        <f t="shared" si="1"/>
        <v>0.14606741573033699</v>
      </c>
      <c r="J16" s="51">
        <f t="shared" si="2"/>
        <v>1404</v>
      </c>
      <c r="K16" s="51"/>
      <c r="L16" s="51"/>
      <c r="M16" s="51"/>
      <c r="N16" s="270">
        <f t="shared" si="3"/>
        <v>11016</v>
      </c>
      <c r="O16" s="18"/>
    </row>
    <row r="17" spans="1:15" x14ac:dyDescent="0.2">
      <c r="B17" s="31" t="s">
        <v>1609</v>
      </c>
      <c r="C17" s="106">
        <v>300</v>
      </c>
      <c r="D17" s="106">
        <v>16.600000000000001</v>
      </c>
      <c r="E17" s="313">
        <v>40177</v>
      </c>
      <c r="F17" s="106">
        <v>20</v>
      </c>
      <c r="G17" s="443">
        <v>40254</v>
      </c>
      <c r="H17" s="156">
        <f t="shared" si="0"/>
        <v>0.88325059792071525</v>
      </c>
      <c r="I17" s="156">
        <f t="shared" si="1"/>
        <v>0.20481927710843362</v>
      </c>
      <c r="J17" s="51">
        <f t="shared" si="2"/>
        <v>1019.9999999999995</v>
      </c>
      <c r="K17" s="51"/>
      <c r="L17" s="51"/>
      <c r="M17" s="51"/>
      <c r="N17" s="270">
        <f t="shared" si="3"/>
        <v>6000</v>
      </c>
      <c r="O17" s="18"/>
    </row>
    <row r="18" spans="1:15" x14ac:dyDescent="0.2">
      <c r="B18" s="31" t="s">
        <v>3705</v>
      </c>
      <c r="C18" s="106">
        <v>900</v>
      </c>
      <c r="D18" s="106">
        <v>8.52</v>
      </c>
      <c r="E18" s="313">
        <v>40093</v>
      </c>
      <c r="F18" s="106">
        <v>10</v>
      </c>
      <c r="G18" s="443">
        <v>40260</v>
      </c>
      <c r="H18" s="156">
        <f t="shared" si="0"/>
        <v>0.35006942835796284</v>
      </c>
      <c r="I18" s="156">
        <f t="shared" si="1"/>
        <v>0.17370892018779349</v>
      </c>
      <c r="J18" s="51">
        <f t="shared" si="2"/>
        <v>1332.0000000000005</v>
      </c>
      <c r="K18" s="51"/>
      <c r="L18" s="51"/>
      <c r="M18" s="51"/>
      <c r="N18" s="270">
        <f t="shared" si="3"/>
        <v>9000</v>
      </c>
      <c r="O18" s="18"/>
    </row>
    <row r="19" spans="1:15" x14ac:dyDescent="0.2">
      <c r="A19" s="265">
        <v>12</v>
      </c>
      <c r="B19" s="31" t="s">
        <v>2064</v>
      </c>
      <c r="C19" s="106">
        <v>25</v>
      </c>
      <c r="D19" s="106">
        <v>188.19</v>
      </c>
      <c r="E19" s="313">
        <v>40092</v>
      </c>
      <c r="F19" s="106">
        <v>225.66</v>
      </c>
      <c r="G19" s="443">
        <v>40260</v>
      </c>
      <c r="H19" s="156">
        <f t="shared" si="0"/>
        <v>0.39449841125441376</v>
      </c>
      <c r="I19" s="156">
        <f t="shared" si="1"/>
        <v>0.19910728519049892</v>
      </c>
      <c r="J19" s="51">
        <f t="shared" si="2"/>
        <v>936.75</v>
      </c>
      <c r="K19" s="51"/>
      <c r="L19" s="51"/>
      <c r="M19" s="51"/>
      <c r="N19" s="270">
        <f t="shared" si="3"/>
        <v>5641.5</v>
      </c>
      <c r="O19" s="18"/>
    </row>
    <row r="20" spans="1:15" x14ac:dyDescent="0.2">
      <c r="A20" s="265">
        <v>43</v>
      </c>
      <c r="B20" s="22" t="s">
        <v>2049</v>
      </c>
      <c r="C20" s="1">
        <v>200</v>
      </c>
      <c r="D20" s="1">
        <v>26</v>
      </c>
      <c r="E20" s="262">
        <v>40199</v>
      </c>
      <c r="F20" s="1">
        <v>33.090000000000003</v>
      </c>
      <c r="G20" s="443">
        <v>40254</v>
      </c>
      <c r="H20" s="156">
        <f t="shared" si="0"/>
        <v>1.6002567841435305</v>
      </c>
      <c r="I20" s="156">
        <f t="shared" si="1"/>
        <v>0.27269230769230779</v>
      </c>
      <c r="J20" s="51">
        <f t="shared" si="2"/>
        <v>1418.0000000000007</v>
      </c>
      <c r="K20" s="51"/>
      <c r="L20" s="51"/>
      <c r="M20" s="51"/>
      <c r="N20" s="270">
        <f t="shared" si="3"/>
        <v>6618.0000000000009</v>
      </c>
      <c r="O20" s="18"/>
    </row>
    <row r="21" spans="1:15" x14ac:dyDescent="0.2">
      <c r="B21" s="22" t="s">
        <v>2049</v>
      </c>
      <c r="C21" s="1">
        <v>200</v>
      </c>
      <c r="D21" s="1">
        <v>26</v>
      </c>
      <c r="E21" s="262">
        <v>40199</v>
      </c>
      <c r="F21" s="1">
        <v>33.1</v>
      </c>
      <c r="G21" s="439">
        <v>40246</v>
      </c>
      <c r="H21" s="156">
        <f t="shared" si="0"/>
        <v>1.8749874828076676</v>
      </c>
      <c r="I21" s="156">
        <f t="shared" si="1"/>
        <v>0.27307692307692322</v>
      </c>
      <c r="J21" s="51">
        <f t="shared" si="2"/>
        <v>1420.0000000000002</v>
      </c>
      <c r="K21" s="51"/>
      <c r="L21" s="51"/>
      <c r="M21" s="51"/>
      <c r="N21" s="270">
        <f t="shared" si="3"/>
        <v>6620</v>
      </c>
      <c r="O21" s="18"/>
    </row>
    <row r="22" spans="1:15" x14ac:dyDescent="0.2">
      <c r="B22" s="31" t="s">
        <v>2315</v>
      </c>
      <c r="C22" s="106">
        <v>150</v>
      </c>
      <c r="D22" s="106">
        <v>42.5</v>
      </c>
      <c r="E22" s="313">
        <v>40199</v>
      </c>
      <c r="F22" s="106">
        <v>50</v>
      </c>
      <c r="G22" s="443">
        <v>40297</v>
      </c>
      <c r="H22" s="156">
        <f t="shared" si="0"/>
        <v>0.60530009455803935</v>
      </c>
      <c r="I22" s="156">
        <f t="shared" si="1"/>
        <v>0.17647058823529416</v>
      </c>
      <c r="J22" s="51">
        <f t="shared" si="2"/>
        <v>1125</v>
      </c>
      <c r="K22" s="51"/>
      <c r="L22" s="51"/>
      <c r="M22" s="51"/>
      <c r="N22" s="270">
        <f t="shared" si="3"/>
        <v>7500</v>
      </c>
      <c r="O22" s="18"/>
    </row>
    <row r="23" spans="1:15" x14ac:dyDescent="0.2">
      <c r="B23" s="22" t="s">
        <v>3705</v>
      </c>
      <c r="C23" s="1">
        <v>10.050000000000001</v>
      </c>
      <c r="D23" s="1">
        <v>8.2438000000000002</v>
      </c>
      <c r="E23" s="262">
        <v>40099</v>
      </c>
      <c r="F23" s="444">
        <v>14</v>
      </c>
      <c r="G23" s="439">
        <v>40372</v>
      </c>
      <c r="H23" s="156">
        <f t="shared" si="0"/>
        <v>0.70806781441933275</v>
      </c>
      <c r="I23" s="156">
        <f t="shared" si="1"/>
        <v>0.69824595453552973</v>
      </c>
      <c r="J23" s="51">
        <f t="shared" si="2"/>
        <v>57.849810000000005</v>
      </c>
      <c r="K23" s="51"/>
      <c r="L23" s="51"/>
      <c r="M23" s="51"/>
      <c r="N23" s="270">
        <f t="shared" si="3"/>
        <v>140.70000000000002</v>
      </c>
      <c r="O23" s="18"/>
    </row>
    <row r="24" spans="1:15" x14ac:dyDescent="0.2">
      <c r="B24" s="22" t="s">
        <v>3632</v>
      </c>
      <c r="C24" s="1">
        <v>100</v>
      </c>
      <c r="D24" s="1">
        <v>120</v>
      </c>
      <c r="E24" s="262">
        <v>40312</v>
      </c>
      <c r="F24" s="444">
        <v>140</v>
      </c>
      <c r="G24" s="439">
        <v>40382</v>
      </c>
      <c r="H24" s="156">
        <f t="shared" si="0"/>
        <v>0.80378568767070435</v>
      </c>
      <c r="I24" s="156">
        <f t="shared" si="1"/>
        <v>0.16666666666666674</v>
      </c>
      <c r="J24" s="51">
        <f t="shared" si="2"/>
        <v>2000</v>
      </c>
      <c r="K24" s="51"/>
      <c r="L24" s="51"/>
      <c r="M24" s="51"/>
      <c r="N24" s="270">
        <f t="shared" si="3"/>
        <v>14000</v>
      </c>
      <c r="O24" s="18"/>
    </row>
    <row r="25" spans="1:15" x14ac:dyDescent="0.2">
      <c r="B25" s="22" t="s">
        <v>5078</v>
      </c>
      <c r="C25" s="1">
        <v>285</v>
      </c>
      <c r="D25" s="1">
        <v>35.28</v>
      </c>
      <c r="E25" s="262">
        <v>40113</v>
      </c>
      <c r="F25" s="1">
        <v>41</v>
      </c>
      <c r="G25" s="439">
        <v>40246</v>
      </c>
      <c r="H25" s="156">
        <f t="shared" si="0"/>
        <v>0.41235624046230673</v>
      </c>
      <c r="I25" s="156">
        <f t="shared" si="1"/>
        <v>0.16213151927437641</v>
      </c>
      <c r="J25" s="51">
        <f t="shared" si="2"/>
        <v>1630.1999999999996</v>
      </c>
      <c r="K25" s="51"/>
      <c r="L25" s="51"/>
      <c r="M25" s="51"/>
      <c r="N25" s="270">
        <f t="shared" si="3"/>
        <v>11685</v>
      </c>
      <c r="O25" s="18"/>
    </row>
    <row r="26" spans="1:15" x14ac:dyDescent="0.2">
      <c r="B26" s="31" t="s">
        <v>3263</v>
      </c>
      <c r="C26" s="106">
        <v>500</v>
      </c>
      <c r="D26" s="106">
        <v>13.5</v>
      </c>
      <c r="E26" s="313">
        <v>40305</v>
      </c>
      <c r="F26" s="445">
        <v>14</v>
      </c>
      <c r="G26" s="443">
        <v>40450</v>
      </c>
      <c r="H26" s="156">
        <f t="shared" si="0"/>
        <v>9.1546138774960692E-2</v>
      </c>
      <c r="I26" s="156">
        <f t="shared" si="1"/>
        <v>3.7037037037036979E-2</v>
      </c>
      <c r="J26" s="51">
        <f t="shared" si="2"/>
        <v>250</v>
      </c>
      <c r="K26" s="51"/>
      <c r="L26" s="51"/>
      <c r="M26" s="51"/>
      <c r="N26" s="270">
        <f t="shared" si="3"/>
        <v>7000</v>
      </c>
      <c r="O26" s="18"/>
    </row>
    <row r="27" spans="1:15" x14ac:dyDescent="0.2">
      <c r="A27" s="22" t="s">
        <v>1620</v>
      </c>
      <c r="B27" s="31" t="s">
        <v>1108</v>
      </c>
      <c r="C27" s="106">
        <v>20</v>
      </c>
      <c r="D27" s="106">
        <v>490.5</v>
      </c>
      <c r="E27" s="313">
        <v>40086</v>
      </c>
      <c r="F27" s="445">
        <v>615</v>
      </c>
      <c r="G27" s="443">
        <v>40471</v>
      </c>
      <c r="H27" s="156">
        <f t="shared" si="0"/>
        <v>0.21444649587636769</v>
      </c>
      <c r="I27" s="156">
        <f t="shared" si="1"/>
        <v>0.25382262996941907</v>
      </c>
      <c r="J27" s="51">
        <f t="shared" si="2"/>
        <v>2490</v>
      </c>
      <c r="K27" s="51"/>
      <c r="L27" s="51"/>
      <c r="M27" s="51"/>
      <c r="N27" s="270">
        <f t="shared" si="3"/>
        <v>12300</v>
      </c>
      <c r="O27" s="18"/>
    </row>
    <row r="28" spans="1:15" x14ac:dyDescent="0.2">
      <c r="A28" s="61"/>
      <c r="B28" s="31" t="s">
        <v>4740</v>
      </c>
      <c r="C28" s="106">
        <v>300</v>
      </c>
      <c r="D28" s="106">
        <v>28.55</v>
      </c>
      <c r="E28" s="313">
        <v>40315</v>
      </c>
      <c r="F28" s="445">
        <v>29.5</v>
      </c>
      <c r="G28" s="443">
        <v>40477</v>
      </c>
      <c r="H28" s="156">
        <f t="shared" si="0"/>
        <v>7.3751015086237798E-2</v>
      </c>
      <c r="I28" s="156">
        <f t="shared" si="1"/>
        <v>3.327495621716281E-2</v>
      </c>
      <c r="J28" s="51">
        <f t="shared" si="2"/>
        <v>284.99999999999977</v>
      </c>
      <c r="K28" s="51"/>
      <c r="L28" s="51"/>
      <c r="M28" s="51"/>
      <c r="N28" s="270">
        <f t="shared" si="3"/>
        <v>8850</v>
      </c>
      <c r="O28" s="18"/>
    </row>
    <row r="29" spans="1:15" x14ac:dyDescent="0.2">
      <c r="B29" s="31" t="s">
        <v>2315</v>
      </c>
      <c r="C29" s="106">
        <v>50</v>
      </c>
      <c r="D29" s="106">
        <v>42.5</v>
      </c>
      <c r="E29" s="313">
        <v>40199</v>
      </c>
      <c r="F29" s="445">
        <v>47.27</v>
      </c>
      <c r="G29" s="443">
        <v>40477</v>
      </c>
      <c r="H29" s="156">
        <f t="shared" si="0"/>
        <v>0.13966077568090829</v>
      </c>
      <c r="I29" s="156">
        <f t="shared" si="1"/>
        <v>0.11223529411764721</v>
      </c>
      <c r="J29" s="51">
        <f t="shared" si="2"/>
        <v>238.50000000000017</v>
      </c>
      <c r="K29" s="51"/>
      <c r="L29" s="51"/>
      <c r="M29" s="51"/>
      <c r="N29" s="270">
        <f t="shared" si="3"/>
        <v>2363.5</v>
      </c>
      <c r="O29" s="18"/>
    </row>
    <row r="30" spans="1:15" x14ac:dyDescent="0.2">
      <c r="B30" s="31" t="s">
        <v>287</v>
      </c>
      <c r="C30" s="106">
        <v>205.02539999999999</v>
      </c>
      <c r="D30" s="106">
        <v>51.015050090000003</v>
      </c>
      <c r="E30" s="313">
        <v>40106</v>
      </c>
      <c r="F30" s="445">
        <v>55</v>
      </c>
      <c r="G30" s="443">
        <v>40486</v>
      </c>
      <c r="H30" s="156">
        <f t="shared" si="0"/>
        <v>7.224358191243771E-2</v>
      </c>
      <c r="I30" s="156">
        <f t="shared" si="1"/>
        <v>7.8113221548735234E-2</v>
      </c>
      <c r="J30" s="51">
        <f t="shared" si="2"/>
        <v>817.01594927771339</v>
      </c>
      <c r="K30" s="51"/>
      <c r="L30" s="51"/>
      <c r="M30" s="51"/>
      <c r="N30" s="270">
        <f t="shared" si="3"/>
        <v>11276.396999999999</v>
      </c>
      <c r="O30" s="18"/>
    </row>
    <row r="31" spans="1:15" x14ac:dyDescent="0.2">
      <c r="B31" s="22" t="s">
        <v>1620</v>
      </c>
      <c r="C31" s="1">
        <v>25</v>
      </c>
      <c r="D31" s="1">
        <v>1.35</v>
      </c>
      <c r="E31" s="262">
        <v>40200</v>
      </c>
      <c r="F31" s="444">
        <v>2.23</v>
      </c>
      <c r="G31" s="439">
        <v>40483</v>
      </c>
      <c r="H31" s="156">
        <f t="shared" si="0"/>
        <v>0.6473229768654295</v>
      </c>
      <c r="I31" s="156">
        <f t="shared" si="1"/>
        <v>0.65185185185185168</v>
      </c>
      <c r="J31" s="51">
        <f t="shared" si="2"/>
        <v>21.999999999999996</v>
      </c>
      <c r="K31" s="51"/>
      <c r="L31" s="51"/>
      <c r="M31" s="51"/>
      <c r="N31" s="270">
        <f t="shared" si="3"/>
        <v>55.75</v>
      </c>
      <c r="O31" s="18"/>
    </row>
    <row r="32" spans="1:15" x14ac:dyDescent="0.2">
      <c r="B32" s="22" t="s">
        <v>1611</v>
      </c>
      <c r="C32" s="1">
        <v>150</v>
      </c>
      <c r="D32" s="1">
        <v>32</v>
      </c>
      <c r="E32" s="262">
        <v>40200</v>
      </c>
      <c r="F32" s="1">
        <v>36</v>
      </c>
      <c r="G32" s="439">
        <v>40238</v>
      </c>
      <c r="H32" s="156">
        <f t="shared" si="0"/>
        <v>1.1313370530152622</v>
      </c>
      <c r="I32" s="156">
        <f t="shared" si="1"/>
        <v>0.125</v>
      </c>
      <c r="J32" s="51">
        <f t="shared" si="2"/>
        <v>600</v>
      </c>
      <c r="K32" s="51"/>
      <c r="L32" s="51"/>
      <c r="M32" s="51"/>
      <c r="N32" s="270">
        <f t="shared" si="3"/>
        <v>5400</v>
      </c>
      <c r="O32" s="18"/>
    </row>
    <row r="33" spans="2:15" x14ac:dyDescent="0.2">
      <c r="B33" s="22" t="s">
        <v>546</v>
      </c>
      <c r="C33" s="1">
        <v>1000</v>
      </c>
      <c r="D33" s="1">
        <v>6.32</v>
      </c>
      <c r="E33" s="262">
        <v>40077</v>
      </c>
      <c r="F33" s="444">
        <v>3</v>
      </c>
      <c r="G33" s="439">
        <v>40533</v>
      </c>
      <c r="H33" s="156">
        <f t="shared" si="0"/>
        <v>-0.59641233687300355</v>
      </c>
      <c r="I33" s="156">
        <f t="shared" si="1"/>
        <v>-0.52531645569620256</v>
      </c>
      <c r="J33" s="51">
        <f t="shared" si="2"/>
        <v>-3320.0000000000005</v>
      </c>
      <c r="K33" s="51"/>
      <c r="L33" s="51"/>
      <c r="M33" s="51"/>
      <c r="N33" s="270">
        <f t="shared" si="3"/>
        <v>3000</v>
      </c>
      <c r="O33" s="18"/>
    </row>
    <row r="34" spans="2:15" x14ac:dyDescent="0.2">
      <c r="B34" s="22" t="s">
        <v>4542</v>
      </c>
      <c r="C34" s="1">
        <v>300</v>
      </c>
      <c r="D34" s="1">
        <v>13.5</v>
      </c>
      <c r="E34" s="262">
        <v>40315</v>
      </c>
      <c r="F34" s="444">
        <v>4</v>
      </c>
      <c r="G34" s="439">
        <v>40541</v>
      </c>
      <c r="H34" s="156">
        <f t="shared" si="0"/>
        <v>-1.9645322715860176</v>
      </c>
      <c r="I34" s="156">
        <f t="shared" si="1"/>
        <v>-0.70370370370370372</v>
      </c>
      <c r="J34" s="51">
        <f t="shared" si="2"/>
        <v>-2850</v>
      </c>
      <c r="K34" s="51"/>
      <c r="L34" s="51"/>
      <c r="M34" s="51"/>
      <c r="N34" s="270">
        <f t="shared" si="3"/>
        <v>1200</v>
      </c>
      <c r="O34" s="18"/>
    </row>
    <row r="35" spans="2:15" x14ac:dyDescent="0.2">
      <c r="B35" s="31" t="s">
        <v>1108</v>
      </c>
      <c r="C35" s="106">
        <v>7</v>
      </c>
      <c r="D35" s="106">
        <v>450</v>
      </c>
      <c r="E35" s="313">
        <v>40417</v>
      </c>
      <c r="F35" s="445">
        <v>605.62</v>
      </c>
      <c r="G35" s="443">
        <v>40546</v>
      </c>
      <c r="H35" s="156">
        <f t="shared" si="0"/>
        <v>0.84036339169078145</v>
      </c>
      <c r="I35" s="156">
        <f t="shared" si="1"/>
        <v>0.34582222222222225</v>
      </c>
      <c r="J35" s="51">
        <f t="shared" si="2"/>
        <v>1089.3400000000001</v>
      </c>
      <c r="K35" s="51"/>
      <c r="L35" s="51"/>
      <c r="M35" s="51"/>
      <c r="N35" s="270">
        <f t="shared" si="3"/>
        <v>4239.34</v>
      </c>
      <c r="O35" s="18"/>
    </row>
    <row r="36" spans="2:15" x14ac:dyDescent="0.2">
      <c r="B36" s="31" t="s">
        <v>2064</v>
      </c>
      <c r="C36" s="106">
        <v>10</v>
      </c>
      <c r="D36" s="106">
        <v>188.19</v>
      </c>
      <c r="E36" s="313">
        <v>40092</v>
      </c>
      <c r="F36" s="445">
        <v>332.5</v>
      </c>
      <c r="G36" s="443">
        <v>40546</v>
      </c>
      <c r="H36" s="156">
        <f t="shared" si="0"/>
        <v>0.45760690705173734</v>
      </c>
      <c r="I36" s="156">
        <f t="shared" si="1"/>
        <v>0.76683139380413423</v>
      </c>
      <c r="J36" s="51">
        <f t="shared" si="2"/>
        <v>1443.1</v>
      </c>
      <c r="K36" s="51"/>
      <c r="L36" s="51"/>
      <c r="M36" s="51"/>
      <c r="N36" s="270">
        <f t="shared" si="3"/>
        <v>3325</v>
      </c>
      <c r="O36" s="18"/>
    </row>
    <row r="37" spans="2:15" x14ac:dyDescent="0.2">
      <c r="B37" s="31" t="s">
        <v>5065</v>
      </c>
      <c r="C37" s="106">
        <v>150</v>
      </c>
      <c r="D37" s="106">
        <v>15.3</v>
      </c>
      <c r="E37" s="313">
        <v>40162</v>
      </c>
      <c r="F37" s="106">
        <v>18.2</v>
      </c>
      <c r="G37" s="443">
        <v>40273</v>
      </c>
      <c r="H37" s="156">
        <f t="shared" si="0"/>
        <v>0.57074413941253477</v>
      </c>
      <c r="I37" s="156">
        <f t="shared" si="1"/>
        <v>0.18954248366013071</v>
      </c>
      <c r="J37" s="51">
        <f t="shared" si="2"/>
        <v>434.99999999999977</v>
      </c>
      <c r="K37" s="51"/>
      <c r="L37" s="51"/>
      <c r="M37" s="51"/>
      <c r="N37" s="270">
        <f t="shared" si="3"/>
        <v>2730</v>
      </c>
      <c r="O37" s="18"/>
    </row>
    <row r="38" spans="2:15" ht="13.5" thickBot="1" x14ac:dyDescent="0.25">
      <c r="B38" s="278" t="s">
        <v>1108</v>
      </c>
      <c r="C38" s="79">
        <v>23</v>
      </c>
      <c r="D38" s="79">
        <v>450</v>
      </c>
      <c r="E38" s="279">
        <v>40417</v>
      </c>
      <c r="F38" s="446">
        <v>640</v>
      </c>
      <c r="G38" s="474">
        <v>40564</v>
      </c>
      <c r="H38" s="156">
        <f t="shared" si="0"/>
        <v>0.87456133782390155</v>
      </c>
      <c r="I38" s="156">
        <f t="shared" si="1"/>
        <v>0.42222222222222228</v>
      </c>
      <c r="J38" s="51">
        <f t="shared" si="2"/>
        <v>4370</v>
      </c>
      <c r="K38" s="51"/>
      <c r="L38" s="51"/>
      <c r="M38" s="51"/>
      <c r="N38" s="270">
        <f t="shared" si="3"/>
        <v>14720</v>
      </c>
      <c r="O38" s="18"/>
    </row>
    <row r="39" spans="2:15" x14ac:dyDescent="0.2">
      <c r="B39" s="22" t="s">
        <v>4738</v>
      </c>
      <c r="C39" s="1">
        <v>50</v>
      </c>
      <c r="D39" s="1">
        <v>5</v>
      </c>
      <c r="E39" s="262">
        <v>40203</v>
      </c>
      <c r="F39" s="444">
        <v>3.51</v>
      </c>
      <c r="G39" s="287">
        <v>40613</v>
      </c>
      <c r="H39" s="156">
        <f t="shared" si="0"/>
        <v>-0.31498776672941214</v>
      </c>
      <c r="I39" s="156">
        <f t="shared" si="1"/>
        <v>-0.29800000000000004</v>
      </c>
      <c r="J39" s="51">
        <f t="shared" si="2"/>
        <v>-74.500000000000014</v>
      </c>
      <c r="K39" s="51"/>
      <c r="L39" s="51"/>
      <c r="M39" s="51"/>
      <c r="N39" s="270">
        <f t="shared" si="3"/>
        <v>175.5</v>
      </c>
      <c r="O39" s="18"/>
    </row>
    <row r="40" spans="2:15" x14ac:dyDescent="0.2">
      <c r="B40" s="31" t="s">
        <v>2064</v>
      </c>
      <c r="C40" s="106">
        <v>15</v>
      </c>
      <c r="D40" s="106">
        <v>188.19</v>
      </c>
      <c r="E40" s="313">
        <v>40092</v>
      </c>
      <c r="F40" s="445">
        <v>356</v>
      </c>
      <c r="G40" s="287">
        <v>40583</v>
      </c>
      <c r="H40" s="156">
        <f t="shared" si="0"/>
        <v>0.47388941675656449</v>
      </c>
      <c r="I40" s="156">
        <f t="shared" si="1"/>
        <v>0.89170519156171957</v>
      </c>
      <c r="J40" s="51">
        <f t="shared" si="2"/>
        <v>2517.15</v>
      </c>
      <c r="K40" s="51"/>
      <c r="L40" s="51"/>
      <c r="M40" s="51"/>
      <c r="N40" s="270">
        <f t="shared" si="3"/>
        <v>5340</v>
      </c>
      <c r="O40" s="18"/>
    </row>
    <row r="41" spans="2:15" x14ac:dyDescent="0.2">
      <c r="B41" s="31" t="s">
        <v>1102</v>
      </c>
      <c r="C41" s="106">
        <v>800</v>
      </c>
      <c r="D41" s="106">
        <v>12.04</v>
      </c>
      <c r="E41" s="313">
        <v>40088</v>
      </c>
      <c r="F41" s="445">
        <v>15</v>
      </c>
      <c r="G41" s="287">
        <v>40648</v>
      </c>
      <c r="H41" s="156">
        <f>LN(F41/D41)/((G41-E41)/365)</f>
        <v>0.14327277293903629</v>
      </c>
      <c r="I41" s="156">
        <f>F41/D41-1</f>
        <v>0.24584717607973428</v>
      </c>
      <c r="J41" s="51">
        <f>C41*(F41-D41)</f>
        <v>2368.0000000000009</v>
      </c>
      <c r="K41" s="51"/>
      <c r="L41" s="51"/>
      <c r="M41" s="51"/>
      <c r="N41" s="270">
        <f>F41*C41</f>
        <v>12000</v>
      </c>
      <c r="O41" s="18"/>
    </row>
    <row r="42" spans="2:15" x14ac:dyDescent="0.2">
      <c r="B42" s="31" t="s">
        <v>1598</v>
      </c>
      <c r="C42" s="106">
        <v>500</v>
      </c>
      <c r="D42" s="106">
        <v>17.714087540000001</v>
      </c>
      <c r="E42" s="313">
        <v>40190</v>
      </c>
      <c r="F42" s="445">
        <v>12</v>
      </c>
      <c r="G42" s="287">
        <v>40648</v>
      </c>
      <c r="H42" s="156">
        <f>LN(F42/D42)/((G42-E42)/365)</f>
        <v>-0.31037239409605805</v>
      </c>
      <c r="I42" s="156">
        <f>F42/D42-1</f>
        <v>-0.32257306661136675</v>
      </c>
      <c r="J42" s="51">
        <f>C42*(F42-D42)</f>
        <v>-2857.0437700000007</v>
      </c>
      <c r="K42" s="51"/>
      <c r="L42" s="51"/>
      <c r="M42" s="51"/>
      <c r="N42" s="270">
        <f>F42*C42</f>
        <v>6000</v>
      </c>
      <c r="O42" s="18"/>
    </row>
    <row r="43" spans="2:15" x14ac:dyDescent="0.2">
      <c r="B43" s="434" t="s">
        <v>1610</v>
      </c>
      <c r="C43" s="435">
        <v>900</v>
      </c>
      <c r="D43" s="1">
        <v>4.75</v>
      </c>
      <c r="E43" s="262">
        <v>40099</v>
      </c>
      <c r="F43" s="435">
        <v>5.15</v>
      </c>
      <c r="G43" s="287">
        <v>40226</v>
      </c>
      <c r="H43" s="156">
        <f t="shared" si="0"/>
        <v>0.23237019897338318</v>
      </c>
      <c r="I43" s="156">
        <f t="shared" si="1"/>
        <v>8.4210526315789513E-2</v>
      </c>
      <c r="J43" s="51">
        <f t="shared" si="2"/>
        <v>360.00000000000034</v>
      </c>
      <c r="K43" s="51"/>
      <c r="L43" s="51"/>
      <c r="M43" s="51"/>
      <c r="N43" s="270">
        <f t="shared" si="3"/>
        <v>4635</v>
      </c>
      <c r="O43" s="18"/>
    </row>
    <row r="44" spans="2:15" x14ac:dyDescent="0.2">
      <c r="B44" s="554" t="s">
        <v>2003</v>
      </c>
      <c r="C44" s="555"/>
      <c r="D44" s="556" t="s">
        <v>2005</v>
      </c>
      <c r="E44" s="557"/>
      <c r="F44" s="555"/>
      <c r="G44" s="558"/>
      <c r="H44" s="559"/>
      <c r="I44" s="559"/>
      <c r="J44" s="560"/>
      <c r="K44" s="560"/>
      <c r="L44" s="560"/>
      <c r="M44" s="560"/>
      <c r="N44" s="561"/>
      <c r="O44" s="18"/>
    </row>
    <row r="45" spans="2:15" x14ac:dyDescent="0.2">
      <c r="B45" s="1" t="s">
        <v>3715</v>
      </c>
      <c r="C45" s="1">
        <v>900</v>
      </c>
      <c r="D45" s="464">
        <f>5.5+K45/C45</f>
        <v>5.5235555555555553</v>
      </c>
      <c r="E45" s="461">
        <v>40562</v>
      </c>
      <c r="F45" s="1">
        <v>6.1</v>
      </c>
      <c r="G45" s="262">
        <v>40596</v>
      </c>
      <c r="H45" s="156">
        <f t="shared" ref="H45:H57" si="4">LN(F45/D45)/((G45-E45)/365)</f>
        <v>1.0656603967838114</v>
      </c>
      <c r="I45" s="156">
        <f t="shared" ref="I45:I57" si="5">F45/D45-1</f>
        <v>0.10436112005149667</v>
      </c>
      <c r="J45" s="51">
        <f t="shared" ref="J45:J57" si="6">C45*(F45-D45)</f>
        <v>518.79999999999984</v>
      </c>
      <c r="K45" s="475">
        <f t="shared" ref="K45:K57" si="7">9.95+1.25*C45/100</f>
        <v>21.2</v>
      </c>
      <c r="L45" s="475"/>
      <c r="M45" s="51"/>
      <c r="N45" s="270"/>
      <c r="O45" s="18"/>
    </row>
    <row r="46" spans="2:15" ht="13.5" thickBot="1" x14ac:dyDescent="0.25">
      <c r="B46" s="1" t="s">
        <v>4492</v>
      </c>
      <c r="C46" s="1">
        <v>500</v>
      </c>
      <c r="D46" s="464">
        <f>0+K46/C46</f>
        <v>3.2399999999999998E-2</v>
      </c>
      <c r="E46" s="279">
        <v>40504</v>
      </c>
      <c r="F46" s="1">
        <v>0.75</v>
      </c>
      <c r="G46" s="262">
        <v>40592</v>
      </c>
      <c r="H46" s="156">
        <f t="shared" si="4"/>
        <v>13.031805637070526</v>
      </c>
      <c r="I46" s="156">
        <f t="shared" si="5"/>
        <v>22.148148148148149</v>
      </c>
      <c r="J46" s="51">
        <f t="shared" si="6"/>
        <v>358.8</v>
      </c>
      <c r="K46" s="475">
        <f t="shared" si="7"/>
        <v>16.2</v>
      </c>
      <c r="L46" s="475"/>
      <c r="M46" s="51" t="s">
        <v>2002</v>
      </c>
      <c r="N46" s="270"/>
      <c r="O46" s="18"/>
    </row>
    <row r="47" spans="2:15" x14ac:dyDescent="0.2">
      <c r="B47" s="1" t="s">
        <v>4870</v>
      </c>
      <c r="C47" s="1">
        <v>500</v>
      </c>
      <c r="D47" s="464">
        <f>0+K47/C47</f>
        <v>3.2399999999999998E-2</v>
      </c>
      <c r="E47" s="262">
        <v>40604</v>
      </c>
      <c r="F47" s="1">
        <v>0.95</v>
      </c>
      <c r="G47" s="262">
        <v>40648</v>
      </c>
      <c r="H47" s="156">
        <f>LN(F47/D47)/((G47-E47)/365)</f>
        <v>28.024563637628418</v>
      </c>
      <c r="I47" s="156">
        <f>F47/D47-1</f>
        <v>28.320987654320987</v>
      </c>
      <c r="J47" s="51">
        <f>C47*(F47-D47)</f>
        <v>458.8</v>
      </c>
      <c r="K47" s="475">
        <f>9.95+1.25*C47/100</f>
        <v>16.2</v>
      </c>
      <c r="L47" s="475"/>
      <c r="M47" s="51"/>
      <c r="N47" s="270"/>
      <c r="O47" s="18"/>
    </row>
    <row r="48" spans="2:15" ht="13.5" thickBot="1" x14ac:dyDescent="0.25">
      <c r="B48" s="1" t="s">
        <v>768</v>
      </c>
      <c r="C48" s="1">
        <v>500</v>
      </c>
      <c r="D48" s="1">
        <f>2.95+K48/C48</f>
        <v>2.9824000000000002</v>
      </c>
      <c r="E48" s="279">
        <v>40539</v>
      </c>
      <c r="F48" s="1">
        <v>3.6</v>
      </c>
      <c r="G48" s="262">
        <v>40584</v>
      </c>
      <c r="H48" s="156">
        <f t="shared" si="4"/>
        <v>1.5265557218404271</v>
      </c>
      <c r="I48" s="156">
        <f t="shared" si="5"/>
        <v>0.2070815450643777</v>
      </c>
      <c r="J48" s="51">
        <f t="shared" si="6"/>
        <v>308.79999999999995</v>
      </c>
      <c r="K48" s="475">
        <f t="shared" si="7"/>
        <v>16.2</v>
      </c>
      <c r="L48" s="475"/>
      <c r="M48" s="51"/>
      <c r="N48" s="270"/>
      <c r="O48" s="18"/>
    </row>
    <row r="49" spans="2:17" x14ac:dyDescent="0.2">
      <c r="B49" s="1" t="s">
        <v>333</v>
      </c>
      <c r="C49" s="1">
        <v>400</v>
      </c>
      <c r="D49" s="1">
        <f>4.6+K49/C49</f>
        <v>4.6373749999999996</v>
      </c>
      <c r="E49" s="461">
        <v>40539</v>
      </c>
      <c r="F49" s="1">
        <v>5.8</v>
      </c>
      <c r="G49" s="262">
        <v>40619</v>
      </c>
      <c r="H49" s="156">
        <f t="shared" si="4"/>
        <v>1.020674338979946</v>
      </c>
      <c r="I49" s="156">
        <f t="shared" si="5"/>
        <v>0.25070756624167778</v>
      </c>
      <c r="J49" s="51">
        <f t="shared" si="6"/>
        <v>465.05000000000007</v>
      </c>
      <c r="K49" s="475">
        <f t="shared" si="7"/>
        <v>14.95</v>
      </c>
      <c r="L49" s="475"/>
      <c r="M49" s="51"/>
      <c r="N49" s="270"/>
      <c r="O49" s="18"/>
    </row>
    <row r="50" spans="2:17" ht="13.5" thickBot="1" x14ac:dyDescent="0.25">
      <c r="B50" t="s">
        <v>564</v>
      </c>
      <c r="C50">
        <v>900</v>
      </c>
      <c r="D50" s="464">
        <f>0+K50/C50</f>
        <v>2.3555555555555555E-2</v>
      </c>
      <c r="E50" s="279">
        <v>40504</v>
      </c>
      <c r="F50" s="435">
        <v>0.35</v>
      </c>
      <c r="G50" s="287">
        <v>40565</v>
      </c>
      <c r="H50" s="156">
        <f t="shared" si="4"/>
        <v>16.147189866539314</v>
      </c>
      <c r="I50" s="156">
        <f t="shared" si="5"/>
        <v>13.858490566037736</v>
      </c>
      <c r="J50" s="51">
        <f t="shared" si="6"/>
        <v>293.8</v>
      </c>
      <c r="K50" s="475">
        <f t="shared" si="7"/>
        <v>21.2</v>
      </c>
      <c r="L50" s="475"/>
      <c r="M50" s="51"/>
      <c r="N50" s="270"/>
      <c r="O50" s="18"/>
    </row>
    <row r="51" spans="2:17" ht="13.5" thickBot="1" x14ac:dyDescent="0.25">
      <c r="B51" t="s">
        <v>334</v>
      </c>
      <c r="C51">
        <v>900</v>
      </c>
      <c r="D51" s="464">
        <f>0+K51/C51</f>
        <v>2.3555555555555555E-2</v>
      </c>
      <c r="E51" s="279">
        <v>40548</v>
      </c>
      <c r="F51" s="435">
        <v>0.25</v>
      </c>
      <c r="G51" s="287">
        <v>40620</v>
      </c>
      <c r="H51" s="156">
        <f t="shared" si="4"/>
        <v>11.974530770724382</v>
      </c>
      <c r="I51" s="156">
        <f t="shared" si="5"/>
        <v>9.6132075471698109</v>
      </c>
      <c r="J51" s="51">
        <f t="shared" si="6"/>
        <v>203.8</v>
      </c>
      <c r="K51" s="475">
        <f t="shared" si="7"/>
        <v>21.2</v>
      </c>
      <c r="L51" s="475"/>
      <c r="M51" s="51" t="s">
        <v>2002</v>
      </c>
      <c r="N51" s="270">
        <f>F51*C51</f>
        <v>225</v>
      </c>
      <c r="O51" s="18"/>
    </row>
    <row r="52" spans="2:17" ht="13.5" thickBot="1" x14ac:dyDescent="0.25">
      <c r="B52" t="s">
        <v>332</v>
      </c>
      <c r="C52">
        <v>400</v>
      </c>
      <c r="D52" s="464">
        <f>0+K52/C52</f>
        <v>3.7374999999999999E-2</v>
      </c>
      <c r="E52" s="279">
        <v>40504</v>
      </c>
      <c r="F52" s="435">
        <v>0.3</v>
      </c>
      <c r="G52" s="287">
        <v>40620</v>
      </c>
      <c r="H52" s="156">
        <f t="shared" si="4"/>
        <v>6.5535763937504568</v>
      </c>
      <c r="I52" s="156">
        <f t="shared" si="5"/>
        <v>7.0267558528428093</v>
      </c>
      <c r="J52" s="51">
        <f t="shared" si="6"/>
        <v>105.05</v>
      </c>
      <c r="K52" s="475">
        <f t="shared" si="7"/>
        <v>14.95</v>
      </c>
      <c r="L52" s="475"/>
      <c r="M52" s="51" t="s">
        <v>2002</v>
      </c>
      <c r="N52" s="270">
        <f>F52*C52</f>
        <v>120</v>
      </c>
      <c r="O52" s="18"/>
    </row>
    <row r="53" spans="2:17" ht="13.5" thickBot="1" x14ac:dyDescent="0.25">
      <c r="B53" t="s">
        <v>331</v>
      </c>
      <c r="C53">
        <v>300</v>
      </c>
      <c r="D53" s="464">
        <f>0+K53/C53</f>
        <v>4.5666666666666661E-2</v>
      </c>
      <c r="E53" s="279">
        <v>40504</v>
      </c>
      <c r="F53" s="435">
        <v>0.46</v>
      </c>
      <c r="G53" s="287">
        <v>40620</v>
      </c>
      <c r="H53" s="156">
        <f t="shared" si="4"/>
        <v>7.2680872077408685</v>
      </c>
      <c r="I53" s="156">
        <f t="shared" si="5"/>
        <v>9.0729927007299285</v>
      </c>
      <c r="J53" s="51">
        <f t="shared" si="6"/>
        <v>124.3</v>
      </c>
      <c r="K53" s="475">
        <f t="shared" si="7"/>
        <v>13.7</v>
      </c>
      <c r="L53" s="475"/>
      <c r="M53" s="51" t="s">
        <v>2002</v>
      </c>
      <c r="N53" s="270">
        <f>F53*C53</f>
        <v>138</v>
      </c>
      <c r="O53" s="18"/>
    </row>
    <row r="54" spans="2:17" ht="13.5" thickBot="1" x14ac:dyDescent="0.25">
      <c r="B54" s="1" t="s">
        <v>4066</v>
      </c>
      <c r="C54" s="1">
        <v>1000</v>
      </c>
      <c r="D54" s="464">
        <f>3.65+K54/C54</f>
        <v>3.67245</v>
      </c>
      <c r="E54" s="279">
        <v>40620</v>
      </c>
      <c r="F54" s="1">
        <v>4.05</v>
      </c>
      <c r="G54" s="262">
        <v>40623</v>
      </c>
      <c r="H54" s="156">
        <f t="shared" si="4"/>
        <v>11.906040466642139</v>
      </c>
      <c r="I54" s="156">
        <f t="shared" si="5"/>
        <v>0.10280602867295663</v>
      </c>
      <c r="J54" s="51">
        <f t="shared" si="6"/>
        <v>377.54999999999984</v>
      </c>
      <c r="K54" s="475">
        <f t="shared" si="7"/>
        <v>22.45</v>
      </c>
      <c r="L54" s="475"/>
      <c r="M54" s="51"/>
      <c r="N54" s="270"/>
      <c r="O54" s="18"/>
    </row>
    <row r="55" spans="2:17" x14ac:dyDescent="0.2">
      <c r="B55" s="1" t="s">
        <v>4759</v>
      </c>
      <c r="C55" s="1">
        <v>500</v>
      </c>
      <c r="D55" s="464">
        <f>9.5+K55/C55</f>
        <v>9.5324000000000009</v>
      </c>
      <c r="E55" s="262">
        <v>40632</v>
      </c>
      <c r="F55" s="1">
        <v>10</v>
      </c>
      <c r="G55" s="262">
        <v>40644</v>
      </c>
      <c r="H55" s="156">
        <f>LN(F55/D55)/((G55-E55)/365)</f>
        <v>1.4566106929454516</v>
      </c>
      <c r="I55" s="156">
        <f>F55/D55-1</f>
        <v>4.9053753514330056E-2</v>
      </c>
      <c r="J55" s="51">
        <f>C55*(F55-D55)</f>
        <v>233.79999999999956</v>
      </c>
      <c r="K55" s="475">
        <f t="shared" si="7"/>
        <v>16.2</v>
      </c>
      <c r="L55" s="475"/>
      <c r="M55" s="51"/>
      <c r="N55" s="270"/>
      <c r="O55" s="18"/>
    </row>
    <row r="56" spans="2:17" x14ac:dyDescent="0.2">
      <c r="B56" s="1" t="s">
        <v>3811</v>
      </c>
      <c r="C56" s="1">
        <v>1000</v>
      </c>
      <c r="D56" s="464">
        <f>2.38+K56/C56</f>
        <v>2.40245</v>
      </c>
      <c r="E56" s="313">
        <v>40645</v>
      </c>
      <c r="F56" s="1">
        <v>2.98</v>
      </c>
      <c r="G56" s="262">
        <v>40647</v>
      </c>
      <c r="H56" s="156">
        <f>LN(F56/D56)/((G56-E56)/365)</f>
        <v>39.316750721012262</v>
      </c>
      <c r="I56" s="156">
        <f>F56/D56-1</f>
        <v>0.24040042456658828</v>
      </c>
      <c r="J56" s="51">
        <f>C56*(F56-D56)</f>
        <v>577.54999999999995</v>
      </c>
      <c r="K56" s="475">
        <f t="shared" si="7"/>
        <v>22.45</v>
      </c>
      <c r="L56" s="475"/>
      <c r="M56" s="51" t="s">
        <v>5070</v>
      </c>
      <c r="N56" s="270"/>
      <c r="O56" s="18"/>
    </row>
    <row r="57" spans="2:17" ht="13.5" thickBot="1" x14ac:dyDescent="0.25">
      <c r="B57" s="1" t="s">
        <v>4491</v>
      </c>
      <c r="C57" s="1">
        <v>900</v>
      </c>
      <c r="D57" s="464">
        <f>0+K57/C57</f>
        <v>2.3555555555555555E-2</v>
      </c>
      <c r="E57" s="279">
        <v>40494</v>
      </c>
      <c r="F57" s="1">
        <f>0.1</f>
        <v>0.1</v>
      </c>
      <c r="G57" s="262">
        <v>40529</v>
      </c>
      <c r="H57" s="156">
        <f t="shared" si="4"/>
        <v>15.077717095945399</v>
      </c>
      <c r="I57" s="156">
        <f t="shared" si="5"/>
        <v>3.2452830188679247</v>
      </c>
      <c r="J57" s="51">
        <f t="shared" si="6"/>
        <v>68.800000000000011</v>
      </c>
      <c r="K57" s="475">
        <f t="shared" si="7"/>
        <v>21.2</v>
      </c>
      <c r="L57" s="475"/>
      <c r="M57" s="51" t="s">
        <v>2002</v>
      </c>
      <c r="N57" s="270">
        <f>F57*C57</f>
        <v>90</v>
      </c>
      <c r="O57" s="18"/>
      <c r="P57" s="18"/>
    </row>
    <row r="58" spans="2:17" ht="13.5" thickBot="1" x14ac:dyDescent="0.25">
      <c r="B58" s="272"/>
      <c r="C58" s="273"/>
      <c r="D58" s="282">
        <f>SUMPRODUCT(C3:C57,D3:D57)</f>
        <v>253891.98501072242</v>
      </c>
      <c r="E58" s="273"/>
      <c r="F58" s="282">
        <f>SUMPRODUCT(C3:C57,F3:F57)</f>
        <v>290931.19700000004</v>
      </c>
      <c r="G58" s="274"/>
      <c r="H58" s="286"/>
      <c r="I58" s="286"/>
      <c r="J58" s="276">
        <f>SUM(J3:J57)</f>
        <v>37039.211989277755</v>
      </c>
      <c r="K58" s="400"/>
      <c r="L58" s="400"/>
      <c r="M58" s="400"/>
      <c r="N58" s="419">
        <f>SUM(N3:N57)</f>
        <v>268126.19700000004</v>
      </c>
      <c r="O58" s="428"/>
      <c r="P58" s="18"/>
    </row>
    <row r="59" spans="2:17" ht="13.5" thickBot="1" x14ac:dyDescent="0.25">
      <c r="J59" s="18"/>
      <c r="K59" s="18"/>
      <c r="L59" s="18"/>
      <c r="M59" s="18"/>
      <c r="N59" s="18"/>
      <c r="O59" s="18"/>
      <c r="P59" s="18"/>
      <c r="Q59" s="18"/>
    </row>
    <row r="60" spans="2:17" ht="13.5" thickBot="1" x14ac:dyDescent="0.25">
      <c r="B60" s="413"/>
      <c r="C60" s="414"/>
      <c r="D60" s="414"/>
      <c r="E60" s="415">
        <v>40003</v>
      </c>
      <c r="F60" s="414"/>
      <c r="G60" s="415">
        <f ca="1">TODAY()</f>
        <v>41607</v>
      </c>
      <c r="H60" s="416"/>
      <c r="J60" s="18"/>
      <c r="K60" s="18"/>
      <c r="L60" s="18"/>
      <c r="M60" s="18"/>
      <c r="N60" s="18"/>
      <c r="O60" s="18"/>
      <c r="P60" s="18"/>
      <c r="Q60" s="18"/>
    </row>
    <row r="61" spans="2:17" ht="13.5" thickBot="1" x14ac:dyDescent="0.25">
      <c r="B61" s="417" t="s">
        <v>4401</v>
      </c>
      <c r="C61" s="418"/>
      <c r="D61" s="286">
        <f>J58/('US Portfolio'!D35+'US Portfolio'!D24)</f>
        <v>0.20116775266350817</v>
      </c>
      <c r="E61" s="240"/>
      <c r="F61" s="286">
        <f ca="1">365*(J61/G74)/(G60-E60)</f>
        <v>4.4372177028702504E-2</v>
      </c>
      <c r="G61" s="240" t="s">
        <v>1588</v>
      </c>
      <c r="H61" s="219"/>
      <c r="J61" s="428">
        <f>J58+'US Portfolio'!J35+'US Portfolio'!J24</f>
        <v>32716.167765612692</v>
      </c>
      <c r="K61" s="428"/>
      <c r="L61" s="428"/>
      <c r="M61" s="428"/>
      <c r="N61" s="428"/>
      <c r="O61" s="18"/>
      <c r="P61" s="18"/>
      <c r="Q61" s="18"/>
    </row>
    <row r="62" spans="2:17" x14ac:dyDescent="0.2">
      <c r="J62" s="18"/>
      <c r="K62" s="18"/>
      <c r="L62" s="18"/>
      <c r="M62" s="18"/>
      <c r="N62" s="18"/>
      <c r="O62" s="18"/>
      <c r="P62" s="18"/>
      <c r="Q62" s="18"/>
    </row>
    <row r="63" spans="2:17" x14ac:dyDescent="0.2">
      <c r="J63" s="18"/>
      <c r="K63" s="18"/>
      <c r="L63" s="18"/>
      <c r="M63" s="18"/>
      <c r="N63" s="18"/>
      <c r="O63" s="18"/>
      <c r="P63" s="18"/>
      <c r="Q63" s="18"/>
    </row>
    <row r="64" spans="2:17" x14ac:dyDescent="0.2">
      <c r="B64" s="151" t="s">
        <v>3984</v>
      </c>
      <c r="J64" s="18"/>
      <c r="K64" s="18"/>
      <c r="L64" s="18"/>
      <c r="M64" s="18"/>
      <c r="N64" s="18"/>
      <c r="O64" s="18"/>
      <c r="P64" s="18"/>
      <c r="Q64" s="18"/>
    </row>
    <row r="65" spans="2:17" x14ac:dyDescent="0.2">
      <c r="B65" t="s">
        <v>3416</v>
      </c>
      <c r="C65" t="s">
        <v>3418</v>
      </c>
      <c r="D65" t="s">
        <v>3978</v>
      </c>
      <c r="E65" t="s">
        <v>3979</v>
      </c>
      <c r="F65" t="s">
        <v>3980</v>
      </c>
      <c r="G65" t="s">
        <v>3981</v>
      </c>
      <c r="H65" t="s">
        <v>3988</v>
      </c>
      <c r="J65" s="18"/>
      <c r="K65" s="18"/>
      <c r="L65" s="18"/>
      <c r="M65" s="18"/>
      <c r="N65" s="18"/>
      <c r="O65" s="18"/>
      <c r="P65" s="18"/>
      <c r="Q65" s="18"/>
    </row>
    <row r="66" spans="2:17" x14ac:dyDescent="0.2">
      <c r="B66" s="135">
        <v>40078</v>
      </c>
      <c r="C66" t="s">
        <v>3982</v>
      </c>
      <c r="D66" t="s">
        <v>3983</v>
      </c>
      <c r="G66" s="440">
        <v>95000</v>
      </c>
      <c r="H66" t="s">
        <v>3984</v>
      </c>
      <c r="I66" s="440">
        <v>164000</v>
      </c>
      <c r="J66" s="18"/>
      <c r="K66" s="18"/>
      <c r="L66" s="18"/>
      <c r="M66" s="18"/>
      <c r="N66" s="18"/>
      <c r="O66" s="18"/>
      <c r="P66" s="18"/>
      <c r="Q66" s="18"/>
    </row>
    <row r="67" spans="2:17" x14ac:dyDescent="0.2">
      <c r="B67" s="135">
        <v>40067</v>
      </c>
      <c r="C67" t="s">
        <v>3982</v>
      </c>
      <c r="D67" t="s">
        <v>3983</v>
      </c>
      <c r="G67" s="440">
        <v>13280</v>
      </c>
      <c r="H67" t="s">
        <v>3989</v>
      </c>
      <c r="I67" s="442">
        <v>12137.66</v>
      </c>
      <c r="J67" s="18"/>
      <c r="K67" s="18"/>
      <c r="L67" s="18"/>
      <c r="M67" s="18"/>
      <c r="N67" s="18"/>
      <c r="O67" s="18"/>
      <c r="P67" s="18"/>
      <c r="Q67" s="18"/>
    </row>
    <row r="68" spans="2:17" x14ac:dyDescent="0.2">
      <c r="B68" s="135">
        <v>40031</v>
      </c>
      <c r="C68" t="s">
        <v>3982</v>
      </c>
      <c r="D68" t="s">
        <v>3983</v>
      </c>
      <c r="G68" s="440">
        <v>28500</v>
      </c>
      <c r="H68" t="s">
        <v>3990</v>
      </c>
      <c r="I68" s="442">
        <v>18935.38</v>
      </c>
      <c r="J68" s="18"/>
      <c r="K68" s="18"/>
      <c r="L68" s="18"/>
      <c r="M68" s="18"/>
      <c r="N68" s="18"/>
      <c r="O68" s="18"/>
      <c r="P68" s="18"/>
      <c r="Q68" s="18"/>
    </row>
    <row r="69" spans="2:17" x14ac:dyDescent="0.2">
      <c r="B69" s="135">
        <v>40023</v>
      </c>
      <c r="C69" t="s">
        <v>3982</v>
      </c>
      <c r="D69" t="s">
        <v>3983</v>
      </c>
      <c r="G69" s="440">
        <v>1000</v>
      </c>
      <c r="H69" t="s">
        <v>2132</v>
      </c>
      <c r="I69" s="442">
        <v>16500</v>
      </c>
      <c r="J69" s="18"/>
      <c r="K69" s="18"/>
      <c r="L69" s="18"/>
      <c r="M69" s="18"/>
      <c r="N69" s="18"/>
      <c r="O69" s="18"/>
      <c r="P69" s="18"/>
      <c r="Q69" s="18"/>
    </row>
    <row r="70" spans="2:17" x14ac:dyDescent="0.2">
      <c r="B70" s="135">
        <v>40022</v>
      </c>
      <c r="C70" t="s">
        <v>3982</v>
      </c>
      <c r="D70" t="s">
        <v>3983</v>
      </c>
      <c r="G70" s="440">
        <v>500</v>
      </c>
      <c r="J70" s="18"/>
      <c r="K70" s="18"/>
      <c r="L70" s="18"/>
      <c r="M70" s="18"/>
      <c r="N70" s="18"/>
      <c r="O70" s="18"/>
      <c r="P70" s="18"/>
      <c r="Q70" s="18"/>
    </row>
    <row r="71" spans="2:17" x14ac:dyDescent="0.2">
      <c r="G71" s="441">
        <f>SUM(G66:G70)</f>
        <v>138280</v>
      </c>
      <c r="H71" s="451" t="s">
        <v>3807</v>
      </c>
      <c r="I71" s="452">
        <f>G71+J58-'US Portfolio'!J24-'US Portfolio'!F24</f>
        <v>81093.676378659671</v>
      </c>
      <c r="J71" s="18"/>
      <c r="K71" s="18"/>
      <c r="L71" s="18"/>
      <c r="M71" s="18"/>
      <c r="N71" s="18"/>
      <c r="O71" s="18"/>
      <c r="P71" s="18"/>
      <c r="Q71" s="18"/>
    </row>
    <row r="72" spans="2:17" x14ac:dyDescent="0.2">
      <c r="B72" s="151" t="s">
        <v>3985</v>
      </c>
      <c r="C72" t="s">
        <v>3986</v>
      </c>
      <c r="G72" s="440">
        <v>11500</v>
      </c>
      <c r="J72" s="18"/>
      <c r="K72" s="18"/>
      <c r="L72" s="18"/>
      <c r="M72" s="18"/>
      <c r="N72" s="18"/>
      <c r="O72" s="18"/>
      <c r="P72" s="18"/>
      <c r="Q72" s="18"/>
    </row>
    <row r="73" spans="2:17" x14ac:dyDescent="0.2">
      <c r="C73" t="s">
        <v>3987</v>
      </c>
      <c r="G73" s="440">
        <v>18000</v>
      </c>
      <c r="J73" s="18"/>
      <c r="K73" s="18"/>
      <c r="L73" s="18"/>
      <c r="M73" s="18"/>
      <c r="N73" s="18"/>
      <c r="O73" s="18"/>
      <c r="P73" s="18"/>
      <c r="Q73" s="18"/>
    </row>
    <row r="74" spans="2:17" x14ac:dyDescent="0.2">
      <c r="G74" s="441">
        <f>SUM(G71:G73)</f>
        <v>167780</v>
      </c>
      <c r="I74" s="441"/>
      <c r="J74" s="18"/>
      <c r="K74" s="18"/>
      <c r="L74" s="18"/>
      <c r="M74" s="18"/>
      <c r="N74" s="18"/>
      <c r="O74" s="18"/>
      <c r="P74" s="18"/>
      <c r="Q74" s="18"/>
    </row>
    <row r="75" spans="2:17" x14ac:dyDescent="0.2">
      <c r="J75" s="18"/>
      <c r="K75" s="18"/>
      <c r="L75" s="18"/>
      <c r="M75" s="18"/>
      <c r="N75" s="18"/>
      <c r="O75" s="18"/>
      <c r="P75" s="18"/>
      <c r="Q75" s="18"/>
    </row>
    <row r="76" spans="2:17" x14ac:dyDescent="0.2">
      <c r="J76" s="18"/>
      <c r="K76" s="18"/>
      <c r="L76" s="18"/>
      <c r="M76" s="18"/>
      <c r="N76" s="18"/>
      <c r="O76" s="18"/>
      <c r="P76" s="18"/>
      <c r="Q76" s="18"/>
    </row>
    <row r="77" spans="2:17" x14ac:dyDescent="0.2">
      <c r="J77" s="18"/>
      <c r="K77" s="18"/>
      <c r="L77" s="18"/>
      <c r="M77" s="18"/>
      <c r="N77" s="18"/>
      <c r="O77" s="18"/>
      <c r="P77" s="18"/>
      <c r="Q77" s="18"/>
    </row>
    <row r="82" spans="7:7" x14ac:dyDescent="0.2">
      <c r="G82" s="585" t="s">
        <v>759</v>
      </c>
    </row>
    <row r="83" spans="7:7" x14ac:dyDescent="0.2">
      <c r="G83" s="585" t="s">
        <v>758</v>
      </c>
    </row>
  </sheetData>
  <phoneticPr fontId="2" type="noConversion"/>
  <conditionalFormatting sqref="G50:G53 G10:G44">
    <cfRule type="cellIs" dxfId="7" priority="1" stopIfTrue="1" operator="lessThan">
      <formula>F10</formula>
    </cfRule>
  </conditionalFormatting>
  <conditionalFormatting sqref="F61 D61 H3:I58">
    <cfRule type="cellIs" dxfId="6" priority="2" stopIfTrue="1" operator="lessThan">
      <formula>0.1</formula>
    </cfRule>
  </conditionalFormatting>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7"/>
  <sheetViews>
    <sheetView topLeftCell="A20" workbookViewId="0">
      <selection activeCell="J36" sqref="J36"/>
    </sheetView>
  </sheetViews>
  <sheetFormatPr defaultRowHeight="11.25" x14ac:dyDescent="0.2"/>
  <cols>
    <col min="1" max="1" width="6.85546875" style="467" customWidth="1"/>
    <col min="2" max="2" width="27.28515625" style="467" customWidth="1"/>
    <col min="3" max="3" width="4.42578125" style="467" customWidth="1"/>
    <col min="4" max="4" width="9.5703125" style="467" customWidth="1"/>
    <col min="5" max="5" width="12.85546875" style="467" customWidth="1"/>
    <col min="6" max="6" width="7.42578125" style="467" customWidth="1"/>
    <col min="7" max="7" width="7.7109375" style="467" customWidth="1"/>
    <col min="8" max="8" width="13.140625" style="467" customWidth="1"/>
    <col min="9" max="9" width="9.7109375" style="467" customWidth="1"/>
    <col min="10" max="10" width="7" style="467" customWidth="1"/>
    <col min="11" max="11" width="7.85546875" style="467" customWidth="1"/>
    <col min="12" max="12" width="6.85546875" style="467" customWidth="1"/>
    <col min="13" max="13" width="4.42578125" style="467" customWidth="1"/>
    <col min="14" max="14" width="12.140625" style="467" customWidth="1"/>
    <col min="15" max="15" width="14" style="467" customWidth="1"/>
    <col min="16" max="17" width="12" style="467" customWidth="1"/>
    <col min="18" max="18" width="15.5703125" style="467" customWidth="1"/>
    <col min="19" max="19" width="12.28515625" style="467" bestFit="1" customWidth="1"/>
    <col min="20" max="20" width="11" style="467" customWidth="1"/>
    <col min="21" max="21" width="12.5703125" style="467" bestFit="1" customWidth="1"/>
    <col min="22" max="22" width="8" style="467" bestFit="1" customWidth="1"/>
    <col min="23" max="23" width="12.5703125" style="467" bestFit="1" customWidth="1"/>
    <col min="24" max="24" width="12" style="467" bestFit="1" customWidth="1"/>
    <col min="25" max="25" width="15.5703125" style="467" bestFit="1" customWidth="1"/>
    <col min="26" max="16384" width="9.140625" style="467"/>
  </cols>
  <sheetData>
    <row r="1" spans="1:12" ht="12" thickBot="1" x14ac:dyDescent="0.25"/>
    <row r="2" spans="1:12" x14ac:dyDescent="0.2">
      <c r="A2" s="476" t="s">
        <v>4951</v>
      </c>
      <c r="B2" s="477"/>
      <c r="C2" s="477"/>
      <c r="D2" s="477"/>
      <c r="E2" s="477"/>
      <c r="F2" s="478"/>
      <c r="G2" s="476" t="s">
        <v>5203</v>
      </c>
      <c r="H2" s="477"/>
      <c r="I2" s="477"/>
      <c r="J2" s="477"/>
      <c r="K2" s="477"/>
      <c r="L2" s="478"/>
    </row>
    <row r="3" spans="1:12" x14ac:dyDescent="0.2">
      <c r="A3" s="479" t="s">
        <v>2118</v>
      </c>
      <c r="B3" s="480" t="s">
        <v>3600</v>
      </c>
      <c r="C3" s="480" t="s">
        <v>3413</v>
      </c>
      <c r="D3" s="480" t="s">
        <v>2298</v>
      </c>
      <c r="E3" s="481" t="s">
        <v>3294</v>
      </c>
      <c r="F3" s="479" t="s">
        <v>2118</v>
      </c>
      <c r="G3" s="480" t="s">
        <v>3413</v>
      </c>
      <c r="H3" s="480" t="s">
        <v>2298</v>
      </c>
      <c r="I3" s="480" t="s">
        <v>3294</v>
      </c>
      <c r="J3" s="481" t="s">
        <v>3600</v>
      </c>
    </row>
    <row r="4" spans="1:12" x14ac:dyDescent="0.2">
      <c r="A4" s="482" t="s">
        <v>461</v>
      </c>
      <c r="B4" s="483">
        <v>5.7410519841415285E-2</v>
      </c>
      <c r="C4" s="484" t="s">
        <v>462</v>
      </c>
      <c r="D4" s="484"/>
      <c r="E4" s="581">
        <v>1.7896995708154506</v>
      </c>
      <c r="F4" s="482" t="s">
        <v>5136</v>
      </c>
      <c r="G4" s="484" t="s">
        <v>5137</v>
      </c>
      <c r="H4" s="484" t="s">
        <v>1103</v>
      </c>
      <c r="I4" s="577">
        <v>-0.64204545454545447</v>
      </c>
      <c r="J4" s="581">
        <v>0.17833147990396617</v>
      </c>
    </row>
    <row r="5" spans="1:12" x14ac:dyDescent="0.2">
      <c r="A5" s="482" t="s">
        <v>2590</v>
      </c>
      <c r="B5" s="483">
        <v>6.2995726350773495E-2</v>
      </c>
      <c r="C5" s="484" t="s">
        <v>2591</v>
      </c>
      <c r="D5" s="484" t="s">
        <v>1562</v>
      </c>
      <c r="E5" s="581">
        <v>1.2626563430613462</v>
      </c>
      <c r="F5" s="482" t="s">
        <v>2700</v>
      </c>
      <c r="G5" s="484" t="s">
        <v>2701</v>
      </c>
      <c r="H5" s="484" t="s">
        <v>1404</v>
      </c>
      <c r="I5" s="577">
        <v>0.12977099236641215</v>
      </c>
      <c r="J5" s="581">
        <v>0.13112362597358851</v>
      </c>
    </row>
    <row r="6" spans="1:12" x14ac:dyDescent="0.2">
      <c r="A6" s="482" t="s">
        <v>459</v>
      </c>
      <c r="B6" s="483">
        <v>6.6301377030600558E-2</v>
      </c>
      <c r="C6" s="484" t="s">
        <v>460</v>
      </c>
      <c r="D6" s="484"/>
      <c r="E6" s="581">
        <v>1.2605863192182414</v>
      </c>
      <c r="F6" s="482" t="s">
        <v>2982</v>
      </c>
      <c r="G6" s="484" t="s">
        <v>2983</v>
      </c>
      <c r="H6" s="484" t="s">
        <v>662</v>
      </c>
      <c r="I6" s="577">
        <v>-0.74822695035460995</v>
      </c>
      <c r="J6" s="581">
        <v>0.12599844130598783</v>
      </c>
    </row>
    <row r="7" spans="1:12" x14ac:dyDescent="0.2">
      <c r="A7" s="482" t="s">
        <v>4164</v>
      </c>
      <c r="B7" s="483">
        <v>5.8425198725839581E-2</v>
      </c>
      <c r="C7" s="484" t="s">
        <v>490</v>
      </c>
      <c r="D7" s="484" t="s">
        <v>1405</v>
      </c>
      <c r="E7" s="581">
        <v>0.82724252491694361</v>
      </c>
      <c r="F7" s="482" t="s">
        <v>3434</v>
      </c>
      <c r="G7" s="484" t="s">
        <v>3435</v>
      </c>
      <c r="H7" s="484" t="s">
        <v>4382</v>
      </c>
      <c r="I7" s="577">
        <v>0.86792452830188682</v>
      </c>
      <c r="J7" s="581">
        <v>9.9894627175146605E-2</v>
      </c>
    </row>
    <row r="8" spans="1:12" x14ac:dyDescent="0.2">
      <c r="A8" s="482" t="s">
        <v>2173</v>
      </c>
      <c r="B8" s="483">
        <v>3.5087493662820407E-2</v>
      </c>
      <c r="C8" s="484" t="s">
        <v>2174</v>
      </c>
      <c r="D8" s="484"/>
      <c r="E8" s="581">
        <v>0.74488304093567259</v>
      </c>
      <c r="F8" s="482" t="s">
        <v>4164</v>
      </c>
      <c r="G8" s="484" t="s">
        <v>490</v>
      </c>
      <c r="H8" s="484" t="s">
        <v>1405</v>
      </c>
      <c r="I8" s="577">
        <v>2.9101796407185634</v>
      </c>
      <c r="J8" s="581">
        <v>9.8162154896101181E-2</v>
      </c>
    </row>
    <row r="9" spans="1:12" x14ac:dyDescent="0.2">
      <c r="A9" s="482" t="s">
        <v>3434</v>
      </c>
      <c r="B9" s="483">
        <v>0.10032428669071115</v>
      </c>
      <c r="C9" s="484" t="s">
        <v>3435</v>
      </c>
      <c r="D9" s="484" t="s">
        <v>4382</v>
      </c>
      <c r="E9" s="581">
        <v>0.69934640522875824</v>
      </c>
      <c r="F9" s="482" t="s">
        <v>4799</v>
      </c>
      <c r="G9" s="484" t="s">
        <v>2133</v>
      </c>
      <c r="H9" s="484" t="s">
        <v>3295</v>
      </c>
      <c r="I9" s="577">
        <v>-4.3771043771043891E-2</v>
      </c>
      <c r="J9" s="581">
        <v>9.6804298021237759E-2</v>
      </c>
    </row>
    <row r="10" spans="1:12" x14ac:dyDescent="0.2">
      <c r="A10" s="482" t="s">
        <v>4999</v>
      </c>
      <c r="B10" s="483">
        <v>3.5417686259833527E-2</v>
      </c>
      <c r="C10" s="484" t="s">
        <v>5000</v>
      </c>
      <c r="D10" s="484"/>
      <c r="E10" s="581">
        <v>0.6978071492940825</v>
      </c>
      <c r="F10" s="482" t="s">
        <v>3427</v>
      </c>
      <c r="G10" s="484" t="s">
        <v>3428</v>
      </c>
      <c r="H10" s="484" t="s">
        <v>3296</v>
      </c>
      <c r="I10" s="577">
        <v>0.2682926829268294</v>
      </c>
      <c r="J10" s="581">
        <v>9.2407875122282643E-2</v>
      </c>
    </row>
    <row r="11" spans="1:12" x14ac:dyDescent="0.2">
      <c r="A11" s="482" t="s">
        <v>1831</v>
      </c>
      <c r="B11" s="483">
        <v>3.6663805249654811E-2</v>
      </c>
      <c r="C11" s="484" t="s">
        <v>1832</v>
      </c>
      <c r="D11" s="484" t="s">
        <v>2993</v>
      </c>
      <c r="E11" s="581">
        <v>0.68393480791618166</v>
      </c>
      <c r="F11" s="482" t="s">
        <v>281</v>
      </c>
      <c r="G11" s="484" t="s">
        <v>282</v>
      </c>
      <c r="H11" s="484"/>
      <c r="I11" s="577">
        <v>0.68039078855547785</v>
      </c>
      <c r="J11" s="581">
        <v>8.9420710473236936E-2</v>
      </c>
    </row>
    <row r="12" spans="1:12" x14ac:dyDescent="0.2">
      <c r="A12" s="482" t="s">
        <v>3663</v>
      </c>
      <c r="B12" s="483">
        <v>3.7100189197112429E-2</v>
      </c>
      <c r="C12" s="484" t="s">
        <v>3664</v>
      </c>
      <c r="D12" s="484" t="s">
        <v>1563</v>
      </c>
      <c r="E12" s="581">
        <v>0.6806981519507187</v>
      </c>
      <c r="F12" s="482" t="s">
        <v>382</v>
      </c>
      <c r="G12" s="484" t="s">
        <v>383</v>
      </c>
      <c r="H12" s="484" t="s">
        <v>1564</v>
      </c>
      <c r="I12" s="577">
        <v>-0.65714285714285725</v>
      </c>
      <c r="J12" s="581">
        <v>8.501551894529881E-2</v>
      </c>
    </row>
    <row r="13" spans="1:12" x14ac:dyDescent="0.2">
      <c r="A13" s="482" t="s">
        <v>3675</v>
      </c>
      <c r="B13" s="483">
        <v>3.9122975494438841E-2</v>
      </c>
      <c r="C13" s="484" t="s">
        <v>2185</v>
      </c>
      <c r="D13" s="484" t="s">
        <v>5418</v>
      </c>
      <c r="E13" s="581">
        <v>0.66191446028513234</v>
      </c>
      <c r="F13" s="482" t="s">
        <v>3438</v>
      </c>
      <c r="G13" s="484" t="s">
        <v>3439</v>
      </c>
      <c r="H13" s="484" t="s">
        <v>5204</v>
      </c>
      <c r="I13" s="577">
        <v>0.15789473684210523</v>
      </c>
      <c r="J13" s="581">
        <v>7.6483664671212398E-2</v>
      </c>
    </row>
    <row r="14" spans="1:12" x14ac:dyDescent="0.2">
      <c r="A14" s="482" t="s">
        <v>281</v>
      </c>
      <c r="B14" s="483">
        <v>8.9281582431868123E-2</v>
      </c>
      <c r="C14" s="484" t="s">
        <v>282</v>
      </c>
      <c r="D14" s="484"/>
      <c r="E14" s="581">
        <v>0.60797342192691017</v>
      </c>
      <c r="F14" s="482" t="s">
        <v>380</v>
      </c>
      <c r="G14" s="484" t="s">
        <v>381</v>
      </c>
      <c r="H14" s="484" t="s">
        <v>1406</v>
      </c>
      <c r="I14" s="577">
        <v>-0.1785714285714286</v>
      </c>
      <c r="J14" s="581">
        <v>6.7672351188536484E-2</v>
      </c>
    </row>
    <row r="15" spans="1:12" x14ac:dyDescent="0.2">
      <c r="A15" s="482" t="s">
        <v>4991</v>
      </c>
      <c r="B15" s="483">
        <v>4.6672436685412579E-2</v>
      </c>
      <c r="C15" s="484" t="s">
        <v>4992</v>
      </c>
      <c r="D15" s="484"/>
      <c r="E15" s="581">
        <v>0.59251968503937003</v>
      </c>
      <c r="F15" s="482" t="s">
        <v>3186</v>
      </c>
      <c r="G15" s="484" t="s">
        <v>3187</v>
      </c>
      <c r="H15" s="484"/>
      <c r="I15" s="577">
        <v>0.40954773869346744</v>
      </c>
      <c r="J15" s="581">
        <v>6.7156884348401821E-2</v>
      </c>
    </row>
    <row r="16" spans="1:12" x14ac:dyDescent="0.2">
      <c r="A16" s="482" t="s">
        <v>177</v>
      </c>
      <c r="B16" s="483">
        <v>4.8731224194949803E-2</v>
      </c>
      <c r="C16" s="484" t="s">
        <v>4568</v>
      </c>
      <c r="D16" s="484"/>
      <c r="E16" s="581">
        <v>0.56432432432432444</v>
      </c>
      <c r="F16" s="482" t="s">
        <v>1620</v>
      </c>
      <c r="G16" s="484"/>
      <c r="H16" s="484"/>
      <c r="I16" s="577">
        <v>-0.28228228228228225</v>
      </c>
      <c r="J16" s="581">
        <v>6.573614946248256E-2</v>
      </c>
    </row>
    <row r="17" spans="1:15" x14ac:dyDescent="0.2">
      <c r="A17" s="482" t="s">
        <v>1698</v>
      </c>
      <c r="B17" s="483">
        <v>4.2089151032248022E-2</v>
      </c>
      <c r="C17" s="484" t="s">
        <v>1699</v>
      </c>
      <c r="D17" s="484"/>
      <c r="E17" s="581">
        <v>0.55518144407033299</v>
      </c>
      <c r="F17" s="482" t="s">
        <v>4566</v>
      </c>
      <c r="G17" s="484" t="s">
        <v>4567</v>
      </c>
      <c r="H17" s="484" t="s">
        <v>1103</v>
      </c>
      <c r="I17" s="577">
        <v>0.30117852466171968</v>
      </c>
      <c r="J17" s="581">
        <v>6.5689493949828967E-2</v>
      </c>
    </row>
    <row r="18" spans="1:15" x14ac:dyDescent="0.2">
      <c r="A18" s="482" t="s">
        <v>164</v>
      </c>
      <c r="B18" s="483">
        <v>2.4566158711653598E-2</v>
      </c>
      <c r="C18" s="484" t="s">
        <v>165</v>
      </c>
      <c r="D18" s="484"/>
      <c r="E18" s="581">
        <v>0.5390049140049139</v>
      </c>
      <c r="F18" s="482" t="s">
        <v>739</v>
      </c>
      <c r="G18" s="484" t="s">
        <v>740</v>
      </c>
      <c r="H18" s="484"/>
      <c r="I18" s="577">
        <v>-0.69885433715220957</v>
      </c>
      <c r="J18" s="581">
        <v>6.519561910128624E-2</v>
      </c>
    </row>
    <row r="19" spans="1:15" x14ac:dyDescent="0.2">
      <c r="A19" s="482" t="s">
        <v>1942</v>
      </c>
      <c r="B19" s="483">
        <v>5.7555763094451429E-2</v>
      </c>
      <c r="C19" s="484" t="s">
        <v>1943</v>
      </c>
      <c r="D19" s="484"/>
      <c r="E19" s="581">
        <v>0.53501628664495138</v>
      </c>
      <c r="F19" s="482" t="s">
        <v>394</v>
      </c>
      <c r="G19" s="484" t="s">
        <v>395</v>
      </c>
      <c r="H19" s="484" t="s">
        <v>5204</v>
      </c>
      <c r="I19" s="577">
        <v>0.18965517241379309</v>
      </c>
      <c r="J19" s="581">
        <v>6.4467724482875924E-2</v>
      </c>
    </row>
    <row r="20" spans="1:15" x14ac:dyDescent="0.2">
      <c r="A20" s="482" t="s">
        <v>1111</v>
      </c>
      <c r="B20" s="483">
        <v>3.6560125662551242E-2</v>
      </c>
      <c r="C20" s="484" t="s">
        <v>1112</v>
      </c>
      <c r="D20" s="484"/>
      <c r="E20" s="581">
        <v>0.52861952861952854</v>
      </c>
      <c r="F20" s="482" t="s">
        <v>4203</v>
      </c>
      <c r="G20" s="484"/>
      <c r="H20" s="484"/>
      <c r="I20" s="577">
        <v>-0.46031746031746029</v>
      </c>
      <c r="J20" s="581">
        <v>6.4050153125379927E-2</v>
      </c>
    </row>
    <row r="21" spans="1:15" x14ac:dyDescent="0.2">
      <c r="A21" s="482" t="s">
        <v>793</v>
      </c>
      <c r="B21" s="483">
        <v>4.7062494253753862E-2</v>
      </c>
      <c r="C21" s="484" t="s">
        <v>794</v>
      </c>
      <c r="D21" s="484" t="s">
        <v>5419</v>
      </c>
      <c r="E21" s="581">
        <v>0.51421298260500625</v>
      </c>
      <c r="F21" s="482" t="s">
        <v>388</v>
      </c>
      <c r="G21" s="484" t="s">
        <v>389</v>
      </c>
      <c r="H21" s="484" t="s">
        <v>2418</v>
      </c>
      <c r="I21" s="577">
        <v>-0.51282051282051289</v>
      </c>
      <c r="J21" s="581">
        <v>6.2706800177186009E-2</v>
      </c>
    </row>
    <row r="22" spans="1:15" x14ac:dyDescent="0.2">
      <c r="A22" s="482" t="s">
        <v>3186</v>
      </c>
      <c r="B22" s="483">
        <v>6.8435205880059663E-2</v>
      </c>
      <c r="C22" s="484" t="s">
        <v>3187</v>
      </c>
      <c r="D22" s="484"/>
      <c r="E22" s="581">
        <v>0.512820512820513</v>
      </c>
      <c r="F22" s="482" t="s">
        <v>3660</v>
      </c>
      <c r="G22" s="484" t="s">
        <v>3661</v>
      </c>
      <c r="H22" s="484" t="s">
        <v>5397</v>
      </c>
      <c r="I22" s="577">
        <v>-0.34140969162995588</v>
      </c>
      <c r="J22" s="581">
        <v>6.2123643770987995E-2</v>
      </c>
    </row>
    <row r="23" spans="1:15" ht="12" thickBot="1" x14ac:dyDescent="0.25">
      <c r="A23" s="486" t="s">
        <v>1117</v>
      </c>
      <c r="B23" s="487">
        <v>3.4880648150294097E-2</v>
      </c>
      <c r="C23" s="488" t="s">
        <v>1118</v>
      </c>
      <c r="D23" s="488"/>
      <c r="E23" s="582">
        <v>0.48780487804878053</v>
      </c>
      <c r="F23" s="486" t="s">
        <v>1693</v>
      </c>
      <c r="G23" s="488" t="s">
        <v>1694</v>
      </c>
      <c r="H23" s="488" t="s">
        <v>5398</v>
      </c>
      <c r="I23" s="578">
        <v>-0.5</v>
      </c>
      <c r="J23" s="582">
        <v>6.2017367294604227E-2</v>
      </c>
    </row>
    <row r="26" spans="1:15" x14ac:dyDescent="0.2">
      <c r="A26" s="466" t="s">
        <v>33</v>
      </c>
      <c r="E26" s="472" t="s">
        <v>4949</v>
      </c>
      <c r="F26" s="472"/>
      <c r="G26" s="472"/>
      <c r="H26" s="472"/>
      <c r="I26" s="472"/>
      <c r="J26" s="466" t="s">
        <v>2975</v>
      </c>
    </row>
    <row r="27" spans="1:15" ht="12" thickBot="1" x14ac:dyDescent="0.25">
      <c r="J27" s="468" t="s">
        <v>2118</v>
      </c>
      <c r="K27" s="468" t="s">
        <v>3413</v>
      </c>
      <c r="L27" s="468" t="s">
        <v>2298</v>
      </c>
      <c r="M27" s="468" t="s">
        <v>3294</v>
      </c>
      <c r="N27" s="468" t="s">
        <v>3600</v>
      </c>
      <c r="O27" s="468" t="s">
        <v>4950</v>
      </c>
    </row>
    <row r="28" spans="1:15" x14ac:dyDescent="0.2">
      <c r="A28" s="567" t="s">
        <v>2118</v>
      </c>
      <c r="B28" s="568" t="s">
        <v>3413</v>
      </c>
      <c r="C28" s="568" t="s">
        <v>2934</v>
      </c>
      <c r="D28" s="569" t="s">
        <v>2109</v>
      </c>
      <c r="E28" s="568" t="s">
        <v>566</v>
      </c>
      <c r="F28" s="568" t="s">
        <v>4719</v>
      </c>
      <c r="G28" s="568" t="s">
        <v>3600</v>
      </c>
      <c r="H28" s="568" t="s">
        <v>4952</v>
      </c>
      <c r="I28" s="570" t="s">
        <v>3294</v>
      </c>
      <c r="J28" s="467" t="s">
        <v>390</v>
      </c>
      <c r="K28" s="467" t="s">
        <v>391</v>
      </c>
      <c r="L28" s="467" t="s">
        <v>3297</v>
      </c>
      <c r="M28" s="471">
        <v>-0.8</v>
      </c>
      <c r="N28" s="469">
        <v>0.19540175944999527</v>
      </c>
      <c r="O28" s="470">
        <v>5.7142857142857143E-3</v>
      </c>
    </row>
    <row r="29" spans="1:15" x14ac:dyDescent="0.2">
      <c r="A29" s="482" t="s">
        <v>394</v>
      </c>
      <c r="B29" s="484" t="s">
        <v>395</v>
      </c>
      <c r="C29" s="484">
        <v>2.17</v>
      </c>
      <c r="D29" s="571">
        <v>0.78</v>
      </c>
      <c r="E29" s="484">
        <v>1.7</v>
      </c>
      <c r="F29" s="484">
        <v>3</v>
      </c>
      <c r="G29" s="483">
        <v>6.2324009912219702E-2</v>
      </c>
      <c r="H29" s="485">
        <v>0.19500000000000001</v>
      </c>
      <c r="I29" s="572">
        <v>0.42592592592592587</v>
      </c>
      <c r="J29" s="467" t="s">
        <v>4542</v>
      </c>
      <c r="M29" s="471">
        <v>-0.73333333333333328</v>
      </c>
      <c r="N29" s="469">
        <v>9.08331230884417E-2</v>
      </c>
      <c r="O29" s="470">
        <v>9.2499999999999999E-2</v>
      </c>
    </row>
    <row r="30" spans="1:15" x14ac:dyDescent="0.2">
      <c r="A30" s="482" t="s">
        <v>1593</v>
      </c>
      <c r="B30" s="484"/>
      <c r="C30" s="484">
        <v>1.85</v>
      </c>
      <c r="D30" s="571">
        <v>1.4</v>
      </c>
      <c r="E30" s="484">
        <v>1.7</v>
      </c>
      <c r="F30" s="484">
        <v>5</v>
      </c>
      <c r="G30" s="483">
        <v>2.9650188091244103E-2</v>
      </c>
      <c r="H30" s="485">
        <v>0.23333333333333331</v>
      </c>
      <c r="I30" s="572">
        <v>-0.26842105263157895</v>
      </c>
      <c r="J30" s="467" t="s">
        <v>396</v>
      </c>
      <c r="K30" s="467" t="s">
        <v>397</v>
      </c>
      <c r="L30" s="467" t="s">
        <v>5204</v>
      </c>
      <c r="M30" s="471">
        <v>-0.5625</v>
      </c>
      <c r="N30" s="469">
        <v>6.5997607037038719E-2</v>
      </c>
      <c r="O30" s="470">
        <v>4.49438202247191E-2</v>
      </c>
    </row>
    <row r="31" spans="1:15" x14ac:dyDescent="0.2">
      <c r="A31" s="482" t="s">
        <v>2870</v>
      </c>
      <c r="B31" s="484" t="s">
        <v>510</v>
      </c>
      <c r="C31" s="484">
        <v>2.68</v>
      </c>
      <c r="D31" s="571">
        <v>3.06</v>
      </c>
      <c r="E31" s="484">
        <v>1.8</v>
      </c>
      <c r="F31" s="484">
        <v>3</v>
      </c>
      <c r="G31" s="483">
        <v>3.8473579845835069E-2</v>
      </c>
      <c r="H31" s="485">
        <v>0.255</v>
      </c>
      <c r="I31" s="572">
        <v>-0.42125237191650855</v>
      </c>
      <c r="J31" s="467" t="s">
        <v>1739</v>
      </c>
      <c r="K31" s="467" t="s">
        <v>1740</v>
      </c>
      <c r="L31" s="467" t="s">
        <v>5204</v>
      </c>
      <c r="M31" s="471">
        <v>-0.5</v>
      </c>
      <c r="N31" s="469">
        <v>0.23896368508303001</v>
      </c>
      <c r="O31" s="470">
        <v>0.01</v>
      </c>
    </row>
    <row r="32" spans="1:15" x14ac:dyDescent="0.2">
      <c r="A32" s="482" t="s">
        <v>400</v>
      </c>
      <c r="B32" s="484" t="s">
        <v>401</v>
      </c>
      <c r="C32" s="484">
        <v>1.87</v>
      </c>
      <c r="D32" s="571">
        <v>1.38</v>
      </c>
      <c r="E32" s="484">
        <v>1.5</v>
      </c>
      <c r="F32" s="484">
        <v>2</v>
      </c>
      <c r="G32" s="483">
        <v>2.9636597048503809E-2</v>
      </c>
      <c r="H32" s="485">
        <v>0.29052631578947369</v>
      </c>
      <c r="I32" s="572">
        <v>-2.7586206896551748E-2</v>
      </c>
      <c r="J32" s="467" t="s">
        <v>4022</v>
      </c>
      <c r="M32" s="471">
        <v>-0.41650294695481332</v>
      </c>
      <c r="N32" s="469">
        <v>3.374510648284372E-2</v>
      </c>
      <c r="O32" s="470">
        <v>0.44142857142857139</v>
      </c>
    </row>
    <row r="33" spans="1:15" x14ac:dyDescent="0.2">
      <c r="A33" s="482" t="s">
        <v>398</v>
      </c>
      <c r="B33" s="484" t="s">
        <v>399</v>
      </c>
      <c r="C33" s="484">
        <v>2.93</v>
      </c>
      <c r="D33" s="571">
        <v>0.89</v>
      </c>
      <c r="E33" s="484">
        <v>1.5</v>
      </c>
      <c r="F33" s="484">
        <v>4</v>
      </c>
      <c r="G33" s="483">
        <v>2.5815571851113443E-2</v>
      </c>
      <c r="H33" s="485">
        <v>0.32363636363636367</v>
      </c>
      <c r="I33" s="572">
        <v>-0.33070866141732286</v>
      </c>
      <c r="J33" s="467" t="s">
        <v>2157</v>
      </c>
      <c r="K33" s="467" t="s">
        <v>2158</v>
      </c>
      <c r="M33" s="471">
        <v>-0.38915094339622647</v>
      </c>
      <c r="N33" s="469">
        <v>5.1239595566769984E-2</v>
      </c>
      <c r="O33" s="470">
        <v>0.64812499999999995</v>
      </c>
    </row>
    <row r="34" spans="1:15" x14ac:dyDescent="0.2">
      <c r="A34" s="482" t="s">
        <v>2982</v>
      </c>
      <c r="B34" s="484" t="s">
        <v>2983</v>
      </c>
      <c r="C34" s="484">
        <v>2.4900000000000002</v>
      </c>
      <c r="D34" s="571">
        <v>1.75</v>
      </c>
      <c r="E34" s="484">
        <v>2</v>
      </c>
      <c r="F34" s="484">
        <v>2</v>
      </c>
      <c r="G34" s="483">
        <v>0.13261812223883221</v>
      </c>
      <c r="H34" s="485">
        <v>0.35860655737704916</v>
      </c>
      <c r="I34" s="572">
        <v>-0.65858585858585861</v>
      </c>
      <c r="J34" s="467" t="s">
        <v>5365</v>
      </c>
      <c r="K34" s="467" t="s">
        <v>5366</v>
      </c>
      <c r="M34" s="471">
        <v>-0.37081339712918659</v>
      </c>
      <c r="N34" s="469">
        <v>3.9901061533980042E-2</v>
      </c>
      <c r="O34" s="470">
        <v>0.69454545454545447</v>
      </c>
    </row>
    <row r="35" spans="1:15" x14ac:dyDescent="0.2">
      <c r="A35" s="482" t="s">
        <v>5123</v>
      </c>
      <c r="B35" s="484"/>
      <c r="C35" s="484">
        <v>1.94</v>
      </c>
      <c r="D35" s="571">
        <v>2.21</v>
      </c>
      <c r="E35" s="484">
        <v>1.7</v>
      </c>
      <c r="F35" s="484">
        <v>2</v>
      </c>
      <c r="G35" s="483">
        <v>3.6152321980965268E-2</v>
      </c>
      <c r="H35" s="485">
        <v>0.36833333333333335</v>
      </c>
      <c r="I35" s="572">
        <v>-0.22996515679442511</v>
      </c>
      <c r="J35" s="467" t="s">
        <v>491</v>
      </c>
      <c r="K35" s="467" t="s">
        <v>4742</v>
      </c>
      <c r="L35" s="467" t="s">
        <v>5204</v>
      </c>
      <c r="M35" s="471">
        <v>-0.31746031746031739</v>
      </c>
      <c r="N35" s="469">
        <v>3.9167306323200014E-2</v>
      </c>
      <c r="O35" s="470">
        <v>0.5822222222222222</v>
      </c>
    </row>
    <row r="36" spans="1:15" x14ac:dyDescent="0.2">
      <c r="A36" s="482" t="s">
        <v>4160</v>
      </c>
      <c r="B36" s="484" t="s">
        <v>4161</v>
      </c>
      <c r="C36" s="484">
        <v>2.2000000000000002</v>
      </c>
      <c r="D36" s="571">
        <v>1.81</v>
      </c>
      <c r="E36" s="484">
        <v>1.3</v>
      </c>
      <c r="F36" s="484">
        <v>3</v>
      </c>
      <c r="G36" s="483">
        <v>4.0001911012042715E-2</v>
      </c>
      <c r="H36" s="485">
        <v>0.40222222222222226</v>
      </c>
      <c r="I36" s="572">
        <v>-9.9009900990099001E-2</v>
      </c>
      <c r="J36" s="467" t="s">
        <v>4020</v>
      </c>
      <c r="M36" s="471">
        <v>-0.29741379310344829</v>
      </c>
      <c r="N36" s="469">
        <v>3.378244878859208E-2</v>
      </c>
      <c r="O36" s="470">
        <v>0.82474226804123718</v>
      </c>
    </row>
    <row r="37" spans="1:15" x14ac:dyDescent="0.2">
      <c r="A37" s="482" t="s">
        <v>938</v>
      </c>
      <c r="B37" s="484" t="s">
        <v>939</v>
      </c>
      <c r="C37" s="484">
        <v>2.11</v>
      </c>
      <c r="D37" s="571">
        <v>1.03</v>
      </c>
      <c r="E37" s="484">
        <v>2</v>
      </c>
      <c r="F37" s="484">
        <v>2</v>
      </c>
      <c r="G37" s="483">
        <v>3.6887380581356634E-2</v>
      </c>
      <c r="H37" s="485">
        <v>0.41200000000000003</v>
      </c>
      <c r="I37" s="572">
        <v>-0.2153846153846154</v>
      </c>
      <c r="J37" s="467" t="s">
        <v>2213</v>
      </c>
      <c r="K37" s="467" t="s">
        <v>2214</v>
      </c>
      <c r="M37" s="471">
        <v>-0.29021276595744683</v>
      </c>
      <c r="N37" s="469">
        <v>3.2890881656681768E-2</v>
      </c>
      <c r="O37" s="470">
        <v>0.58666666666666667</v>
      </c>
    </row>
    <row r="38" spans="1:15" x14ac:dyDescent="0.2">
      <c r="A38" s="482" t="s">
        <v>392</v>
      </c>
      <c r="B38" s="484" t="s">
        <v>393</v>
      </c>
      <c r="C38" s="484">
        <v>2.02</v>
      </c>
      <c r="D38" s="571">
        <v>4.1399999999999997</v>
      </c>
      <c r="E38" s="484">
        <v>1</v>
      </c>
      <c r="F38" s="484">
        <v>3</v>
      </c>
      <c r="G38" s="483">
        <v>2.9482785068317665E-2</v>
      </c>
      <c r="H38" s="485">
        <v>0.41399999999999998</v>
      </c>
      <c r="I38" s="572">
        <v>4.9382716049382762E-2</v>
      </c>
      <c r="J38" s="467" t="s">
        <v>1101</v>
      </c>
      <c r="M38" s="471">
        <v>-0.27564102564102561</v>
      </c>
      <c r="N38" s="469">
        <v>4.4773640081568609E-2</v>
      </c>
      <c r="O38" s="470">
        <v>0.38200000000000001</v>
      </c>
    </row>
    <row r="39" spans="1:15" x14ac:dyDescent="0.2">
      <c r="A39" s="482" t="s">
        <v>4295</v>
      </c>
      <c r="B39" s="484" t="s">
        <v>4296</v>
      </c>
      <c r="C39" s="484">
        <v>1.73</v>
      </c>
      <c r="D39" s="571">
        <v>4.99</v>
      </c>
      <c r="E39" s="484">
        <v>1.9</v>
      </c>
      <c r="F39" s="484">
        <v>5</v>
      </c>
      <c r="G39" s="483">
        <v>2.0969414540083043E-2</v>
      </c>
      <c r="H39" s="485">
        <v>0.41583333333333333</v>
      </c>
      <c r="I39" s="572">
        <v>-0.3619550858652576</v>
      </c>
      <c r="J39" s="467" t="s">
        <v>986</v>
      </c>
      <c r="M39" s="471">
        <v>-0.27238095238095239</v>
      </c>
      <c r="N39" s="469">
        <v>2.2011764773900759E-2</v>
      </c>
      <c r="O39" s="470">
        <v>0.6366666666666666</v>
      </c>
    </row>
    <row r="40" spans="1:15" x14ac:dyDescent="0.2">
      <c r="A40" s="482" t="s">
        <v>2053</v>
      </c>
      <c r="B40" s="484" t="s">
        <v>2054</v>
      </c>
      <c r="C40" s="484">
        <v>2.54</v>
      </c>
      <c r="D40" s="571">
        <v>15.6</v>
      </c>
      <c r="E40" s="484">
        <v>1.5</v>
      </c>
      <c r="F40" s="484">
        <v>6</v>
      </c>
      <c r="G40" s="483">
        <v>1.0475084908780156E-2</v>
      </c>
      <c r="H40" s="485">
        <v>0.42162162162162159</v>
      </c>
      <c r="I40" s="572">
        <v>-2.2082018927444772E-2</v>
      </c>
      <c r="J40" s="467" t="s">
        <v>1502</v>
      </c>
      <c r="K40" s="467" t="s">
        <v>1503</v>
      </c>
      <c r="L40" s="467" t="s">
        <v>2976</v>
      </c>
      <c r="M40" s="471">
        <v>-0.25</v>
      </c>
      <c r="N40" s="469">
        <v>5.0627590152162935E-2</v>
      </c>
      <c r="O40" s="470">
        <v>0.5478260869565218</v>
      </c>
    </row>
    <row r="41" spans="1:15" x14ac:dyDescent="0.2">
      <c r="A41" s="482" t="s">
        <v>2314</v>
      </c>
      <c r="B41" s="484"/>
      <c r="C41" s="484">
        <v>2.37</v>
      </c>
      <c r="D41" s="571">
        <v>5.55</v>
      </c>
      <c r="E41" s="484">
        <v>1.7</v>
      </c>
      <c r="F41" s="484">
        <v>6</v>
      </c>
      <c r="G41" s="483">
        <v>3.2110700948198179E-2</v>
      </c>
      <c r="H41" s="485">
        <v>0.43529411764705883</v>
      </c>
      <c r="I41" s="572">
        <v>-0.23045267489711929</v>
      </c>
      <c r="J41" s="467" t="s">
        <v>3533</v>
      </c>
      <c r="K41" s="467" t="s">
        <v>3534</v>
      </c>
      <c r="M41" s="471">
        <v>-0.24478764478764481</v>
      </c>
      <c r="N41" s="469">
        <v>2.728462866777669E-2</v>
      </c>
      <c r="O41" s="470">
        <v>0.70149253731343286</v>
      </c>
    </row>
    <row r="42" spans="1:15" x14ac:dyDescent="0.2">
      <c r="A42" s="482" t="s">
        <v>3442</v>
      </c>
      <c r="B42" s="484" t="s">
        <v>3443</v>
      </c>
      <c r="C42" s="484">
        <v>2.37</v>
      </c>
      <c r="D42" s="571">
        <v>1.62</v>
      </c>
      <c r="E42" s="484">
        <v>2</v>
      </c>
      <c r="F42" s="484">
        <v>2</v>
      </c>
      <c r="G42" s="483">
        <v>2.7875340632620361E-2</v>
      </c>
      <c r="H42" s="485">
        <v>0.45</v>
      </c>
      <c r="I42" s="572">
        <v>-0.17500000000000004</v>
      </c>
      <c r="J42" s="467" t="s">
        <v>1589</v>
      </c>
      <c r="M42" s="471">
        <v>-0.23539518900343639</v>
      </c>
      <c r="N42" s="469">
        <v>4.7328079565778031E-2</v>
      </c>
      <c r="O42" s="470">
        <v>0.61241379310344835</v>
      </c>
    </row>
    <row r="43" spans="1:15" x14ac:dyDescent="0.2">
      <c r="A43" s="482" t="s">
        <v>4377</v>
      </c>
      <c r="B43" s="484" t="s">
        <v>4378</v>
      </c>
      <c r="C43" s="484">
        <v>2.4900000000000002</v>
      </c>
      <c r="D43" s="571">
        <v>3.96</v>
      </c>
      <c r="E43" s="484">
        <v>1.9</v>
      </c>
      <c r="F43" s="484">
        <v>9</v>
      </c>
      <c r="G43" s="483">
        <v>3.0140560137207395E-2</v>
      </c>
      <c r="H43" s="485">
        <v>0.46588235294117647</v>
      </c>
      <c r="I43" s="572">
        <v>-0.29565217391304349</v>
      </c>
      <c r="J43" s="467" t="s">
        <v>4734</v>
      </c>
      <c r="M43" s="471">
        <v>-0.22689075630252103</v>
      </c>
      <c r="N43" s="469">
        <v>3.3878828196972813E-2</v>
      </c>
      <c r="O43" s="470">
        <v>0.5127272727272727</v>
      </c>
    </row>
    <row r="44" spans="1:15" x14ac:dyDescent="0.2">
      <c r="A44" s="482" t="s">
        <v>3660</v>
      </c>
      <c r="B44" s="484" t="s">
        <v>3661</v>
      </c>
      <c r="C44" s="484">
        <v>2.62</v>
      </c>
      <c r="D44" s="571">
        <v>2.7</v>
      </c>
      <c r="E44" s="484">
        <v>1.5</v>
      </c>
      <c r="F44" s="484">
        <v>4</v>
      </c>
      <c r="G44" s="483">
        <v>5.6958930042079102E-2</v>
      </c>
      <c r="H44" s="485">
        <v>0.49632352941176472</v>
      </c>
      <c r="I44" s="572">
        <v>-0.43426294820717132</v>
      </c>
      <c r="J44" s="467" t="s">
        <v>4947</v>
      </c>
      <c r="K44" s="467" t="s">
        <v>1738</v>
      </c>
      <c r="L44" s="467" t="s">
        <v>1404</v>
      </c>
      <c r="M44" s="471">
        <v>-0.22500000000000001</v>
      </c>
      <c r="N44" s="469">
        <v>0.14200641236875949</v>
      </c>
      <c r="O44" s="470">
        <v>0.17222222222222222</v>
      </c>
    </row>
    <row r="45" spans="1:15" x14ac:dyDescent="0.2">
      <c r="A45" s="482" t="s">
        <v>1619</v>
      </c>
      <c r="B45" s="484"/>
      <c r="C45" s="484">
        <v>3.52</v>
      </c>
      <c r="D45" s="571">
        <v>4.6100000000000003</v>
      </c>
      <c r="E45" s="484">
        <v>1.3</v>
      </c>
      <c r="F45" s="484">
        <v>6</v>
      </c>
      <c r="G45" s="483">
        <v>2.4404474290273395E-2</v>
      </c>
      <c r="H45" s="485">
        <v>0.51222222222222225</v>
      </c>
      <c r="I45" s="572">
        <v>0.20999999999999996</v>
      </c>
      <c r="J45" s="467" t="s">
        <v>1598</v>
      </c>
      <c r="M45" s="471">
        <v>-0.21210526315789471</v>
      </c>
      <c r="N45" s="469">
        <v>2.1171972129354268E-2</v>
      </c>
      <c r="O45" s="470">
        <v>0.70334928229665072</v>
      </c>
    </row>
    <row r="46" spans="1:15" x14ac:dyDescent="0.2">
      <c r="A46" s="482" t="s">
        <v>4736</v>
      </c>
      <c r="B46" s="484"/>
      <c r="C46" s="484">
        <v>1.87</v>
      </c>
      <c r="D46" s="571">
        <v>19.37</v>
      </c>
      <c r="E46" s="484">
        <v>1.6</v>
      </c>
      <c r="F46" s="484">
        <v>8</v>
      </c>
      <c r="G46" s="483">
        <v>3.5499512456023737E-2</v>
      </c>
      <c r="H46" s="485">
        <v>0.5165333333333334</v>
      </c>
      <c r="I46" s="572">
        <v>-0.25099746100834247</v>
      </c>
      <c r="J46" s="467" t="s">
        <v>1039</v>
      </c>
      <c r="K46" s="467" t="s">
        <v>1040</v>
      </c>
      <c r="M46" s="471">
        <v>-0.21032110091743125</v>
      </c>
      <c r="N46" s="469">
        <v>3.0925756318094383E-2</v>
      </c>
      <c r="O46" s="470">
        <v>0.86274999999999991</v>
      </c>
    </row>
    <row r="47" spans="1:15" x14ac:dyDescent="0.2">
      <c r="A47" s="482" t="s">
        <v>402</v>
      </c>
      <c r="B47" s="484" t="s">
        <v>403</v>
      </c>
      <c r="C47" s="484">
        <v>2.37</v>
      </c>
      <c r="D47" s="571">
        <v>2.34</v>
      </c>
      <c r="E47" s="484">
        <v>1.6</v>
      </c>
      <c r="F47" s="484">
        <v>5</v>
      </c>
      <c r="G47" s="483">
        <v>3.2519557724781323E-2</v>
      </c>
      <c r="H47" s="485">
        <v>0.52</v>
      </c>
      <c r="I47" s="572">
        <v>7.4074074074073931E-2</v>
      </c>
      <c r="J47" s="467" t="s">
        <v>934</v>
      </c>
      <c r="K47" s="467" t="s">
        <v>935</v>
      </c>
      <c r="M47" s="471">
        <v>-0.20693089026090425</v>
      </c>
      <c r="N47" s="469">
        <v>3.3849625040532058E-2</v>
      </c>
      <c r="O47" s="470">
        <v>0.87666666666666671</v>
      </c>
    </row>
    <row r="48" spans="1:15" x14ac:dyDescent="0.2">
      <c r="A48" s="482" t="s">
        <v>731</v>
      </c>
      <c r="B48" s="484" t="s">
        <v>732</v>
      </c>
      <c r="C48" s="484">
        <v>2.27</v>
      </c>
      <c r="D48" s="571">
        <v>8.66</v>
      </c>
      <c r="E48" s="484">
        <v>1.6</v>
      </c>
      <c r="F48" s="484">
        <v>7</v>
      </c>
      <c r="G48" s="483">
        <v>5.7741728511869664E-2</v>
      </c>
      <c r="H48" s="485">
        <v>0.54125000000000001</v>
      </c>
      <c r="I48" s="572">
        <v>-0.34601043997017156</v>
      </c>
      <c r="O48" s="470"/>
    </row>
    <row r="49" spans="1:14" x14ac:dyDescent="0.2">
      <c r="A49" s="482" t="s">
        <v>2986</v>
      </c>
      <c r="B49" s="484" t="s">
        <v>2987</v>
      </c>
      <c r="C49" s="484">
        <v>2.14</v>
      </c>
      <c r="D49" s="571">
        <v>5.21</v>
      </c>
      <c r="E49" s="484">
        <v>1</v>
      </c>
      <c r="F49" s="484">
        <v>2</v>
      </c>
      <c r="G49" s="483">
        <v>2.6919109597801739E-2</v>
      </c>
      <c r="H49" s="485">
        <v>0.54842105263157892</v>
      </c>
      <c r="I49" s="572">
        <v>-1.904761904761864E-3</v>
      </c>
    </row>
    <row r="50" spans="1:14" x14ac:dyDescent="0.2">
      <c r="A50" s="482" t="s">
        <v>4757</v>
      </c>
      <c r="B50" s="484" t="s">
        <v>937</v>
      </c>
      <c r="C50" s="484">
        <v>2.21</v>
      </c>
      <c r="D50" s="571">
        <v>6.33</v>
      </c>
      <c r="E50" s="484">
        <v>1.5</v>
      </c>
      <c r="F50" s="484">
        <v>2</v>
      </c>
      <c r="G50" s="483">
        <v>2.3073794659743335E-2</v>
      </c>
      <c r="H50" s="485">
        <v>0.55043478260869561</v>
      </c>
      <c r="I50" s="572">
        <v>0.16542750929368025</v>
      </c>
      <c r="J50" s="584" t="s">
        <v>1565</v>
      </c>
      <c r="K50" s="583" t="s">
        <v>1566</v>
      </c>
      <c r="L50" s="583" t="s">
        <v>2118</v>
      </c>
      <c r="M50" s="583" t="s">
        <v>1567</v>
      </c>
      <c r="N50" s="583" t="s">
        <v>4950</v>
      </c>
    </row>
    <row r="51" spans="1:14" x14ac:dyDescent="0.2">
      <c r="A51" s="482" t="s">
        <v>2173</v>
      </c>
      <c r="B51" s="484" t="s">
        <v>2174</v>
      </c>
      <c r="C51" s="484">
        <v>2.97</v>
      </c>
      <c r="D51" s="571">
        <v>23.46</v>
      </c>
      <c r="E51" s="484">
        <v>2.2999999999999998</v>
      </c>
      <c r="F51" s="484">
        <v>3</v>
      </c>
      <c r="G51" s="483">
        <v>3.5087493662820407E-2</v>
      </c>
      <c r="H51" s="485">
        <v>0.55857142857142861</v>
      </c>
      <c r="I51" s="572">
        <v>0.74488304093567259</v>
      </c>
      <c r="J51" s="482">
        <v>0.121</v>
      </c>
      <c r="K51" s="467">
        <v>16</v>
      </c>
      <c r="L51" s="467" t="s">
        <v>1117</v>
      </c>
      <c r="M51" s="467">
        <v>37</v>
      </c>
      <c r="N51" s="467">
        <v>98</v>
      </c>
    </row>
    <row r="52" spans="1:14" x14ac:dyDescent="0.2">
      <c r="A52" s="482" t="s">
        <v>4623</v>
      </c>
      <c r="B52" s="484" t="s">
        <v>4624</v>
      </c>
      <c r="C52" s="484">
        <v>3.02</v>
      </c>
      <c r="D52" s="571">
        <v>7.13</v>
      </c>
      <c r="E52" s="484">
        <v>1.8</v>
      </c>
      <c r="F52" s="484">
        <v>4</v>
      </c>
      <c r="G52" s="483">
        <v>4.1586621831841732E-2</v>
      </c>
      <c r="H52" s="485">
        <v>0.57040000000000002</v>
      </c>
      <c r="I52" s="572">
        <v>-0.22063666300768384</v>
      </c>
      <c r="J52" s="482">
        <v>0.14199999999999999</v>
      </c>
      <c r="K52" s="467">
        <v>17</v>
      </c>
      <c r="L52" s="467" t="s">
        <v>1117</v>
      </c>
      <c r="M52" s="467">
        <v>37</v>
      </c>
      <c r="N52" s="467">
        <v>98</v>
      </c>
    </row>
    <row r="53" spans="1:14" x14ac:dyDescent="0.2">
      <c r="A53" s="482" t="s">
        <v>4738</v>
      </c>
      <c r="B53" s="484"/>
      <c r="C53" s="484">
        <v>2.06</v>
      </c>
      <c r="D53" s="571">
        <v>4.29</v>
      </c>
      <c r="E53" s="484">
        <v>2</v>
      </c>
      <c r="F53" s="484">
        <v>4</v>
      </c>
      <c r="G53" s="483">
        <v>2.8512370796928459E-2</v>
      </c>
      <c r="H53" s="485">
        <v>0.57199999999999995</v>
      </c>
      <c r="I53" s="572">
        <v>6.3768115942028913E-2</v>
      </c>
      <c r="J53" s="482">
        <v>-0.127</v>
      </c>
      <c r="K53" s="467">
        <v>30</v>
      </c>
      <c r="L53" s="467" t="s">
        <v>4784</v>
      </c>
      <c r="M53" s="467">
        <v>-24</v>
      </c>
      <c r="N53" s="467">
        <v>72</v>
      </c>
    </row>
    <row r="54" spans="1:14" x14ac:dyDescent="0.2">
      <c r="A54" s="482" t="s">
        <v>2394</v>
      </c>
      <c r="B54" s="484" t="s">
        <v>2395</v>
      </c>
      <c r="C54" s="484">
        <v>2.0699999999999998</v>
      </c>
      <c r="D54" s="571">
        <v>5.48</v>
      </c>
      <c r="E54" s="484">
        <v>1</v>
      </c>
      <c r="F54" s="484">
        <v>2</v>
      </c>
      <c r="G54" s="483">
        <v>1.9843679966563273E-2</v>
      </c>
      <c r="H54" s="485">
        <v>0.57684210526315793</v>
      </c>
      <c r="I54" s="572">
        <v>-0.26867627785058978</v>
      </c>
      <c r="J54" s="482">
        <v>-6.3E-2</v>
      </c>
      <c r="K54" s="467">
        <v>44</v>
      </c>
      <c r="L54" s="467" t="s">
        <v>4058</v>
      </c>
      <c r="M54" s="467">
        <v>0</v>
      </c>
      <c r="N54" s="467">
        <v>89</v>
      </c>
    </row>
    <row r="55" spans="1:14" x14ac:dyDescent="0.2">
      <c r="A55" s="482" t="s">
        <v>4591</v>
      </c>
      <c r="B55" s="484" t="s">
        <v>4592</v>
      </c>
      <c r="C55" s="484">
        <v>1.69</v>
      </c>
      <c r="D55" s="571">
        <v>12.95</v>
      </c>
      <c r="E55" s="484">
        <v>2</v>
      </c>
      <c r="F55" s="484">
        <v>2</v>
      </c>
      <c r="G55" s="483">
        <v>1.4978349760185916E-2</v>
      </c>
      <c r="H55" s="485">
        <v>0.58570782451379466</v>
      </c>
      <c r="I55" s="572">
        <v>-0.17295597484276728</v>
      </c>
      <c r="J55" s="482">
        <v>0.125</v>
      </c>
      <c r="K55" s="467">
        <v>50</v>
      </c>
      <c r="L55" s="467" t="s">
        <v>438</v>
      </c>
      <c r="M55" s="467">
        <v>12</v>
      </c>
      <c r="N55" s="467">
        <v>86</v>
      </c>
    </row>
    <row r="56" spans="1:14" x14ac:dyDescent="0.2">
      <c r="A56" s="482" t="s">
        <v>3436</v>
      </c>
      <c r="B56" s="484" t="s">
        <v>3437</v>
      </c>
      <c r="C56" s="484">
        <v>2.7</v>
      </c>
      <c r="D56" s="571">
        <v>4.16</v>
      </c>
      <c r="E56" s="484">
        <v>1</v>
      </c>
      <c r="F56" s="484">
        <v>2</v>
      </c>
      <c r="G56" s="483">
        <v>2.4252507800542698E-2</v>
      </c>
      <c r="H56" s="485">
        <v>0.59428571428571431</v>
      </c>
      <c r="I56" s="572">
        <v>-0.15</v>
      </c>
    </row>
    <row r="57" spans="1:14" x14ac:dyDescent="0.2">
      <c r="A57" s="482" t="s">
        <v>2057</v>
      </c>
      <c r="B57" s="484" t="s">
        <v>2058</v>
      </c>
      <c r="C57" s="484">
        <v>5.98</v>
      </c>
      <c r="D57" s="571">
        <v>7.74</v>
      </c>
      <c r="E57" s="484">
        <v>1.3</v>
      </c>
      <c r="F57" s="484">
        <v>3</v>
      </c>
      <c r="G57" s="483">
        <v>2.4766680470714307E-2</v>
      </c>
      <c r="H57" s="485">
        <v>0.5953846153846154</v>
      </c>
      <c r="I57" s="572">
        <v>-1.9975031210986285E-2</v>
      </c>
    </row>
    <row r="58" spans="1:14" x14ac:dyDescent="0.2">
      <c r="A58" s="482" t="s">
        <v>4747</v>
      </c>
      <c r="B58" s="484" t="s">
        <v>4748</v>
      </c>
      <c r="C58" s="484">
        <v>2.0699999999999998</v>
      </c>
      <c r="D58" s="571">
        <v>3.89</v>
      </c>
      <c r="E58" s="484">
        <v>1.5</v>
      </c>
      <c r="F58" s="484">
        <v>2</v>
      </c>
      <c r="G58" s="483">
        <v>3.2453294842802106E-2</v>
      </c>
      <c r="H58" s="485">
        <v>0.59846153846153849</v>
      </c>
      <c r="I58" s="572">
        <v>-0.13525498891352547</v>
      </c>
    </row>
    <row r="59" spans="1:14" x14ac:dyDescent="0.2">
      <c r="A59" s="482" t="s">
        <v>787</v>
      </c>
      <c r="B59" s="484" t="s">
        <v>788</v>
      </c>
      <c r="C59" s="484">
        <v>2.88</v>
      </c>
      <c r="D59" s="571">
        <v>10.24</v>
      </c>
      <c r="E59" s="484">
        <v>2</v>
      </c>
      <c r="F59" s="484">
        <v>2</v>
      </c>
      <c r="G59" s="483">
        <v>3.3956420034191796E-2</v>
      </c>
      <c r="H59" s="485">
        <v>0.60235294117647065</v>
      </c>
      <c r="I59" s="572">
        <v>3.8775510204081529E-2</v>
      </c>
    </row>
    <row r="60" spans="1:14" x14ac:dyDescent="0.2">
      <c r="A60" s="482" t="s">
        <v>4900</v>
      </c>
      <c r="B60" s="484" t="s">
        <v>4901</v>
      </c>
      <c r="C60" s="484">
        <v>2.4700000000000002</v>
      </c>
      <c r="D60" s="571">
        <v>7.8</v>
      </c>
      <c r="E60" s="484">
        <v>2</v>
      </c>
      <c r="F60" s="484">
        <v>2</v>
      </c>
      <c r="G60" s="483">
        <v>2.6442172027624007E-2</v>
      </c>
      <c r="H60" s="485">
        <v>0.624</v>
      </c>
      <c r="I60" s="572">
        <v>-0.23535457348406988</v>
      </c>
    </row>
    <row r="61" spans="1:14" x14ac:dyDescent="0.2">
      <c r="A61" s="482" t="s">
        <v>1829</v>
      </c>
      <c r="B61" s="484" t="s">
        <v>1830</v>
      </c>
      <c r="C61" s="484">
        <v>3.1</v>
      </c>
      <c r="D61" s="571">
        <v>16.73</v>
      </c>
      <c r="E61" s="484">
        <v>2</v>
      </c>
      <c r="F61" s="484">
        <v>4</v>
      </c>
      <c r="G61" s="483">
        <v>2.6273505959133334E-2</v>
      </c>
      <c r="H61" s="485">
        <v>0.63132075471698113</v>
      </c>
      <c r="I61" s="572">
        <v>-9.2341118957088505E-2</v>
      </c>
    </row>
    <row r="62" spans="1:14" x14ac:dyDescent="0.2">
      <c r="A62" s="482" t="s">
        <v>3440</v>
      </c>
      <c r="B62" s="484" t="s">
        <v>3441</v>
      </c>
      <c r="C62" s="484">
        <v>1.85</v>
      </c>
      <c r="D62" s="571">
        <v>1.76</v>
      </c>
      <c r="E62" s="484">
        <v>1.3</v>
      </c>
      <c r="F62" s="484">
        <v>2</v>
      </c>
      <c r="G62" s="483">
        <v>4.9690155347528728E-2</v>
      </c>
      <c r="H62" s="485">
        <v>0.64</v>
      </c>
      <c r="I62" s="572">
        <v>0.13609467455621302</v>
      </c>
    </row>
    <row r="63" spans="1:14" x14ac:dyDescent="0.2">
      <c r="A63" s="482" t="s">
        <v>5214</v>
      </c>
      <c r="B63" s="484" t="s">
        <v>5215</v>
      </c>
      <c r="C63" s="484">
        <v>2.82</v>
      </c>
      <c r="D63" s="571">
        <v>11.16</v>
      </c>
      <c r="E63" s="484">
        <v>2.2999999999999998</v>
      </c>
      <c r="F63" s="484">
        <v>12</v>
      </c>
      <c r="G63" s="483">
        <v>5.587718331648988E-2</v>
      </c>
      <c r="H63" s="485">
        <v>0.64508670520231215</v>
      </c>
      <c r="I63" s="572">
        <v>-0.51264167393199656</v>
      </c>
    </row>
    <row r="64" spans="1:14" x14ac:dyDescent="0.2">
      <c r="A64" s="482" t="s">
        <v>2710</v>
      </c>
      <c r="B64" s="484" t="s">
        <v>2711</v>
      </c>
      <c r="C64" s="484">
        <v>2.96</v>
      </c>
      <c r="D64" s="571">
        <v>9.08</v>
      </c>
      <c r="E64" s="484">
        <v>2.1</v>
      </c>
      <c r="F64" s="484">
        <v>14</v>
      </c>
      <c r="G64" s="483">
        <v>3.5880664923947765E-2</v>
      </c>
      <c r="H64" s="485">
        <v>0.64857142857142858</v>
      </c>
      <c r="I64" s="572">
        <v>-0.42688238954573737</v>
      </c>
    </row>
    <row r="65" spans="1:9" x14ac:dyDescent="0.2">
      <c r="A65" s="482" t="s">
        <v>4928</v>
      </c>
      <c r="B65" s="484" t="s">
        <v>2214</v>
      </c>
      <c r="C65" s="484">
        <v>2.5299999999999998</v>
      </c>
      <c r="D65" s="571">
        <v>5.95</v>
      </c>
      <c r="E65" s="484">
        <v>2.4</v>
      </c>
      <c r="F65" s="484">
        <v>11</v>
      </c>
      <c r="G65" s="483">
        <v>3.05075258684703E-2</v>
      </c>
      <c r="H65" s="485">
        <v>0.65384615384615385</v>
      </c>
      <c r="I65" s="572">
        <v>-0.28301886792452835</v>
      </c>
    </row>
    <row r="66" spans="1:9" x14ac:dyDescent="0.2">
      <c r="A66" s="482" t="s">
        <v>789</v>
      </c>
      <c r="B66" s="484" t="s">
        <v>790</v>
      </c>
      <c r="C66" s="484">
        <v>2.11</v>
      </c>
      <c r="D66" s="571">
        <v>19.62</v>
      </c>
      <c r="E66" s="484">
        <v>1.5</v>
      </c>
      <c r="F66" s="484">
        <v>4</v>
      </c>
      <c r="G66" s="483">
        <v>4.5034094989668226E-2</v>
      </c>
      <c r="H66" s="485">
        <v>0.65400000000000003</v>
      </c>
      <c r="I66" s="572">
        <v>-0.18687290969899675</v>
      </c>
    </row>
    <row r="67" spans="1:9" x14ac:dyDescent="0.2">
      <c r="A67" s="482" t="s">
        <v>1926</v>
      </c>
      <c r="B67" s="484" t="s">
        <v>1927</v>
      </c>
      <c r="C67" s="484">
        <v>2.2999999999999998</v>
      </c>
      <c r="D67" s="571">
        <v>7.85</v>
      </c>
      <c r="E67" s="484">
        <v>1.9</v>
      </c>
      <c r="F67" s="484">
        <v>13</v>
      </c>
      <c r="G67" s="483">
        <v>4.1938187114627865E-2</v>
      </c>
      <c r="H67" s="485">
        <v>0.65416666666666667</v>
      </c>
      <c r="I67" s="572">
        <v>-0.27289719626168218</v>
      </c>
    </row>
    <row r="68" spans="1:9" x14ac:dyDescent="0.2">
      <c r="A68" s="482" t="s">
        <v>2231</v>
      </c>
      <c r="B68" s="484" t="s">
        <v>2232</v>
      </c>
      <c r="C68" s="484">
        <v>2.5</v>
      </c>
      <c r="D68" s="571">
        <v>19.72</v>
      </c>
      <c r="E68" s="484">
        <v>2</v>
      </c>
      <c r="F68" s="484">
        <v>3</v>
      </c>
      <c r="G68" s="483">
        <v>3.4750864682103186E-2</v>
      </c>
      <c r="H68" s="485">
        <v>0.65733333333333333</v>
      </c>
      <c r="I68" s="572">
        <v>-5.7195571955719483E-2</v>
      </c>
    </row>
    <row r="69" spans="1:9" x14ac:dyDescent="0.2">
      <c r="A69" s="482" t="s">
        <v>4619</v>
      </c>
      <c r="B69" s="484" t="s">
        <v>4620</v>
      </c>
      <c r="C69" s="484">
        <v>1.51</v>
      </c>
      <c r="D69" s="571">
        <v>14.48</v>
      </c>
      <c r="E69" s="484">
        <v>1.8</v>
      </c>
      <c r="F69" s="484">
        <v>8</v>
      </c>
      <c r="G69" s="483">
        <v>1.8210204239973219E-2</v>
      </c>
      <c r="H69" s="485">
        <v>0.6581818181818182</v>
      </c>
      <c r="I69" s="572">
        <v>-0.19407158836689031</v>
      </c>
    </row>
    <row r="70" spans="1:9" x14ac:dyDescent="0.2">
      <c r="A70" s="482" t="s">
        <v>2193</v>
      </c>
      <c r="B70" s="484" t="s">
        <v>782</v>
      </c>
      <c r="C70" s="484">
        <v>2.61</v>
      </c>
      <c r="D70" s="571">
        <v>16.53</v>
      </c>
      <c r="E70" s="484">
        <v>2.1</v>
      </c>
      <c r="F70" s="484">
        <v>6</v>
      </c>
      <c r="G70" s="483">
        <v>3.6506302142970411E-2</v>
      </c>
      <c r="H70" s="485">
        <v>0.66120000000000001</v>
      </c>
      <c r="I70" s="572">
        <v>0.14701803051317608</v>
      </c>
    </row>
    <row r="71" spans="1:9" x14ac:dyDescent="0.2">
      <c r="A71" s="482" t="s">
        <v>3249</v>
      </c>
      <c r="B71" s="484" t="s">
        <v>3250</v>
      </c>
      <c r="C71" s="484">
        <v>2.37</v>
      </c>
      <c r="D71" s="571">
        <v>26.55</v>
      </c>
      <c r="E71" s="484">
        <v>1.1000000000000001</v>
      </c>
      <c r="F71" s="484">
        <v>7</v>
      </c>
      <c r="G71" s="483">
        <v>3.7757080334483169E-2</v>
      </c>
      <c r="H71" s="485">
        <v>0.66375000000000006</v>
      </c>
      <c r="I71" s="572">
        <v>0.20091896407685875</v>
      </c>
    </row>
    <row r="72" spans="1:9" x14ac:dyDescent="0.2">
      <c r="A72" s="482" t="s">
        <v>1175</v>
      </c>
      <c r="B72" s="484" t="s">
        <v>1176</v>
      </c>
      <c r="C72" s="484">
        <v>1.57</v>
      </c>
      <c r="D72" s="571">
        <v>35.96</v>
      </c>
      <c r="E72" s="484">
        <v>2</v>
      </c>
      <c r="F72" s="484">
        <v>11</v>
      </c>
      <c r="G72" s="483">
        <v>3.339447357549772E-2</v>
      </c>
      <c r="H72" s="485">
        <v>0.66592592592592592</v>
      </c>
      <c r="I72" s="572">
        <v>0.20630279402209231</v>
      </c>
    </row>
    <row r="73" spans="1:9" x14ac:dyDescent="0.2">
      <c r="A73" s="482" t="s">
        <v>1598</v>
      </c>
      <c r="B73" s="484"/>
      <c r="C73" s="484">
        <v>1.72</v>
      </c>
      <c r="D73" s="571">
        <v>11.35</v>
      </c>
      <c r="E73" s="484">
        <v>2.1</v>
      </c>
      <c r="F73" s="484">
        <v>7</v>
      </c>
      <c r="G73" s="483">
        <v>2.5569287466381648E-2</v>
      </c>
      <c r="H73" s="485">
        <v>0.66764705882352937</v>
      </c>
      <c r="I73" s="572">
        <v>-0.18505338078291825</v>
      </c>
    </row>
    <row r="74" spans="1:9" x14ac:dyDescent="0.2">
      <c r="A74" s="482" t="s">
        <v>222</v>
      </c>
      <c r="B74" s="484" t="s">
        <v>223</v>
      </c>
      <c r="C74" s="484">
        <v>2.78</v>
      </c>
      <c r="D74" s="571">
        <v>25.42</v>
      </c>
      <c r="E74" s="484">
        <v>2</v>
      </c>
      <c r="F74" s="484">
        <v>19</v>
      </c>
      <c r="G74" s="483">
        <v>2.5221375625876133E-2</v>
      </c>
      <c r="H74" s="485">
        <v>0.66894736842105262</v>
      </c>
      <c r="I74" s="572">
        <v>-0.1826831588962893</v>
      </c>
    </row>
    <row r="75" spans="1:9" x14ac:dyDescent="0.2">
      <c r="A75" s="482" t="s">
        <v>1105</v>
      </c>
      <c r="B75" s="484" t="s">
        <v>1106</v>
      </c>
      <c r="C75" s="484">
        <v>2.41</v>
      </c>
      <c r="D75" s="571">
        <v>2.35</v>
      </c>
      <c r="E75" s="484">
        <v>1.8</v>
      </c>
      <c r="F75" s="484">
        <v>3</v>
      </c>
      <c r="G75" s="483">
        <v>1.5370926602368006E-2</v>
      </c>
      <c r="H75" s="485">
        <v>0.67142857142857149</v>
      </c>
      <c r="I75" s="572">
        <v>-7.4803149606299191E-2</v>
      </c>
    </row>
    <row r="76" spans="1:9" x14ac:dyDescent="0.2">
      <c r="A76" s="482" t="s">
        <v>2560</v>
      </c>
      <c r="B76" s="484" t="s">
        <v>2561</v>
      </c>
      <c r="C76" s="484">
        <v>1.66</v>
      </c>
      <c r="D76" s="571">
        <v>10.41</v>
      </c>
      <c r="E76" s="484">
        <v>1</v>
      </c>
      <c r="F76" s="484">
        <v>2</v>
      </c>
      <c r="G76" s="483">
        <v>2.1018970369278685E-2</v>
      </c>
      <c r="H76" s="485">
        <v>0.67161290322580647</v>
      </c>
      <c r="I76" s="572">
        <v>-0.1191489361702128</v>
      </c>
    </row>
    <row r="77" spans="1:9" x14ac:dyDescent="0.2">
      <c r="A77" s="482" t="s">
        <v>4753</v>
      </c>
      <c r="B77" s="484" t="s">
        <v>4754</v>
      </c>
      <c r="C77" s="484">
        <v>2.41</v>
      </c>
      <c r="D77" s="571">
        <v>9.74</v>
      </c>
      <c r="E77" s="484">
        <v>1.7</v>
      </c>
      <c r="F77" s="484">
        <v>6</v>
      </c>
      <c r="G77" s="483">
        <v>3.0268986412853974E-2</v>
      </c>
      <c r="H77" s="485">
        <v>0.67172413793103447</v>
      </c>
      <c r="I77" s="572">
        <v>-1.2486992715920835E-2</v>
      </c>
    </row>
    <row r="78" spans="1:9" x14ac:dyDescent="0.2">
      <c r="A78" s="482" t="s">
        <v>491</v>
      </c>
      <c r="B78" s="484" t="s">
        <v>4742</v>
      </c>
      <c r="C78" s="484">
        <v>2.35</v>
      </c>
      <c r="D78" s="571">
        <v>2.7</v>
      </c>
      <c r="E78" s="484">
        <v>2</v>
      </c>
      <c r="F78" s="484">
        <v>2</v>
      </c>
      <c r="G78" s="483">
        <v>3.2352401527790557E-2</v>
      </c>
      <c r="H78" s="485">
        <v>0.67500000000000004</v>
      </c>
      <c r="I78" s="572">
        <v>-0.18181818181818171</v>
      </c>
    </row>
    <row r="79" spans="1:9" x14ac:dyDescent="0.2">
      <c r="A79" s="482" t="s">
        <v>346</v>
      </c>
      <c r="B79" s="484" t="s">
        <v>347</v>
      </c>
      <c r="C79" s="484">
        <v>3.6</v>
      </c>
      <c r="D79" s="571">
        <v>27.1</v>
      </c>
      <c r="E79" s="484">
        <v>1.8</v>
      </c>
      <c r="F79" s="484">
        <v>9</v>
      </c>
      <c r="G79" s="483">
        <v>2.8539934909095097E-2</v>
      </c>
      <c r="H79" s="485">
        <v>0.67749999999999999</v>
      </c>
      <c r="I79" s="572">
        <v>-0.1107448912326961</v>
      </c>
    </row>
    <row r="80" spans="1:9" x14ac:dyDescent="0.2">
      <c r="A80" s="482" t="s">
        <v>741</v>
      </c>
      <c r="B80" s="484" t="s">
        <v>742</v>
      </c>
      <c r="C80" s="484">
        <v>1.57</v>
      </c>
      <c r="D80" s="571">
        <v>9.52</v>
      </c>
      <c r="E80" s="484">
        <v>1</v>
      </c>
      <c r="F80" s="484">
        <v>4</v>
      </c>
      <c r="G80" s="483">
        <v>2.901588590092305E-2</v>
      </c>
      <c r="H80" s="485">
        <v>0.67999999999999994</v>
      </c>
      <c r="I80" s="572">
        <v>3.8802660753880232E-2</v>
      </c>
    </row>
    <row r="81" spans="1:9" x14ac:dyDescent="0.2">
      <c r="A81" s="482" t="s">
        <v>4894</v>
      </c>
      <c r="B81" s="484" t="s">
        <v>4895</v>
      </c>
      <c r="C81" s="484">
        <v>4.0199999999999996</v>
      </c>
      <c r="D81" s="571">
        <v>13.62</v>
      </c>
      <c r="E81" s="484">
        <v>2.1</v>
      </c>
      <c r="F81" s="484">
        <v>5</v>
      </c>
      <c r="G81" s="483">
        <v>2.8217331349040399E-2</v>
      </c>
      <c r="H81" s="485">
        <v>0.68099999999999994</v>
      </c>
      <c r="I81" s="572">
        <v>0.10619469026548677</v>
      </c>
    </row>
    <row r="82" spans="1:9" x14ac:dyDescent="0.2">
      <c r="A82" s="482" t="s">
        <v>4745</v>
      </c>
      <c r="B82" s="484" t="s">
        <v>4746</v>
      </c>
      <c r="C82" s="484">
        <v>1.88</v>
      </c>
      <c r="D82" s="571">
        <v>15.12</v>
      </c>
      <c r="E82" s="484">
        <v>2</v>
      </c>
      <c r="F82" s="484">
        <v>3</v>
      </c>
      <c r="G82" s="483">
        <v>3.2410401642302807E-2</v>
      </c>
      <c r="H82" s="485">
        <v>0.68727272727272726</v>
      </c>
      <c r="I82" s="572">
        <v>-0.11507009345794396</v>
      </c>
    </row>
    <row r="83" spans="1:9" x14ac:dyDescent="0.2">
      <c r="A83" s="482" t="s">
        <v>1496</v>
      </c>
      <c r="B83" s="484" t="s">
        <v>1497</v>
      </c>
      <c r="C83" s="484">
        <v>3.03</v>
      </c>
      <c r="D83" s="571">
        <v>25.8</v>
      </c>
      <c r="E83" s="484">
        <v>1.9</v>
      </c>
      <c r="F83" s="484">
        <v>28</v>
      </c>
      <c r="G83" s="483">
        <v>3.0452571888354263E-2</v>
      </c>
      <c r="H83" s="485">
        <v>0.68800000000000006</v>
      </c>
      <c r="I83" s="572">
        <v>-1.4959723820483335E-2</v>
      </c>
    </row>
    <row r="84" spans="1:9" x14ac:dyDescent="0.2">
      <c r="A84" s="482" t="s">
        <v>3798</v>
      </c>
      <c r="B84" s="484" t="s">
        <v>1091</v>
      </c>
      <c r="C84" s="484">
        <v>1.74</v>
      </c>
      <c r="D84" s="571">
        <v>6.03</v>
      </c>
      <c r="E84" s="484">
        <v>1.3</v>
      </c>
      <c r="F84" s="484">
        <v>2</v>
      </c>
      <c r="G84" s="483">
        <v>2.848076273827382E-2</v>
      </c>
      <c r="H84" s="485">
        <v>0.68914285714285717</v>
      </c>
      <c r="I84" s="572">
        <v>6.3063063063063154E-2</v>
      </c>
    </row>
    <row r="85" spans="1:9" x14ac:dyDescent="0.2">
      <c r="A85" s="482" t="s">
        <v>4281</v>
      </c>
      <c r="B85" s="484" t="s">
        <v>4282</v>
      </c>
      <c r="C85" s="484">
        <v>2.67</v>
      </c>
      <c r="D85" s="571">
        <v>30.68</v>
      </c>
      <c r="E85" s="484">
        <v>2.4</v>
      </c>
      <c r="F85" s="484">
        <v>14</v>
      </c>
      <c r="G85" s="483">
        <v>1.9863379524991363E-2</v>
      </c>
      <c r="H85" s="485">
        <v>0.68943820224719099</v>
      </c>
      <c r="I85" s="572">
        <v>-0.19493537325243993</v>
      </c>
    </row>
    <row r="86" spans="1:9" x14ac:dyDescent="0.2">
      <c r="A86" s="482" t="s">
        <v>4934</v>
      </c>
      <c r="B86" s="484" t="s">
        <v>4935</v>
      </c>
      <c r="C86" s="484">
        <v>2.4700000000000002</v>
      </c>
      <c r="D86" s="571">
        <v>15.9</v>
      </c>
      <c r="E86" s="484">
        <v>1.3</v>
      </c>
      <c r="F86" s="484">
        <v>3</v>
      </c>
      <c r="G86" s="483">
        <v>2.0968038865047774E-2</v>
      </c>
      <c r="H86" s="485">
        <v>0.69130434782608696</v>
      </c>
      <c r="I86" s="572">
        <v>2.0956123117223332E-2</v>
      </c>
    </row>
    <row r="87" spans="1:9" x14ac:dyDescent="0.2">
      <c r="A87" s="482" t="s">
        <v>2414</v>
      </c>
      <c r="B87" s="484" t="s">
        <v>145</v>
      </c>
      <c r="C87" s="484">
        <v>1.69</v>
      </c>
      <c r="D87" s="571">
        <v>13.85</v>
      </c>
      <c r="E87" s="484">
        <v>2.2999999999999998</v>
      </c>
      <c r="F87" s="484">
        <v>7</v>
      </c>
      <c r="G87" s="483">
        <v>1.895826641295599E-2</v>
      </c>
      <c r="H87" s="485">
        <v>0.6925</v>
      </c>
      <c r="I87" s="572">
        <v>-6.5607734806629903E-2</v>
      </c>
    </row>
    <row r="88" spans="1:9" x14ac:dyDescent="0.2">
      <c r="A88" s="482" t="s">
        <v>4277</v>
      </c>
      <c r="B88" s="484" t="s">
        <v>4278</v>
      </c>
      <c r="C88" s="484">
        <v>1.56</v>
      </c>
      <c r="D88" s="571">
        <v>9.01</v>
      </c>
      <c r="E88" s="484">
        <v>2.2999999999999998</v>
      </c>
      <c r="F88" s="484">
        <v>3</v>
      </c>
      <c r="G88" s="483">
        <v>1.8793347329471508E-2</v>
      </c>
      <c r="H88" s="485">
        <v>0.69307692307692303</v>
      </c>
      <c r="I88" s="572">
        <v>9.3827160493827139E-2</v>
      </c>
    </row>
    <row r="89" spans="1:9" x14ac:dyDescent="0.2">
      <c r="A89" s="482" t="s">
        <v>3432</v>
      </c>
      <c r="B89" s="484" t="s">
        <v>3433</v>
      </c>
      <c r="C89" s="484">
        <v>4.33</v>
      </c>
      <c r="D89" s="571">
        <v>7.66</v>
      </c>
      <c r="E89" s="484">
        <v>1.5</v>
      </c>
      <c r="F89" s="484">
        <v>5</v>
      </c>
      <c r="G89" s="483">
        <v>2.8450893929446483E-2</v>
      </c>
      <c r="H89" s="485">
        <v>0.69636363636363641</v>
      </c>
      <c r="I89" s="572">
        <v>3.5135135135135102E-2</v>
      </c>
    </row>
    <row r="90" spans="1:9" x14ac:dyDescent="0.2">
      <c r="A90" s="482" t="s">
        <v>1877</v>
      </c>
      <c r="B90" s="484" t="s">
        <v>1878</v>
      </c>
      <c r="C90" s="484">
        <v>2.04</v>
      </c>
      <c r="D90" s="571">
        <v>20.6</v>
      </c>
      <c r="E90" s="484">
        <v>1.3</v>
      </c>
      <c r="F90" s="484">
        <v>3</v>
      </c>
      <c r="G90" s="483">
        <v>2.6175902746904151E-2</v>
      </c>
      <c r="H90" s="485">
        <v>0.69830508474576281</v>
      </c>
      <c r="I90" s="572">
        <v>-0.10914581535806736</v>
      </c>
    </row>
    <row r="91" spans="1:9" x14ac:dyDescent="0.2">
      <c r="A91" s="482" t="s">
        <v>1460</v>
      </c>
      <c r="B91" s="484" t="s">
        <v>643</v>
      </c>
      <c r="C91" s="484">
        <v>2.06</v>
      </c>
      <c r="D91" s="571">
        <v>30.73</v>
      </c>
      <c r="E91" s="484">
        <v>1.7</v>
      </c>
      <c r="F91" s="484">
        <v>3</v>
      </c>
      <c r="G91" s="483">
        <v>1.9194312559072921E-2</v>
      </c>
      <c r="H91" s="485">
        <v>0.69840909090909087</v>
      </c>
      <c r="I91" s="572">
        <v>-0.19676113360323877</v>
      </c>
    </row>
    <row r="92" spans="1:9" x14ac:dyDescent="0.2">
      <c r="A92" s="482" t="s">
        <v>2138</v>
      </c>
      <c r="B92" s="484" t="s">
        <v>2139</v>
      </c>
      <c r="C92" s="484">
        <v>3.92</v>
      </c>
      <c r="D92" s="571">
        <v>38.19</v>
      </c>
      <c r="E92" s="484">
        <v>1.9</v>
      </c>
      <c r="F92" s="484">
        <v>16</v>
      </c>
      <c r="G92" s="483">
        <v>2.1687930886874526E-2</v>
      </c>
      <c r="H92" s="485">
        <v>0.70073394495412844</v>
      </c>
      <c r="I92" s="572">
        <v>0.12557077625570773</v>
      </c>
    </row>
    <row r="93" spans="1:9" x14ac:dyDescent="0.2">
      <c r="A93" s="482" t="s">
        <v>2554</v>
      </c>
      <c r="B93" s="484" t="s">
        <v>2555</v>
      </c>
      <c r="C93" s="484">
        <v>2</v>
      </c>
      <c r="D93" s="571">
        <v>20.010000000000002</v>
      </c>
      <c r="E93" s="484">
        <v>1.8</v>
      </c>
      <c r="F93" s="484">
        <v>2</v>
      </c>
      <c r="G93" s="483">
        <v>3.5286342422224233E-2</v>
      </c>
      <c r="H93" s="485">
        <v>0.70210526315789479</v>
      </c>
      <c r="I93" s="572">
        <v>0.12817551963048493</v>
      </c>
    </row>
    <row r="94" spans="1:9" x14ac:dyDescent="0.2">
      <c r="A94" s="482" t="s">
        <v>1787</v>
      </c>
      <c r="B94" s="484" t="s">
        <v>5217</v>
      </c>
      <c r="C94" s="484">
        <v>2.5</v>
      </c>
      <c r="D94" s="571">
        <v>33.020000000000003</v>
      </c>
      <c r="E94" s="484">
        <v>1.9</v>
      </c>
      <c r="F94" s="484">
        <v>13</v>
      </c>
      <c r="G94" s="483">
        <v>1.780013234609399E-2</v>
      </c>
      <c r="H94" s="485">
        <v>0.70255319148936179</v>
      </c>
      <c r="I94" s="572">
        <v>-0.14483821263482283</v>
      </c>
    </row>
    <row r="95" spans="1:9" x14ac:dyDescent="0.2">
      <c r="A95" s="482" t="s">
        <v>2142</v>
      </c>
      <c r="B95" s="484" t="s">
        <v>2143</v>
      </c>
      <c r="C95" s="484">
        <v>2.5099999999999998</v>
      </c>
      <c r="D95" s="571">
        <v>6.87</v>
      </c>
      <c r="E95" s="484">
        <v>2.4</v>
      </c>
      <c r="F95" s="484">
        <v>12</v>
      </c>
      <c r="G95" s="483">
        <v>1.7645616692582283E-2</v>
      </c>
      <c r="H95" s="485">
        <v>0.70461538461538464</v>
      </c>
      <c r="I95" s="572">
        <v>-0.14267834793491871</v>
      </c>
    </row>
    <row r="96" spans="1:9" x14ac:dyDescent="0.2">
      <c r="A96" s="482" t="s">
        <v>1944</v>
      </c>
      <c r="B96" s="484" t="s">
        <v>1945</v>
      </c>
      <c r="C96" s="484">
        <v>1.57</v>
      </c>
      <c r="D96" s="571">
        <v>67.540000000000006</v>
      </c>
      <c r="E96" s="484">
        <v>1.5</v>
      </c>
      <c r="F96" s="484">
        <v>6</v>
      </c>
      <c r="G96" s="483">
        <v>1.9017666381956136E-2</v>
      </c>
      <c r="H96" s="485">
        <v>0.7047161936560935</v>
      </c>
      <c r="I96" s="572">
        <v>2.9048656499651757E-4</v>
      </c>
    </row>
    <row r="97" spans="1:12" x14ac:dyDescent="0.2">
      <c r="A97" s="482" t="s">
        <v>2140</v>
      </c>
      <c r="B97" s="484" t="s">
        <v>2141</v>
      </c>
      <c r="C97" s="484">
        <v>2.4500000000000002</v>
      </c>
      <c r="D97" s="571">
        <v>9.25</v>
      </c>
      <c r="E97" s="484">
        <v>1.8</v>
      </c>
      <c r="F97" s="484">
        <v>13</v>
      </c>
      <c r="G97" s="483">
        <v>2.5481422342863529E-2</v>
      </c>
      <c r="H97" s="485">
        <v>0.71153846153846156</v>
      </c>
      <c r="I97" s="572">
        <v>-0.17137648131267097</v>
      </c>
    </row>
    <row r="98" spans="1:12" x14ac:dyDescent="0.2">
      <c r="A98" s="482" t="s">
        <v>2396</v>
      </c>
      <c r="B98" s="484" t="s">
        <v>2397</v>
      </c>
      <c r="C98" s="484">
        <v>3.32</v>
      </c>
      <c r="D98" s="571">
        <v>25</v>
      </c>
      <c r="E98" s="484">
        <v>1.3</v>
      </c>
      <c r="F98" s="484">
        <v>7</v>
      </c>
      <c r="G98" s="483">
        <v>2.8543758579524067E-2</v>
      </c>
      <c r="H98" s="485">
        <v>0.7142857142857143</v>
      </c>
      <c r="I98" s="572">
        <v>2.830587241233621E-2</v>
      </c>
    </row>
    <row r="99" spans="1:12" x14ac:dyDescent="0.2">
      <c r="A99" s="482" t="s">
        <v>5001</v>
      </c>
      <c r="B99" s="467" t="s">
        <v>5002</v>
      </c>
      <c r="C99" s="467">
        <v>1.88</v>
      </c>
      <c r="D99" s="575">
        <v>37.520000000000003</v>
      </c>
      <c r="E99" s="467">
        <v>1.9</v>
      </c>
      <c r="F99" s="467">
        <v>13</v>
      </c>
      <c r="G99" s="469">
        <v>2.3703699808582303E-2</v>
      </c>
      <c r="H99" s="576">
        <v>0.71466666666666667</v>
      </c>
      <c r="I99" s="572">
        <v>-0.16221284575714945</v>
      </c>
    </row>
    <row r="100" spans="1:12" x14ac:dyDescent="0.2">
      <c r="A100" s="482" t="s">
        <v>5099</v>
      </c>
      <c r="B100" s="484"/>
      <c r="C100" s="484">
        <v>2.84</v>
      </c>
      <c r="D100" s="571">
        <v>11.45</v>
      </c>
      <c r="E100" s="484">
        <v>2</v>
      </c>
      <c r="F100" s="484">
        <v>6</v>
      </c>
      <c r="G100" s="483">
        <v>1.9881233903821498E-2</v>
      </c>
      <c r="H100" s="485">
        <v>0.71562499999999996</v>
      </c>
      <c r="I100" s="572">
        <v>-0.13663220088626291</v>
      </c>
    </row>
    <row r="101" spans="1:12" x14ac:dyDescent="0.2">
      <c r="A101" s="482" t="s">
        <v>4755</v>
      </c>
      <c r="B101" s="484" t="s">
        <v>4756</v>
      </c>
      <c r="C101" s="484">
        <v>3.57</v>
      </c>
      <c r="D101" s="571">
        <v>10.039999999999999</v>
      </c>
      <c r="E101" s="484">
        <v>2.2999999999999998</v>
      </c>
      <c r="F101" s="484">
        <v>3</v>
      </c>
      <c r="G101" s="483">
        <v>4.2936318005229034E-2</v>
      </c>
      <c r="H101" s="485">
        <v>0.71714285714285708</v>
      </c>
      <c r="I101" s="572">
        <v>0.13564668769716098</v>
      </c>
    </row>
    <row r="102" spans="1:12" x14ac:dyDescent="0.2">
      <c r="A102" s="482" t="s">
        <v>751</v>
      </c>
      <c r="B102" s="484" t="s">
        <v>752</v>
      </c>
      <c r="C102" s="484">
        <v>1.72</v>
      </c>
      <c r="D102" s="571">
        <v>9</v>
      </c>
      <c r="E102" s="484">
        <v>2.2999999999999998</v>
      </c>
      <c r="F102" s="484">
        <v>10</v>
      </c>
      <c r="G102" s="483">
        <v>4.7028060363345434E-2</v>
      </c>
      <c r="H102" s="485">
        <v>0.72</v>
      </c>
      <c r="I102" s="572">
        <v>-2.2026431718061203E-3</v>
      </c>
    </row>
    <row r="103" spans="1:12" x14ac:dyDescent="0.2">
      <c r="A103" s="482" t="s">
        <v>1092</v>
      </c>
      <c r="B103" s="484" t="s">
        <v>1093</v>
      </c>
      <c r="C103" s="484">
        <v>2.85</v>
      </c>
      <c r="D103" s="571">
        <v>5.4</v>
      </c>
      <c r="E103" s="484">
        <v>2.1</v>
      </c>
      <c r="F103" s="484">
        <v>8</v>
      </c>
      <c r="G103" s="483">
        <v>2.0371171183430167E-2</v>
      </c>
      <c r="H103" s="485">
        <v>0.72000000000000008</v>
      </c>
      <c r="I103" s="572">
        <v>0.11387163561076601</v>
      </c>
      <c r="L103" s="469"/>
    </row>
    <row r="104" spans="1:12" x14ac:dyDescent="0.2">
      <c r="A104" s="482" t="s">
        <v>259</v>
      </c>
      <c r="B104" s="484" t="s">
        <v>260</v>
      </c>
      <c r="C104" s="484">
        <v>2.17</v>
      </c>
      <c r="D104" s="571">
        <v>16.579999999999998</v>
      </c>
      <c r="E104" s="484">
        <v>2.2999999999999998</v>
      </c>
      <c r="F104" s="484">
        <v>13</v>
      </c>
      <c r="G104" s="483">
        <v>2.3893141516729475E-2</v>
      </c>
      <c r="H104" s="485">
        <v>0.72086956521739121</v>
      </c>
      <c r="I104" s="572">
        <v>-1.1411411411411276E-2</v>
      </c>
    </row>
    <row r="105" spans="1:12" x14ac:dyDescent="0.2">
      <c r="A105" s="482" t="s">
        <v>4371</v>
      </c>
      <c r="B105" s="484" t="s">
        <v>4372</v>
      </c>
      <c r="C105" s="484">
        <v>2.4500000000000002</v>
      </c>
      <c r="D105" s="571">
        <v>16.61</v>
      </c>
      <c r="E105" s="484">
        <v>2.4</v>
      </c>
      <c r="F105" s="484">
        <v>3</v>
      </c>
      <c r="G105" s="483">
        <v>2.5654246911873773E-2</v>
      </c>
      <c r="H105" s="485">
        <v>0.72217391304347822</v>
      </c>
      <c r="I105" s="572">
        <v>-9.3325791855203538E-2</v>
      </c>
    </row>
    <row r="106" spans="1:12" x14ac:dyDescent="0.2">
      <c r="A106" s="482" t="s">
        <v>5065</v>
      </c>
      <c r="B106" s="484"/>
      <c r="C106" s="484">
        <v>2.4500000000000002</v>
      </c>
      <c r="D106" s="571">
        <v>12.32</v>
      </c>
      <c r="E106" s="484">
        <v>2.2000000000000002</v>
      </c>
      <c r="F106" s="484">
        <v>24</v>
      </c>
      <c r="G106" s="483">
        <v>1.5730574100726952E-2</v>
      </c>
      <c r="H106" s="485">
        <v>0.7247058823529412</v>
      </c>
      <c r="I106" s="572">
        <v>-8.965014577259478E-2</v>
      </c>
    </row>
    <row r="107" spans="1:12" x14ac:dyDescent="0.2">
      <c r="A107" s="482" t="s">
        <v>4932</v>
      </c>
      <c r="B107" s="484" t="s">
        <v>4933</v>
      </c>
      <c r="C107" s="484">
        <v>2.41</v>
      </c>
      <c r="D107" s="571">
        <v>14.59</v>
      </c>
      <c r="E107" s="484">
        <v>2</v>
      </c>
      <c r="F107" s="484">
        <v>4</v>
      </c>
      <c r="G107" s="483">
        <v>2.9739793013091709E-2</v>
      </c>
      <c r="H107" s="485">
        <v>0.72950000000000004</v>
      </c>
      <c r="I107" s="572">
        <v>0.16443745082612113</v>
      </c>
    </row>
    <row r="108" spans="1:12" x14ac:dyDescent="0.2">
      <c r="A108" s="482" t="s">
        <v>2504</v>
      </c>
      <c r="B108" s="484"/>
      <c r="C108" s="484">
        <v>2.37</v>
      </c>
      <c r="D108" s="571">
        <v>89.38</v>
      </c>
      <c r="E108" s="484">
        <v>1.9</v>
      </c>
      <c r="F108" s="484">
        <v>8</v>
      </c>
      <c r="G108" s="483">
        <v>2.6709953848993915E-2</v>
      </c>
      <c r="H108" s="485">
        <v>0.72963265306122449</v>
      </c>
      <c r="I108" s="572">
        <v>2.7582159624413079E-2</v>
      </c>
    </row>
    <row r="109" spans="1:12" x14ac:dyDescent="0.2">
      <c r="A109" s="482" t="s">
        <v>1425</v>
      </c>
      <c r="B109" s="484" t="s">
        <v>2156</v>
      </c>
      <c r="C109" s="484">
        <v>1.56</v>
      </c>
      <c r="D109" s="571">
        <v>52.59</v>
      </c>
      <c r="E109" s="484">
        <v>2</v>
      </c>
      <c r="F109" s="484">
        <v>16</v>
      </c>
      <c r="G109" s="483">
        <v>2.3299595572587813E-2</v>
      </c>
      <c r="H109" s="485">
        <v>0.73041666666666671</v>
      </c>
      <c r="I109" s="572">
        <v>-1.5261492648427327E-2</v>
      </c>
    </row>
    <row r="110" spans="1:12" x14ac:dyDescent="0.2">
      <c r="A110" s="482" t="s">
        <v>1608</v>
      </c>
      <c r="B110" s="484"/>
      <c r="C110" s="484">
        <v>2.33</v>
      </c>
      <c r="D110" s="571">
        <v>18.64</v>
      </c>
      <c r="E110" s="484">
        <v>1.5</v>
      </c>
      <c r="F110" s="484">
        <v>2</v>
      </c>
      <c r="G110" s="483">
        <v>1.9639748255475719E-2</v>
      </c>
      <c r="H110" s="485">
        <v>0.73098039215686272</v>
      </c>
      <c r="I110" s="572">
        <v>1.3933547695605656E-2</v>
      </c>
    </row>
    <row r="111" spans="1:12" x14ac:dyDescent="0.2">
      <c r="A111" s="482" t="s">
        <v>1881</v>
      </c>
      <c r="B111" s="484" t="s">
        <v>1882</v>
      </c>
      <c r="C111" s="484">
        <v>3.46</v>
      </c>
      <c r="D111" s="571">
        <v>2.93</v>
      </c>
      <c r="E111" s="484">
        <v>2</v>
      </c>
      <c r="F111" s="484">
        <v>5</v>
      </c>
      <c r="G111" s="483">
        <v>3.6337579880042388E-2</v>
      </c>
      <c r="H111" s="485">
        <v>0.73250000000000004</v>
      </c>
      <c r="I111" s="572">
        <v>9.6654275092936878E-2</v>
      </c>
    </row>
    <row r="112" spans="1:12" x14ac:dyDescent="0.2">
      <c r="A112" s="482" t="s">
        <v>3618</v>
      </c>
      <c r="B112" s="484" t="s">
        <v>4370</v>
      </c>
      <c r="C112" s="484">
        <v>2.8</v>
      </c>
      <c r="D112" s="571">
        <v>30.42</v>
      </c>
      <c r="E112" s="484">
        <v>1.7</v>
      </c>
      <c r="F112" s="484">
        <v>14</v>
      </c>
      <c r="G112" s="483">
        <v>3.097422160194109E-2</v>
      </c>
      <c r="H112" s="485">
        <v>0.7330120481927711</v>
      </c>
      <c r="I112" s="572">
        <v>0.10236220472440942</v>
      </c>
    </row>
    <row r="113" spans="1:9" x14ac:dyDescent="0.2">
      <c r="A113" s="482" t="s">
        <v>4943</v>
      </c>
      <c r="B113" s="484" t="s">
        <v>3662</v>
      </c>
      <c r="C113" s="484">
        <v>2.92</v>
      </c>
      <c r="D113" s="571">
        <v>8.8000000000000007</v>
      </c>
      <c r="E113" s="484">
        <v>1.6</v>
      </c>
      <c r="F113" s="484">
        <v>5</v>
      </c>
      <c r="G113" s="483">
        <v>2.2437895057589172E-2</v>
      </c>
      <c r="H113" s="485">
        <v>0.73333333333333339</v>
      </c>
      <c r="I113" s="572">
        <v>-5.1860202931228762E-2</v>
      </c>
    </row>
    <row r="114" spans="1:9" x14ac:dyDescent="0.2">
      <c r="A114" s="482" t="s">
        <v>3673</v>
      </c>
      <c r="B114" s="484" t="s">
        <v>3674</v>
      </c>
      <c r="C114" s="484">
        <v>2.88</v>
      </c>
      <c r="D114" s="571">
        <v>10.82</v>
      </c>
      <c r="E114" s="484">
        <v>2.2999999999999998</v>
      </c>
      <c r="F114" s="484">
        <v>4</v>
      </c>
      <c r="G114" s="483">
        <v>4.1632965858245621E-2</v>
      </c>
      <c r="H114" s="485">
        <v>0.73355932203389829</v>
      </c>
      <c r="I114" s="572">
        <v>-0.12</v>
      </c>
    </row>
    <row r="115" spans="1:9" x14ac:dyDescent="0.2">
      <c r="A115" s="482" t="s">
        <v>723</v>
      </c>
      <c r="B115" s="484" t="s">
        <v>724</v>
      </c>
      <c r="C115" s="484">
        <v>1.83</v>
      </c>
      <c r="D115" s="571">
        <v>3.13</v>
      </c>
      <c r="E115" s="484">
        <v>1.8</v>
      </c>
      <c r="F115" s="484">
        <v>5</v>
      </c>
      <c r="G115" s="483">
        <v>1.931379289921703E-2</v>
      </c>
      <c r="H115" s="485">
        <v>0.7364705882352941</v>
      </c>
      <c r="I115" s="572">
        <v>-1.5576323987538884E-2</v>
      </c>
    </row>
    <row r="116" spans="1:9" x14ac:dyDescent="0.2">
      <c r="A116" s="482" t="s">
        <v>4459</v>
      </c>
      <c r="B116" s="484" t="s">
        <v>4460</v>
      </c>
      <c r="C116" s="484">
        <v>1.79</v>
      </c>
      <c r="D116" s="571">
        <v>12.16</v>
      </c>
      <c r="E116" s="484">
        <v>2.2000000000000002</v>
      </c>
      <c r="F116" s="484">
        <v>4</v>
      </c>
      <c r="G116" s="483">
        <v>1.8911001071822229E-2</v>
      </c>
      <c r="H116" s="485">
        <v>0.73696969696969694</v>
      </c>
      <c r="I116" s="572">
        <v>-0.11232676878191108</v>
      </c>
    </row>
    <row r="117" spans="1:9" x14ac:dyDescent="0.2">
      <c r="A117" s="482" t="s">
        <v>4739</v>
      </c>
      <c r="B117" s="484"/>
      <c r="C117" s="484">
        <v>1.92</v>
      </c>
      <c r="D117" s="571">
        <v>36.51</v>
      </c>
      <c r="E117" s="484">
        <v>2.2999999999999998</v>
      </c>
      <c r="F117" s="484">
        <v>12</v>
      </c>
      <c r="G117" s="483">
        <v>2.0268296577508584E-2</v>
      </c>
      <c r="H117" s="485">
        <v>0.73757575757575755</v>
      </c>
      <c r="I117" s="572">
        <v>-0.19160624038672819</v>
      </c>
    </row>
    <row r="118" spans="1:9" x14ac:dyDescent="0.2">
      <c r="A118" s="482" t="s">
        <v>4291</v>
      </c>
      <c r="B118" s="484" t="s">
        <v>4292</v>
      </c>
      <c r="C118" s="484">
        <v>2.0099999999999998</v>
      </c>
      <c r="D118" s="571">
        <v>14.12</v>
      </c>
      <c r="E118" s="484">
        <v>2.2000000000000002</v>
      </c>
      <c r="F118" s="484">
        <v>5</v>
      </c>
      <c r="G118" s="483">
        <v>2.6529872495271892E-2</v>
      </c>
      <c r="H118" s="485">
        <v>0.74315789473684202</v>
      </c>
      <c r="I118" s="572">
        <v>4.9191848208011441E-3</v>
      </c>
    </row>
    <row r="119" spans="1:9" x14ac:dyDescent="0.2">
      <c r="A119" s="482" t="s">
        <v>175</v>
      </c>
      <c r="B119" s="484" t="s">
        <v>176</v>
      </c>
      <c r="C119" s="484">
        <v>1.6</v>
      </c>
      <c r="D119" s="571">
        <v>9.52</v>
      </c>
      <c r="E119" s="484">
        <v>1.8</v>
      </c>
      <c r="F119" s="484">
        <v>5</v>
      </c>
      <c r="G119" s="483">
        <v>1.7640125806284331E-2</v>
      </c>
      <c r="H119" s="485">
        <v>0.74374999999999991</v>
      </c>
      <c r="I119" s="572">
        <v>-4.9309664694280074E-2</v>
      </c>
    </row>
    <row r="120" spans="1:9" x14ac:dyDescent="0.2">
      <c r="A120" s="482" t="s">
        <v>3063</v>
      </c>
      <c r="B120" s="467" t="s">
        <v>3064</v>
      </c>
      <c r="C120" s="467">
        <v>1.75</v>
      </c>
      <c r="D120" s="575">
        <v>18.61</v>
      </c>
      <c r="E120" s="467">
        <v>1.8</v>
      </c>
      <c r="F120" s="467">
        <v>3</v>
      </c>
      <c r="G120" s="469">
        <v>2.2141513828448693E-2</v>
      </c>
      <c r="H120" s="576">
        <v>0.74439999999999995</v>
      </c>
      <c r="I120" s="572">
        <v>-9.9661344944363919E-2</v>
      </c>
    </row>
    <row r="121" spans="1:9" x14ac:dyDescent="0.2">
      <c r="A121" s="482" t="s">
        <v>320</v>
      </c>
      <c r="B121" s="484" t="s">
        <v>321</v>
      </c>
      <c r="C121" s="484">
        <v>2.14</v>
      </c>
      <c r="D121" s="571">
        <v>17.91</v>
      </c>
      <c r="E121" s="484">
        <v>1.7</v>
      </c>
      <c r="F121" s="484">
        <v>7</v>
      </c>
      <c r="G121" s="483">
        <v>2.7962990651106079E-2</v>
      </c>
      <c r="H121" s="485">
        <v>0.74624999999999997</v>
      </c>
      <c r="I121" s="572">
        <v>1.8803418803418705E-2</v>
      </c>
    </row>
    <row r="122" spans="1:9" x14ac:dyDescent="0.2">
      <c r="A122" s="482" t="s">
        <v>2470</v>
      </c>
      <c r="B122" s="484" t="s">
        <v>179</v>
      </c>
      <c r="C122" s="484">
        <v>1.79</v>
      </c>
      <c r="D122" s="571">
        <v>12.69</v>
      </c>
      <c r="E122" s="484">
        <v>1.4</v>
      </c>
      <c r="F122" s="484">
        <v>5</v>
      </c>
      <c r="G122" s="483">
        <v>1.3523786025427144E-2</v>
      </c>
      <c r="H122" s="485">
        <v>0.74647058823529411</v>
      </c>
      <c r="I122" s="572">
        <v>1.5772870662460231E-3</v>
      </c>
    </row>
    <row r="123" spans="1:9" x14ac:dyDescent="0.2">
      <c r="A123" s="482" t="s">
        <v>3071</v>
      </c>
      <c r="B123" s="484" t="s">
        <v>3072</v>
      </c>
      <c r="C123" s="484">
        <v>1.56</v>
      </c>
      <c r="D123" s="571">
        <v>14.22</v>
      </c>
      <c r="E123" s="484">
        <v>1.5</v>
      </c>
      <c r="F123" s="484">
        <v>2</v>
      </c>
      <c r="G123" s="483">
        <v>2.2493674324471413E-2</v>
      </c>
      <c r="H123" s="485">
        <v>0.74842105263157899</v>
      </c>
      <c r="I123" s="572">
        <v>-6.5860215053763466E-2</v>
      </c>
    </row>
    <row r="124" spans="1:9" x14ac:dyDescent="0.2">
      <c r="A124" s="482" t="s">
        <v>2708</v>
      </c>
      <c r="B124" s="484" t="s">
        <v>2709</v>
      </c>
      <c r="C124" s="484">
        <v>3.87</v>
      </c>
      <c r="D124" s="571">
        <v>10.71</v>
      </c>
      <c r="E124" s="484">
        <v>2.2999999999999998</v>
      </c>
      <c r="F124" s="484">
        <v>6</v>
      </c>
      <c r="G124" s="483">
        <v>4.4751788748091909E-2</v>
      </c>
      <c r="H124" s="485">
        <v>0.74895104895104903</v>
      </c>
      <c r="I124" s="572">
        <v>-0.23703170028818449</v>
      </c>
    </row>
    <row r="125" spans="1:9" x14ac:dyDescent="0.2">
      <c r="A125" s="482" t="s">
        <v>3632</v>
      </c>
      <c r="C125" s="467">
        <v>1.6</v>
      </c>
      <c r="D125" s="575">
        <v>128.19999999999999</v>
      </c>
      <c r="E125" s="467">
        <v>2.4</v>
      </c>
      <c r="F125" s="467">
        <v>37</v>
      </c>
      <c r="G125" s="469">
        <v>2.449584933443592E-2</v>
      </c>
      <c r="H125" s="576">
        <v>0.74970760233918121</v>
      </c>
      <c r="I125" s="572">
        <v>-0.18288264976064175</v>
      </c>
    </row>
    <row r="126" spans="1:9" x14ac:dyDescent="0.2">
      <c r="A126" s="482" t="s">
        <v>1302</v>
      </c>
      <c r="B126" s="484" t="s">
        <v>1303</v>
      </c>
      <c r="C126" s="484">
        <v>1.79</v>
      </c>
      <c r="D126" s="571">
        <v>50.24</v>
      </c>
      <c r="E126" s="484">
        <v>2.2000000000000002</v>
      </c>
      <c r="F126" s="484">
        <v>15</v>
      </c>
      <c r="G126" s="483">
        <v>2.2676370707446519E-2</v>
      </c>
      <c r="H126" s="485">
        <v>0.74985074626865678</v>
      </c>
      <c r="I126" s="572">
        <v>-5.5062823355506225E-2</v>
      </c>
    </row>
    <row r="127" spans="1:9" x14ac:dyDescent="0.2">
      <c r="A127" s="482" t="s">
        <v>4751</v>
      </c>
      <c r="B127" s="484" t="s">
        <v>4752</v>
      </c>
      <c r="C127" s="484">
        <v>3.44</v>
      </c>
      <c r="D127" s="571">
        <v>24.03</v>
      </c>
      <c r="E127" s="484">
        <v>1.4</v>
      </c>
      <c r="F127" s="484">
        <v>8</v>
      </c>
      <c r="G127" s="483">
        <v>2.142226555568905E-2</v>
      </c>
      <c r="H127" s="485">
        <v>0.75093750000000004</v>
      </c>
      <c r="I127" s="572">
        <v>-6.8711180124223725E-2</v>
      </c>
    </row>
    <row r="128" spans="1:9" x14ac:dyDescent="0.2">
      <c r="A128" s="482" t="s">
        <v>4884</v>
      </c>
      <c r="B128" s="484" t="s">
        <v>4885</v>
      </c>
      <c r="C128" s="484">
        <v>2.29</v>
      </c>
      <c r="D128" s="571">
        <v>23.29</v>
      </c>
      <c r="E128" s="484">
        <v>1</v>
      </c>
      <c r="F128" s="484">
        <v>3</v>
      </c>
      <c r="G128" s="483">
        <v>1.8416847951306391E-2</v>
      </c>
      <c r="H128" s="485">
        <v>0.7512903225806451</v>
      </c>
      <c r="I128" s="572">
        <v>0.21465968586387421</v>
      </c>
    </row>
    <row r="129" spans="1:9" x14ac:dyDescent="0.2">
      <c r="A129" s="482" t="s">
        <v>265</v>
      </c>
      <c r="B129" s="484" t="s">
        <v>266</v>
      </c>
      <c r="C129" s="484">
        <v>1.65</v>
      </c>
      <c r="D129" s="571">
        <v>27.81</v>
      </c>
      <c r="E129" s="484">
        <v>2.2999999999999998</v>
      </c>
      <c r="F129" s="484">
        <v>24</v>
      </c>
      <c r="G129" s="483">
        <v>2.278234176185245E-2</v>
      </c>
      <c r="H129" s="485">
        <v>0.75162162162162161</v>
      </c>
      <c r="I129" s="572">
        <v>0.15696721311475417</v>
      </c>
    </row>
    <row r="130" spans="1:9" x14ac:dyDescent="0.2">
      <c r="A130" s="482" t="s">
        <v>942</v>
      </c>
      <c r="B130" s="484" t="s">
        <v>3617</v>
      </c>
      <c r="C130" s="484">
        <v>2.2999999999999998</v>
      </c>
      <c r="D130" s="571">
        <v>6.02</v>
      </c>
      <c r="E130" s="484">
        <v>1.4</v>
      </c>
      <c r="F130" s="484">
        <v>3</v>
      </c>
      <c r="G130" s="483">
        <v>2.924360548117249E-2</v>
      </c>
      <c r="H130" s="485">
        <v>0.75249999999999995</v>
      </c>
      <c r="I130" s="572">
        <v>0.36175115207373282</v>
      </c>
    </row>
    <row r="131" spans="1:9" x14ac:dyDescent="0.2">
      <c r="A131" s="482" t="s">
        <v>4888</v>
      </c>
      <c r="B131" s="484" t="s">
        <v>4889</v>
      </c>
      <c r="C131" s="484">
        <v>2.4900000000000002</v>
      </c>
      <c r="D131" s="571">
        <v>4.63</v>
      </c>
      <c r="E131" s="484">
        <v>1.7</v>
      </c>
      <c r="F131" s="484">
        <v>2</v>
      </c>
      <c r="G131" s="483">
        <v>3.8114503599225642E-2</v>
      </c>
      <c r="H131" s="485">
        <v>0.75530179445350731</v>
      </c>
      <c r="I131" s="572">
        <v>4.7846889952153158E-2</v>
      </c>
    </row>
    <row r="132" spans="1:9" x14ac:dyDescent="0.2">
      <c r="A132" s="482" t="s">
        <v>3259</v>
      </c>
      <c r="B132" s="484" t="s">
        <v>3260</v>
      </c>
      <c r="C132" s="484">
        <v>3.8</v>
      </c>
      <c r="D132" s="571">
        <v>8.32</v>
      </c>
      <c r="E132" s="484">
        <v>1.8</v>
      </c>
      <c r="F132" s="484">
        <v>5</v>
      </c>
      <c r="G132" s="483">
        <v>2.298836453178333E-2</v>
      </c>
      <c r="H132" s="485">
        <v>0.75636363636363635</v>
      </c>
      <c r="I132" s="572">
        <v>-8.2313681868743063E-2</v>
      </c>
    </row>
    <row r="133" spans="1:9" x14ac:dyDescent="0.2">
      <c r="A133" s="482" t="s">
        <v>1613</v>
      </c>
      <c r="B133" s="484"/>
      <c r="C133" s="484">
        <v>2.1800000000000002</v>
      </c>
      <c r="D133" s="571">
        <v>18.170000000000002</v>
      </c>
      <c r="E133" s="484">
        <v>2</v>
      </c>
      <c r="F133" s="484">
        <v>2</v>
      </c>
      <c r="G133" s="483">
        <v>2.7333077312747193E-2</v>
      </c>
      <c r="H133" s="485">
        <v>0.75708333333333344</v>
      </c>
      <c r="I133" s="572">
        <v>-4.3455497382199046E-2</v>
      </c>
    </row>
    <row r="134" spans="1:9" x14ac:dyDescent="0.2">
      <c r="A134" s="482" t="s">
        <v>1883</v>
      </c>
      <c r="B134" s="484" t="s">
        <v>1884</v>
      </c>
      <c r="C134" s="484">
        <v>3.48</v>
      </c>
      <c r="D134" s="571">
        <v>8.33</v>
      </c>
      <c r="E134" s="484">
        <v>2</v>
      </c>
      <c r="F134" s="484">
        <v>5</v>
      </c>
      <c r="G134" s="483">
        <v>4.3149405023084078E-2</v>
      </c>
      <c r="H134" s="485">
        <v>0.75727272727272732</v>
      </c>
      <c r="I134" s="572">
        <v>0.21851289833080417</v>
      </c>
    </row>
    <row r="135" spans="1:9" x14ac:dyDescent="0.2">
      <c r="A135" s="482" t="s">
        <v>4938</v>
      </c>
      <c r="B135" s="484" t="s">
        <v>1824</v>
      </c>
      <c r="C135" s="484">
        <v>1.82</v>
      </c>
      <c r="D135" s="571">
        <v>15.55</v>
      </c>
      <c r="E135" s="484">
        <v>1.5</v>
      </c>
      <c r="F135" s="484">
        <v>4</v>
      </c>
      <c r="G135" s="483">
        <v>1.6117730919704545E-2</v>
      </c>
      <c r="H135" s="485">
        <v>0.75853658536585367</v>
      </c>
      <c r="I135" s="572">
        <v>-5.1880674448767884E-3</v>
      </c>
    </row>
    <row r="136" spans="1:9" x14ac:dyDescent="0.2">
      <c r="A136" s="482" t="s">
        <v>1298</v>
      </c>
      <c r="B136" s="484" t="s">
        <v>1299</v>
      </c>
      <c r="C136" s="484">
        <v>2.4</v>
      </c>
      <c r="D136" s="571">
        <v>15.18</v>
      </c>
      <c r="E136" s="484">
        <v>2.2000000000000002</v>
      </c>
      <c r="F136" s="484">
        <v>14</v>
      </c>
      <c r="G136" s="483">
        <v>1.7552216055573684E-2</v>
      </c>
      <c r="H136" s="485">
        <v>0.75900000000000001</v>
      </c>
      <c r="I136" s="572">
        <v>-5.0156739811912161E-2</v>
      </c>
    </row>
    <row r="137" spans="1:9" x14ac:dyDescent="0.2">
      <c r="A137" s="482" t="s">
        <v>4589</v>
      </c>
      <c r="B137" s="484" t="s">
        <v>4590</v>
      </c>
      <c r="C137" s="484">
        <v>1.77</v>
      </c>
      <c r="D137" s="571">
        <v>11.39</v>
      </c>
      <c r="E137" s="484">
        <v>2</v>
      </c>
      <c r="F137" s="484">
        <v>13</v>
      </c>
      <c r="G137" s="483">
        <v>2.4304389837735391E-2</v>
      </c>
      <c r="H137" s="485">
        <v>0.75933333333333342</v>
      </c>
      <c r="I137" s="572">
        <v>5.921052631578938E-2</v>
      </c>
    </row>
    <row r="138" spans="1:9" x14ac:dyDescent="0.2">
      <c r="A138" s="482" t="s">
        <v>1875</v>
      </c>
      <c r="B138" s="467" t="s">
        <v>1876</v>
      </c>
      <c r="C138" s="467">
        <v>2.4500000000000002</v>
      </c>
      <c r="D138" s="575">
        <v>6.08</v>
      </c>
      <c r="E138" s="467">
        <v>2.2000000000000002</v>
      </c>
      <c r="F138" s="467">
        <v>13</v>
      </c>
      <c r="G138" s="469">
        <v>2.3794058324263675E-2</v>
      </c>
      <c r="H138" s="576">
        <v>0.76</v>
      </c>
      <c r="I138" s="572">
        <v>-9.375E-2</v>
      </c>
    </row>
    <row r="139" spans="1:9" x14ac:dyDescent="0.2">
      <c r="A139" s="482" t="s">
        <v>2724</v>
      </c>
      <c r="B139" s="484" t="s">
        <v>2725</v>
      </c>
      <c r="C139" s="484">
        <v>2.85</v>
      </c>
      <c r="D139" s="571">
        <v>41.76</v>
      </c>
      <c r="E139" s="484">
        <v>1</v>
      </c>
      <c r="F139" s="484">
        <v>2</v>
      </c>
      <c r="G139" s="483">
        <v>2.0327392469654947E-2</v>
      </c>
      <c r="H139" s="485">
        <v>0.76273972602739726</v>
      </c>
      <c r="I139" s="572">
        <v>0.10747051114023597</v>
      </c>
    </row>
    <row r="140" spans="1:9" x14ac:dyDescent="0.2">
      <c r="A140" s="482" t="s">
        <v>4593</v>
      </c>
      <c r="B140" s="484" t="s">
        <v>4594</v>
      </c>
      <c r="C140" s="484">
        <v>1.69</v>
      </c>
      <c r="D140" s="571">
        <v>22.37</v>
      </c>
      <c r="E140" s="484">
        <v>2</v>
      </c>
      <c r="F140" s="484">
        <v>7</v>
      </c>
      <c r="G140" s="483">
        <v>1.9947985246250192E-2</v>
      </c>
      <c r="H140" s="485">
        <v>0.76348122866894197</v>
      </c>
      <c r="I140" s="572">
        <v>3.4932463903120638E-2</v>
      </c>
    </row>
    <row r="141" spans="1:9" x14ac:dyDescent="0.2">
      <c r="A141" s="482" t="s">
        <v>3362</v>
      </c>
      <c r="B141" s="484" t="s">
        <v>3363</v>
      </c>
      <c r="C141" s="484">
        <v>1.76</v>
      </c>
      <c r="D141" s="571">
        <v>90.96</v>
      </c>
      <c r="E141" s="484">
        <v>1.9</v>
      </c>
      <c r="F141" s="484">
        <v>23</v>
      </c>
      <c r="G141" s="483">
        <v>1.767150846810938E-2</v>
      </c>
      <c r="H141" s="485">
        <v>0.76436974789915957</v>
      </c>
      <c r="I141" s="572">
        <v>-2.933137089991596E-2</v>
      </c>
    </row>
    <row r="142" spans="1:9" x14ac:dyDescent="0.2">
      <c r="A142" s="482" t="s">
        <v>2503</v>
      </c>
      <c r="B142" s="484"/>
      <c r="C142" s="484">
        <v>1.51</v>
      </c>
      <c r="D142" s="571">
        <v>49.33</v>
      </c>
      <c r="E142" s="484">
        <v>2.1</v>
      </c>
      <c r="F142" s="484">
        <v>24</v>
      </c>
      <c r="G142" s="483">
        <v>1.9783114886573964E-2</v>
      </c>
      <c r="H142" s="485">
        <v>0.76480620155038759</v>
      </c>
      <c r="I142" s="572">
        <v>-8.6303939962476442E-2</v>
      </c>
    </row>
    <row r="143" spans="1:9" x14ac:dyDescent="0.2">
      <c r="A143" s="482" t="s">
        <v>1447</v>
      </c>
      <c r="B143" s="484" t="s">
        <v>2208</v>
      </c>
      <c r="C143" s="484">
        <v>1.59</v>
      </c>
      <c r="D143" s="571">
        <v>60.45</v>
      </c>
      <c r="E143" s="484">
        <v>1.6</v>
      </c>
      <c r="F143" s="484">
        <v>4</v>
      </c>
      <c r="G143" s="483">
        <v>1.384568108167253E-2</v>
      </c>
      <c r="H143" s="485">
        <v>0.7651898734177216</v>
      </c>
      <c r="I143" s="572">
        <v>7.3672998402272302E-2</v>
      </c>
    </row>
    <row r="144" spans="1:9" x14ac:dyDescent="0.2">
      <c r="A144" s="482" t="s">
        <v>3257</v>
      </c>
      <c r="B144" s="484" t="s">
        <v>3258</v>
      </c>
      <c r="C144" s="484">
        <v>2.56</v>
      </c>
      <c r="D144" s="571">
        <v>62.79</v>
      </c>
      <c r="E144" s="484">
        <v>1.8</v>
      </c>
      <c r="F144" s="484">
        <v>8</v>
      </c>
      <c r="G144" s="483">
        <v>2.8655236801566415E-2</v>
      </c>
      <c r="H144" s="485">
        <v>0.76573170731707318</v>
      </c>
      <c r="I144" s="572">
        <v>0.2418815193859476</v>
      </c>
    </row>
    <row r="145" spans="1:9" x14ac:dyDescent="0.2">
      <c r="A145" s="482" t="s">
        <v>575</v>
      </c>
      <c r="B145" s="484" t="s">
        <v>576</v>
      </c>
      <c r="C145" s="484">
        <v>4.45</v>
      </c>
      <c r="D145" s="571">
        <v>27.97</v>
      </c>
      <c r="E145" s="484">
        <v>2.2000000000000002</v>
      </c>
      <c r="F145" s="484">
        <v>18</v>
      </c>
      <c r="G145" s="483">
        <v>2.1605209930797849E-2</v>
      </c>
      <c r="H145" s="485">
        <v>0.76630136986301367</v>
      </c>
      <c r="I145" s="572">
        <v>0.15869744435284408</v>
      </c>
    </row>
    <row r="146" spans="1:9" x14ac:dyDescent="0.2">
      <c r="A146" s="482" t="s">
        <v>4603</v>
      </c>
      <c r="B146" s="484" t="s">
        <v>4604</v>
      </c>
      <c r="C146" s="484">
        <v>2.2000000000000002</v>
      </c>
      <c r="D146" s="571">
        <v>19.57</v>
      </c>
      <c r="E146" s="484">
        <v>1.9</v>
      </c>
      <c r="F146" s="484">
        <v>10</v>
      </c>
      <c r="G146" s="483">
        <v>2.7229411770815309E-2</v>
      </c>
      <c r="H146" s="485">
        <v>0.76745098039215687</v>
      </c>
      <c r="I146" s="572">
        <v>2.1265822784810217E-2</v>
      </c>
    </row>
    <row r="147" spans="1:9" ht="12" thickBot="1" x14ac:dyDescent="0.25">
      <c r="A147" s="486" t="s">
        <v>3261</v>
      </c>
      <c r="B147" s="488" t="s">
        <v>3262</v>
      </c>
      <c r="C147" s="488">
        <v>2.4300000000000002</v>
      </c>
      <c r="D147" s="573">
        <v>42.25</v>
      </c>
      <c r="E147" s="488">
        <v>1.3</v>
      </c>
      <c r="F147" s="488">
        <v>3</v>
      </c>
      <c r="G147" s="487">
        <v>2.1888133420083691E-2</v>
      </c>
      <c r="H147" s="489">
        <v>0.76818181818181819</v>
      </c>
      <c r="I147" s="574">
        <v>0.18484080022541544</v>
      </c>
    </row>
  </sheetData>
  <phoneticPr fontId="2" type="noConversion"/>
  <conditionalFormatting sqref="I4:I23 M28:M47 I29:I147">
    <cfRule type="cellIs" dxfId="5" priority="1" stopIfTrue="1" operator="lessThan">
      <formula>0</formula>
    </cfRule>
  </conditionalFormatting>
  <conditionalFormatting sqref="O28:O48">
    <cfRule type="cellIs" dxfId="4" priority="2" stopIfTrue="1" operator="greaterThanOrEqual">
      <formula>0.9</formula>
    </cfRule>
    <cfRule type="cellIs" dxfId="3" priority="3" stopIfTrue="1" operator="lessThan">
      <formula>0.7</formula>
    </cfRule>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17</vt:i4>
      </vt:variant>
    </vt:vector>
  </HeadingPairs>
  <TitlesOfParts>
    <vt:vector size="28" baseType="lpstr">
      <vt:lpstr>Company Database</vt:lpstr>
      <vt:lpstr>Growth Pattern</vt:lpstr>
      <vt:lpstr>Stock price</vt:lpstr>
      <vt:lpstr>Portfolio</vt:lpstr>
      <vt:lpstr>Realized-TX LOG</vt:lpstr>
      <vt:lpstr>US Market</vt:lpstr>
      <vt:lpstr>US Portfolio</vt:lpstr>
      <vt:lpstr>US Executed</vt:lpstr>
      <vt:lpstr>Reports- BUY</vt:lpstr>
      <vt:lpstr>Report-SELL</vt:lpstr>
      <vt:lpstr>Options - STGY</vt:lpstr>
      <vt:lpstr>'Company Database'!Query_from_MS_Access_Database</vt:lpstr>
      <vt:lpstr>'Company Database'!Query_from_portfolio</vt:lpstr>
      <vt:lpstr>Portfolio!Query_from_portfolio</vt:lpstr>
      <vt:lpstr>'Reports- BUY'!Query_from_portfolio</vt:lpstr>
      <vt:lpstr>'US Market'!Query_from_portfolio</vt:lpstr>
      <vt:lpstr>'US Portfolio'!Query_from_portfolio</vt:lpstr>
      <vt:lpstr>'Growth Pattern'!Query_from_portfolio_1</vt:lpstr>
      <vt:lpstr>Portfolio!Query_from_portfolio_1</vt:lpstr>
      <vt:lpstr>'Reports- BUY'!Query_from_portfolio_1</vt:lpstr>
      <vt:lpstr>'Stock price'!Query_from_portfolio_1</vt:lpstr>
      <vt:lpstr>'US Market'!Query_from_portfolio_1</vt:lpstr>
      <vt:lpstr>'US Portfolio'!Query_from_portfolio_1</vt:lpstr>
      <vt:lpstr>'Reports- BUY'!Query_from_portfolio_2</vt:lpstr>
      <vt:lpstr>'US Portfolio'!Query_from_portfolio_2</vt:lpstr>
      <vt:lpstr>'Reports- BUY'!Query_from_portfolio_3</vt:lpstr>
      <vt:lpstr>'Stock price'!Query_from_portfolio_3</vt:lpstr>
      <vt:lpstr>'Reports- BUY'!Query_from_portfolio_4</vt:lpstr>
    </vt:vector>
  </TitlesOfParts>
  <Company>AIGSS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vishalh</dc:creator>
  <cp:lastModifiedBy>Amloo</cp:lastModifiedBy>
  <dcterms:created xsi:type="dcterms:W3CDTF">2005-08-28T08:26:13Z</dcterms:created>
  <dcterms:modified xsi:type="dcterms:W3CDTF">2013-11-29T10:03:44Z</dcterms:modified>
</cp:coreProperties>
</file>