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120" windowWidth="20115" windowHeight="7365"/>
  </bookViews>
  <sheets>
    <sheet name="Share Trade Details all years" sheetId="3" r:id="rId1"/>
    <sheet name="Sheet1" sheetId="2" r:id="rId2"/>
    <sheet name="wr_eq_trade_details" sheetId="1" r:id="rId3"/>
  </sheets>
  <definedNames>
    <definedName name="_xlnm._FilterDatabase" localSheetId="1" hidden="1">Sheet1!$A$2:$F$38</definedName>
  </definedNames>
  <calcPr calcId="125725"/>
</workbook>
</file>

<file path=xl/calcChain.xml><?xml version="1.0" encoding="utf-8"?>
<calcChain xmlns="http://schemas.openxmlformats.org/spreadsheetml/2006/main">
  <c r="G7" i="3"/>
  <c r="G8"/>
  <c r="G15"/>
  <c r="G17"/>
  <c r="G12"/>
  <c r="G13"/>
  <c r="G21"/>
  <c r="G3"/>
  <c r="G14"/>
  <c r="G18"/>
  <c r="G6"/>
  <c r="G9"/>
  <c r="G10"/>
  <c r="G11"/>
  <c r="G19"/>
  <c r="G20"/>
  <c r="G5"/>
  <c r="G4"/>
  <c r="G16"/>
  <c r="E27" i="2" l="1"/>
  <c r="E7"/>
  <c r="I11" i="1"/>
  <c r="H11"/>
  <c r="I10"/>
  <c r="H10"/>
  <c r="I9"/>
  <c r="H9"/>
  <c r="I8"/>
  <c r="H8"/>
  <c r="I7"/>
  <c r="H7"/>
  <c r="I6"/>
  <c r="H6"/>
  <c r="I5"/>
  <c r="H5"/>
  <c r="I4"/>
  <c r="H4"/>
  <c r="I3"/>
  <c r="H3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69"/>
  <c r="H69"/>
  <c r="I67"/>
  <c r="H67"/>
  <c r="I66"/>
  <c r="H66"/>
  <c r="I65"/>
  <c r="H65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</calcChain>
</file>

<file path=xl/sharedStrings.xml><?xml version="1.0" encoding="utf-8"?>
<sst xmlns="http://schemas.openxmlformats.org/spreadsheetml/2006/main" count="745" uniqueCount="193">
  <si>
    <t>Equity Trade Details for the period 01/04/08 to 31/03/09</t>
  </si>
  <si>
    <t>Entity Id : 328192</t>
  </si>
  <si>
    <t>Trd.Date &amp; Time</t>
  </si>
  <si>
    <t>Exch.</t>
  </si>
  <si>
    <t>Symbol</t>
  </si>
  <si>
    <t>Action</t>
  </si>
  <si>
    <t>Trd.Qty</t>
  </si>
  <si>
    <t>Trd.Price</t>
  </si>
  <si>
    <t>Trd.Value</t>
  </si>
  <si>
    <t>Exch.Ord No.</t>
  </si>
  <si>
    <t>Exch.Trd.No.</t>
  </si>
  <si>
    <t>NSE</t>
  </si>
  <si>
    <t>DRREDYEQ</t>
  </si>
  <si>
    <t>Buy</t>
  </si>
  <si>
    <t>POWERGRIDEQ</t>
  </si>
  <si>
    <t>JINVIJEQ</t>
  </si>
  <si>
    <t>RELCOMEQ</t>
  </si>
  <si>
    <t>Sell</t>
  </si>
  <si>
    <t>JKCLTDEQ</t>
  </si>
  <si>
    <t>INOLEIEQ</t>
  </si>
  <si>
    <t>RNRLTDEQ</t>
  </si>
  <si>
    <t>GUJNREEQ</t>
  </si>
  <si>
    <t>MADCEMEQ</t>
  </si>
  <si>
    <t>SHRTRAEQ</t>
  </si>
  <si>
    <t>BHASHIEQ</t>
  </si>
  <si>
    <t>SANMOVEQ</t>
  </si>
  <si>
    <t>BARINDEQ</t>
  </si>
  <si>
    <t>PRIINFEQ</t>
  </si>
  <si>
    <t>BSE</t>
  </si>
  <si>
    <t>Equity Trade Details for the period 01/04/07 to 30/03/08</t>
  </si>
  <si>
    <t>BANBAREQ</t>
  </si>
  <si>
    <t>AKRNIREQ</t>
  </si>
  <si>
    <t>TATIROEQ</t>
  </si>
  <si>
    <t>STEINDEQ</t>
  </si>
  <si>
    <t>SUZLTDEQ</t>
  </si>
  <si>
    <t>GAMINDEQ</t>
  </si>
  <si>
    <t>PUNLLOEQ</t>
  </si>
  <si>
    <t>RANLABEQ</t>
  </si>
  <si>
    <t>TATTEAEQ</t>
  </si>
  <si>
    <t>GRAINDEQ</t>
  </si>
  <si>
    <t>ROLINDEQ</t>
  </si>
  <si>
    <t>WIPLTDEQ</t>
  </si>
  <si>
    <t>IPCLABEQ</t>
  </si>
  <si>
    <t>BSELTDEQ</t>
  </si>
  <si>
    <t>RELCAPEQ</t>
  </si>
  <si>
    <t>CORBANEQ</t>
  </si>
  <si>
    <t>MANCEMEQ</t>
  </si>
  <si>
    <t>RELINDEQ</t>
  </si>
  <si>
    <t>TCSLTDEQ</t>
  </si>
  <si>
    <t>OILNATEQ</t>
  </si>
  <si>
    <t>INFTECEQ</t>
  </si>
  <si>
    <t>Sell Date</t>
  </si>
  <si>
    <t>Sell Price</t>
  </si>
  <si>
    <t>accointed</t>
  </si>
  <si>
    <t>INOX</t>
  </si>
  <si>
    <t>ONGC</t>
  </si>
  <si>
    <t>GRASIM</t>
  </si>
  <si>
    <t>WIPRO</t>
  </si>
  <si>
    <t>TCS</t>
  </si>
  <si>
    <t>SUNDARAM - SUNDARAM RTA</t>
  </si>
  <si>
    <t>Sundaram SMILE - Growth</t>
  </si>
  <si>
    <t>21/07/2011</t>
  </si>
  <si>
    <t>Trd</t>
  </si>
  <si>
    <t>Dt</t>
  </si>
  <si>
    <t>Trd No.</t>
  </si>
  <si>
    <t>Order No.</t>
  </si>
  <si>
    <t>Exch</t>
  </si>
  <si>
    <t>Sett</t>
  </si>
  <si>
    <t>No</t>
  </si>
  <si>
    <t>Type</t>
  </si>
  <si>
    <t>Trade</t>
  </si>
  <si>
    <t>Time</t>
  </si>
  <si>
    <t>Order</t>
  </si>
  <si>
    <t>Scrip</t>
  </si>
  <si>
    <t>Name</t>
  </si>
  <si>
    <t>/</t>
  </si>
  <si>
    <t>Qty</t>
  </si>
  <si>
    <t>Mkt</t>
  </si>
  <si>
    <t>Price</t>
  </si>
  <si>
    <t>Value</t>
  </si>
  <si>
    <t>Squp</t>
  </si>
  <si>
    <t>Del</t>
  </si>
  <si>
    <t>Brok</t>
  </si>
  <si>
    <t>Amt</t>
  </si>
  <si>
    <t>Serv</t>
  </si>
  <si>
    <t>Tax</t>
  </si>
  <si>
    <t>Stamp</t>
  </si>
  <si>
    <t>Duty</t>
  </si>
  <si>
    <t>Transn</t>
  </si>
  <si>
    <t>Chrg</t>
  </si>
  <si>
    <t>on</t>
  </si>
  <si>
    <t>STT</t>
  </si>
  <si>
    <t>Sebi Turnover Tax</t>
  </si>
  <si>
    <t>Edu</t>
  </si>
  <si>
    <t>Cess</t>
  </si>
  <si>
    <t>High</t>
  </si>
  <si>
    <t>Other</t>
  </si>
  <si>
    <t>Net</t>
  </si>
  <si>
    <t>Product</t>
  </si>
  <si>
    <t>N</t>
  </si>
  <si>
    <t>PUNJ LLOYD LIMITED</t>
  </si>
  <si>
    <t>B</t>
  </si>
  <si>
    <t>D</t>
  </si>
  <si>
    <t>GAMMON INDIA LTD</t>
  </si>
  <si>
    <t>SUZLON ENERGY LIMITED</t>
  </si>
  <si>
    <t>STERLITE IND.(INDIA) LTD.</t>
  </si>
  <si>
    <t>TATA STEEL LTD</t>
  </si>
  <si>
    <t>ACKRUTI CITY LIMITED</t>
  </si>
  <si>
    <t>MANGALAM CEMENT LTD</t>
  </si>
  <si>
    <t>CORPORATION BANK</t>
  </si>
  <si>
    <t>IPCA LABORATORIES LTD</t>
  </si>
  <si>
    <t>WIPRO LTD</t>
  </si>
  <si>
    <t>GRASIM INDUSTRIES LTD</t>
  </si>
  <si>
    <t>TATA GLOBAL BEVERAGES LTD</t>
  </si>
  <si>
    <t>ROLTA INDIA LTD</t>
  </si>
  <si>
    <t>RELIANCE NATURAL RESOURCES LIMITED</t>
  </si>
  <si>
    <t>S</t>
  </si>
  <si>
    <t>INOX LEISURE LTD</t>
  </si>
  <si>
    <t>J.K CEMENT LTD</t>
  </si>
  <si>
    <t>RELIANCE COMMUNICATION LTD</t>
  </si>
  <si>
    <t>JSW STEEL LTD (JINDAL VIJAYANAGAR STEEL)</t>
  </si>
  <si>
    <t>POWER GRID CORPORATION OF INDIA LTD</t>
  </si>
  <si>
    <t>DR. REDDY'S LABORATORIES LTD</t>
  </si>
  <si>
    <t>PRITHVI INFORMATION SOLUTIONS LIMITED</t>
  </si>
  <si>
    <t>BARTRONICS INDIA LIMITED</t>
  </si>
  <si>
    <t>SANGHVI MOVERS LIMITED</t>
  </si>
  <si>
    <t>BHARATI SHIPYARD LTD</t>
  </si>
  <si>
    <t>SHRIRAM TRANSPORT FIN CO.</t>
  </si>
  <si>
    <t>MADRAS CEMENTS LTD</t>
  </si>
  <si>
    <t>GUJARAT NRE COKE LTD</t>
  </si>
  <si>
    <t>Yr 2008</t>
  </si>
  <si>
    <t>Yr 2011</t>
  </si>
  <si>
    <t>ICICI BANK LTD.</t>
  </si>
  <si>
    <t>They may have come out of Reliance</t>
  </si>
  <si>
    <t>Shares</t>
  </si>
  <si>
    <t>BuyPrice</t>
  </si>
  <si>
    <t>BuyDate</t>
  </si>
  <si>
    <t>SellPrice</t>
  </si>
  <si>
    <t>SellDate</t>
  </si>
  <si>
    <t>Bank of Baroda</t>
  </si>
  <si>
    <t>Polaris</t>
  </si>
  <si>
    <t>RANBAXY LABS LTD</t>
  </si>
  <si>
    <t>Executed Trades</t>
  </si>
  <si>
    <t>Number</t>
  </si>
  <si>
    <t>BR Equity Fund (G)</t>
  </si>
  <si>
    <t>Equity Tax Savings Plan (G)</t>
  </si>
  <si>
    <t>Gold Savings Fund (G)</t>
  </si>
  <si>
    <t>Growing Economies Infrastructure - Plan A (G)</t>
  </si>
  <si>
    <t>HDFC SL CREST - Highest NAV Guarantee Fund</t>
  </si>
  <si>
    <t>LifeLink - Maximiser (Growth) Fund</t>
  </si>
  <si>
    <t>Magnum Midcap Fund (G)</t>
  </si>
  <si>
    <t>Magnum SFU - Emerging Businesses Fund (G)</t>
  </si>
  <si>
    <t>Multi Strategy Fund (G)</t>
  </si>
  <si>
    <t>Premier Multi-Cap Fund (G)</t>
  </si>
  <si>
    <t>Pru Discovery Fund (G)</t>
  </si>
  <si>
    <t>Pru FMCG Fund - (G)</t>
  </si>
  <si>
    <t>Robeco Equity - Tax Saver (G)</t>
  </si>
  <si>
    <t>Tax Advantage Fund (G)</t>
  </si>
  <si>
    <t>Active Open Shares</t>
  </si>
  <si>
    <t>Profit/Loss</t>
  </si>
  <si>
    <t>Mutual Fund</t>
  </si>
  <si>
    <t>Stock</t>
  </si>
  <si>
    <t>RELCAPEQ (Reliance Capital)</t>
  </si>
  <si>
    <t>RELCOM (Reliance Communications)</t>
  </si>
  <si>
    <t>RELNAT (Reliance Natural Resources)</t>
  </si>
  <si>
    <t>GUJNRE (Guj NRE Coke)</t>
  </si>
  <si>
    <t>MADCEM (Madras Cements)</t>
  </si>
  <si>
    <t>POWGRI (Power Grid Corp of India)</t>
  </si>
  <si>
    <t>DRREDD (Dr Reddy Labs)</t>
  </si>
  <si>
    <t>AKRNIR (Akruti Nirman)</t>
  </si>
  <si>
    <t>GAMIND (Gammon India Ltd)</t>
  </si>
  <si>
    <t>PUNLLO (Punj Lloyd)</t>
  </si>
  <si>
    <t>SUZENE (Suzlon Energy)</t>
  </si>
  <si>
    <t>INFTEC (Infosys)</t>
  </si>
  <si>
    <t>RELIND (Reliance Industries)</t>
  </si>
  <si>
    <t>STEIND (Sterlite Industries)</t>
  </si>
  <si>
    <t>TISCO (Tata Steel)</t>
  </si>
  <si>
    <t>CORBAN (Corporation Bank)</t>
  </si>
  <si>
    <t>MANCEM (Mangalam Cements)</t>
  </si>
  <si>
    <t>RELPOW (Reliance Power)</t>
  </si>
  <si>
    <t>IPCLAB (IPC Labs)</t>
  </si>
  <si>
    <t>TATTEA (Tata Tea)</t>
  </si>
  <si>
    <t>ROLIND (Rolta India)</t>
  </si>
  <si>
    <t>JKCEME (JK Cements)</t>
  </si>
  <si>
    <t>JINVIJ (Jindal Steel)</t>
  </si>
  <si>
    <t>BARLTD (Bartronics)</t>
  </si>
  <si>
    <t>PRIINF (Prithvi Information Solutions)</t>
  </si>
  <si>
    <t>BHASHI (Bharti Shipping)</t>
  </si>
  <si>
    <t>SANMOV (Sanghavi Movers)</t>
  </si>
  <si>
    <t>SHRTRA (Shriram Transport Finance Company)</t>
  </si>
  <si>
    <t>IBPOWE (Indiabulls Power Ltd)</t>
  </si>
  <si>
    <t>ULTCEM (Ultratech Cement)</t>
  </si>
  <si>
    <t>ICIBAN (ICICI Bank)</t>
  </si>
</sst>
</file>

<file path=xl/styles.xml><?xml version="1.0" encoding="utf-8"?>
<styleSheet xmlns="http://schemas.openxmlformats.org/spreadsheetml/2006/main">
  <numFmts count="4">
    <numFmt numFmtId="168" formatCode="&quot;$&quot;#,##0.00;\(&quot;$&quot;#,##0.00\)"/>
    <numFmt numFmtId="169" formatCode="dd\-mmm\-yy"/>
    <numFmt numFmtId="171" formatCode="[$Rs.-4009]\ #,##0.00;[Red][$Rs.-4009]\ \-#,##0.00"/>
    <numFmt numFmtId="175" formatCode="[$Rs.-4009]\ #,##0;[Red][$Rs.-4009]\ \-#,##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Verdana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444444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charset val="238"/>
    </font>
    <font>
      <sz val="10"/>
      <color indexed="8"/>
      <name val="Arial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C7E7"/>
        <bgColor indexed="64"/>
      </patternFill>
    </fill>
    <fill>
      <patternFill patternType="solid">
        <fgColor rgb="FFEBEE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0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BEBEBE"/>
      </right>
      <top style="medium">
        <color indexed="64"/>
      </top>
      <bottom style="medium">
        <color indexed="64"/>
      </bottom>
      <diagonal/>
    </border>
    <border>
      <left style="medium">
        <color rgb="FFBEBEBE"/>
      </left>
      <right style="medium">
        <color rgb="FFBEBEBE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0" fontId="26" fillId="0" borderId="0"/>
  </cellStyleXfs>
  <cellXfs count="107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22" fontId="0" fillId="34" borderId="10" xfId="0" applyNumberFormat="1" applyFill="1" applyBorder="1" applyAlignment="1">
      <alignment horizontal="center" wrapText="1"/>
    </xf>
    <xf numFmtId="0" fontId="0" fillId="34" borderId="10" xfId="0" applyFill="1" applyBorder="1" applyAlignment="1">
      <alignment horizontal="center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/>
    </xf>
    <xf numFmtId="0" fontId="18" fillId="33" borderId="12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right"/>
    </xf>
    <xf numFmtId="0" fontId="0" fillId="34" borderId="13" xfId="0" applyFill="1" applyBorder="1" applyAlignment="1">
      <alignment horizontal="right"/>
    </xf>
    <xf numFmtId="0" fontId="0" fillId="34" borderId="12" xfId="0" applyFill="1" applyBorder="1" applyAlignment="1">
      <alignment horizontal="right"/>
    </xf>
    <xf numFmtId="22" fontId="19" fillId="36" borderId="10" xfId="0" applyNumberFormat="1" applyFont="1" applyFill="1" applyBorder="1" applyAlignment="1">
      <alignment horizontal="center" wrapText="1"/>
    </xf>
    <xf numFmtId="0" fontId="19" fillId="36" borderId="10" xfId="0" applyFont="1" applyFill="1" applyBorder="1" applyAlignment="1">
      <alignment horizontal="left" wrapText="1"/>
    </xf>
    <xf numFmtId="0" fontId="19" fillId="36" borderId="10" xfId="0" applyFont="1" applyFill="1" applyBorder="1" applyAlignment="1">
      <alignment horizontal="right"/>
    </xf>
    <xf numFmtId="0" fontId="19" fillId="36" borderId="0" xfId="0" applyFont="1" applyFill="1"/>
    <xf numFmtId="22" fontId="0" fillId="36" borderId="10" xfId="0" applyNumberFormat="1" applyFill="1" applyBorder="1" applyAlignment="1">
      <alignment horizontal="center" wrapText="1"/>
    </xf>
    <xf numFmtId="0" fontId="0" fillId="36" borderId="10" xfId="0" applyFill="1" applyBorder="1" applyAlignment="1">
      <alignment horizontal="left" wrapText="1"/>
    </xf>
    <xf numFmtId="0" fontId="0" fillId="36" borderId="10" xfId="0" applyFill="1" applyBorder="1" applyAlignment="1">
      <alignment horizontal="right"/>
    </xf>
    <xf numFmtId="0" fontId="0" fillId="36" borderId="0" xfId="0" applyFill="1"/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right" wrapText="1"/>
    </xf>
    <xf numFmtId="0" fontId="16" fillId="0" borderId="0" xfId="0" applyFont="1" applyAlignment="1">
      <alignment horizontal="center" wrapText="1"/>
    </xf>
    <xf numFmtId="0" fontId="0" fillId="35" borderId="0" xfId="0" applyFill="1"/>
    <xf numFmtId="0" fontId="21" fillId="33" borderId="14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5" xfId="0" applyFont="1" applyFill="1" applyBorder="1" applyAlignment="1">
      <alignment horizontal="center" vertical="center" wrapText="1"/>
    </xf>
    <xf numFmtId="15" fontId="22" fillId="34" borderId="10" xfId="0" applyNumberFormat="1" applyFont="1" applyFill="1" applyBorder="1" applyAlignment="1">
      <alignment horizontal="right" wrapText="1"/>
    </xf>
    <xf numFmtId="0" fontId="22" fillId="34" borderId="10" xfId="0" applyFont="1" applyFill="1" applyBorder="1" applyAlignment="1">
      <alignment horizontal="right" wrapText="1"/>
    </xf>
    <xf numFmtId="0" fontId="22" fillId="34" borderId="10" xfId="0" applyFont="1" applyFill="1" applyBorder="1" applyAlignment="1">
      <alignment horizontal="center" wrapText="1"/>
    </xf>
    <xf numFmtId="21" fontId="22" fillId="34" borderId="10" xfId="0" applyNumberFormat="1" applyFont="1" applyFill="1" applyBorder="1" applyAlignment="1">
      <alignment horizontal="right" wrapText="1"/>
    </xf>
    <xf numFmtId="0" fontId="21" fillId="33" borderId="14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5" xfId="0" applyFont="1" applyFill="1" applyBorder="1" applyAlignment="1">
      <alignment horizontal="center" vertical="center" wrapText="1"/>
    </xf>
    <xf numFmtId="0" fontId="0" fillId="37" borderId="0" xfId="0" applyFill="1"/>
    <xf numFmtId="0" fontId="22" fillId="39" borderId="10" xfId="0" applyFont="1" applyFill="1" applyBorder="1" applyAlignment="1">
      <alignment horizontal="center" wrapText="1"/>
    </xf>
    <xf numFmtId="0" fontId="22" fillId="39" borderId="10" xfId="0" applyFont="1" applyFill="1" applyBorder="1" applyAlignment="1">
      <alignment horizontal="right" wrapText="1"/>
    </xf>
    <xf numFmtId="16" fontId="0" fillId="0" borderId="0" xfId="0" applyNumberFormat="1"/>
    <xf numFmtId="0" fontId="0" fillId="34" borderId="17" xfId="0" applyFill="1" applyBorder="1" applyAlignment="1">
      <alignment horizontal="right"/>
    </xf>
    <xf numFmtId="16" fontId="0" fillId="0" borderId="18" xfId="0" applyNumberFormat="1" applyBorder="1"/>
    <xf numFmtId="0" fontId="0" fillId="34" borderId="19" xfId="0" applyFill="1" applyBorder="1" applyAlignment="1">
      <alignment horizontal="right"/>
    </xf>
    <xf numFmtId="16" fontId="0" fillId="0" borderId="20" xfId="0" applyNumberFormat="1" applyBorder="1"/>
    <xf numFmtId="0" fontId="0" fillId="34" borderId="21" xfId="0" applyFill="1" applyBorder="1" applyAlignment="1">
      <alignment horizontal="right"/>
    </xf>
    <xf numFmtId="22" fontId="0" fillId="34" borderId="17" xfId="0" applyNumberFormat="1" applyFill="1" applyBorder="1" applyAlignment="1">
      <alignment horizontal="center" wrapText="1"/>
    </xf>
    <xf numFmtId="0" fontId="0" fillId="34" borderId="14" xfId="0" applyFill="1" applyBorder="1" applyAlignment="1">
      <alignment horizontal="right"/>
    </xf>
    <xf numFmtId="0" fontId="0" fillId="34" borderId="16" xfId="0" applyFill="1" applyBorder="1" applyAlignment="1">
      <alignment horizontal="right"/>
    </xf>
    <xf numFmtId="22" fontId="0" fillId="34" borderId="14" xfId="0" applyNumberFormat="1" applyFill="1" applyBorder="1" applyAlignment="1">
      <alignment horizontal="center" wrapText="1"/>
    </xf>
    <xf numFmtId="0" fontId="0" fillId="34" borderId="14" xfId="0" applyFill="1" applyBorder="1" applyAlignment="1">
      <alignment horizontal="left" wrapText="1"/>
    </xf>
    <xf numFmtId="0" fontId="0" fillId="35" borderId="14" xfId="0" applyFill="1" applyBorder="1" applyAlignment="1">
      <alignment horizontal="right"/>
    </xf>
    <xf numFmtId="16" fontId="0" fillId="36" borderId="22" xfId="0" applyNumberFormat="1" applyFill="1" applyBorder="1"/>
    <xf numFmtId="0" fontId="0" fillId="36" borderId="23" xfId="0" applyFill="1" applyBorder="1"/>
    <xf numFmtId="0" fontId="0" fillId="36" borderId="24" xfId="0" applyFill="1" applyBorder="1" applyAlignment="1">
      <alignment horizontal="right"/>
    </xf>
    <xf numFmtId="0" fontId="0" fillId="36" borderId="25" xfId="0" applyFill="1" applyBorder="1"/>
    <xf numFmtId="0" fontId="24" fillId="37" borderId="0" xfId="42" applyFill="1"/>
    <xf numFmtId="16" fontId="0" fillId="36" borderId="0" xfId="0" applyNumberFormat="1" applyFill="1" applyBorder="1"/>
    <xf numFmtId="0" fontId="0" fillId="36" borderId="0" xfId="0" applyFill="1" applyBorder="1"/>
    <xf numFmtId="0" fontId="0" fillId="36" borderId="0" xfId="0" applyFill="1" applyBorder="1" applyAlignment="1">
      <alignment horizontal="right"/>
    </xf>
    <xf numFmtId="0" fontId="0" fillId="37" borderId="0" xfId="0" applyFill="1" applyBorder="1"/>
    <xf numFmtId="0" fontId="0" fillId="37" borderId="23" xfId="0" applyFill="1" applyBorder="1"/>
    <xf numFmtId="0" fontId="0" fillId="37" borderId="23" xfId="0" applyFill="1" applyBorder="1" applyAlignment="1">
      <alignment horizontal="right"/>
    </xf>
    <xf numFmtId="4" fontId="20" fillId="37" borderId="26" xfId="0" applyNumberFormat="1" applyFont="1" applyFill="1" applyBorder="1" applyAlignment="1">
      <alignment horizontal="left" vertical="center" wrapText="1"/>
    </xf>
    <xf numFmtId="0" fontId="20" fillId="37" borderId="26" xfId="0" applyFont="1" applyFill="1" applyBorder="1" applyAlignment="1">
      <alignment horizontal="left" vertical="center" wrapText="1"/>
    </xf>
    <xf numFmtId="0" fontId="20" fillId="37" borderId="27" xfId="0" applyFont="1" applyFill="1" applyBorder="1" applyAlignment="1">
      <alignment horizontal="left" vertical="center" wrapText="1"/>
    </xf>
    <xf numFmtId="0" fontId="20" fillId="37" borderId="25" xfId="0" applyFont="1" applyFill="1" applyBorder="1" applyAlignment="1">
      <alignment horizontal="left" vertical="center" wrapText="1"/>
    </xf>
    <xf numFmtId="169" fontId="23" fillId="37" borderId="28" xfId="42" applyNumberFormat="1" applyFont="1" applyFill="1" applyBorder="1" applyAlignment="1">
      <alignment horizontal="right" wrapText="1"/>
    </xf>
    <xf numFmtId="0" fontId="25" fillId="37" borderId="28" xfId="43" applyFont="1" applyFill="1" applyBorder="1" applyAlignment="1">
      <alignment horizontal="right" wrapText="1"/>
    </xf>
    <xf numFmtId="171" fontId="25" fillId="37" borderId="28" xfId="43" applyNumberFormat="1" applyFont="1" applyFill="1" applyBorder="1" applyAlignment="1">
      <alignment horizontal="right" wrapText="1"/>
    </xf>
    <xf numFmtId="169" fontId="25" fillId="37" borderId="28" xfId="43" applyNumberFormat="1" applyFont="1" applyFill="1" applyBorder="1" applyAlignment="1">
      <alignment horizontal="right" wrapText="1"/>
    </xf>
    <xf numFmtId="175" fontId="26" fillId="37" borderId="28" xfId="43" applyNumberFormat="1" applyFill="1" applyBorder="1"/>
    <xf numFmtId="0" fontId="23" fillId="37" borderId="28" xfId="42" applyFont="1" applyFill="1" applyBorder="1" applyAlignment="1">
      <alignment horizontal="right" wrapText="1"/>
    </xf>
    <xf numFmtId="168" fontId="23" fillId="37" borderId="28" xfId="42" applyNumberFormat="1" applyFont="1" applyFill="1" applyBorder="1" applyAlignment="1">
      <alignment horizontal="right" wrapText="1"/>
    </xf>
    <xf numFmtId="14" fontId="0" fillId="37" borderId="28" xfId="0" applyNumberFormat="1" applyFill="1" applyBorder="1" applyAlignment="1">
      <alignment horizontal="center" wrapText="1"/>
    </xf>
    <xf numFmtId="0" fontId="23" fillId="37" borderId="0" xfId="42" applyFont="1" applyFill="1" applyBorder="1" applyAlignment="1">
      <alignment horizontal="right" wrapText="1"/>
    </xf>
    <xf numFmtId="0" fontId="27" fillId="40" borderId="28" xfId="43" applyFont="1" applyFill="1" applyBorder="1" applyAlignment="1">
      <alignment horizontal="center"/>
    </xf>
    <xf numFmtId="0" fontId="27" fillId="40" borderId="29" xfId="42" applyFont="1" applyFill="1" applyBorder="1" applyAlignment="1">
      <alignment horizontal="center"/>
    </xf>
    <xf numFmtId="0" fontId="23" fillId="37" borderId="30" xfId="42" applyFont="1" applyFill="1" applyBorder="1" applyAlignment="1">
      <alignment wrapText="1"/>
    </xf>
    <xf numFmtId="168" fontId="23" fillId="37" borderId="30" xfId="42" applyNumberFormat="1" applyFont="1" applyFill="1" applyBorder="1" applyAlignment="1">
      <alignment horizontal="right" wrapText="1"/>
    </xf>
    <xf numFmtId="169" fontId="23" fillId="37" borderId="30" xfId="42" applyNumberFormat="1" applyFont="1" applyFill="1" applyBorder="1" applyAlignment="1">
      <alignment horizontal="right" wrapText="1"/>
    </xf>
    <xf numFmtId="0" fontId="27" fillId="38" borderId="31" xfId="42" applyFont="1" applyFill="1" applyBorder="1" applyAlignment="1">
      <alignment wrapText="1"/>
    </xf>
    <xf numFmtId="17" fontId="27" fillId="38" borderId="32" xfId="42" applyNumberFormat="1" applyFont="1" applyFill="1" applyBorder="1" applyAlignment="1">
      <alignment horizontal="right" wrapText="1"/>
    </xf>
    <xf numFmtId="0" fontId="24" fillId="38" borderId="33" xfId="42" applyFill="1" applyBorder="1"/>
    <xf numFmtId="169" fontId="23" fillId="38" borderId="32" xfId="42" applyNumberFormat="1" applyFont="1" applyFill="1" applyBorder="1" applyAlignment="1">
      <alignment horizontal="right" wrapText="1"/>
    </xf>
    <xf numFmtId="0" fontId="24" fillId="38" borderId="34" xfId="42" applyFill="1" applyBorder="1"/>
    <xf numFmtId="0" fontId="27" fillId="40" borderId="35" xfId="42" applyFont="1" applyFill="1" applyBorder="1" applyAlignment="1">
      <alignment horizontal="center"/>
    </xf>
    <xf numFmtId="0" fontId="28" fillId="38" borderId="36" xfId="42" applyFont="1" applyFill="1" applyBorder="1"/>
    <xf numFmtId="0" fontId="23" fillId="37" borderId="37" xfId="42" applyFont="1" applyFill="1" applyBorder="1" applyAlignment="1">
      <alignment wrapText="1"/>
    </xf>
    <xf numFmtId="169" fontId="23" fillId="37" borderId="38" xfId="42" applyNumberFormat="1" applyFont="1" applyFill="1" applyBorder="1" applyAlignment="1">
      <alignment horizontal="right" wrapText="1"/>
    </xf>
    <xf numFmtId="0" fontId="24" fillId="37" borderId="38" xfId="42" applyFill="1" applyBorder="1"/>
    <xf numFmtId="0" fontId="0" fillId="37" borderId="38" xfId="0" applyFill="1" applyBorder="1"/>
    <xf numFmtId="0" fontId="0" fillId="37" borderId="38" xfId="0" applyFill="1" applyBorder="1" applyAlignment="1">
      <alignment horizontal="right"/>
    </xf>
    <xf numFmtId="0" fontId="23" fillId="37" borderId="39" xfId="42" applyFont="1" applyFill="1" applyBorder="1" applyAlignment="1">
      <alignment wrapText="1"/>
    </xf>
    <xf numFmtId="0" fontId="23" fillId="37" borderId="40" xfId="42" applyFont="1" applyFill="1" applyBorder="1" applyAlignment="1">
      <alignment horizontal="right" wrapText="1"/>
    </xf>
    <xf numFmtId="171" fontId="25" fillId="37" borderId="40" xfId="43" applyNumberFormat="1" applyFont="1" applyFill="1" applyBorder="1" applyAlignment="1">
      <alignment horizontal="right" wrapText="1"/>
    </xf>
    <xf numFmtId="169" fontId="23" fillId="37" borderId="40" xfId="42" applyNumberFormat="1" applyFont="1" applyFill="1" applyBorder="1" applyAlignment="1">
      <alignment horizontal="right" wrapText="1"/>
    </xf>
    <xf numFmtId="168" fontId="23" fillId="37" borderId="40" xfId="42" applyNumberFormat="1" applyFont="1" applyFill="1" applyBorder="1" applyAlignment="1">
      <alignment horizontal="right" wrapText="1"/>
    </xf>
    <xf numFmtId="0" fontId="0" fillId="37" borderId="41" xfId="0" applyFill="1" applyBorder="1"/>
    <xf numFmtId="0" fontId="16" fillId="38" borderId="18" xfId="0" applyFont="1" applyFill="1" applyBorder="1"/>
    <xf numFmtId="0" fontId="0" fillId="38" borderId="33" xfId="0" applyFill="1" applyBorder="1"/>
    <xf numFmtId="0" fontId="0" fillId="38" borderId="34" xfId="0" applyFill="1" applyBorder="1"/>
    <xf numFmtId="0" fontId="27" fillId="40" borderId="37" xfId="43" applyFont="1" applyFill="1" applyBorder="1" applyAlignment="1">
      <alignment horizontal="center"/>
    </xf>
    <xf numFmtId="0" fontId="16" fillId="38" borderId="38" xfId="0" applyFont="1" applyFill="1" applyBorder="1"/>
    <xf numFmtId="0" fontId="25" fillId="37" borderId="37" xfId="43" applyFont="1" applyFill="1" applyBorder="1" applyAlignment="1">
      <alignment wrapText="1"/>
    </xf>
    <xf numFmtId="0" fontId="23" fillId="37" borderId="37" xfId="43" applyFont="1" applyFill="1" applyBorder="1" applyAlignment="1">
      <alignment wrapText="1"/>
    </xf>
    <xf numFmtId="0" fontId="25" fillId="37" borderId="39" xfId="43" applyFont="1" applyFill="1" applyBorder="1" applyAlignment="1">
      <alignment wrapText="1"/>
    </xf>
    <xf numFmtId="0" fontId="25" fillId="37" borderId="40" xfId="43" applyFont="1" applyFill="1" applyBorder="1" applyAlignment="1">
      <alignment horizontal="right" wrapText="1"/>
    </xf>
    <xf numFmtId="169" fontId="25" fillId="37" borderId="40" xfId="43" applyNumberFormat="1" applyFont="1" applyFill="1" applyBorder="1" applyAlignment="1">
      <alignment horizontal="right" wrapText="1"/>
    </xf>
    <xf numFmtId="171" fontId="26" fillId="37" borderId="40" xfId="43" applyNumberFormat="1" applyFill="1" applyBorder="1"/>
    <xf numFmtId="0" fontId="26" fillId="37" borderId="40" xfId="43" applyFill="1" applyBorder="1"/>
    <xf numFmtId="175" fontId="26" fillId="37" borderId="40" xfId="43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Executed" xfId="42"/>
    <cellStyle name="Normal_Executed_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workbookViewId="0">
      <selection activeCell="M11" sqref="M11"/>
    </sheetView>
  </sheetViews>
  <sheetFormatPr defaultRowHeight="15"/>
  <cols>
    <col min="1" max="1" width="24.7109375" style="32" customWidth="1"/>
    <col min="2" max="2" width="9.140625" style="32"/>
    <col min="3" max="3" width="11.140625" style="32" bestFit="1" customWidth="1"/>
    <col min="4" max="4" width="10.140625" style="32" bestFit="1" customWidth="1"/>
    <col min="5" max="5" width="11.140625" style="32" bestFit="1" customWidth="1"/>
    <col min="6" max="6" width="10.140625" style="32" bestFit="1" customWidth="1"/>
    <col min="7" max="7" width="12.5703125" style="32" bestFit="1" customWidth="1"/>
    <col min="8" max="16384" width="9.140625" style="32"/>
  </cols>
  <sheetData>
    <row r="1" spans="1:8">
      <c r="A1" s="94" t="s">
        <v>142</v>
      </c>
      <c r="B1" s="95"/>
      <c r="C1" s="95"/>
      <c r="D1" s="95"/>
      <c r="E1" s="95"/>
      <c r="F1" s="95"/>
      <c r="G1" s="95"/>
      <c r="H1" s="96"/>
    </row>
    <row r="2" spans="1:8">
      <c r="A2" s="97" t="s">
        <v>74</v>
      </c>
      <c r="B2" s="71" t="s">
        <v>134</v>
      </c>
      <c r="C2" s="71" t="s">
        <v>135</v>
      </c>
      <c r="D2" s="71" t="s">
        <v>136</v>
      </c>
      <c r="E2" s="71" t="s">
        <v>137</v>
      </c>
      <c r="F2" s="71" t="s">
        <v>138</v>
      </c>
      <c r="G2" s="71" t="s">
        <v>159</v>
      </c>
      <c r="H2" s="98"/>
    </row>
    <row r="3" spans="1:8">
      <c r="A3" s="99" t="s">
        <v>140</v>
      </c>
      <c r="B3" s="63">
        <v>50</v>
      </c>
      <c r="C3" s="64">
        <v>101.7</v>
      </c>
      <c r="D3" s="65">
        <v>38138</v>
      </c>
      <c r="E3" s="64">
        <v>131.15</v>
      </c>
      <c r="F3" s="65">
        <v>38537</v>
      </c>
      <c r="G3" s="66">
        <f t="shared" ref="G3:G21" si="0">B3*(E3-C3)</f>
        <v>1472.5000000000002</v>
      </c>
      <c r="H3" s="86"/>
    </row>
    <row r="4" spans="1:8">
      <c r="A4" s="99" t="s">
        <v>57</v>
      </c>
      <c r="B4" s="63">
        <v>100</v>
      </c>
      <c r="C4" s="64">
        <v>285.5</v>
      </c>
      <c r="D4" s="65">
        <v>38258</v>
      </c>
      <c r="E4" s="64">
        <v>360</v>
      </c>
      <c r="F4" s="65">
        <v>38565</v>
      </c>
      <c r="G4" s="66">
        <f t="shared" si="0"/>
        <v>7450</v>
      </c>
      <c r="H4" s="86"/>
    </row>
    <row r="5" spans="1:8">
      <c r="A5" s="99" t="s">
        <v>58</v>
      </c>
      <c r="B5" s="63">
        <v>50</v>
      </c>
      <c r="C5" s="64">
        <v>1137.25</v>
      </c>
      <c r="D5" s="65">
        <v>38278</v>
      </c>
      <c r="E5" s="64">
        <v>1269.05</v>
      </c>
      <c r="F5" s="65">
        <v>38580</v>
      </c>
      <c r="G5" s="66">
        <f t="shared" si="0"/>
        <v>6589.9999999999982</v>
      </c>
      <c r="H5" s="86"/>
    </row>
    <row r="6" spans="1:8">
      <c r="A6" s="99" t="s">
        <v>141</v>
      </c>
      <c r="B6" s="63">
        <v>20</v>
      </c>
      <c r="C6" s="64">
        <v>268.75</v>
      </c>
      <c r="D6" s="65">
        <v>38449</v>
      </c>
      <c r="E6" s="64">
        <v>427</v>
      </c>
      <c r="F6" s="65">
        <v>39378</v>
      </c>
      <c r="G6" s="66">
        <f t="shared" si="0"/>
        <v>3165</v>
      </c>
      <c r="H6" s="86"/>
    </row>
    <row r="7" spans="1:8">
      <c r="A7" s="99" t="s">
        <v>139</v>
      </c>
      <c r="B7" s="63">
        <v>100</v>
      </c>
      <c r="C7" s="64">
        <v>233.95</v>
      </c>
      <c r="D7" s="65">
        <v>38637</v>
      </c>
      <c r="E7" s="64">
        <v>318.25</v>
      </c>
      <c r="F7" s="65">
        <v>39381</v>
      </c>
      <c r="G7" s="66">
        <f t="shared" si="0"/>
        <v>8430.0000000000018</v>
      </c>
      <c r="H7" s="86"/>
    </row>
    <row r="8" spans="1:8">
      <c r="A8" s="99" t="s">
        <v>43</v>
      </c>
      <c r="B8" s="63">
        <v>1</v>
      </c>
      <c r="C8" s="64">
        <v>1</v>
      </c>
      <c r="D8" s="65">
        <v>38752</v>
      </c>
      <c r="E8" s="64">
        <v>1856.1</v>
      </c>
      <c r="F8" s="65">
        <v>39395</v>
      </c>
      <c r="G8" s="66">
        <f t="shared" si="0"/>
        <v>1855.1</v>
      </c>
      <c r="H8" s="86"/>
    </row>
    <row r="9" spans="1:8" ht="30">
      <c r="A9" s="100" t="s">
        <v>162</v>
      </c>
      <c r="B9" s="63">
        <v>1</v>
      </c>
      <c r="C9" s="64">
        <v>1</v>
      </c>
      <c r="D9" s="65">
        <v>38752</v>
      </c>
      <c r="E9" s="64">
        <v>2057.4</v>
      </c>
      <c r="F9" s="65">
        <v>39395</v>
      </c>
      <c r="G9" s="66">
        <f t="shared" si="0"/>
        <v>2056.4</v>
      </c>
      <c r="H9" s="86"/>
    </row>
    <row r="10" spans="1:8" ht="30">
      <c r="A10" s="100" t="s">
        <v>163</v>
      </c>
      <c r="B10" s="63">
        <v>20</v>
      </c>
      <c r="C10" s="64">
        <v>1</v>
      </c>
      <c r="D10" s="65">
        <v>38750</v>
      </c>
      <c r="E10" s="64">
        <v>590</v>
      </c>
      <c r="F10" s="65">
        <v>39589</v>
      </c>
      <c r="G10" s="66">
        <f t="shared" si="0"/>
        <v>11780</v>
      </c>
      <c r="H10" s="86"/>
    </row>
    <row r="11" spans="1:8" ht="30">
      <c r="A11" s="100" t="s">
        <v>164</v>
      </c>
      <c r="B11" s="63">
        <v>20</v>
      </c>
      <c r="C11" s="64">
        <v>1</v>
      </c>
      <c r="D11" s="65">
        <v>38752</v>
      </c>
      <c r="E11" s="64">
        <v>110</v>
      </c>
      <c r="F11" s="65">
        <v>39589</v>
      </c>
      <c r="G11" s="66">
        <f t="shared" si="0"/>
        <v>2180</v>
      </c>
      <c r="H11" s="86"/>
    </row>
    <row r="12" spans="1:8">
      <c r="A12" s="100" t="s">
        <v>165</v>
      </c>
      <c r="B12" s="63">
        <v>70</v>
      </c>
      <c r="C12" s="64">
        <v>26.428599999999999</v>
      </c>
      <c r="D12" s="65">
        <v>39735</v>
      </c>
      <c r="E12" s="64">
        <v>53</v>
      </c>
      <c r="F12" s="65">
        <v>39967</v>
      </c>
      <c r="G12" s="66">
        <f t="shared" si="0"/>
        <v>1859.998</v>
      </c>
      <c r="H12" s="86"/>
    </row>
    <row r="13" spans="1:8" ht="30">
      <c r="A13" s="100" t="s">
        <v>166</v>
      </c>
      <c r="B13" s="63">
        <v>100</v>
      </c>
      <c r="C13" s="64">
        <v>100</v>
      </c>
      <c r="D13" s="65">
        <v>39735</v>
      </c>
      <c r="E13" s="64">
        <v>116.5</v>
      </c>
      <c r="F13" s="65">
        <v>39967</v>
      </c>
      <c r="G13" s="66">
        <f t="shared" si="0"/>
        <v>1650</v>
      </c>
      <c r="H13" s="86"/>
    </row>
    <row r="14" spans="1:8" ht="30">
      <c r="A14" s="100" t="s">
        <v>167</v>
      </c>
      <c r="B14" s="63">
        <v>20</v>
      </c>
      <c r="C14" s="64">
        <v>100</v>
      </c>
      <c r="D14" s="65">
        <v>39591</v>
      </c>
      <c r="E14" s="64">
        <v>125</v>
      </c>
      <c r="F14" s="65">
        <v>39967</v>
      </c>
      <c r="G14" s="66">
        <f t="shared" si="0"/>
        <v>500</v>
      </c>
      <c r="H14" s="86"/>
    </row>
    <row r="15" spans="1:8">
      <c r="A15" s="100" t="s">
        <v>168</v>
      </c>
      <c r="B15" s="63">
        <v>20</v>
      </c>
      <c r="C15" s="64">
        <v>685</v>
      </c>
      <c r="D15" s="65">
        <v>39594</v>
      </c>
      <c r="E15" s="64">
        <v>1400</v>
      </c>
      <c r="F15" s="65">
        <v>40430</v>
      </c>
      <c r="G15" s="66">
        <f t="shared" si="0"/>
        <v>14300</v>
      </c>
      <c r="H15" s="86"/>
    </row>
    <row r="16" spans="1:8">
      <c r="A16" s="100" t="s">
        <v>169</v>
      </c>
      <c r="B16" s="63">
        <v>50</v>
      </c>
      <c r="C16" s="64">
        <v>1298</v>
      </c>
      <c r="D16" s="65">
        <v>39471</v>
      </c>
      <c r="E16" s="64">
        <v>190</v>
      </c>
      <c r="F16" s="65">
        <v>40745</v>
      </c>
      <c r="G16" s="66">
        <f t="shared" si="0"/>
        <v>-55400</v>
      </c>
      <c r="H16" s="86"/>
    </row>
    <row r="17" spans="1:8" ht="30">
      <c r="A17" s="100" t="s">
        <v>170</v>
      </c>
      <c r="B17" s="63">
        <v>50</v>
      </c>
      <c r="C17" s="64">
        <v>569</v>
      </c>
      <c r="D17" s="65">
        <v>39471</v>
      </c>
      <c r="E17" s="64">
        <v>92.4</v>
      </c>
      <c r="F17" s="65">
        <v>40745</v>
      </c>
      <c r="G17" s="66">
        <f t="shared" si="0"/>
        <v>-23830</v>
      </c>
      <c r="H17" s="86"/>
    </row>
    <row r="18" spans="1:8">
      <c r="A18" s="100" t="s">
        <v>171</v>
      </c>
      <c r="B18" s="63">
        <v>50</v>
      </c>
      <c r="C18" s="64">
        <v>458</v>
      </c>
      <c r="D18" s="65">
        <v>39472</v>
      </c>
      <c r="E18" s="64">
        <v>75</v>
      </c>
      <c r="F18" s="65">
        <v>40745</v>
      </c>
      <c r="G18" s="66">
        <f t="shared" si="0"/>
        <v>-19150</v>
      </c>
      <c r="H18" s="86"/>
    </row>
    <row r="19" spans="1:8">
      <c r="A19" s="99" t="s">
        <v>60</v>
      </c>
      <c r="B19" s="63">
        <v>1504</v>
      </c>
      <c r="C19" s="64">
        <v>29.9176</v>
      </c>
      <c r="D19" s="65">
        <v>40157</v>
      </c>
      <c r="E19" s="64">
        <v>31.114799999999999</v>
      </c>
      <c r="F19" s="65">
        <v>40745</v>
      </c>
      <c r="G19" s="66">
        <f t="shared" si="0"/>
        <v>1800.5887999999982</v>
      </c>
      <c r="H19" s="86"/>
    </row>
    <row r="20" spans="1:8">
      <c r="A20" s="100" t="s">
        <v>172</v>
      </c>
      <c r="B20" s="63">
        <v>50</v>
      </c>
      <c r="C20" s="64">
        <v>388</v>
      </c>
      <c r="D20" s="65">
        <v>39471</v>
      </c>
      <c r="E20" s="64">
        <v>53.45</v>
      </c>
      <c r="F20" s="65">
        <v>40745</v>
      </c>
      <c r="G20" s="66">
        <f t="shared" si="0"/>
        <v>-16727.5</v>
      </c>
      <c r="H20" s="86"/>
    </row>
    <row r="21" spans="1:8" ht="15.75" thickBot="1">
      <c r="A21" s="101" t="s">
        <v>55</v>
      </c>
      <c r="B21" s="102">
        <v>52</v>
      </c>
      <c r="C21" s="90">
        <v>994</v>
      </c>
      <c r="D21" s="103">
        <v>38537</v>
      </c>
      <c r="E21" s="104"/>
      <c r="F21" s="105"/>
      <c r="G21" s="106">
        <f t="shared" si="0"/>
        <v>-51688</v>
      </c>
      <c r="H21" s="93"/>
    </row>
    <row r="22" spans="1:8" ht="15.75" thickBot="1">
      <c r="A22" s="73"/>
      <c r="B22" s="51"/>
      <c r="C22" s="74"/>
      <c r="D22" s="75"/>
      <c r="E22" s="51"/>
      <c r="F22" s="51"/>
    </row>
    <row r="23" spans="1:8">
      <c r="A23" s="76" t="s">
        <v>158</v>
      </c>
      <c r="B23" s="77">
        <v>40817</v>
      </c>
      <c r="C23" s="78"/>
      <c r="D23" s="79"/>
      <c r="E23" s="78"/>
      <c r="F23" s="80"/>
    </row>
    <row r="24" spans="1:8">
      <c r="A24" s="81" t="s">
        <v>74</v>
      </c>
      <c r="B24" s="72" t="s">
        <v>143</v>
      </c>
      <c r="C24" s="72" t="s">
        <v>135</v>
      </c>
      <c r="D24" s="72" t="s">
        <v>136</v>
      </c>
      <c r="E24" s="72" t="s">
        <v>69</v>
      </c>
      <c r="F24" s="82"/>
    </row>
    <row r="25" spans="1:8" ht="30">
      <c r="A25" s="83" t="s">
        <v>149</v>
      </c>
      <c r="B25" s="67">
        <v>11122.185880000001</v>
      </c>
      <c r="C25" s="64">
        <v>24.28</v>
      </c>
      <c r="D25" s="62">
        <v>37803</v>
      </c>
      <c r="E25" s="68" t="s">
        <v>160</v>
      </c>
      <c r="F25" s="84"/>
    </row>
    <row r="26" spans="1:8">
      <c r="A26" s="83" t="s">
        <v>173</v>
      </c>
      <c r="B26" s="67">
        <v>50</v>
      </c>
      <c r="C26" s="64">
        <v>1181.8800000000001</v>
      </c>
      <c r="D26" s="62">
        <v>38538</v>
      </c>
      <c r="E26" s="68" t="s">
        <v>161</v>
      </c>
      <c r="F26" s="84"/>
    </row>
    <row r="27" spans="1:8" ht="30">
      <c r="A27" s="83" t="s">
        <v>174</v>
      </c>
      <c r="B27" s="67">
        <v>40</v>
      </c>
      <c r="C27" s="64">
        <v>352.255</v>
      </c>
      <c r="D27" s="62">
        <v>38569</v>
      </c>
      <c r="E27" s="68" t="s">
        <v>161</v>
      </c>
      <c r="F27" s="84"/>
    </row>
    <row r="28" spans="1:8">
      <c r="A28" s="83" t="s">
        <v>58</v>
      </c>
      <c r="B28" s="67">
        <v>400</v>
      </c>
      <c r="C28" s="64">
        <v>319.08749999999998</v>
      </c>
      <c r="D28" s="62">
        <v>38569</v>
      </c>
      <c r="E28" s="68" t="s">
        <v>161</v>
      </c>
      <c r="F28" s="85"/>
    </row>
    <row r="29" spans="1:8">
      <c r="A29" s="83" t="s">
        <v>55</v>
      </c>
      <c r="B29" s="67">
        <v>300</v>
      </c>
      <c r="C29" s="64">
        <v>174.66669999999999</v>
      </c>
      <c r="D29" s="62">
        <v>38637</v>
      </c>
      <c r="E29" s="68" t="s">
        <v>161</v>
      </c>
      <c r="F29" s="85"/>
    </row>
    <row r="30" spans="1:8" ht="30">
      <c r="A30" s="83" t="s">
        <v>175</v>
      </c>
      <c r="B30" s="67">
        <v>200</v>
      </c>
      <c r="C30" s="64">
        <v>196.5</v>
      </c>
      <c r="D30" s="62">
        <v>39471</v>
      </c>
      <c r="E30" s="68" t="s">
        <v>161</v>
      </c>
      <c r="F30" s="84"/>
    </row>
    <row r="31" spans="1:8">
      <c r="A31" s="83" t="s">
        <v>176</v>
      </c>
      <c r="B31" s="67">
        <v>20</v>
      </c>
      <c r="C31" s="64">
        <v>713.9</v>
      </c>
      <c r="D31" s="62">
        <v>39471</v>
      </c>
      <c r="E31" s="68" t="s">
        <v>161</v>
      </c>
      <c r="F31" s="84"/>
    </row>
    <row r="32" spans="1:8" ht="30">
      <c r="A32" s="83" t="s">
        <v>177</v>
      </c>
      <c r="B32" s="67">
        <v>20</v>
      </c>
      <c r="C32" s="64">
        <v>333</v>
      </c>
      <c r="D32" s="62">
        <v>39485</v>
      </c>
      <c r="E32" s="68" t="s">
        <v>161</v>
      </c>
      <c r="F32" s="84"/>
    </row>
    <row r="33" spans="1:7" ht="30">
      <c r="A33" s="83" t="s">
        <v>178</v>
      </c>
      <c r="B33" s="67">
        <v>50</v>
      </c>
      <c r="C33" s="64">
        <v>141.94999999999999</v>
      </c>
      <c r="D33" s="62">
        <v>39485</v>
      </c>
      <c r="E33" s="68" t="s">
        <v>161</v>
      </c>
      <c r="F33" s="85"/>
    </row>
    <row r="34" spans="1:7">
      <c r="A34" s="83" t="s">
        <v>179</v>
      </c>
      <c r="B34" s="67">
        <v>24</v>
      </c>
      <c r="C34" s="64">
        <v>270.625</v>
      </c>
      <c r="D34" s="62">
        <v>39489</v>
      </c>
      <c r="E34" s="68" t="s">
        <v>161</v>
      </c>
      <c r="F34" s="84"/>
    </row>
    <row r="35" spans="1:7">
      <c r="A35" s="83" t="s">
        <v>180</v>
      </c>
      <c r="B35" s="67">
        <v>100</v>
      </c>
      <c r="C35" s="64">
        <v>121</v>
      </c>
      <c r="D35" s="62">
        <v>39492</v>
      </c>
      <c r="E35" s="68" t="s">
        <v>161</v>
      </c>
      <c r="F35" s="85"/>
    </row>
    <row r="36" spans="1:7">
      <c r="A36" s="83" t="s">
        <v>57</v>
      </c>
      <c r="B36" s="67">
        <v>33</v>
      </c>
      <c r="C36" s="64">
        <v>251.51</v>
      </c>
      <c r="D36" s="62">
        <v>39492</v>
      </c>
      <c r="E36" s="68" t="s">
        <v>161</v>
      </c>
      <c r="F36" s="85"/>
    </row>
    <row r="37" spans="1:7">
      <c r="A37" s="83" t="s">
        <v>56</v>
      </c>
      <c r="B37" s="67">
        <v>10</v>
      </c>
      <c r="C37" s="64">
        <v>1785</v>
      </c>
      <c r="D37" s="62">
        <v>39496</v>
      </c>
      <c r="E37" s="68" t="s">
        <v>161</v>
      </c>
      <c r="F37" s="85"/>
    </row>
    <row r="38" spans="1:7">
      <c r="A38" s="83" t="s">
        <v>181</v>
      </c>
      <c r="B38" s="67">
        <v>100</v>
      </c>
      <c r="C38" s="64">
        <v>77.5</v>
      </c>
      <c r="D38" s="62">
        <v>39496</v>
      </c>
      <c r="E38" s="68" t="s">
        <v>161</v>
      </c>
      <c r="F38" s="85"/>
    </row>
    <row r="39" spans="1:7">
      <c r="A39" s="83" t="s">
        <v>182</v>
      </c>
      <c r="B39" s="67">
        <v>10</v>
      </c>
      <c r="C39" s="64">
        <v>270</v>
      </c>
      <c r="D39" s="62">
        <v>39524</v>
      </c>
      <c r="E39" s="68" t="s">
        <v>161</v>
      </c>
      <c r="F39" s="84"/>
    </row>
    <row r="40" spans="1:7">
      <c r="A40" s="83" t="s">
        <v>54</v>
      </c>
      <c r="B40" s="67">
        <v>50</v>
      </c>
      <c r="C40" s="64">
        <v>108</v>
      </c>
      <c r="D40" s="62">
        <v>39590</v>
      </c>
      <c r="E40" s="68" t="s">
        <v>161</v>
      </c>
      <c r="F40" s="85"/>
    </row>
    <row r="41" spans="1:7">
      <c r="A41" s="83" t="s">
        <v>183</v>
      </c>
      <c r="B41" s="67">
        <v>20</v>
      </c>
      <c r="C41" s="64">
        <v>150</v>
      </c>
      <c r="D41" s="62">
        <v>39590</v>
      </c>
      <c r="E41" s="68" t="s">
        <v>161</v>
      </c>
      <c r="F41" s="85"/>
    </row>
    <row r="42" spans="1:7">
      <c r="A42" s="83" t="s">
        <v>184</v>
      </c>
      <c r="B42" s="67">
        <v>5</v>
      </c>
      <c r="C42" s="64">
        <v>1050</v>
      </c>
      <c r="D42" s="62">
        <v>39591</v>
      </c>
      <c r="E42" s="68" t="s">
        <v>161</v>
      </c>
      <c r="F42" s="84"/>
    </row>
    <row r="43" spans="1:7" ht="30">
      <c r="A43" s="83" t="s">
        <v>145</v>
      </c>
      <c r="B43" s="67">
        <v>4917.3580000000002</v>
      </c>
      <c r="C43" s="64">
        <v>16.649999999999999</v>
      </c>
      <c r="D43" s="62">
        <v>39607</v>
      </c>
      <c r="E43" s="68" t="s">
        <v>160</v>
      </c>
      <c r="F43" s="84"/>
      <c r="G43" s="55"/>
    </row>
    <row r="44" spans="1:7">
      <c r="A44" s="83" t="s">
        <v>185</v>
      </c>
      <c r="B44" s="67">
        <v>10</v>
      </c>
      <c r="C44" s="64">
        <v>153</v>
      </c>
      <c r="D44" s="62">
        <v>39633</v>
      </c>
      <c r="E44" s="68" t="s">
        <v>161</v>
      </c>
      <c r="F44" s="85"/>
      <c r="G44" s="55"/>
    </row>
    <row r="45" spans="1:7" ht="30">
      <c r="A45" s="83" t="s">
        <v>186</v>
      </c>
      <c r="B45" s="67">
        <v>10</v>
      </c>
      <c r="C45" s="64">
        <v>130</v>
      </c>
      <c r="D45" s="62">
        <v>39633</v>
      </c>
      <c r="E45" s="68" t="s">
        <v>161</v>
      </c>
      <c r="F45" s="85"/>
      <c r="G45" s="55"/>
    </row>
    <row r="46" spans="1:7">
      <c r="A46" s="83" t="s">
        <v>187</v>
      </c>
      <c r="B46" s="67">
        <v>50</v>
      </c>
      <c r="C46" s="64">
        <v>126</v>
      </c>
      <c r="D46" s="62">
        <v>39735</v>
      </c>
      <c r="E46" s="68" t="s">
        <v>161</v>
      </c>
      <c r="F46" s="85"/>
      <c r="G46" s="55"/>
    </row>
    <row r="47" spans="1:7" ht="30">
      <c r="A47" s="83" t="s">
        <v>163</v>
      </c>
      <c r="B47" s="67">
        <v>50</v>
      </c>
      <c r="C47" s="64">
        <v>295</v>
      </c>
      <c r="D47" s="62">
        <v>39735</v>
      </c>
      <c r="E47" s="68" t="s">
        <v>161</v>
      </c>
      <c r="F47" s="85"/>
      <c r="G47" s="55"/>
    </row>
    <row r="48" spans="1:7" ht="30">
      <c r="A48" s="83" t="s">
        <v>188</v>
      </c>
      <c r="B48" s="67">
        <v>50</v>
      </c>
      <c r="C48" s="64">
        <v>130</v>
      </c>
      <c r="D48" s="62">
        <v>39735</v>
      </c>
      <c r="E48" s="68" t="s">
        <v>161</v>
      </c>
      <c r="F48" s="86"/>
      <c r="G48" s="55"/>
    </row>
    <row r="49" spans="1:7" ht="45">
      <c r="A49" s="83" t="s">
        <v>189</v>
      </c>
      <c r="B49" s="67">
        <v>50</v>
      </c>
      <c r="C49" s="64">
        <v>250</v>
      </c>
      <c r="D49" s="62">
        <v>39735</v>
      </c>
      <c r="E49" s="68" t="s">
        <v>161</v>
      </c>
      <c r="F49" s="87"/>
      <c r="G49" s="55"/>
    </row>
    <row r="50" spans="1:7" ht="30">
      <c r="A50" s="83" t="s">
        <v>144</v>
      </c>
      <c r="B50" s="67">
        <v>1288.4939999999999</v>
      </c>
      <c r="C50" s="64">
        <v>7.7610000000000001</v>
      </c>
      <c r="D50" s="62">
        <v>39807</v>
      </c>
      <c r="E50" s="68" t="s">
        <v>160</v>
      </c>
      <c r="F50" s="87"/>
      <c r="G50" s="55"/>
    </row>
    <row r="51" spans="1:7" ht="30">
      <c r="A51" s="83" t="s">
        <v>147</v>
      </c>
      <c r="B51" s="67">
        <v>1490.78</v>
      </c>
      <c r="C51" s="64">
        <v>6.7079000000000004</v>
      </c>
      <c r="D51" s="62">
        <v>39807</v>
      </c>
      <c r="E51" s="68" t="s">
        <v>160</v>
      </c>
      <c r="F51" s="87"/>
      <c r="G51" s="55"/>
    </row>
    <row r="52" spans="1:7" ht="30">
      <c r="A52" s="83" t="s">
        <v>150</v>
      </c>
      <c r="B52" s="67">
        <v>1395.3489999999999</v>
      </c>
      <c r="C52" s="64">
        <v>10.75</v>
      </c>
      <c r="D52" s="62">
        <v>39807</v>
      </c>
      <c r="E52" s="68" t="s">
        <v>160</v>
      </c>
      <c r="F52" s="87"/>
      <c r="G52" s="55"/>
    </row>
    <row r="53" spans="1:7" ht="30">
      <c r="A53" s="83" t="s">
        <v>152</v>
      </c>
      <c r="B53" s="67">
        <v>633.21600000000001</v>
      </c>
      <c r="C53" s="64">
        <v>7.8962000000000003</v>
      </c>
      <c r="D53" s="62">
        <v>39807</v>
      </c>
      <c r="E53" s="68" t="s">
        <v>160</v>
      </c>
      <c r="F53" s="87"/>
      <c r="G53" s="55"/>
    </row>
    <row r="54" spans="1:7" ht="30">
      <c r="A54" s="83" t="s">
        <v>153</v>
      </c>
      <c r="B54" s="67">
        <v>774.59299999999996</v>
      </c>
      <c r="C54" s="64">
        <v>12.91</v>
      </c>
      <c r="D54" s="62">
        <v>39807</v>
      </c>
      <c r="E54" s="68" t="s">
        <v>160</v>
      </c>
      <c r="F54" s="87"/>
      <c r="G54" s="55"/>
    </row>
    <row r="55" spans="1:7" ht="30">
      <c r="A55" s="83" t="s">
        <v>154</v>
      </c>
      <c r="B55" s="67">
        <v>1233.8900000000001</v>
      </c>
      <c r="C55" s="64">
        <v>36.47</v>
      </c>
      <c r="D55" s="62">
        <v>40098</v>
      </c>
      <c r="E55" s="68" t="s">
        <v>160</v>
      </c>
      <c r="F55" s="87"/>
      <c r="G55" s="55"/>
    </row>
    <row r="56" spans="1:7" ht="30">
      <c r="A56" s="83" t="s">
        <v>157</v>
      </c>
      <c r="B56" s="67">
        <v>1447.106</v>
      </c>
      <c r="C56" s="64">
        <v>20.04</v>
      </c>
      <c r="D56" s="62">
        <v>40116</v>
      </c>
      <c r="E56" s="68" t="s">
        <v>160</v>
      </c>
      <c r="F56" s="87"/>
      <c r="G56" s="55"/>
    </row>
    <row r="57" spans="1:7" ht="30">
      <c r="A57" s="83" t="s">
        <v>190</v>
      </c>
      <c r="B57" s="67">
        <v>450</v>
      </c>
      <c r="C57" s="64">
        <v>45</v>
      </c>
      <c r="D57" s="62">
        <v>40133</v>
      </c>
      <c r="E57" s="69" t="s">
        <v>161</v>
      </c>
      <c r="F57" s="87"/>
      <c r="G57" s="55"/>
    </row>
    <row r="58" spans="1:7" ht="30">
      <c r="A58" s="83" t="s">
        <v>191</v>
      </c>
      <c r="B58" s="67">
        <v>5</v>
      </c>
      <c r="C58" s="64">
        <v>1600</v>
      </c>
      <c r="D58" s="62">
        <v>40360</v>
      </c>
      <c r="E58" s="69" t="s">
        <v>161</v>
      </c>
      <c r="F58" s="87"/>
      <c r="G58" s="55"/>
    </row>
    <row r="59" spans="1:7" ht="30">
      <c r="A59" s="83" t="s">
        <v>156</v>
      </c>
      <c r="B59" s="67">
        <v>2049.1799999999998</v>
      </c>
      <c r="C59" s="64">
        <v>24.4</v>
      </c>
      <c r="D59" s="62">
        <v>40582</v>
      </c>
      <c r="E59" s="68" t="s">
        <v>160</v>
      </c>
      <c r="F59" s="87"/>
      <c r="G59" s="55"/>
    </row>
    <row r="60" spans="1:7" ht="30">
      <c r="A60" s="83" t="s">
        <v>148</v>
      </c>
      <c r="B60" s="67">
        <v>9658.6357000000007</v>
      </c>
      <c r="C60" s="64">
        <v>9.8382000000000005</v>
      </c>
      <c r="D60" s="62">
        <v>40755</v>
      </c>
      <c r="E60" s="68" t="s">
        <v>160</v>
      </c>
      <c r="F60" s="86"/>
      <c r="G60" s="55"/>
    </row>
    <row r="61" spans="1:7" ht="30">
      <c r="A61" s="83" t="s">
        <v>155</v>
      </c>
      <c r="B61" s="67">
        <v>948.76700000000005</v>
      </c>
      <c r="C61" s="64">
        <v>79.05</v>
      </c>
      <c r="D61" s="62">
        <v>40756</v>
      </c>
      <c r="E61" s="68" t="s">
        <v>160</v>
      </c>
      <c r="F61" s="86"/>
      <c r="G61" s="55"/>
    </row>
    <row r="62" spans="1:7" ht="30">
      <c r="A62" s="83" t="s">
        <v>146</v>
      </c>
      <c r="B62" s="67">
        <v>4315.1059999999998</v>
      </c>
      <c r="C62" s="64">
        <v>11.587199999999999</v>
      </c>
      <c r="D62" s="62">
        <v>40758</v>
      </c>
      <c r="E62" s="68" t="s">
        <v>160</v>
      </c>
      <c r="F62" s="86"/>
      <c r="G62" s="70"/>
    </row>
    <row r="63" spans="1:7" ht="30">
      <c r="A63" s="83" t="s">
        <v>151</v>
      </c>
      <c r="B63" s="67">
        <v>1108.6469999999999</v>
      </c>
      <c r="C63" s="64">
        <v>45.1</v>
      </c>
      <c r="D63" s="62">
        <v>40758</v>
      </c>
      <c r="E63" s="68" t="s">
        <v>160</v>
      </c>
      <c r="F63" s="84"/>
      <c r="G63" s="55"/>
    </row>
    <row r="64" spans="1:7" ht="15.75" thickBot="1">
      <c r="A64" s="88" t="s">
        <v>192</v>
      </c>
      <c r="B64" s="89">
        <v>25</v>
      </c>
      <c r="C64" s="90">
        <v>940</v>
      </c>
      <c r="D64" s="91">
        <v>40770</v>
      </c>
      <c r="E64" s="92" t="s">
        <v>161</v>
      </c>
      <c r="F64" s="93"/>
    </row>
  </sheetData>
  <sortState ref="A25:D64">
    <sortCondition ref="D25:D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C48" sqref="C48"/>
    </sheetView>
  </sheetViews>
  <sheetFormatPr defaultRowHeight="15"/>
  <cols>
    <col min="1" max="1" width="24.140625" customWidth="1"/>
    <col min="2" max="2" width="21.28515625" customWidth="1"/>
    <col min="3" max="3" width="10.140625" customWidth="1"/>
    <col min="4" max="4" width="11.5703125" customWidth="1"/>
    <col min="5" max="5" width="13.85546875" customWidth="1"/>
    <col min="6" max="6" width="14.5703125" customWidth="1"/>
    <col min="7" max="7" width="15.85546875" bestFit="1" customWidth="1"/>
  </cols>
  <sheetData>
    <row r="1" spans="1:8" ht="15.75" thickBot="1">
      <c r="A1" s="18" t="s">
        <v>1</v>
      </c>
      <c r="B1" s="18"/>
      <c r="C1" s="18"/>
      <c r="D1" s="18"/>
      <c r="E1" s="19"/>
      <c r="F1" s="19"/>
    </row>
    <row r="2" spans="1:8" ht="23.25" customHeight="1" thickBot="1">
      <c r="A2" s="1" t="s">
        <v>2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6" t="s">
        <v>51</v>
      </c>
      <c r="H2" s="6" t="s">
        <v>52</v>
      </c>
    </row>
    <row r="3" spans="1:8" ht="15.75" thickBot="1">
      <c r="A3" s="10">
        <v>38586.589479166665</v>
      </c>
      <c r="B3" s="11" t="s">
        <v>47</v>
      </c>
      <c r="C3" s="12" t="s">
        <v>13</v>
      </c>
      <c r="D3" s="12">
        <v>20</v>
      </c>
      <c r="E3" s="12">
        <v>701</v>
      </c>
      <c r="F3" s="12">
        <v>14020</v>
      </c>
      <c r="G3" s="13"/>
      <c r="H3" s="13"/>
    </row>
    <row r="4" spans="1:8" ht="15.75" thickBot="1">
      <c r="A4" s="14">
        <v>38580.499606481484</v>
      </c>
      <c r="B4" s="15" t="s">
        <v>48</v>
      </c>
      <c r="C4" s="16" t="s">
        <v>13</v>
      </c>
      <c r="D4" s="16">
        <v>100</v>
      </c>
      <c r="E4" s="16">
        <v>1270</v>
      </c>
      <c r="F4" s="16">
        <v>127000</v>
      </c>
      <c r="G4" s="17"/>
      <c r="H4" s="17"/>
    </row>
    <row r="5" spans="1:8" ht="15.75" thickBot="1">
      <c r="A5" s="14">
        <v>38638.414351851854</v>
      </c>
      <c r="B5" s="15" t="s">
        <v>49</v>
      </c>
      <c r="C5" s="16" t="s">
        <v>13</v>
      </c>
      <c r="D5" s="16">
        <v>50</v>
      </c>
      <c r="E5" s="16">
        <v>1049</v>
      </c>
      <c r="F5" s="16">
        <v>41960</v>
      </c>
      <c r="G5" s="17"/>
      <c r="H5" s="17"/>
    </row>
    <row r="6" spans="1:8" ht="15.75" thickBot="1">
      <c r="A6" s="2">
        <v>38638.414340277777</v>
      </c>
      <c r="B6" s="4" t="s">
        <v>30</v>
      </c>
      <c r="C6" s="5" t="s">
        <v>13</v>
      </c>
      <c r="D6" s="5">
        <v>100</v>
      </c>
      <c r="E6" s="5">
        <v>233.95</v>
      </c>
      <c r="F6" s="5">
        <v>23161.05</v>
      </c>
      <c r="G6" s="2">
        <v>39381.599444444444</v>
      </c>
      <c r="H6" s="5">
        <v>318.25</v>
      </c>
    </row>
    <row r="7" spans="1:8" ht="15.75" thickBot="1">
      <c r="A7" s="2">
        <v>38537.427175925928</v>
      </c>
      <c r="B7" s="4" t="s">
        <v>37</v>
      </c>
      <c r="C7" s="5" t="s">
        <v>13</v>
      </c>
      <c r="D7" s="5">
        <v>20</v>
      </c>
      <c r="E7" s="5">
        <f>1075/2</f>
        <v>537.5</v>
      </c>
      <c r="F7" s="5">
        <v>10750</v>
      </c>
      <c r="G7" s="2">
        <v>39378.629143518519</v>
      </c>
      <c r="H7" s="9">
        <v>427</v>
      </c>
    </row>
    <row r="8" spans="1:8" ht="15.75" thickBot="1">
      <c r="A8" s="14">
        <v>38537.418749999997</v>
      </c>
      <c r="B8" s="15" t="s">
        <v>50</v>
      </c>
      <c r="C8" s="16" t="s">
        <v>13</v>
      </c>
      <c r="D8" s="16">
        <v>25</v>
      </c>
      <c r="E8" s="16">
        <v>2352</v>
      </c>
      <c r="F8" s="16">
        <v>30576</v>
      </c>
      <c r="G8" s="17"/>
      <c r="H8" s="17"/>
    </row>
    <row r="9" spans="1:8" ht="15.75" thickBot="1">
      <c r="A9" s="2">
        <v>39471.434953703705</v>
      </c>
      <c r="B9" s="4" t="s">
        <v>31</v>
      </c>
      <c r="C9" s="5" t="s">
        <v>13</v>
      </c>
      <c r="D9" s="5">
        <v>50</v>
      </c>
      <c r="E9" s="5">
        <v>1297.75</v>
      </c>
      <c r="F9" s="5">
        <v>23359.5</v>
      </c>
      <c r="G9" s="35">
        <v>40746</v>
      </c>
      <c r="H9" s="8">
        <v>190</v>
      </c>
    </row>
    <row r="10" spans="1:8" ht="15.75" thickBot="1">
      <c r="A10" s="14">
        <v>39471.433171296296</v>
      </c>
      <c r="B10" s="15" t="s">
        <v>32</v>
      </c>
      <c r="C10" s="16" t="s">
        <v>13</v>
      </c>
      <c r="D10" s="16">
        <v>20</v>
      </c>
      <c r="E10" s="16">
        <v>713.9</v>
      </c>
      <c r="F10" s="16">
        <v>14278</v>
      </c>
      <c r="G10" s="17"/>
      <c r="H10" s="17"/>
    </row>
    <row r="11" spans="1:8" ht="15.75" thickBot="1">
      <c r="A11" s="14">
        <v>39471.430659722224</v>
      </c>
      <c r="B11" s="15" t="s">
        <v>33</v>
      </c>
      <c r="C11" s="16" t="s">
        <v>13</v>
      </c>
      <c r="D11" s="16">
        <v>50</v>
      </c>
      <c r="E11" s="16">
        <v>785.9</v>
      </c>
      <c r="F11" s="16">
        <v>39295</v>
      </c>
      <c r="G11" s="17"/>
      <c r="H11" s="17"/>
    </row>
    <row r="12" spans="1:8" ht="15.75" thickBot="1">
      <c r="A12" s="2">
        <v>39471.429143518515</v>
      </c>
      <c r="B12" s="4" t="s">
        <v>34</v>
      </c>
      <c r="C12" s="5" t="s">
        <v>13</v>
      </c>
      <c r="D12" s="5">
        <v>50</v>
      </c>
      <c r="E12" s="5">
        <v>388</v>
      </c>
      <c r="F12" s="5">
        <v>19400</v>
      </c>
      <c r="G12" s="37">
        <v>40746</v>
      </c>
      <c r="H12" s="8">
        <v>53.45</v>
      </c>
    </row>
    <row r="13" spans="1:8" ht="15.75" thickBot="1">
      <c r="A13" s="2">
        <v>39471.426701388889</v>
      </c>
      <c r="B13" s="4" t="s">
        <v>35</v>
      </c>
      <c r="C13" s="5" t="s">
        <v>13</v>
      </c>
      <c r="D13" s="5">
        <v>50</v>
      </c>
      <c r="E13" s="5">
        <v>569</v>
      </c>
      <c r="F13" s="36">
        <v>28450</v>
      </c>
      <c r="G13" s="37">
        <v>40746</v>
      </c>
      <c r="H13" s="38">
        <v>92.45</v>
      </c>
    </row>
    <row r="14" spans="1:8" ht="15.75" thickBot="1">
      <c r="A14" s="2">
        <v>39471.425219907411</v>
      </c>
      <c r="B14" s="4" t="s">
        <v>36</v>
      </c>
      <c r="C14" s="5" t="s">
        <v>13</v>
      </c>
      <c r="D14" s="5">
        <v>50</v>
      </c>
      <c r="E14" s="5">
        <v>458.85</v>
      </c>
      <c r="F14" s="36">
        <v>22942.5</v>
      </c>
      <c r="G14" s="39">
        <v>40746</v>
      </c>
      <c r="H14" s="40">
        <v>75</v>
      </c>
    </row>
    <row r="15" spans="1:8" ht="15.75" thickBot="1">
      <c r="A15" s="14">
        <v>39496.625601851854</v>
      </c>
      <c r="B15" s="15" t="s">
        <v>38</v>
      </c>
      <c r="C15" s="16" t="s">
        <v>13</v>
      </c>
      <c r="D15" s="16">
        <v>10</v>
      </c>
      <c r="E15" s="16">
        <v>775</v>
      </c>
      <c r="F15" s="16">
        <v>7750</v>
      </c>
      <c r="G15" s="17"/>
      <c r="H15" s="17"/>
    </row>
    <row r="16" spans="1:8" ht="15.75" thickBot="1">
      <c r="A16" s="14">
        <v>39496.468958333331</v>
      </c>
      <c r="B16" s="15" t="s">
        <v>39</v>
      </c>
      <c r="C16" s="16" t="s">
        <v>13</v>
      </c>
      <c r="D16" s="16">
        <v>10</v>
      </c>
      <c r="E16" s="16">
        <v>2785</v>
      </c>
      <c r="F16" s="16">
        <v>27850</v>
      </c>
      <c r="G16" s="17"/>
      <c r="H16" s="17"/>
    </row>
    <row r="17" spans="1:8" ht="15.75" thickBot="1">
      <c r="A17" s="14">
        <v>39524.435578703706</v>
      </c>
      <c r="B17" s="15" t="s">
        <v>40</v>
      </c>
      <c r="C17" s="16" t="s">
        <v>13</v>
      </c>
      <c r="D17" s="16">
        <v>10</v>
      </c>
      <c r="E17" s="16">
        <v>270</v>
      </c>
      <c r="F17" s="16">
        <v>2700</v>
      </c>
      <c r="G17" s="17"/>
      <c r="H17" s="17"/>
    </row>
    <row r="18" spans="1:8" ht="15.75" thickBot="1">
      <c r="A18" s="14">
        <v>39492.571736111109</v>
      </c>
      <c r="B18" s="15" t="s">
        <v>41</v>
      </c>
      <c r="C18" s="16" t="s">
        <v>13</v>
      </c>
      <c r="D18" s="16">
        <v>20</v>
      </c>
      <c r="E18" s="16">
        <v>415</v>
      </c>
      <c r="F18" s="16">
        <v>8300</v>
      </c>
      <c r="G18" s="17"/>
      <c r="H18" s="17"/>
    </row>
    <row r="19" spans="1:8" ht="15.75" thickBot="1">
      <c r="A19" s="14">
        <v>39492.523460648146</v>
      </c>
      <c r="B19" s="15" t="s">
        <v>42</v>
      </c>
      <c r="C19" s="16" t="s">
        <v>13</v>
      </c>
      <c r="D19" s="16">
        <v>20</v>
      </c>
      <c r="E19" s="16">
        <v>605</v>
      </c>
      <c r="F19" s="16">
        <v>12100</v>
      </c>
      <c r="G19" s="17"/>
      <c r="H19" s="17"/>
    </row>
    <row r="20" spans="1:8" ht="15.75" thickBot="1">
      <c r="A20" s="14">
        <v>39486.444513888891</v>
      </c>
      <c r="B20" s="15" t="s">
        <v>45</v>
      </c>
      <c r="C20" s="16" t="s">
        <v>13</v>
      </c>
      <c r="D20" s="16">
        <v>20</v>
      </c>
      <c r="E20" s="16">
        <v>333</v>
      </c>
      <c r="F20" s="16">
        <v>6660</v>
      </c>
      <c r="G20" s="17"/>
      <c r="H20" s="17"/>
    </row>
    <row r="21" spans="1:8" ht="15.75" thickBot="1">
      <c r="A21" s="14">
        <v>39486.434108796297</v>
      </c>
      <c r="B21" s="15" t="s">
        <v>46</v>
      </c>
      <c r="C21" s="16" t="s">
        <v>13</v>
      </c>
      <c r="D21" s="16">
        <v>50</v>
      </c>
      <c r="E21" s="16">
        <v>141.94999999999999</v>
      </c>
      <c r="F21" s="16">
        <v>7097.5</v>
      </c>
      <c r="G21" s="17"/>
      <c r="H21" s="17"/>
    </row>
    <row r="22" spans="1:8" ht="15.75" thickBot="1">
      <c r="A22" s="2">
        <v>39594.631944444445</v>
      </c>
      <c r="B22" s="4" t="s">
        <v>12</v>
      </c>
      <c r="C22" s="5" t="s">
        <v>13</v>
      </c>
      <c r="D22" s="5">
        <v>20</v>
      </c>
      <c r="E22" s="5">
        <v>685</v>
      </c>
      <c r="F22" s="5">
        <v>13700</v>
      </c>
      <c r="G22" s="2">
        <v>40427.375856481478</v>
      </c>
      <c r="H22" s="42">
        <v>1402.5</v>
      </c>
    </row>
    <row r="23" spans="1:8" ht="15.75" thickBot="1">
      <c r="A23" s="2">
        <v>39591.64366898148</v>
      </c>
      <c r="B23" s="4" t="s">
        <v>14</v>
      </c>
      <c r="C23" s="5" t="s">
        <v>13</v>
      </c>
      <c r="D23" s="5">
        <v>20</v>
      </c>
      <c r="E23" s="5">
        <v>100</v>
      </c>
      <c r="F23" s="5">
        <v>2000</v>
      </c>
      <c r="G23" s="41">
        <v>39967.605243055557</v>
      </c>
      <c r="H23" s="43">
        <v>125</v>
      </c>
    </row>
    <row r="24" spans="1:8" ht="15.75" thickBot="1">
      <c r="A24" s="14">
        <v>39591.463263888887</v>
      </c>
      <c r="B24" s="15" t="s">
        <v>15</v>
      </c>
      <c r="C24" s="16" t="s">
        <v>13</v>
      </c>
      <c r="D24" s="16">
        <v>5</v>
      </c>
      <c r="E24" s="16">
        <v>1050</v>
      </c>
      <c r="F24" s="16">
        <v>5250</v>
      </c>
      <c r="G24" s="17"/>
      <c r="H24" s="17"/>
    </row>
    <row r="25" spans="1:8" ht="15.75" thickBot="1">
      <c r="A25" s="14">
        <v>39590.644803240742</v>
      </c>
      <c r="B25" s="15" t="s">
        <v>18</v>
      </c>
      <c r="C25" s="16" t="s">
        <v>13</v>
      </c>
      <c r="D25" s="16">
        <v>20</v>
      </c>
      <c r="E25" s="16">
        <v>150</v>
      </c>
      <c r="F25" s="16">
        <v>3000</v>
      </c>
      <c r="G25" s="17"/>
      <c r="H25" s="17"/>
    </row>
    <row r="26" spans="1:8" ht="15.75" thickBot="1">
      <c r="A26" s="14">
        <v>39590.553124999999</v>
      </c>
      <c r="B26" s="15" t="s">
        <v>19</v>
      </c>
      <c r="C26" s="16" t="s">
        <v>13</v>
      </c>
      <c r="D26" s="16">
        <v>50</v>
      </c>
      <c r="E26" s="16">
        <v>108</v>
      </c>
      <c r="F26" s="16">
        <v>5400</v>
      </c>
      <c r="G26" s="17"/>
      <c r="H26" s="17"/>
    </row>
    <row r="27" spans="1:8" ht="15.75" thickBot="1">
      <c r="A27" s="2">
        <v>39735.620104166665</v>
      </c>
      <c r="B27" s="4" t="s">
        <v>21</v>
      </c>
      <c r="C27" s="5" t="s">
        <v>13</v>
      </c>
      <c r="D27" s="5">
        <v>70</v>
      </c>
      <c r="E27" s="5">
        <f>5*37/7</f>
        <v>26.428571428571427</v>
      </c>
      <c r="F27" s="5">
        <v>1850</v>
      </c>
      <c r="G27" s="2">
        <v>39967.415532407409</v>
      </c>
      <c r="H27" s="5">
        <v>53</v>
      </c>
    </row>
    <row r="28" spans="1:8" ht="15.75" thickBot="1">
      <c r="A28" s="2">
        <v>39735.523506944446</v>
      </c>
      <c r="B28" s="4" t="s">
        <v>22</v>
      </c>
      <c r="C28" s="5" t="s">
        <v>13</v>
      </c>
      <c r="D28" s="5">
        <v>100</v>
      </c>
      <c r="E28" s="5">
        <v>100</v>
      </c>
      <c r="F28" s="5">
        <v>10000</v>
      </c>
      <c r="G28" s="2">
        <v>39967.41443287037</v>
      </c>
      <c r="H28" s="5">
        <v>116.5</v>
      </c>
    </row>
    <row r="29" spans="1:8" ht="15.75" thickBot="1">
      <c r="A29" s="14">
        <v>39735.520208333335</v>
      </c>
      <c r="B29" s="15" t="s">
        <v>16</v>
      </c>
      <c r="C29" s="16" t="s">
        <v>13</v>
      </c>
      <c r="D29" s="16">
        <v>50</v>
      </c>
      <c r="E29" s="16">
        <v>295</v>
      </c>
      <c r="F29" s="16">
        <v>14750</v>
      </c>
      <c r="G29" s="17"/>
      <c r="H29" s="17"/>
    </row>
    <row r="30" spans="1:8" ht="15.75" thickBot="1">
      <c r="A30" s="2">
        <v>39735.520208333335</v>
      </c>
      <c r="B30" s="4" t="s">
        <v>16</v>
      </c>
      <c r="C30" s="5" t="s">
        <v>13</v>
      </c>
      <c r="D30" s="5">
        <v>20</v>
      </c>
      <c r="E30" s="5">
        <v>295</v>
      </c>
      <c r="F30" s="5"/>
      <c r="G30" s="2">
        <v>39591.458425925928</v>
      </c>
      <c r="H30" s="5">
        <v>590</v>
      </c>
    </row>
    <row r="31" spans="1:8" ht="15.75" thickBot="1">
      <c r="A31" s="14">
        <v>39735.471134259256</v>
      </c>
      <c r="B31" s="15" t="s">
        <v>23</v>
      </c>
      <c r="C31" s="16" t="s">
        <v>13</v>
      </c>
      <c r="D31" s="16">
        <v>50</v>
      </c>
      <c r="E31" s="16">
        <v>250</v>
      </c>
      <c r="F31" s="16">
        <v>12500</v>
      </c>
      <c r="G31" s="17"/>
      <c r="H31" s="17"/>
    </row>
    <row r="32" spans="1:8" ht="15.75" thickBot="1">
      <c r="A32" s="14">
        <v>39735.466469907406</v>
      </c>
      <c r="B32" s="15" t="s">
        <v>24</v>
      </c>
      <c r="C32" s="16" t="s">
        <v>13</v>
      </c>
      <c r="D32" s="16">
        <v>50</v>
      </c>
      <c r="E32" s="16">
        <v>126</v>
      </c>
      <c r="F32" s="16">
        <v>4662</v>
      </c>
      <c r="G32" s="17"/>
      <c r="H32" s="17"/>
    </row>
    <row r="33" spans="1:8" ht="15.75" thickBot="1">
      <c r="A33" s="14">
        <v>39735.440416666665</v>
      </c>
      <c r="B33" s="15" t="s">
        <v>25</v>
      </c>
      <c r="C33" s="16" t="s">
        <v>13</v>
      </c>
      <c r="D33" s="16">
        <v>50</v>
      </c>
      <c r="E33" s="16">
        <v>130</v>
      </c>
      <c r="F33" s="16">
        <v>6370</v>
      </c>
      <c r="G33" s="17"/>
      <c r="H33" s="17"/>
    </row>
    <row r="34" spans="1:8" ht="15.75" thickBot="1">
      <c r="A34" s="14">
        <v>39633.431435185186</v>
      </c>
      <c r="B34" s="15" t="s">
        <v>26</v>
      </c>
      <c r="C34" s="16" t="s">
        <v>13</v>
      </c>
      <c r="D34" s="16">
        <v>10</v>
      </c>
      <c r="E34" s="16">
        <v>153</v>
      </c>
      <c r="F34" s="16">
        <v>1530</v>
      </c>
      <c r="G34" s="17"/>
      <c r="H34" s="17"/>
    </row>
    <row r="35" spans="1:8" ht="15.75" thickBot="1">
      <c r="A35" s="14">
        <v>39633.424305555556</v>
      </c>
      <c r="B35" s="15" t="s">
        <v>27</v>
      </c>
      <c r="C35" s="16" t="s">
        <v>13</v>
      </c>
      <c r="D35" s="16">
        <v>10</v>
      </c>
      <c r="E35" s="16">
        <v>130</v>
      </c>
      <c r="F35" s="16">
        <v>1300</v>
      </c>
      <c r="G35" s="17"/>
      <c r="H35" s="17"/>
    </row>
    <row r="36" spans="1:8" ht="15.75" thickBot="1">
      <c r="A36" s="2">
        <v>39395.781273148146</v>
      </c>
      <c r="B36" s="4" t="s">
        <v>43</v>
      </c>
      <c r="C36" s="7" t="s">
        <v>17</v>
      </c>
      <c r="D36" s="5">
        <v>1</v>
      </c>
      <c r="E36" s="5">
        <v>1856.1</v>
      </c>
      <c r="F36" s="5">
        <v>1856.1</v>
      </c>
      <c r="G36" s="21" t="s">
        <v>133</v>
      </c>
      <c r="H36" s="21"/>
    </row>
    <row r="37" spans="1:8" ht="15.75" thickBot="1">
      <c r="A37" s="2">
        <v>39395.780648148146</v>
      </c>
      <c r="B37" s="4" t="s">
        <v>44</v>
      </c>
      <c r="C37" s="7" t="s">
        <v>17</v>
      </c>
      <c r="D37" s="5">
        <v>1</v>
      </c>
      <c r="E37" s="5">
        <v>2057.4</v>
      </c>
      <c r="F37" s="5">
        <v>2057.4</v>
      </c>
      <c r="G37" s="21"/>
      <c r="H37" s="21"/>
    </row>
    <row r="38" spans="1:8" ht="15.75" thickBot="1">
      <c r="A38" s="44">
        <v>39589.511759259258</v>
      </c>
      <c r="B38" s="45" t="s">
        <v>20</v>
      </c>
      <c r="C38" s="46" t="s">
        <v>17</v>
      </c>
      <c r="D38" s="42">
        <v>20</v>
      </c>
      <c r="E38" s="42">
        <v>110</v>
      </c>
      <c r="F38" s="42">
        <v>2200</v>
      </c>
      <c r="G38" s="21" t="s">
        <v>53</v>
      </c>
      <c r="H38" s="21"/>
    </row>
    <row r="39" spans="1:8" ht="15.75" thickBot="1">
      <c r="A39" s="47">
        <v>40771</v>
      </c>
      <c r="B39" s="48" t="s">
        <v>132</v>
      </c>
      <c r="C39" s="49" t="s">
        <v>13</v>
      </c>
      <c r="D39" s="49">
        <v>25</v>
      </c>
      <c r="E39" s="49">
        <v>940</v>
      </c>
      <c r="F39" s="48"/>
      <c r="G39" s="48"/>
      <c r="H39" s="50"/>
    </row>
    <row r="40" spans="1:8" ht="15.75" thickBot="1">
      <c r="A40" s="2">
        <v>40157</v>
      </c>
      <c r="B40" s="56" t="s">
        <v>59</v>
      </c>
      <c r="C40" s="57" t="s">
        <v>60</v>
      </c>
      <c r="D40" s="58">
        <v>1504.1310000000001</v>
      </c>
      <c r="E40" s="59">
        <v>29.9176</v>
      </c>
      <c r="F40" s="56"/>
      <c r="G40" s="60" t="s">
        <v>61</v>
      </c>
      <c r="H40" s="61">
        <v>31.114799999999999</v>
      </c>
    </row>
    <row r="41" spans="1:8">
      <c r="A41" s="52"/>
      <c r="B41" s="53"/>
      <c r="C41" s="54"/>
      <c r="D41" s="54"/>
      <c r="E41" s="54"/>
      <c r="F41" s="53"/>
      <c r="G41" s="53"/>
      <c r="H41" s="53"/>
    </row>
  </sheetData>
  <autoFilter ref="A2:F38">
    <sortState ref="A3:F59">
      <sortCondition ref="C2"/>
    </sortState>
  </autoFilter>
  <mergeCells count="2">
    <mergeCell ref="A1:D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7"/>
  <sheetViews>
    <sheetView showGridLines="0" topLeftCell="A89" workbookViewId="0">
      <selection activeCell="K121" sqref="K121"/>
    </sheetView>
  </sheetViews>
  <sheetFormatPr defaultRowHeight="15"/>
  <cols>
    <col min="1" max="1" width="24.140625" customWidth="1"/>
    <col min="2" max="2" width="8.85546875" customWidth="1"/>
    <col min="3" max="3" width="21.28515625" customWidth="1"/>
    <col min="4" max="4" width="10.140625" customWidth="1"/>
    <col min="5" max="5" width="11.5703125" customWidth="1"/>
    <col min="6" max="6" width="13.85546875" customWidth="1"/>
    <col min="7" max="7" width="14.5703125" customWidth="1"/>
    <col min="8" max="8" width="19" customWidth="1"/>
    <col min="9" max="9" width="19.42578125" customWidth="1"/>
  </cols>
  <sheetData>
    <row r="1" spans="1:9" ht="15.75" thickBot="1">
      <c r="A1" s="18" t="s">
        <v>1</v>
      </c>
      <c r="B1" s="18"/>
      <c r="C1" s="18"/>
      <c r="D1" s="18"/>
      <c r="E1" s="18"/>
      <c r="F1" s="19"/>
      <c r="G1" s="19"/>
      <c r="H1" s="19"/>
    </row>
    <row r="2" spans="1:9" ht="15" customHeight="1" thickBo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ht="15.75" thickBot="1">
      <c r="A3" s="2">
        <v>38586.589479166665</v>
      </c>
      <c r="B3" s="3" t="s">
        <v>11</v>
      </c>
      <c r="C3" s="4" t="s">
        <v>47</v>
      </c>
      <c r="D3" s="5" t="s">
        <v>13</v>
      </c>
      <c r="E3" s="5">
        <v>20</v>
      </c>
      <c r="F3" s="5">
        <v>701</v>
      </c>
      <c r="G3" s="5">
        <v>14020</v>
      </c>
      <c r="H3" s="5" t="str">
        <f>"200508227004987"</f>
        <v>200508227004987</v>
      </c>
      <c r="I3" s="5" t="str">
        <f>"200508227246720"</f>
        <v>200508227246720</v>
      </c>
    </row>
    <row r="4" spans="1:9" ht="15.75" thickBot="1">
      <c r="A4" s="2">
        <v>38580.499606481484</v>
      </c>
      <c r="B4" s="3" t="s">
        <v>11</v>
      </c>
      <c r="C4" s="4" t="s">
        <v>48</v>
      </c>
      <c r="D4" s="5" t="s">
        <v>13</v>
      </c>
      <c r="E4" s="5">
        <v>100</v>
      </c>
      <c r="F4" s="5">
        <v>1270</v>
      </c>
      <c r="G4" s="5">
        <v>127000</v>
      </c>
      <c r="H4" s="5" t="str">
        <f>"200508167188573"</f>
        <v>200508167188573</v>
      </c>
      <c r="I4" s="5" t="str">
        <f>"200508166953634"</f>
        <v>200508166953634</v>
      </c>
    </row>
    <row r="5" spans="1:9" ht="15.75" thickBot="1">
      <c r="A5" s="2">
        <v>38638.414351851854</v>
      </c>
      <c r="B5" s="3" t="s">
        <v>11</v>
      </c>
      <c r="C5" s="4" t="s">
        <v>49</v>
      </c>
      <c r="D5" s="5" t="s">
        <v>13</v>
      </c>
      <c r="E5" s="5">
        <v>40</v>
      </c>
      <c r="F5" s="5">
        <v>1049</v>
      </c>
      <c r="G5" s="5">
        <v>41960</v>
      </c>
      <c r="H5" s="5" t="str">
        <f>"200510136682343"</f>
        <v>200510136682343</v>
      </c>
      <c r="I5" s="5" t="str">
        <f>"200510133335287"</f>
        <v>200510133335287</v>
      </c>
    </row>
    <row r="6" spans="1:9" ht="15.75" thickBot="1">
      <c r="A6" s="2">
        <v>38638.414351851854</v>
      </c>
      <c r="B6" s="3" t="s">
        <v>11</v>
      </c>
      <c r="C6" s="4" t="s">
        <v>49</v>
      </c>
      <c r="D6" s="5" t="s">
        <v>13</v>
      </c>
      <c r="E6" s="5">
        <v>10</v>
      </c>
      <c r="F6" s="5">
        <v>1045</v>
      </c>
      <c r="G6" s="5">
        <v>10450</v>
      </c>
      <c r="H6" s="5" t="str">
        <f>"200510136682343"</f>
        <v>200510136682343</v>
      </c>
      <c r="I6" s="5" t="str">
        <f>"200510133335286"</f>
        <v>200510133335286</v>
      </c>
    </row>
    <row r="7" spans="1:9" ht="15.75" thickBot="1">
      <c r="A7" s="2">
        <v>38638.414340277777</v>
      </c>
      <c r="B7" s="3" t="s">
        <v>11</v>
      </c>
      <c r="C7" s="4" t="s">
        <v>30</v>
      </c>
      <c r="D7" s="5" t="s">
        <v>13</v>
      </c>
      <c r="E7" s="5">
        <v>1</v>
      </c>
      <c r="F7" s="5">
        <v>234</v>
      </c>
      <c r="G7" s="5">
        <v>234</v>
      </c>
      <c r="H7" s="5" t="str">
        <f>"200510136682258"</f>
        <v>200510136682258</v>
      </c>
      <c r="I7" s="5" t="str">
        <f>"200510130002461"</f>
        <v>200510130002461</v>
      </c>
    </row>
    <row r="8" spans="1:9" ht="15.75" thickBot="1">
      <c r="A8" s="2">
        <v>38638.414340277777</v>
      </c>
      <c r="B8" s="3" t="s">
        <v>11</v>
      </c>
      <c r="C8" s="4" t="s">
        <v>30</v>
      </c>
      <c r="D8" s="5" t="s">
        <v>13</v>
      </c>
      <c r="E8" s="5">
        <v>99</v>
      </c>
      <c r="F8" s="5">
        <v>233.95</v>
      </c>
      <c r="G8" s="5">
        <v>23161.05</v>
      </c>
      <c r="H8" s="5" t="str">
        <f>"200510136682258"</f>
        <v>200510136682258</v>
      </c>
      <c r="I8" s="5" t="str">
        <f>"200510130002460"</f>
        <v>200510130002460</v>
      </c>
    </row>
    <row r="9" spans="1:9" ht="15.75" thickBot="1">
      <c r="A9" s="2">
        <v>38537.427175925928</v>
      </c>
      <c r="B9" s="3" t="s">
        <v>11</v>
      </c>
      <c r="C9" s="4" t="s">
        <v>37</v>
      </c>
      <c r="D9" s="5" t="s">
        <v>13</v>
      </c>
      <c r="E9" s="5">
        <v>10</v>
      </c>
      <c r="F9" s="5">
        <v>1075</v>
      </c>
      <c r="G9" s="5">
        <v>10750</v>
      </c>
      <c r="H9" s="5" t="str">
        <f>"200507046713271"</f>
        <v>200507046713271</v>
      </c>
      <c r="I9" s="5" t="str">
        <f>"200507046743566"</f>
        <v>200507046743566</v>
      </c>
    </row>
    <row r="10" spans="1:9" ht="15.75" thickBot="1">
      <c r="A10" s="2">
        <v>38537.418749999997</v>
      </c>
      <c r="B10" s="3" t="s">
        <v>11</v>
      </c>
      <c r="C10" s="4" t="s">
        <v>50</v>
      </c>
      <c r="D10" s="5" t="s">
        <v>13</v>
      </c>
      <c r="E10" s="5">
        <v>13</v>
      </c>
      <c r="F10" s="5">
        <v>2352</v>
      </c>
      <c r="G10" s="5">
        <v>30576</v>
      </c>
      <c r="H10" s="5" t="str">
        <f>"200507046704958"</f>
        <v>200507046704958</v>
      </c>
      <c r="I10" s="5" t="str">
        <f>"200507043352675"</f>
        <v>200507043352675</v>
      </c>
    </row>
    <row r="11" spans="1:9" ht="15.75" thickBot="1">
      <c r="A11" s="2">
        <v>38537.418749999997</v>
      </c>
      <c r="B11" s="3" t="s">
        <v>11</v>
      </c>
      <c r="C11" s="4" t="s">
        <v>50</v>
      </c>
      <c r="D11" s="5" t="s">
        <v>13</v>
      </c>
      <c r="E11" s="5">
        <v>12</v>
      </c>
      <c r="F11" s="5">
        <v>2352</v>
      </c>
      <c r="G11" s="5">
        <v>28224</v>
      </c>
      <c r="H11" s="5" t="str">
        <f>"200507046704958"</f>
        <v>200507046704958</v>
      </c>
      <c r="I11" s="5" t="str">
        <f>"200507043352706"</f>
        <v>200507043352706</v>
      </c>
    </row>
    <row r="13" spans="1:9">
      <c r="A13" s="20" t="s">
        <v>29</v>
      </c>
      <c r="B13" s="20"/>
      <c r="C13" s="20"/>
      <c r="D13" s="20"/>
      <c r="E13" s="20"/>
      <c r="F13" s="20"/>
      <c r="G13" s="20"/>
      <c r="H13" s="20"/>
    </row>
    <row r="14" spans="1:9" ht="15.75" thickBot="1">
      <c r="A14" s="18" t="s">
        <v>1</v>
      </c>
      <c r="B14" s="18"/>
      <c r="C14" s="18"/>
      <c r="D14" s="18"/>
      <c r="E14" s="18"/>
      <c r="F14" s="19"/>
      <c r="G14" s="19"/>
      <c r="H14" s="19"/>
    </row>
    <row r="15" spans="1:9" ht="15.75" thickBot="1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</row>
    <row r="16" spans="1:9" ht="15.75" thickBot="1">
      <c r="A16" s="2">
        <v>39381.599444444444</v>
      </c>
      <c r="B16" s="3" t="s">
        <v>11</v>
      </c>
      <c r="C16" s="4" t="s">
        <v>30</v>
      </c>
      <c r="D16" s="5" t="s">
        <v>17</v>
      </c>
      <c r="E16" s="5">
        <v>15</v>
      </c>
      <c r="F16" s="5">
        <v>318.25</v>
      </c>
      <c r="G16" s="5">
        <v>4773.75</v>
      </c>
      <c r="H16" s="5" t="str">
        <f>"2007102653014286"</f>
        <v>2007102653014286</v>
      </c>
      <c r="I16" s="5" t="str">
        <f>"2007102602074639"</f>
        <v>2007102602074639</v>
      </c>
    </row>
    <row r="17" spans="1:9" ht="15.75" thickBot="1">
      <c r="A17" s="2">
        <v>39381.599444444444</v>
      </c>
      <c r="B17" s="3" t="s">
        <v>11</v>
      </c>
      <c r="C17" s="4" t="s">
        <v>30</v>
      </c>
      <c r="D17" s="5" t="s">
        <v>17</v>
      </c>
      <c r="E17" s="5">
        <v>25</v>
      </c>
      <c r="F17" s="5">
        <v>318.25</v>
      </c>
      <c r="G17" s="5">
        <v>7956.25</v>
      </c>
      <c r="H17" s="5" t="str">
        <f>"2007102653014286"</f>
        <v>2007102653014286</v>
      </c>
      <c r="I17" s="5" t="str">
        <f>"2007102602074638"</f>
        <v>2007102602074638</v>
      </c>
    </row>
    <row r="18" spans="1:9" ht="15.75" thickBot="1">
      <c r="A18" s="2">
        <v>39381.599444444444</v>
      </c>
      <c r="B18" s="3" t="s">
        <v>11</v>
      </c>
      <c r="C18" s="4" t="s">
        <v>30</v>
      </c>
      <c r="D18" s="5" t="s">
        <v>17</v>
      </c>
      <c r="E18" s="5">
        <v>10</v>
      </c>
      <c r="F18" s="5">
        <v>318.25</v>
      </c>
      <c r="G18" s="5">
        <v>3182.5</v>
      </c>
      <c r="H18" s="5" t="str">
        <f>"2007102653014286"</f>
        <v>2007102653014286</v>
      </c>
      <c r="I18" s="5" t="str">
        <f>"2007102602074636"</f>
        <v>2007102602074636</v>
      </c>
    </row>
    <row r="19" spans="1:9" ht="15.75" thickBot="1">
      <c r="A19" s="2">
        <v>39381.599444444444</v>
      </c>
      <c r="B19" s="3" t="s">
        <v>11</v>
      </c>
      <c r="C19" s="4" t="s">
        <v>30</v>
      </c>
      <c r="D19" s="5" t="s">
        <v>17</v>
      </c>
      <c r="E19" s="5">
        <v>50</v>
      </c>
      <c r="F19" s="5">
        <v>318.25</v>
      </c>
      <c r="G19" s="5">
        <v>15912.5</v>
      </c>
      <c r="H19" s="5" t="str">
        <f>"2007102653014286"</f>
        <v>2007102653014286</v>
      </c>
      <c r="I19" s="5" t="str">
        <f>"2007102602074637"</f>
        <v>2007102602074637</v>
      </c>
    </row>
    <row r="20" spans="1:9" ht="15.75" thickBot="1">
      <c r="A20" s="2">
        <v>39471.434953703705</v>
      </c>
      <c r="B20" s="3" t="s">
        <v>11</v>
      </c>
      <c r="C20" s="4" t="s">
        <v>31</v>
      </c>
      <c r="D20" s="5" t="s">
        <v>13</v>
      </c>
      <c r="E20" s="5">
        <v>3</v>
      </c>
      <c r="F20" s="5">
        <v>1299.9000000000001</v>
      </c>
      <c r="G20" s="5">
        <v>3899.7</v>
      </c>
      <c r="H20" s="5" t="str">
        <f t="shared" ref="H20:H25" si="0">"2008012450582911"</f>
        <v>2008012450582911</v>
      </c>
      <c r="I20" s="5" t="str">
        <f>"2008012400345023"</f>
        <v>2008012400345023</v>
      </c>
    </row>
    <row r="21" spans="1:9" ht="15.75" thickBot="1">
      <c r="A21" s="2">
        <v>39471.434953703705</v>
      </c>
      <c r="B21" s="3" t="s">
        <v>11</v>
      </c>
      <c r="C21" s="4" t="s">
        <v>31</v>
      </c>
      <c r="D21" s="5" t="s">
        <v>13</v>
      </c>
      <c r="E21" s="5">
        <v>4</v>
      </c>
      <c r="F21" s="5">
        <v>1297</v>
      </c>
      <c r="G21" s="5">
        <v>5188</v>
      </c>
      <c r="H21" s="5" t="str">
        <f t="shared" si="0"/>
        <v>2008012450582911</v>
      </c>
      <c r="I21" s="5" t="str">
        <f>"2008012400345018"</f>
        <v>2008012400345018</v>
      </c>
    </row>
    <row r="22" spans="1:9" ht="15.75" thickBot="1">
      <c r="A22" s="2">
        <v>39471.434953703705</v>
      </c>
      <c r="B22" s="3" t="s">
        <v>11</v>
      </c>
      <c r="C22" s="4" t="s">
        <v>31</v>
      </c>
      <c r="D22" s="5" t="s">
        <v>13</v>
      </c>
      <c r="E22" s="5">
        <v>5</v>
      </c>
      <c r="F22" s="5">
        <v>1297.7</v>
      </c>
      <c r="G22" s="5">
        <v>6488.5</v>
      </c>
      <c r="H22" s="5" t="str">
        <f t="shared" si="0"/>
        <v>2008012450582911</v>
      </c>
      <c r="I22" s="5" t="str">
        <f>"2008012400345019"</f>
        <v>2008012400345019</v>
      </c>
    </row>
    <row r="23" spans="1:9" ht="15.75" thickBot="1">
      <c r="A23" s="2">
        <v>39471.434953703705</v>
      </c>
      <c r="B23" s="3" t="s">
        <v>11</v>
      </c>
      <c r="C23" s="4" t="s">
        <v>31</v>
      </c>
      <c r="D23" s="5" t="s">
        <v>13</v>
      </c>
      <c r="E23" s="5">
        <v>10</v>
      </c>
      <c r="F23" s="5">
        <v>1298.9000000000001</v>
      </c>
      <c r="G23" s="5">
        <v>12989</v>
      </c>
      <c r="H23" s="5" t="str">
        <f t="shared" si="0"/>
        <v>2008012450582911</v>
      </c>
      <c r="I23" s="5" t="str">
        <f>"2008012400345022"</f>
        <v>2008012400345022</v>
      </c>
    </row>
    <row r="24" spans="1:9" ht="15.75" thickBot="1">
      <c r="A24" s="2">
        <v>39471.434953703705</v>
      </c>
      <c r="B24" s="3" t="s">
        <v>11</v>
      </c>
      <c r="C24" s="4" t="s">
        <v>31</v>
      </c>
      <c r="D24" s="5" t="s">
        <v>13</v>
      </c>
      <c r="E24" s="5">
        <v>18</v>
      </c>
      <c r="F24" s="5">
        <v>1297.75</v>
      </c>
      <c r="G24" s="5">
        <v>23359.5</v>
      </c>
      <c r="H24" s="5" t="str">
        <f t="shared" si="0"/>
        <v>2008012450582911</v>
      </c>
      <c r="I24" s="5" t="str">
        <f>"2008012400345020"</f>
        <v>2008012400345020</v>
      </c>
    </row>
    <row r="25" spans="1:9" ht="15.75" thickBot="1">
      <c r="A25" s="2">
        <v>39471.434953703705</v>
      </c>
      <c r="B25" s="3" t="s">
        <v>11</v>
      </c>
      <c r="C25" s="4" t="s">
        <v>31</v>
      </c>
      <c r="D25" s="5" t="s">
        <v>13</v>
      </c>
      <c r="E25" s="5">
        <v>10</v>
      </c>
      <c r="F25" s="5">
        <v>1298</v>
      </c>
      <c r="G25" s="5">
        <v>12980</v>
      </c>
      <c r="H25" s="5" t="str">
        <f t="shared" si="0"/>
        <v>2008012450582911</v>
      </c>
      <c r="I25" s="5" t="str">
        <f>"2008012400345021"</f>
        <v>2008012400345021</v>
      </c>
    </row>
    <row r="26" spans="1:9" ht="15.75" thickBot="1">
      <c r="A26" s="2">
        <v>39471.433171296296</v>
      </c>
      <c r="B26" s="3" t="s">
        <v>11</v>
      </c>
      <c r="C26" s="4" t="s">
        <v>32</v>
      </c>
      <c r="D26" s="5" t="s">
        <v>13</v>
      </c>
      <c r="E26" s="5">
        <v>20</v>
      </c>
      <c r="F26" s="5">
        <v>713.9</v>
      </c>
      <c r="G26" s="5">
        <v>14278</v>
      </c>
      <c r="H26" s="5" t="str">
        <f>"2008012450543151"</f>
        <v>2008012450543151</v>
      </c>
      <c r="I26" s="5" t="str">
        <f>"2008012450337171"</f>
        <v>2008012450337171</v>
      </c>
    </row>
    <row r="27" spans="1:9" ht="15.75" thickBot="1">
      <c r="A27" s="2">
        <v>39471.430659722224</v>
      </c>
      <c r="B27" s="3" t="s">
        <v>11</v>
      </c>
      <c r="C27" s="4" t="s">
        <v>33</v>
      </c>
      <c r="D27" s="5" t="s">
        <v>13</v>
      </c>
      <c r="E27" s="5">
        <v>50</v>
      </c>
      <c r="F27" s="5">
        <v>785.9</v>
      </c>
      <c r="G27" s="5">
        <v>39295</v>
      </c>
      <c r="H27" s="5" t="str">
        <f>"2008012450488490"</f>
        <v>2008012450488490</v>
      </c>
      <c r="I27" s="5" t="str">
        <f>"2008012450297585"</f>
        <v>2008012450297585</v>
      </c>
    </row>
    <row r="28" spans="1:9" ht="15.75" thickBot="1">
      <c r="A28" s="2">
        <v>39471.429143518515</v>
      </c>
      <c r="B28" s="3" t="s">
        <v>11</v>
      </c>
      <c r="C28" s="4" t="s">
        <v>34</v>
      </c>
      <c r="D28" s="5" t="s">
        <v>13</v>
      </c>
      <c r="E28" s="5">
        <v>50</v>
      </c>
      <c r="F28" s="5">
        <v>388</v>
      </c>
      <c r="G28" s="5">
        <v>19400</v>
      </c>
      <c r="H28" s="5" t="str">
        <f>"2008012450455841"</f>
        <v>2008012450455841</v>
      </c>
      <c r="I28" s="5" t="str">
        <f>"2008012450275208"</f>
        <v>2008012450275208</v>
      </c>
    </row>
    <row r="29" spans="1:9" ht="15.75" thickBot="1">
      <c r="A29" s="2">
        <v>39471.426701388889</v>
      </c>
      <c r="B29" s="3" t="s">
        <v>11</v>
      </c>
      <c r="C29" s="4" t="s">
        <v>35</v>
      </c>
      <c r="D29" s="5" t="s">
        <v>13</v>
      </c>
      <c r="E29" s="5">
        <v>50</v>
      </c>
      <c r="F29" s="5">
        <v>569</v>
      </c>
      <c r="G29" s="5">
        <v>28450</v>
      </c>
      <c r="H29" s="5" t="str">
        <f>"2008012450399685"</f>
        <v>2008012450399685</v>
      </c>
      <c r="I29" s="5" t="str">
        <f>"2008012400220844"</f>
        <v>2008012400220844</v>
      </c>
    </row>
    <row r="30" spans="1:9" ht="15.75" thickBot="1">
      <c r="A30" s="2">
        <v>39471.425219907411</v>
      </c>
      <c r="B30" s="3" t="s">
        <v>11</v>
      </c>
      <c r="C30" s="4" t="s">
        <v>36</v>
      </c>
      <c r="D30" s="5" t="s">
        <v>13</v>
      </c>
      <c r="E30" s="5">
        <v>50</v>
      </c>
      <c r="F30" s="5">
        <v>458.85</v>
      </c>
      <c r="G30" s="5">
        <v>22942.5</v>
      </c>
      <c r="H30" s="5" t="str">
        <f>"2008012450364276"</f>
        <v>2008012450364276</v>
      </c>
      <c r="I30" s="5" t="str">
        <f>"2008012450213199"</f>
        <v>2008012450213199</v>
      </c>
    </row>
    <row r="31" spans="1:9" ht="15.75" thickBot="1">
      <c r="A31" s="2">
        <v>39378.629143518519</v>
      </c>
      <c r="B31" s="3" t="s">
        <v>11</v>
      </c>
      <c r="C31" s="4" t="s">
        <v>37</v>
      </c>
      <c r="D31" s="5" t="s">
        <v>17</v>
      </c>
      <c r="E31" s="5">
        <v>20</v>
      </c>
      <c r="F31" s="5">
        <v>427</v>
      </c>
      <c r="G31" s="5">
        <v>8540</v>
      </c>
      <c r="H31" s="5" t="str">
        <f>"2007102352817509"</f>
        <v>2007102352817509</v>
      </c>
      <c r="I31" s="5" t="str">
        <f>"2007102352451992"</f>
        <v>2007102352451992</v>
      </c>
    </row>
    <row r="32" spans="1:9" ht="15.75" thickBot="1">
      <c r="A32" s="2">
        <v>39496.625601851854</v>
      </c>
      <c r="B32" s="3" t="s">
        <v>11</v>
      </c>
      <c r="C32" s="4" t="s">
        <v>38</v>
      </c>
      <c r="D32" s="5" t="s">
        <v>13</v>
      </c>
      <c r="E32" s="5">
        <v>10</v>
      </c>
      <c r="F32" s="5">
        <v>775</v>
      </c>
      <c r="G32" s="5">
        <v>7750</v>
      </c>
      <c r="H32" s="5" t="str">
        <f>"2008021850625148"</f>
        <v>2008021850625148</v>
      </c>
      <c r="I32" s="5" t="str">
        <f>"2008021852234085"</f>
        <v>2008021852234085</v>
      </c>
    </row>
    <row r="33" spans="1:9" ht="15.75" thickBot="1">
      <c r="A33" s="2">
        <v>39496.468958333331</v>
      </c>
      <c r="B33" s="3" t="s">
        <v>11</v>
      </c>
      <c r="C33" s="4" t="s">
        <v>39</v>
      </c>
      <c r="D33" s="5" t="s">
        <v>13</v>
      </c>
      <c r="E33" s="5">
        <v>10</v>
      </c>
      <c r="F33" s="5">
        <v>2785</v>
      </c>
      <c r="G33" s="5">
        <v>27850</v>
      </c>
      <c r="H33" s="5" t="str">
        <f>"2008021850416124"</f>
        <v>2008021850416124</v>
      </c>
      <c r="I33" s="5" t="str">
        <f>"2008021800642289"</f>
        <v>2008021800642289</v>
      </c>
    </row>
    <row r="34" spans="1:9" ht="15.75" thickBot="1">
      <c r="A34" s="2">
        <v>39524.435578703706</v>
      </c>
      <c r="B34" s="3" t="s">
        <v>11</v>
      </c>
      <c r="C34" s="4" t="s">
        <v>40</v>
      </c>
      <c r="D34" s="5" t="s">
        <v>13</v>
      </c>
      <c r="E34" s="5">
        <v>10</v>
      </c>
      <c r="F34" s="5">
        <v>270</v>
      </c>
      <c r="G34" s="5">
        <v>2700</v>
      </c>
      <c r="H34" s="5" t="str">
        <f>"2008031766980981"</f>
        <v>2008031766980981</v>
      </c>
      <c r="I34" s="5" t="str">
        <f>"2008031766895977"</f>
        <v>2008031766895977</v>
      </c>
    </row>
    <row r="35" spans="1:9" ht="15.75" thickBot="1">
      <c r="A35" s="2">
        <v>39492.571736111109</v>
      </c>
      <c r="B35" s="3" t="s">
        <v>11</v>
      </c>
      <c r="C35" s="4" t="s">
        <v>41</v>
      </c>
      <c r="D35" s="5" t="s">
        <v>13</v>
      </c>
      <c r="E35" s="5">
        <v>20</v>
      </c>
      <c r="F35" s="5">
        <v>415</v>
      </c>
      <c r="G35" s="5">
        <v>8300</v>
      </c>
      <c r="H35" s="5" t="str">
        <f>"2008021450330804"</f>
        <v>2008021450330804</v>
      </c>
      <c r="I35" s="5" t="str">
        <f>"2008021451593779"</f>
        <v>2008021451593779</v>
      </c>
    </row>
    <row r="36" spans="1:9" ht="15.75" thickBot="1">
      <c r="A36" s="2">
        <v>39492.523460648146</v>
      </c>
      <c r="B36" s="3" t="s">
        <v>11</v>
      </c>
      <c r="C36" s="4" t="s">
        <v>42</v>
      </c>
      <c r="D36" s="5" t="s">
        <v>13</v>
      </c>
      <c r="E36" s="5">
        <v>20</v>
      </c>
      <c r="F36" s="5">
        <v>605</v>
      </c>
      <c r="G36" s="5">
        <v>12100</v>
      </c>
      <c r="H36" s="5" t="str">
        <f>"2008021450246305"</f>
        <v>2008021450246305</v>
      </c>
      <c r="I36" s="5" t="str">
        <f>"2008021401231448"</f>
        <v>2008021401231448</v>
      </c>
    </row>
    <row r="37" spans="1:9" ht="15.75" thickBot="1">
      <c r="A37" s="2">
        <v>39395.781273148146</v>
      </c>
      <c r="B37" s="3" t="s">
        <v>11</v>
      </c>
      <c r="C37" s="4" t="s">
        <v>43</v>
      </c>
      <c r="D37" s="5" t="s">
        <v>17</v>
      </c>
      <c r="E37" s="5">
        <v>1</v>
      </c>
      <c r="F37" s="5">
        <v>1856.1</v>
      </c>
      <c r="G37" s="5">
        <v>1856.1</v>
      </c>
      <c r="H37" s="5" t="str">
        <f>"2007110950752281"</f>
        <v>2007110950752281</v>
      </c>
      <c r="I37" s="5" t="str">
        <f>"2007110950499071"</f>
        <v>2007110950499071</v>
      </c>
    </row>
    <row r="38" spans="1:9" ht="15.75" thickBot="1">
      <c r="A38" s="2">
        <v>39395.780648148146</v>
      </c>
      <c r="B38" s="3" t="s">
        <v>11</v>
      </c>
      <c r="C38" s="4" t="s">
        <v>44</v>
      </c>
      <c r="D38" s="5" t="s">
        <v>17</v>
      </c>
      <c r="E38" s="5">
        <v>1</v>
      </c>
      <c r="F38" s="5">
        <v>2057.4</v>
      </c>
      <c r="G38" s="5">
        <v>2057.4</v>
      </c>
      <c r="H38" s="5" t="str">
        <f>"2007110950740838"</f>
        <v>2007110950740838</v>
      </c>
      <c r="I38" s="5" t="str">
        <f>"2007110950490682"</f>
        <v>2007110950490682</v>
      </c>
    </row>
    <row r="39" spans="1:9" ht="15.75" thickBot="1">
      <c r="A39" s="2">
        <v>39486.444513888891</v>
      </c>
      <c r="B39" s="3" t="s">
        <v>11</v>
      </c>
      <c r="C39" s="4" t="s">
        <v>45</v>
      </c>
      <c r="D39" s="5" t="s">
        <v>13</v>
      </c>
      <c r="E39" s="5">
        <v>20</v>
      </c>
      <c r="F39" s="5">
        <v>333</v>
      </c>
      <c r="G39" s="5">
        <v>6660</v>
      </c>
      <c r="H39" s="5" t="str">
        <f>"2008020850579489"</f>
        <v>2008020850579489</v>
      </c>
      <c r="I39" s="5" t="str">
        <f>"2008020800442705"</f>
        <v>2008020800442705</v>
      </c>
    </row>
    <row r="40" spans="1:9" ht="15.75" thickBot="1">
      <c r="A40" s="2">
        <v>39486.434108796297</v>
      </c>
      <c r="B40" s="3" t="s">
        <v>11</v>
      </c>
      <c r="C40" s="4" t="s">
        <v>46</v>
      </c>
      <c r="D40" s="5" t="s">
        <v>13</v>
      </c>
      <c r="E40" s="5">
        <v>50</v>
      </c>
      <c r="F40" s="5">
        <v>141.94999999999999</v>
      </c>
      <c r="G40" s="5">
        <v>7097.5</v>
      </c>
      <c r="H40" s="5" t="str">
        <f>"2008020850611519"</f>
        <v>2008020850611519</v>
      </c>
      <c r="I40" s="5" t="str">
        <f>"2008020850356493"</f>
        <v>2008020850356493</v>
      </c>
    </row>
    <row r="41" spans="1:9">
      <c r="A41" s="20" t="s">
        <v>0</v>
      </c>
      <c r="B41" s="20"/>
      <c r="C41" s="20"/>
      <c r="D41" s="20"/>
      <c r="E41" s="20"/>
      <c r="F41" s="20"/>
      <c r="G41" s="20"/>
      <c r="H41" s="20"/>
    </row>
    <row r="42" spans="1:9" ht="15.75" thickBot="1">
      <c r="A42" s="18" t="s">
        <v>1</v>
      </c>
      <c r="B42" s="18"/>
      <c r="C42" s="18"/>
      <c r="D42" s="18"/>
      <c r="E42" s="18"/>
      <c r="F42" s="19"/>
      <c r="G42" s="19"/>
      <c r="H42" s="19"/>
    </row>
    <row r="43" spans="1:9" ht="15.75" thickBot="1">
      <c r="A43" s="1" t="s">
        <v>2</v>
      </c>
      <c r="B43" s="1" t="s">
        <v>3</v>
      </c>
      <c r="C43" s="1" t="s">
        <v>4</v>
      </c>
      <c r="D43" s="1" t="s">
        <v>5</v>
      </c>
      <c r="E43" s="1" t="s">
        <v>6</v>
      </c>
      <c r="F43" s="1" t="s">
        <v>7</v>
      </c>
      <c r="G43" s="1" t="s">
        <v>8</v>
      </c>
      <c r="H43" s="1" t="s">
        <v>9</v>
      </c>
      <c r="I43" s="1" t="s">
        <v>10</v>
      </c>
    </row>
    <row r="44" spans="1:9" ht="15.75" thickBot="1">
      <c r="A44" s="2">
        <v>39594.631944444445</v>
      </c>
      <c r="B44" s="3" t="s">
        <v>11</v>
      </c>
      <c r="C44" s="4" t="s">
        <v>12</v>
      </c>
      <c r="D44" s="5" t="s">
        <v>13</v>
      </c>
      <c r="E44" s="5">
        <v>20</v>
      </c>
      <c r="F44" s="5">
        <v>685</v>
      </c>
      <c r="G44" s="5">
        <v>13700</v>
      </c>
      <c r="H44" s="5" t="str">
        <f>"2008052668803043"</f>
        <v>2008052668803043</v>
      </c>
      <c r="I44" s="5" t="str">
        <f>"2008052601613257"</f>
        <v>2008052601613257</v>
      </c>
    </row>
    <row r="45" spans="1:9" ht="15.75" thickBot="1">
      <c r="A45" s="2">
        <v>39591.64366898148</v>
      </c>
      <c r="B45" s="3" t="s">
        <v>11</v>
      </c>
      <c r="C45" s="4" t="s">
        <v>14</v>
      </c>
      <c r="D45" s="5" t="s">
        <v>13</v>
      </c>
      <c r="E45" s="5">
        <v>20</v>
      </c>
      <c r="F45" s="5">
        <v>100</v>
      </c>
      <c r="G45" s="5">
        <v>2000</v>
      </c>
      <c r="H45" s="5" t="str">
        <f>"2008052367299342"</f>
        <v>2008052367299342</v>
      </c>
      <c r="I45" s="5" t="str">
        <f>"2008052335170080"</f>
        <v>2008052335170080</v>
      </c>
    </row>
    <row r="46" spans="1:9" ht="15.75" thickBot="1">
      <c r="A46" s="2">
        <v>39591.463263888887</v>
      </c>
      <c r="B46" s="3" t="s">
        <v>11</v>
      </c>
      <c r="C46" s="4" t="s">
        <v>15</v>
      </c>
      <c r="D46" s="5" t="s">
        <v>13</v>
      </c>
      <c r="E46" s="5">
        <v>5</v>
      </c>
      <c r="F46" s="5">
        <v>1050</v>
      </c>
      <c r="G46" s="5">
        <v>5250</v>
      </c>
      <c r="H46" s="5" t="str">
        <f>"2008052367355770"</f>
        <v>2008052367355770</v>
      </c>
      <c r="I46" s="5" t="str">
        <f>"2008052333800481"</f>
        <v>2008052333800481</v>
      </c>
    </row>
    <row r="47" spans="1:9" ht="15.75" thickBot="1">
      <c r="A47" s="2">
        <v>39591.458425925928</v>
      </c>
      <c r="B47" s="3" t="s">
        <v>11</v>
      </c>
      <c r="C47" s="4" t="s">
        <v>16</v>
      </c>
      <c r="D47" s="5" t="s">
        <v>17</v>
      </c>
      <c r="E47" s="5">
        <v>20</v>
      </c>
      <c r="F47" s="5">
        <v>590</v>
      </c>
      <c r="G47" s="5">
        <v>11800</v>
      </c>
      <c r="H47" s="5" t="str">
        <f>"2008052367283723"</f>
        <v>2008052367283723</v>
      </c>
      <c r="I47" s="5" t="str">
        <f>"2008052366951690"</f>
        <v>2008052366951690</v>
      </c>
    </row>
    <row r="48" spans="1:9" ht="15.75" thickBot="1">
      <c r="A48" s="2">
        <v>39590.644803240742</v>
      </c>
      <c r="B48" s="3" t="s">
        <v>11</v>
      </c>
      <c r="C48" s="4" t="s">
        <v>18</v>
      </c>
      <c r="D48" s="5" t="s">
        <v>13</v>
      </c>
      <c r="E48" s="5">
        <v>20</v>
      </c>
      <c r="F48" s="5">
        <v>150</v>
      </c>
      <c r="G48" s="5">
        <v>3000</v>
      </c>
      <c r="H48" s="5" t="str">
        <f>"2008052267594816"</f>
        <v>2008052267594816</v>
      </c>
      <c r="I48" s="5" t="str">
        <f>"2008052235419374"</f>
        <v>2008052235419374</v>
      </c>
    </row>
    <row r="49" spans="1:9" ht="15.75" thickBot="1">
      <c r="A49" s="2">
        <v>39590.553124999999</v>
      </c>
      <c r="B49" s="3" t="s">
        <v>11</v>
      </c>
      <c r="C49" s="4" t="s">
        <v>19</v>
      </c>
      <c r="D49" s="5" t="s">
        <v>13</v>
      </c>
      <c r="E49" s="5">
        <v>50</v>
      </c>
      <c r="F49" s="5">
        <v>108</v>
      </c>
      <c r="G49" s="5">
        <v>5400</v>
      </c>
      <c r="H49" s="5" t="str">
        <f>"2008052267538304"</f>
        <v>2008052267538304</v>
      </c>
      <c r="I49" s="5" t="str">
        <f>"2008052234670702"</f>
        <v>2008052234670702</v>
      </c>
    </row>
    <row r="50" spans="1:9" ht="15.75" thickBot="1">
      <c r="A50" s="2">
        <v>39589.511759259258</v>
      </c>
      <c r="B50" s="3" t="s">
        <v>11</v>
      </c>
      <c r="C50" s="4" t="s">
        <v>20</v>
      </c>
      <c r="D50" s="5" t="s">
        <v>17</v>
      </c>
      <c r="E50" s="5">
        <v>20</v>
      </c>
      <c r="F50" s="5">
        <v>110</v>
      </c>
      <c r="G50" s="5">
        <v>2200</v>
      </c>
      <c r="H50" s="5" t="str">
        <f>"2008052167379847"</f>
        <v>2008052167379847</v>
      </c>
      <c r="I50" s="5" t="str">
        <f>"2008052167435243"</f>
        <v>2008052167435243</v>
      </c>
    </row>
    <row r="51" spans="1:9" ht="15.75" thickBot="1">
      <c r="A51" s="2">
        <v>39735.620104166665</v>
      </c>
      <c r="B51" s="3" t="s">
        <v>11</v>
      </c>
      <c r="C51" s="4" t="s">
        <v>21</v>
      </c>
      <c r="D51" s="5" t="s">
        <v>13</v>
      </c>
      <c r="E51" s="5">
        <v>50</v>
      </c>
      <c r="F51" s="5">
        <v>37</v>
      </c>
      <c r="G51" s="5">
        <v>1850</v>
      </c>
      <c r="H51" s="5" t="str">
        <f>"2008101467447502"</f>
        <v>2008101467447502</v>
      </c>
      <c r="I51" s="5" t="str">
        <f>"2008101401871485"</f>
        <v>2008101401871485</v>
      </c>
    </row>
    <row r="52" spans="1:9" ht="15.75" thickBot="1">
      <c r="A52" s="2">
        <v>39735.523506944446</v>
      </c>
      <c r="B52" s="3" t="s">
        <v>11</v>
      </c>
      <c r="C52" s="4" t="s">
        <v>22</v>
      </c>
      <c r="D52" s="5" t="s">
        <v>13</v>
      </c>
      <c r="E52" s="5">
        <v>100</v>
      </c>
      <c r="F52" s="5">
        <v>100</v>
      </c>
      <c r="G52" s="5">
        <v>10000</v>
      </c>
      <c r="H52" s="5" t="str">
        <f>"2008101467103532"</f>
        <v>2008101467103532</v>
      </c>
      <c r="I52" s="5" t="str">
        <f>"2008101434329407"</f>
        <v>2008101434329407</v>
      </c>
    </row>
    <row r="53" spans="1:9" ht="15.75" thickBot="1">
      <c r="A53" s="2">
        <v>39735.520208333335</v>
      </c>
      <c r="B53" s="3" t="s">
        <v>11</v>
      </c>
      <c r="C53" s="4" t="s">
        <v>16</v>
      </c>
      <c r="D53" s="5" t="s">
        <v>13</v>
      </c>
      <c r="E53" s="5">
        <v>50</v>
      </c>
      <c r="F53" s="5">
        <v>295</v>
      </c>
      <c r="G53" s="5">
        <v>14750</v>
      </c>
      <c r="H53" s="5" t="str">
        <f>"2008101467369983"</f>
        <v>2008101467369983</v>
      </c>
      <c r="I53" s="5" t="str">
        <f>"2008101467654498"</f>
        <v>2008101467654498</v>
      </c>
    </row>
    <row r="54" spans="1:9" ht="15.75" thickBot="1">
      <c r="A54" s="2">
        <v>39735.471134259256</v>
      </c>
      <c r="B54" s="3" t="s">
        <v>11</v>
      </c>
      <c r="C54" s="4" t="s">
        <v>23</v>
      </c>
      <c r="D54" s="5" t="s">
        <v>13</v>
      </c>
      <c r="E54" s="5">
        <v>50</v>
      </c>
      <c r="F54" s="5">
        <v>250</v>
      </c>
      <c r="G54" s="5">
        <v>12500</v>
      </c>
      <c r="H54" s="5" t="str">
        <f>"2008101467502783"</f>
        <v>2008101467502783</v>
      </c>
      <c r="I54" s="5" t="str">
        <f>"2008101467246769"</f>
        <v>2008101467246769</v>
      </c>
    </row>
    <row r="55" spans="1:9" ht="15.75" thickBot="1">
      <c r="A55" s="2">
        <v>39735.466469907406</v>
      </c>
      <c r="B55" s="3" t="s">
        <v>11</v>
      </c>
      <c r="C55" s="4" t="s">
        <v>24</v>
      </c>
      <c r="D55" s="5" t="s">
        <v>13</v>
      </c>
      <c r="E55" s="5">
        <v>37</v>
      </c>
      <c r="F55" s="5">
        <v>126</v>
      </c>
      <c r="G55" s="5">
        <v>4662</v>
      </c>
      <c r="H55" s="5" t="str">
        <f>"2008101467539654"</f>
        <v>2008101467539654</v>
      </c>
      <c r="I55" s="5" t="str">
        <f>"2008101400577457"</f>
        <v>2008101400577457</v>
      </c>
    </row>
    <row r="56" spans="1:9" ht="15.75" thickBot="1">
      <c r="A56" s="2">
        <v>39735.46533564815</v>
      </c>
      <c r="B56" s="3" t="s">
        <v>11</v>
      </c>
      <c r="C56" s="4" t="s">
        <v>24</v>
      </c>
      <c r="D56" s="5" t="s">
        <v>13</v>
      </c>
      <c r="E56" s="5">
        <v>1</v>
      </c>
      <c r="F56" s="5">
        <v>126</v>
      </c>
      <c r="G56" s="5">
        <v>126</v>
      </c>
      <c r="H56" s="5" t="str">
        <f>"2008101467539654"</f>
        <v>2008101467539654</v>
      </c>
      <c r="I56" s="5" t="str">
        <f>"2008101400567005"</f>
        <v>2008101400567005</v>
      </c>
    </row>
    <row r="57" spans="1:9" ht="15.75" thickBot="1">
      <c r="A57" s="2">
        <v>39735.465069444443</v>
      </c>
      <c r="B57" s="3" t="s">
        <v>11</v>
      </c>
      <c r="C57" s="4" t="s">
        <v>24</v>
      </c>
      <c r="D57" s="5" t="s">
        <v>13</v>
      </c>
      <c r="E57" s="5">
        <v>1</v>
      </c>
      <c r="F57" s="5">
        <v>126</v>
      </c>
      <c r="G57" s="5">
        <v>126</v>
      </c>
      <c r="H57" s="5" t="str">
        <f>"2008101467539654"</f>
        <v>2008101467539654</v>
      </c>
      <c r="I57" s="5" t="str">
        <f>"2008101400564766"</f>
        <v>2008101400564766</v>
      </c>
    </row>
    <row r="58" spans="1:9" ht="15.75" thickBot="1">
      <c r="A58" s="2">
        <v>39735.465057870373</v>
      </c>
      <c r="B58" s="3" t="s">
        <v>11</v>
      </c>
      <c r="C58" s="4" t="s">
        <v>24</v>
      </c>
      <c r="D58" s="5" t="s">
        <v>13</v>
      </c>
      <c r="E58" s="5">
        <v>11</v>
      </c>
      <c r="F58" s="5">
        <v>126</v>
      </c>
      <c r="G58" s="5">
        <v>1386</v>
      </c>
      <c r="H58" s="5" t="str">
        <f>"2008101467539654"</f>
        <v>2008101467539654</v>
      </c>
      <c r="I58" s="5" t="str">
        <f>"2008101400564710"</f>
        <v>2008101400564710</v>
      </c>
    </row>
    <row r="59" spans="1:9" ht="15.75" thickBot="1">
      <c r="A59" s="2">
        <v>39735.440416666665</v>
      </c>
      <c r="B59" s="3" t="s">
        <v>11</v>
      </c>
      <c r="C59" s="4" t="s">
        <v>25</v>
      </c>
      <c r="D59" s="5" t="s">
        <v>13</v>
      </c>
      <c r="E59" s="5">
        <v>1</v>
      </c>
      <c r="F59" s="5">
        <v>130</v>
      </c>
      <c r="G59" s="5">
        <v>130</v>
      </c>
      <c r="H59" s="5" t="str">
        <f>"2008101467262875"</f>
        <v>2008101467262875</v>
      </c>
      <c r="I59" s="5" t="str">
        <f>"2008101467000310"</f>
        <v>2008101467000310</v>
      </c>
    </row>
    <row r="60" spans="1:9" ht="15.75" thickBot="1">
      <c r="A60" s="2">
        <v>39735.440416666665</v>
      </c>
      <c r="B60" s="3" t="s">
        <v>11</v>
      </c>
      <c r="C60" s="4" t="s">
        <v>25</v>
      </c>
      <c r="D60" s="5" t="s">
        <v>13</v>
      </c>
      <c r="E60" s="5">
        <v>49</v>
      </c>
      <c r="F60" s="5">
        <v>130</v>
      </c>
      <c r="G60" s="5">
        <v>6370</v>
      </c>
      <c r="H60" s="5" t="str">
        <f>"2008101467262875"</f>
        <v>2008101467262875</v>
      </c>
      <c r="I60" s="5" t="str">
        <f>"2008101467000311"</f>
        <v>2008101467000311</v>
      </c>
    </row>
    <row r="61" spans="1:9" ht="15.75" thickBot="1">
      <c r="A61" s="2">
        <v>39633.431435185186</v>
      </c>
      <c r="B61" s="3" t="s">
        <v>11</v>
      </c>
      <c r="C61" s="4" t="s">
        <v>26</v>
      </c>
      <c r="D61" s="5" t="s">
        <v>13</v>
      </c>
      <c r="E61" s="5">
        <v>10</v>
      </c>
      <c r="F61" s="5">
        <v>153</v>
      </c>
      <c r="G61" s="5">
        <v>1530</v>
      </c>
      <c r="H61" s="5" t="str">
        <f>"2008070466874367"</f>
        <v>2008070466874367</v>
      </c>
      <c r="I61" s="5" t="str">
        <f>"2008070400178868"</f>
        <v>2008070400178868</v>
      </c>
    </row>
    <row r="62" spans="1:9" ht="15.75" thickBot="1">
      <c r="A62" s="2">
        <v>39633.424305555556</v>
      </c>
      <c r="B62" s="3" t="s">
        <v>11</v>
      </c>
      <c r="C62" s="4" t="s">
        <v>27</v>
      </c>
      <c r="D62" s="5" t="s">
        <v>13</v>
      </c>
      <c r="E62" s="5">
        <v>10</v>
      </c>
      <c r="F62" s="5">
        <v>130</v>
      </c>
      <c r="G62" s="5">
        <v>1300</v>
      </c>
      <c r="H62" s="5" t="str">
        <f>"2008070466923863"</f>
        <v>2008070466923863</v>
      </c>
      <c r="I62" s="5" t="str">
        <f>"2008070433451054"</f>
        <v>2008070433451054</v>
      </c>
    </row>
    <row r="63" spans="1:9" ht="15.75" thickBot="1"/>
    <row r="64" spans="1:9" ht="15.75" thickBot="1">
      <c r="A64" s="1" t="s">
        <v>2</v>
      </c>
      <c r="B64" s="1" t="s">
        <v>3</v>
      </c>
      <c r="C64" s="1" t="s">
        <v>4</v>
      </c>
      <c r="D64" s="1" t="s">
        <v>5</v>
      </c>
      <c r="E64" s="1" t="s">
        <v>6</v>
      </c>
      <c r="F64" s="1" t="s">
        <v>7</v>
      </c>
      <c r="G64" s="1" t="s">
        <v>8</v>
      </c>
      <c r="H64" s="1" t="s">
        <v>9</v>
      </c>
      <c r="I64" s="1" t="s">
        <v>10</v>
      </c>
    </row>
    <row r="65" spans="1:26" ht="15.75" thickBot="1">
      <c r="A65" s="2">
        <v>39967.605243055557</v>
      </c>
      <c r="B65" s="3" t="s">
        <v>11</v>
      </c>
      <c r="C65" s="4" t="s">
        <v>14</v>
      </c>
      <c r="D65" s="5" t="s">
        <v>17</v>
      </c>
      <c r="E65" s="5">
        <v>20</v>
      </c>
      <c r="F65" s="5">
        <v>125</v>
      </c>
      <c r="G65" s="5">
        <v>2500</v>
      </c>
      <c r="H65" s="5" t="str">
        <f>"2009060366782349"</f>
        <v>2009060366782349</v>
      </c>
      <c r="I65" s="5" t="str">
        <f>"2009060335682658"</f>
        <v>2009060335682658</v>
      </c>
    </row>
    <row r="66" spans="1:26" ht="15.75" thickBot="1">
      <c r="A66" s="2">
        <v>39967.415532407409</v>
      </c>
      <c r="B66" s="3" t="s">
        <v>11</v>
      </c>
      <c r="C66" s="4" t="s">
        <v>21</v>
      </c>
      <c r="D66" s="5" t="s">
        <v>17</v>
      </c>
      <c r="E66" s="5">
        <v>70</v>
      </c>
      <c r="F66" s="5">
        <v>53</v>
      </c>
      <c r="G66" s="5">
        <v>3710</v>
      </c>
      <c r="H66" s="5" t="str">
        <f>"2009060366781971"</f>
        <v>2009060366781971</v>
      </c>
      <c r="I66" s="5" t="str">
        <f>"2009060300051794"</f>
        <v>2009060300051794</v>
      </c>
    </row>
    <row r="67" spans="1:26" ht="15.75" thickBot="1">
      <c r="A67" s="2">
        <v>39967.41443287037</v>
      </c>
      <c r="B67" s="3" t="s">
        <v>11</v>
      </c>
      <c r="C67" s="4" t="s">
        <v>22</v>
      </c>
      <c r="D67" s="5" t="s">
        <v>17</v>
      </c>
      <c r="E67" s="5">
        <v>100</v>
      </c>
      <c r="F67" s="5">
        <v>116.5</v>
      </c>
      <c r="G67" s="5">
        <v>11650</v>
      </c>
      <c r="H67" s="5" t="str">
        <f>"2009060366782357"</f>
        <v>2009060366782357</v>
      </c>
      <c r="I67" s="5" t="str">
        <f>"2009060333357596"</f>
        <v>2009060333357596</v>
      </c>
    </row>
    <row r="68" spans="1:26" ht="15.75" thickBot="1">
      <c r="A68" s="1" t="s">
        <v>2</v>
      </c>
      <c r="B68" s="1" t="s">
        <v>3</v>
      </c>
      <c r="C68" s="1" t="s">
        <v>4</v>
      </c>
      <c r="D68" s="1" t="s">
        <v>5</v>
      </c>
      <c r="E68" s="1" t="s">
        <v>6</v>
      </c>
      <c r="F68" s="1" t="s">
        <v>7</v>
      </c>
      <c r="G68" s="1" t="s">
        <v>8</v>
      </c>
      <c r="H68" s="1" t="s">
        <v>9</v>
      </c>
      <c r="I68" s="1" t="s">
        <v>10</v>
      </c>
    </row>
    <row r="69" spans="1:26" ht="15.75" thickBot="1">
      <c r="A69" s="2">
        <v>40427.375856481478</v>
      </c>
      <c r="B69" s="3" t="s">
        <v>28</v>
      </c>
      <c r="C69" s="4" t="s">
        <v>12</v>
      </c>
      <c r="D69" s="5" t="s">
        <v>17</v>
      </c>
      <c r="E69" s="5">
        <v>20</v>
      </c>
      <c r="F69" s="5">
        <v>1402.5</v>
      </c>
      <c r="G69" s="5">
        <v>28050</v>
      </c>
      <c r="H69" s="5" t="str">
        <f>"20000000001088"</f>
        <v>20000000001088</v>
      </c>
      <c r="I69" s="5" t="str">
        <f>"201009060001007"</f>
        <v>201009060001007</v>
      </c>
    </row>
    <row r="71" spans="1:26" ht="15.75" thickBot="1">
      <c r="A71" t="s">
        <v>130</v>
      </c>
    </row>
    <row r="72" spans="1:26">
      <c r="A72" s="22" t="s">
        <v>62</v>
      </c>
      <c r="B72" s="29" t="s">
        <v>64</v>
      </c>
      <c r="C72" s="29" t="s">
        <v>65</v>
      </c>
      <c r="D72" s="29" t="s">
        <v>66</v>
      </c>
      <c r="E72" s="22" t="s">
        <v>67</v>
      </c>
      <c r="F72" s="22" t="s">
        <v>67</v>
      </c>
      <c r="G72" s="22" t="s">
        <v>70</v>
      </c>
      <c r="H72" s="22" t="s">
        <v>72</v>
      </c>
      <c r="I72" s="22" t="s">
        <v>73</v>
      </c>
      <c r="J72" s="22" t="s">
        <v>13</v>
      </c>
      <c r="K72" s="29" t="s">
        <v>76</v>
      </c>
      <c r="L72" s="22" t="s">
        <v>77</v>
      </c>
      <c r="M72" s="22" t="s">
        <v>77</v>
      </c>
      <c r="N72" s="22" t="s">
        <v>80</v>
      </c>
      <c r="O72" s="22" t="s">
        <v>82</v>
      </c>
      <c r="P72" s="22" t="s">
        <v>84</v>
      </c>
      <c r="Q72" s="22" t="s">
        <v>86</v>
      </c>
      <c r="R72" s="22" t="s">
        <v>88</v>
      </c>
      <c r="S72" s="22" t="s">
        <v>84</v>
      </c>
      <c r="T72" s="29" t="s">
        <v>91</v>
      </c>
      <c r="U72" s="29" t="s">
        <v>92</v>
      </c>
      <c r="V72" s="22" t="s">
        <v>93</v>
      </c>
      <c r="W72" s="22" t="s">
        <v>95</v>
      </c>
      <c r="X72" s="22" t="s">
        <v>96</v>
      </c>
      <c r="Y72" s="22" t="s">
        <v>97</v>
      </c>
      <c r="Z72" s="29" t="s">
        <v>98</v>
      </c>
    </row>
    <row r="73" spans="1:26">
      <c r="A73" s="23" t="s">
        <v>63</v>
      </c>
      <c r="B73" s="30"/>
      <c r="C73" s="30"/>
      <c r="D73" s="30"/>
      <c r="E73" s="23" t="s">
        <v>68</v>
      </c>
      <c r="F73" s="23" t="s">
        <v>69</v>
      </c>
      <c r="G73" s="23" t="s">
        <v>71</v>
      </c>
      <c r="H73" s="23" t="s">
        <v>71</v>
      </c>
      <c r="I73" s="23" t="s">
        <v>74</v>
      </c>
      <c r="J73" s="23" t="s">
        <v>75</v>
      </c>
      <c r="K73" s="30"/>
      <c r="L73" s="23" t="s">
        <v>78</v>
      </c>
      <c r="M73" s="23" t="s">
        <v>79</v>
      </c>
      <c r="N73" s="23" t="s">
        <v>75</v>
      </c>
      <c r="O73" s="23" t="s">
        <v>83</v>
      </c>
      <c r="P73" s="23" t="s">
        <v>85</v>
      </c>
      <c r="Q73" s="23" t="s">
        <v>87</v>
      </c>
      <c r="R73" s="23" t="s">
        <v>89</v>
      </c>
      <c r="S73" s="23" t="s">
        <v>85</v>
      </c>
      <c r="T73" s="30"/>
      <c r="U73" s="30"/>
      <c r="V73" s="23" t="s">
        <v>94</v>
      </c>
      <c r="W73" s="23" t="s">
        <v>93</v>
      </c>
      <c r="X73" s="23" t="s">
        <v>89</v>
      </c>
      <c r="Y73" s="23" t="s">
        <v>83</v>
      </c>
      <c r="Z73" s="30"/>
    </row>
    <row r="74" spans="1:26">
      <c r="A74" s="23"/>
      <c r="B74" s="30"/>
      <c r="C74" s="30"/>
      <c r="D74" s="30"/>
      <c r="E74" s="23"/>
      <c r="F74" s="23"/>
      <c r="G74" s="23"/>
      <c r="H74" s="23"/>
      <c r="I74" s="23"/>
      <c r="J74" s="23" t="s">
        <v>17</v>
      </c>
      <c r="K74" s="30"/>
      <c r="L74" s="23"/>
      <c r="M74" s="23"/>
      <c r="N74" s="23" t="s">
        <v>81</v>
      </c>
      <c r="O74" s="23"/>
      <c r="P74" s="23"/>
      <c r="Q74" s="23"/>
      <c r="R74" s="23"/>
      <c r="S74" s="23" t="s">
        <v>90</v>
      </c>
      <c r="T74" s="30"/>
      <c r="U74" s="30"/>
      <c r="V74" s="23"/>
      <c r="W74" s="23" t="s">
        <v>94</v>
      </c>
      <c r="X74" s="23"/>
      <c r="Y74" s="23"/>
      <c r="Z74" s="30"/>
    </row>
    <row r="75" spans="1:26">
      <c r="A75" s="23"/>
      <c r="B75" s="30"/>
      <c r="C75" s="30"/>
      <c r="D75" s="30"/>
      <c r="E75" s="23"/>
      <c r="F75" s="23"/>
      <c r="G75" s="23"/>
      <c r="H75" s="23"/>
      <c r="I75" s="23"/>
      <c r="J75" s="23"/>
      <c r="K75" s="30"/>
      <c r="L75" s="23"/>
      <c r="M75" s="23"/>
      <c r="N75" s="23"/>
      <c r="O75" s="23"/>
      <c r="P75" s="23"/>
      <c r="Q75" s="23"/>
      <c r="R75" s="23"/>
      <c r="S75" s="23" t="s">
        <v>88</v>
      </c>
      <c r="T75" s="30"/>
      <c r="U75" s="30"/>
      <c r="V75" s="23"/>
      <c r="W75" s="23"/>
      <c r="X75" s="23"/>
      <c r="Y75" s="23"/>
      <c r="Z75" s="30"/>
    </row>
    <row r="76" spans="1:26" ht="15.75" thickBot="1">
      <c r="A76" s="24"/>
      <c r="B76" s="31"/>
      <c r="C76" s="31"/>
      <c r="D76" s="31"/>
      <c r="E76" s="24"/>
      <c r="F76" s="24"/>
      <c r="G76" s="24"/>
      <c r="H76" s="24"/>
      <c r="I76" s="24"/>
      <c r="J76" s="24"/>
      <c r="K76" s="31"/>
      <c r="L76" s="24"/>
      <c r="M76" s="24"/>
      <c r="N76" s="24"/>
      <c r="O76" s="24"/>
      <c r="P76" s="24"/>
      <c r="Q76" s="24"/>
      <c r="R76" s="24"/>
      <c r="S76" s="24" t="s">
        <v>89</v>
      </c>
      <c r="T76" s="31"/>
      <c r="U76" s="31"/>
      <c r="V76" s="24"/>
      <c r="W76" s="24"/>
      <c r="X76" s="24"/>
      <c r="Y76" s="24"/>
      <c r="Z76" s="31"/>
    </row>
    <row r="77" spans="1:26" ht="15.75" thickBot="1">
      <c r="A77" s="25">
        <v>39471</v>
      </c>
      <c r="B77" s="26">
        <v>2008012450213190</v>
      </c>
      <c r="C77" s="26">
        <v>2008012450364270</v>
      </c>
      <c r="D77" s="27" t="s">
        <v>11</v>
      </c>
      <c r="E77" s="26">
        <v>2008018</v>
      </c>
      <c r="F77" s="27" t="s">
        <v>99</v>
      </c>
      <c r="G77" s="28">
        <v>0.42521990740740739</v>
      </c>
      <c r="H77" s="28">
        <v>0.42521990740740739</v>
      </c>
      <c r="I77" s="27" t="s">
        <v>100</v>
      </c>
      <c r="J77" s="27" t="s">
        <v>101</v>
      </c>
      <c r="K77" s="26">
        <v>50</v>
      </c>
      <c r="L77" s="26">
        <v>458.85</v>
      </c>
      <c r="M77" s="26">
        <v>22942.5</v>
      </c>
      <c r="N77" s="27" t="s">
        <v>102</v>
      </c>
      <c r="O77" s="26">
        <v>114.5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-23057</v>
      </c>
      <c r="Z77" s="27"/>
    </row>
    <row r="78" spans="1:26" ht="15.75" thickBot="1">
      <c r="A78" s="25">
        <v>39471</v>
      </c>
      <c r="B78" s="26">
        <v>2008012400220840</v>
      </c>
      <c r="C78" s="26">
        <v>2008012450399680</v>
      </c>
      <c r="D78" s="27" t="s">
        <v>11</v>
      </c>
      <c r="E78" s="26">
        <v>2008018</v>
      </c>
      <c r="F78" s="27" t="s">
        <v>99</v>
      </c>
      <c r="G78" s="28">
        <v>0.42670138888888887</v>
      </c>
      <c r="H78" s="28">
        <v>0.42670138888888887</v>
      </c>
      <c r="I78" s="27" t="s">
        <v>103</v>
      </c>
      <c r="J78" s="27" t="s">
        <v>101</v>
      </c>
      <c r="K78" s="26">
        <v>50</v>
      </c>
      <c r="L78" s="26">
        <v>569</v>
      </c>
      <c r="M78" s="26">
        <v>28450</v>
      </c>
      <c r="N78" s="27" t="s">
        <v>102</v>
      </c>
      <c r="O78" s="26">
        <v>142.5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-28592.5</v>
      </c>
      <c r="Z78" s="27"/>
    </row>
    <row r="79" spans="1:26" ht="15.75" thickBot="1">
      <c r="A79" s="25">
        <v>39471</v>
      </c>
      <c r="B79" s="26">
        <v>2008012450275200</v>
      </c>
      <c r="C79" s="26">
        <v>2008012450455840</v>
      </c>
      <c r="D79" s="27" t="s">
        <v>11</v>
      </c>
      <c r="E79" s="26">
        <v>2008020</v>
      </c>
      <c r="F79" s="27" t="s">
        <v>99</v>
      </c>
      <c r="G79" s="28">
        <v>0.42914351851851856</v>
      </c>
      <c r="H79" s="28">
        <v>0.42914351851851856</v>
      </c>
      <c r="I79" s="27" t="s">
        <v>104</v>
      </c>
      <c r="J79" s="27" t="s">
        <v>101</v>
      </c>
      <c r="K79" s="26">
        <v>50</v>
      </c>
      <c r="L79" s="26">
        <v>388</v>
      </c>
      <c r="M79" s="26">
        <v>19400</v>
      </c>
      <c r="N79" s="27" t="s">
        <v>102</v>
      </c>
      <c r="O79" s="26">
        <v>19.5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-19419.5</v>
      </c>
      <c r="Z79" s="27"/>
    </row>
    <row r="80" spans="1:26" ht="15.75" thickBot="1">
      <c r="A80" s="25">
        <v>39471</v>
      </c>
      <c r="B80" s="26">
        <v>2008012450297580</v>
      </c>
      <c r="C80" s="26">
        <v>2008012450488490</v>
      </c>
      <c r="D80" s="27" t="s">
        <v>11</v>
      </c>
      <c r="E80" s="26">
        <v>2008018</v>
      </c>
      <c r="F80" s="27" t="s">
        <v>99</v>
      </c>
      <c r="G80" s="28">
        <v>0.43065972222222221</v>
      </c>
      <c r="H80" s="28">
        <v>0.43065972222222221</v>
      </c>
      <c r="I80" s="27" t="s">
        <v>105</v>
      </c>
      <c r="J80" s="27" t="s">
        <v>101</v>
      </c>
      <c r="K80" s="26">
        <v>50</v>
      </c>
      <c r="L80" s="26">
        <v>785.9</v>
      </c>
      <c r="M80" s="26">
        <v>39295</v>
      </c>
      <c r="N80" s="27" t="s">
        <v>102</v>
      </c>
      <c r="O80" s="26">
        <v>196.5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-39491.5</v>
      </c>
      <c r="Z80" s="27"/>
    </row>
    <row r="81" spans="1:26" ht="15.75" thickBot="1">
      <c r="A81" s="25">
        <v>39471</v>
      </c>
      <c r="B81" s="26">
        <v>2008012450337170</v>
      </c>
      <c r="C81" s="26">
        <v>2008012450543150</v>
      </c>
      <c r="D81" s="27" t="s">
        <v>11</v>
      </c>
      <c r="E81" s="26">
        <v>2008018</v>
      </c>
      <c r="F81" s="27" t="s">
        <v>99</v>
      </c>
      <c r="G81" s="28">
        <v>0.4331712962962963</v>
      </c>
      <c r="H81" s="28">
        <v>0.4331712962962963</v>
      </c>
      <c r="I81" s="27" t="s">
        <v>106</v>
      </c>
      <c r="J81" s="27" t="s">
        <v>101</v>
      </c>
      <c r="K81" s="26">
        <v>20</v>
      </c>
      <c r="L81" s="26">
        <v>713.9</v>
      </c>
      <c r="M81" s="26">
        <v>14278</v>
      </c>
      <c r="N81" s="27" t="s">
        <v>102</v>
      </c>
      <c r="O81" s="26">
        <v>71.400000000000006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-14349.4</v>
      </c>
      <c r="Z81" s="27"/>
    </row>
    <row r="82" spans="1:26" ht="15.75" thickBot="1">
      <c r="A82" s="25">
        <v>39471</v>
      </c>
      <c r="B82" s="26">
        <v>2008012400345010</v>
      </c>
      <c r="C82" s="26">
        <v>2008012450582910</v>
      </c>
      <c r="D82" s="27" t="s">
        <v>11</v>
      </c>
      <c r="E82" s="26">
        <v>2008018</v>
      </c>
      <c r="F82" s="27" t="s">
        <v>99</v>
      </c>
      <c r="G82" s="28">
        <v>0.43495370370370368</v>
      </c>
      <c r="H82" s="28">
        <v>0.43495370370370368</v>
      </c>
      <c r="I82" s="27" t="s">
        <v>107</v>
      </c>
      <c r="J82" s="27" t="s">
        <v>101</v>
      </c>
      <c r="K82" s="26">
        <v>4</v>
      </c>
      <c r="L82" s="26">
        <v>1297</v>
      </c>
      <c r="M82" s="26">
        <v>5188</v>
      </c>
      <c r="N82" s="27" t="s">
        <v>102</v>
      </c>
      <c r="O82" s="26">
        <v>25.96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-5213.96</v>
      </c>
      <c r="Z82" s="27"/>
    </row>
    <row r="83" spans="1:26" ht="15.75" thickBot="1">
      <c r="A83" s="25">
        <v>39471</v>
      </c>
      <c r="B83" s="26">
        <v>2008012400345010</v>
      </c>
      <c r="C83" s="26">
        <v>2008012450582910</v>
      </c>
      <c r="D83" s="27" t="s">
        <v>11</v>
      </c>
      <c r="E83" s="26">
        <v>2008018</v>
      </c>
      <c r="F83" s="27" t="s">
        <v>99</v>
      </c>
      <c r="G83" s="28">
        <v>0.43495370370370368</v>
      </c>
      <c r="H83" s="28">
        <v>0.43495370370370368</v>
      </c>
      <c r="I83" s="27" t="s">
        <v>107</v>
      </c>
      <c r="J83" s="27" t="s">
        <v>101</v>
      </c>
      <c r="K83" s="26">
        <v>5</v>
      </c>
      <c r="L83" s="26">
        <v>1297.7</v>
      </c>
      <c r="M83" s="26">
        <v>6488.5</v>
      </c>
      <c r="N83" s="27" t="s">
        <v>102</v>
      </c>
      <c r="O83" s="26">
        <v>32.450000000000003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-6520.95</v>
      </c>
      <c r="Z83" s="27"/>
    </row>
    <row r="84" spans="1:26" ht="15.75" thickBot="1">
      <c r="A84" s="25">
        <v>39471</v>
      </c>
      <c r="B84" s="26">
        <v>2008012400345020</v>
      </c>
      <c r="C84" s="26">
        <v>2008012450582910</v>
      </c>
      <c r="D84" s="27" t="s">
        <v>11</v>
      </c>
      <c r="E84" s="26">
        <v>2008018</v>
      </c>
      <c r="F84" s="27" t="s">
        <v>99</v>
      </c>
      <c r="G84" s="28">
        <v>0.43495370370370368</v>
      </c>
      <c r="H84" s="28">
        <v>0.43495370370370368</v>
      </c>
      <c r="I84" s="27" t="s">
        <v>107</v>
      </c>
      <c r="J84" s="27" t="s">
        <v>101</v>
      </c>
      <c r="K84" s="26">
        <v>18</v>
      </c>
      <c r="L84" s="26">
        <v>1297.75</v>
      </c>
      <c r="M84" s="26">
        <v>23359.5</v>
      </c>
      <c r="N84" s="27" t="s">
        <v>102</v>
      </c>
      <c r="O84" s="26">
        <v>116.82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-23476.32</v>
      </c>
      <c r="Z84" s="27"/>
    </row>
    <row r="85" spans="1:26" ht="15.75" thickBot="1">
      <c r="A85" s="25">
        <v>39471</v>
      </c>
      <c r="B85" s="26">
        <v>2008012400345020</v>
      </c>
      <c r="C85" s="26">
        <v>2008012450582910</v>
      </c>
      <c r="D85" s="27" t="s">
        <v>11</v>
      </c>
      <c r="E85" s="26">
        <v>2008018</v>
      </c>
      <c r="F85" s="27" t="s">
        <v>99</v>
      </c>
      <c r="G85" s="28">
        <v>0.43495370370370368</v>
      </c>
      <c r="H85" s="28">
        <v>0.43495370370370368</v>
      </c>
      <c r="I85" s="27" t="s">
        <v>107</v>
      </c>
      <c r="J85" s="27" t="s">
        <v>101</v>
      </c>
      <c r="K85" s="26">
        <v>10</v>
      </c>
      <c r="L85" s="26">
        <v>1298</v>
      </c>
      <c r="M85" s="26">
        <v>12980</v>
      </c>
      <c r="N85" s="27" t="s">
        <v>102</v>
      </c>
      <c r="O85" s="26">
        <v>64.900000000000006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-13044.9</v>
      </c>
      <c r="Z85" s="27"/>
    </row>
    <row r="86" spans="1:26" ht="15.75" thickBot="1">
      <c r="A86" s="25">
        <v>39471</v>
      </c>
      <c r="B86" s="26">
        <v>2008012400345020</v>
      </c>
      <c r="C86" s="26">
        <v>2008012450582910</v>
      </c>
      <c r="D86" s="27" t="s">
        <v>11</v>
      </c>
      <c r="E86" s="26">
        <v>2008018</v>
      </c>
      <c r="F86" s="27" t="s">
        <v>99</v>
      </c>
      <c r="G86" s="28">
        <v>0.43495370370370368</v>
      </c>
      <c r="H86" s="28">
        <v>0.43495370370370368</v>
      </c>
      <c r="I86" s="27" t="s">
        <v>107</v>
      </c>
      <c r="J86" s="27" t="s">
        <v>101</v>
      </c>
      <c r="K86" s="26">
        <v>10</v>
      </c>
      <c r="L86" s="26">
        <v>1298.9000000000001</v>
      </c>
      <c r="M86" s="26">
        <v>12989</v>
      </c>
      <c r="N86" s="27" t="s">
        <v>102</v>
      </c>
      <c r="O86" s="26">
        <v>64.900000000000006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-13053.9</v>
      </c>
      <c r="Z86" s="27"/>
    </row>
    <row r="87" spans="1:26" ht="15.75" thickBot="1">
      <c r="A87" s="25">
        <v>39471</v>
      </c>
      <c r="B87" s="26">
        <v>2008012400345020</v>
      </c>
      <c r="C87" s="26">
        <v>2008012450582910</v>
      </c>
      <c r="D87" s="27" t="s">
        <v>11</v>
      </c>
      <c r="E87" s="26">
        <v>2008018</v>
      </c>
      <c r="F87" s="27" t="s">
        <v>99</v>
      </c>
      <c r="G87" s="28">
        <v>0.43495370370370368</v>
      </c>
      <c r="H87" s="28">
        <v>0.43495370370370368</v>
      </c>
      <c r="I87" s="27" t="s">
        <v>107</v>
      </c>
      <c r="J87" s="27" t="s">
        <v>101</v>
      </c>
      <c r="K87" s="26">
        <v>3</v>
      </c>
      <c r="L87" s="26">
        <v>1299.9000000000001</v>
      </c>
      <c r="M87" s="26">
        <v>3899.7</v>
      </c>
      <c r="N87" s="27" t="s">
        <v>102</v>
      </c>
      <c r="O87" s="26">
        <v>19.5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-3919.2</v>
      </c>
      <c r="Z87" s="27"/>
    </row>
    <row r="88" spans="1:26" ht="15.75" thickBot="1">
      <c r="A88" s="25">
        <v>39486</v>
      </c>
      <c r="B88" s="26">
        <v>2008020850356490</v>
      </c>
      <c r="C88" s="26">
        <v>2008020850611510</v>
      </c>
      <c r="D88" s="27" t="s">
        <v>11</v>
      </c>
      <c r="E88" s="26">
        <v>2008029</v>
      </c>
      <c r="F88" s="27" t="s">
        <v>99</v>
      </c>
      <c r="G88" s="28">
        <v>0.43410879629629634</v>
      </c>
      <c r="H88" s="28">
        <v>0.43410879629629634</v>
      </c>
      <c r="I88" s="27" t="s">
        <v>108</v>
      </c>
      <c r="J88" s="27" t="s">
        <v>101</v>
      </c>
      <c r="K88" s="26">
        <v>50</v>
      </c>
      <c r="L88" s="26">
        <v>141.94999999999999</v>
      </c>
      <c r="M88" s="26">
        <v>7097.5</v>
      </c>
      <c r="N88" s="27" t="s">
        <v>102</v>
      </c>
      <c r="O88" s="26">
        <v>35.5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-7133</v>
      </c>
      <c r="Z88" s="27"/>
    </row>
    <row r="89" spans="1:26" ht="15.75" thickBot="1">
      <c r="A89" s="25">
        <v>39486</v>
      </c>
      <c r="B89" s="26">
        <v>2008020800442700</v>
      </c>
      <c r="C89" s="26">
        <v>2008020850579480</v>
      </c>
      <c r="D89" s="27" t="s">
        <v>11</v>
      </c>
      <c r="E89" s="26">
        <v>2008029</v>
      </c>
      <c r="F89" s="27" t="s">
        <v>99</v>
      </c>
      <c r="G89" s="28">
        <v>0.44451388888888888</v>
      </c>
      <c r="H89" s="28">
        <v>0.43275462962962963</v>
      </c>
      <c r="I89" s="27" t="s">
        <v>109</v>
      </c>
      <c r="J89" s="27" t="s">
        <v>101</v>
      </c>
      <c r="K89" s="26">
        <v>20</v>
      </c>
      <c r="L89" s="26">
        <v>333</v>
      </c>
      <c r="M89" s="26">
        <v>6660</v>
      </c>
      <c r="N89" s="27" t="s">
        <v>102</v>
      </c>
      <c r="O89" s="26">
        <v>33.4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-6693.4</v>
      </c>
      <c r="Z89" s="27"/>
    </row>
    <row r="90" spans="1:26" ht="24" thickBot="1">
      <c r="A90" s="25">
        <v>39492</v>
      </c>
      <c r="B90" s="26">
        <v>2008021401231440</v>
      </c>
      <c r="C90" s="26">
        <v>2008021450246300</v>
      </c>
      <c r="D90" s="27" t="s">
        <v>11</v>
      </c>
      <c r="E90" s="26">
        <v>2008033</v>
      </c>
      <c r="F90" s="27" t="s">
        <v>99</v>
      </c>
      <c r="G90" s="28">
        <v>0.52346064814814819</v>
      </c>
      <c r="H90" s="28">
        <v>0.41898148148148145</v>
      </c>
      <c r="I90" s="27" t="s">
        <v>110</v>
      </c>
      <c r="J90" s="27" t="s">
        <v>101</v>
      </c>
      <c r="K90" s="26">
        <v>20</v>
      </c>
      <c r="L90" s="26">
        <v>605</v>
      </c>
      <c r="M90" s="26">
        <v>12100</v>
      </c>
      <c r="N90" s="27" t="s">
        <v>102</v>
      </c>
      <c r="O90" s="26">
        <v>60.6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-12160.6</v>
      </c>
      <c r="Z90" s="27"/>
    </row>
    <row r="91" spans="1:26" ht="15.75" thickBot="1">
      <c r="A91" s="25">
        <v>39492</v>
      </c>
      <c r="B91" s="26">
        <v>2008021451593770</v>
      </c>
      <c r="C91" s="26">
        <v>2008021450330800</v>
      </c>
      <c r="D91" s="27" t="s">
        <v>11</v>
      </c>
      <c r="E91" s="26">
        <v>2008033</v>
      </c>
      <c r="F91" s="27" t="s">
        <v>99</v>
      </c>
      <c r="G91" s="28">
        <v>0.57173611111111111</v>
      </c>
      <c r="H91" s="28">
        <v>0.42175925925925922</v>
      </c>
      <c r="I91" s="27" t="s">
        <v>111</v>
      </c>
      <c r="J91" s="27" t="s">
        <v>101</v>
      </c>
      <c r="K91" s="26">
        <v>20</v>
      </c>
      <c r="L91" s="26">
        <v>415</v>
      </c>
      <c r="M91" s="26">
        <v>8300</v>
      </c>
      <c r="N91" s="27" t="s">
        <v>102</v>
      </c>
      <c r="O91" s="26">
        <v>41.6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-8341.6</v>
      </c>
      <c r="Z91" s="27"/>
    </row>
    <row r="92" spans="1:26" ht="15.75" thickBot="1">
      <c r="A92" s="25">
        <v>39496</v>
      </c>
      <c r="B92" s="26">
        <v>2008021800642280</v>
      </c>
      <c r="C92" s="26">
        <v>2008021850416120</v>
      </c>
      <c r="D92" s="27" t="s">
        <v>11</v>
      </c>
      <c r="E92" s="26">
        <v>2008035</v>
      </c>
      <c r="F92" s="27" t="s">
        <v>99</v>
      </c>
      <c r="G92" s="28">
        <v>0.46895833333333337</v>
      </c>
      <c r="H92" s="28">
        <v>0.42584490740740738</v>
      </c>
      <c r="I92" s="27" t="s">
        <v>112</v>
      </c>
      <c r="J92" s="27" t="s">
        <v>101</v>
      </c>
      <c r="K92" s="26">
        <v>10</v>
      </c>
      <c r="L92" s="26">
        <v>2785</v>
      </c>
      <c r="M92" s="26">
        <v>27850</v>
      </c>
      <c r="N92" s="27" t="s">
        <v>102</v>
      </c>
      <c r="O92" s="26">
        <v>139.30000000000001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-27989.3</v>
      </c>
      <c r="Z92" s="27"/>
    </row>
    <row r="93" spans="1:26" ht="24" thickBot="1">
      <c r="A93" s="25">
        <v>39496</v>
      </c>
      <c r="B93" s="26">
        <v>2008021852234080</v>
      </c>
      <c r="C93" s="26">
        <v>2008021850625140</v>
      </c>
      <c r="D93" s="27" t="s">
        <v>11</v>
      </c>
      <c r="E93" s="26">
        <v>2008035</v>
      </c>
      <c r="F93" s="27" t="s">
        <v>99</v>
      </c>
      <c r="G93" s="28">
        <v>0.62560185185185191</v>
      </c>
      <c r="H93" s="28">
        <v>0.43471064814814814</v>
      </c>
      <c r="I93" s="27" t="s">
        <v>113</v>
      </c>
      <c r="J93" s="27" t="s">
        <v>101</v>
      </c>
      <c r="K93" s="26">
        <v>10</v>
      </c>
      <c r="L93" s="26">
        <v>775</v>
      </c>
      <c r="M93" s="26">
        <v>7750</v>
      </c>
      <c r="N93" s="27" t="s">
        <v>102</v>
      </c>
      <c r="O93" s="26">
        <v>38.799999999999997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-7788.8</v>
      </c>
      <c r="Z93" s="27"/>
    </row>
    <row r="94" spans="1:26" ht="15.75" thickBot="1">
      <c r="A94" s="25">
        <v>39524</v>
      </c>
      <c r="B94" s="26">
        <v>2008031766895970</v>
      </c>
      <c r="C94" s="26">
        <v>2008031766980980</v>
      </c>
      <c r="D94" s="27" t="s">
        <v>11</v>
      </c>
      <c r="E94" s="26">
        <v>2008054</v>
      </c>
      <c r="F94" s="27" t="s">
        <v>99</v>
      </c>
      <c r="G94" s="28">
        <v>0.43557870370370372</v>
      </c>
      <c r="H94" s="28">
        <v>0.42942129629629627</v>
      </c>
      <c r="I94" s="27" t="s">
        <v>114</v>
      </c>
      <c r="J94" s="27" t="s">
        <v>101</v>
      </c>
      <c r="K94" s="26">
        <v>10</v>
      </c>
      <c r="L94" s="26">
        <v>270</v>
      </c>
      <c r="M94" s="26">
        <v>2700</v>
      </c>
      <c r="N94" s="27" t="s">
        <v>102</v>
      </c>
      <c r="O94" s="26">
        <v>25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-2725</v>
      </c>
      <c r="Z94" s="27"/>
    </row>
    <row r="95" spans="1:26" ht="24" thickBot="1">
      <c r="A95" s="25">
        <v>39589</v>
      </c>
      <c r="B95" s="26">
        <v>2008052167435240</v>
      </c>
      <c r="C95" s="26">
        <v>2008052167379840</v>
      </c>
      <c r="D95" s="27" t="s">
        <v>11</v>
      </c>
      <c r="E95" s="26">
        <v>2008095</v>
      </c>
      <c r="F95" s="27" t="s">
        <v>99</v>
      </c>
      <c r="G95" s="28">
        <v>0.51175925925925925</v>
      </c>
      <c r="H95" s="28">
        <v>0.45144675925925926</v>
      </c>
      <c r="I95" s="33" t="s">
        <v>115</v>
      </c>
      <c r="J95" s="33" t="s">
        <v>116</v>
      </c>
      <c r="K95" s="34">
        <v>20</v>
      </c>
      <c r="L95" s="26">
        <v>110</v>
      </c>
      <c r="M95" s="26">
        <v>2200</v>
      </c>
      <c r="N95" s="27" t="s">
        <v>102</v>
      </c>
      <c r="O95" s="26">
        <v>25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2175</v>
      </c>
      <c r="Z95" s="27"/>
    </row>
    <row r="96" spans="1:26" ht="15.75" thickBot="1">
      <c r="A96" s="25">
        <v>39590</v>
      </c>
      <c r="B96" s="26">
        <v>2008052234670700</v>
      </c>
      <c r="C96" s="26">
        <v>2008052267538300</v>
      </c>
      <c r="D96" s="27" t="s">
        <v>11</v>
      </c>
      <c r="E96" s="26">
        <v>2008096</v>
      </c>
      <c r="F96" s="27" t="s">
        <v>99</v>
      </c>
      <c r="G96" s="28">
        <v>0.55312499999999998</v>
      </c>
      <c r="H96" s="28">
        <v>0.46276620370370369</v>
      </c>
      <c r="I96" s="27" t="s">
        <v>117</v>
      </c>
      <c r="J96" s="27" t="s">
        <v>101</v>
      </c>
      <c r="K96" s="26">
        <v>50</v>
      </c>
      <c r="L96" s="26">
        <v>108</v>
      </c>
      <c r="M96" s="26">
        <v>5400</v>
      </c>
      <c r="N96" s="27" t="s">
        <v>102</v>
      </c>
      <c r="O96" s="26">
        <v>27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-5427</v>
      </c>
      <c r="Z96" s="27"/>
    </row>
    <row r="97" spans="1:26" ht="15.75" thickBot="1">
      <c r="A97" s="25">
        <v>39590</v>
      </c>
      <c r="B97" s="26">
        <v>2008052235419370</v>
      </c>
      <c r="C97" s="26">
        <v>2008052267594810</v>
      </c>
      <c r="D97" s="27" t="s">
        <v>11</v>
      </c>
      <c r="E97" s="26">
        <v>2008096</v>
      </c>
      <c r="F97" s="27" t="s">
        <v>99</v>
      </c>
      <c r="G97" s="28">
        <v>0.6448032407407408</v>
      </c>
      <c r="H97" s="28">
        <v>0.46748842592592593</v>
      </c>
      <c r="I97" s="27" t="s">
        <v>118</v>
      </c>
      <c r="J97" s="27" t="s">
        <v>101</v>
      </c>
      <c r="K97" s="26">
        <v>20</v>
      </c>
      <c r="L97" s="26">
        <v>150</v>
      </c>
      <c r="M97" s="26">
        <v>3000</v>
      </c>
      <c r="N97" s="27" t="s">
        <v>102</v>
      </c>
      <c r="O97" s="26">
        <v>25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-3025</v>
      </c>
      <c r="Z97" s="27"/>
    </row>
    <row r="98" spans="1:26" ht="24" thickBot="1">
      <c r="A98" s="25">
        <v>39591</v>
      </c>
      <c r="B98" s="26">
        <v>2008052366951690</v>
      </c>
      <c r="C98" s="26">
        <v>2008052367283720</v>
      </c>
      <c r="D98" s="27" t="s">
        <v>11</v>
      </c>
      <c r="E98" s="26">
        <v>2008097</v>
      </c>
      <c r="F98" s="27" t="s">
        <v>99</v>
      </c>
      <c r="G98" s="28">
        <v>0.45842592592592596</v>
      </c>
      <c r="H98" s="28">
        <v>0.44746527777777773</v>
      </c>
      <c r="I98" s="33" t="s">
        <v>119</v>
      </c>
      <c r="J98" s="33" t="s">
        <v>116</v>
      </c>
      <c r="K98" s="34">
        <v>20</v>
      </c>
      <c r="L98" s="26">
        <v>590</v>
      </c>
      <c r="M98" s="26">
        <v>11800</v>
      </c>
      <c r="N98" s="27" t="s">
        <v>102</v>
      </c>
      <c r="O98" s="26">
        <v>59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11741</v>
      </c>
      <c r="Z98" s="27"/>
    </row>
    <row r="99" spans="1:26" ht="24" thickBot="1">
      <c r="A99" s="25">
        <v>39591</v>
      </c>
      <c r="B99" s="26">
        <v>2008052333800480</v>
      </c>
      <c r="C99" s="26">
        <v>2008052367355770</v>
      </c>
      <c r="D99" s="27" t="s">
        <v>11</v>
      </c>
      <c r="E99" s="26">
        <v>2008097</v>
      </c>
      <c r="F99" s="27" t="s">
        <v>99</v>
      </c>
      <c r="G99" s="28">
        <v>0.46326388888888892</v>
      </c>
      <c r="H99" s="28">
        <v>0.45439814814814811</v>
      </c>
      <c r="I99" s="27" t="s">
        <v>120</v>
      </c>
      <c r="J99" s="27" t="s">
        <v>101</v>
      </c>
      <c r="K99" s="26">
        <v>5</v>
      </c>
      <c r="L99" s="26">
        <v>1050</v>
      </c>
      <c r="M99" s="26">
        <v>5250</v>
      </c>
      <c r="N99" s="27" t="s">
        <v>102</v>
      </c>
      <c r="O99" s="26">
        <v>26.25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-5276.25</v>
      </c>
      <c r="Z99" s="27"/>
    </row>
    <row r="100" spans="1:26" ht="35.25" thickBot="1">
      <c r="A100" s="25">
        <v>39591</v>
      </c>
      <c r="B100" s="26">
        <v>2008052335170080</v>
      </c>
      <c r="C100" s="26">
        <v>2008052367299340</v>
      </c>
      <c r="D100" s="27" t="s">
        <v>11</v>
      </c>
      <c r="E100" s="26">
        <v>2008097</v>
      </c>
      <c r="F100" s="27" t="s">
        <v>99</v>
      </c>
      <c r="G100" s="28">
        <v>0.64366898148148144</v>
      </c>
      <c r="H100" s="28">
        <v>0.44896990740740739</v>
      </c>
      <c r="I100" s="27" t="s">
        <v>121</v>
      </c>
      <c r="J100" s="27" t="s">
        <v>101</v>
      </c>
      <c r="K100" s="26">
        <v>20</v>
      </c>
      <c r="L100" s="26">
        <v>100</v>
      </c>
      <c r="M100" s="26">
        <v>2000</v>
      </c>
      <c r="N100" s="27" t="s">
        <v>102</v>
      </c>
      <c r="O100" s="26">
        <v>25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-2025</v>
      </c>
      <c r="Z100" s="27"/>
    </row>
    <row r="101" spans="1:26" ht="24" thickBot="1">
      <c r="A101" s="25">
        <v>39594</v>
      </c>
      <c r="B101" s="26">
        <v>2008052601613250</v>
      </c>
      <c r="C101" s="26">
        <v>2008052668803040</v>
      </c>
      <c r="D101" s="27" t="s">
        <v>11</v>
      </c>
      <c r="E101" s="26">
        <v>2008098</v>
      </c>
      <c r="F101" s="27" t="s">
        <v>99</v>
      </c>
      <c r="G101" s="28">
        <v>0.63194444444444442</v>
      </c>
      <c r="H101" s="28">
        <v>0.63194444444444442</v>
      </c>
      <c r="I101" s="27" t="s">
        <v>122</v>
      </c>
      <c r="J101" s="27" t="s">
        <v>101</v>
      </c>
      <c r="K101" s="26">
        <v>20</v>
      </c>
      <c r="L101" s="26">
        <v>685</v>
      </c>
      <c r="M101" s="26">
        <v>13700</v>
      </c>
      <c r="N101" s="27" t="s">
        <v>102</v>
      </c>
      <c r="O101" s="26">
        <v>68.599999999999994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-13768.6</v>
      </c>
      <c r="Z101" s="27"/>
    </row>
    <row r="102" spans="1:26" ht="24" thickBot="1">
      <c r="A102" s="25">
        <v>39633</v>
      </c>
      <c r="B102" s="26">
        <v>2008070433451050</v>
      </c>
      <c r="C102" s="26">
        <v>2008070466923860</v>
      </c>
      <c r="D102" s="27" t="s">
        <v>11</v>
      </c>
      <c r="E102" s="26">
        <v>2008127</v>
      </c>
      <c r="F102" s="27" t="s">
        <v>99</v>
      </c>
      <c r="G102" s="28">
        <v>0.42430555555555555</v>
      </c>
      <c r="H102" s="28">
        <v>0.42383101851851851</v>
      </c>
      <c r="I102" s="27" t="s">
        <v>123</v>
      </c>
      <c r="J102" s="27" t="s">
        <v>101</v>
      </c>
      <c r="K102" s="26">
        <v>10</v>
      </c>
      <c r="L102" s="26">
        <v>130</v>
      </c>
      <c r="M102" s="26">
        <v>1300</v>
      </c>
      <c r="N102" s="27" t="s">
        <v>102</v>
      </c>
      <c r="O102" s="26">
        <v>25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-1325</v>
      </c>
      <c r="Z102" s="27"/>
    </row>
    <row r="103" spans="1:26" ht="24" thickBot="1">
      <c r="A103" s="25">
        <v>39633</v>
      </c>
      <c r="B103" s="26">
        <v>2008070400178860</v>
      </c>
      <c r="C103" s="26">
        <v>2008070466874360</v>
      </c>
      <c r="D103" s="27" t="s">
        <v>11</v>
      </c>
      <c r="E103" s="26">
        <v>2008127</v>
      </c>
      <c r="F103" s="27" t="s">
        <v>99</v>
      </c>
      <c r="G103" s="28">
        <v>0.4314351851851852</v>
      </c>
      <c r="H103" s="28">
        <v>0.42116898148148146</v>
      </c>
      <c r="I103" s="27" t="s">
        <v>124</v>
      </c>
      <c r="J103" s="27" t="s">
        <v>101</v>
      </c>
      <c r="K103" s="26">
        <v>10</v>
      </c>
      <c r="L103" s="26">
        <v>153</v>
      </c>
      <c r="M103" s="26">
        <v>1530</v>
      </c>
      <c r="N103" s="27" t="s">
        <v>102</v>
      </c>
      <c r="O103" s="26">
        <v>25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-1555</v>
      </c>
      <c r="Z103" s="27"/>
    </row>
    <row r="104" spans="1:26" ht="24" thickBot="1">
      <c r="A104" s="25">
        <v>39735</v>
      </c>
      <c r="B104" s="26">
        <v>2008101467000310</v>
      </c>
      <c r="C104" s="26">
        <v>2008101467262870</v>
      </c>
      <c r="D104" s="27" t="s">
        <v>11</v>
      </c>
      <c r="E104" s="26">
        <v>2008195</v>
      </c>
      <c r="F104" s="27" t="s">
        <v>99</v>
      </c>
      <c r="G104" s="28">
        <v>0.44041666666666668</v>
      </c>
      <c r="H104" s="28">
        <v>0.44041666666666668</v>
      </c>
      <c r="I104" s="27" t="s">
        <v>125</v>
      </c>
      <c r="J104" s="27" t="s">
        <v>101</v>
      </c>
      <c r="K104" s="26">
        <v>1</v>
      </c>
      <c r="L104" s="26">
        <v>130</v>
      </c>
      <c r="M104" s="26">
        <v>130</v>
      </c>
      <c r="N104" s="27" t="s">
        <v>102</v>
      </c>
      <c r="O104" s="26">
        <v>0.65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-130.65</v>
      </c>
      <c r="Z104" s="27"/>
    </row>
    <row r="105" spans="1:26" ht="24" thickBot="1">
      <c r="A105" s="25">
        <v>39735</v>
      </c>
      <c r="B105" s="26">
        <v>2008101467000310</v>
      </c>
      <c r="C105" s="26">
        <v>2008101467262870</v>
      </c>
      <c r="D105" s="27" t="s">
        <v>11</v>
      </c>
      <c r="E105" s="26">
        <v>2008195</v>
      </c>
      <c r="F105" s="27" t="s">
        <v>99</v>
      </c>
      <c r="G105" s="28">
        <v>0.44041666666666668</v>
      </c>
      <c r="H105" s="28">
        <v>0.44041666666666668</v>
      </c>
      <c r="I105" s="27" t="s">
        <v>125</v>
      </c>
      <c r="J105" s="27" t="s">
        <v>101</v>
      </c>
      <c r="K105" s="26">
        <v>49</v>
      </c>
      <c r="L105" s="26">
        <v>130</v>
      </c>
      <c r="M105" s="26">
        <v>6370</v>
      </c>
      <c r="N105" s="27" t="s">
        <v>102</v>
      </c>
      <c r="O105" s="26">
        <v>31.85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-6401.85</v>
      </c>
      <c r="Z105" s="27"/>
    </row>
    <row r="106" spans="1:26" ht="15.75" thickBot="1">
      <c r="A106" s="25">
        <v>39735</v>
      </c>
      <c r="B106" s="26">
        <v>2008101400564710</v>
      </c>
      <c r="C106" s="26">
        <v>2008101467539650</v>
      </c>
      <c r="D106" s="27" t="s">
        <v>11</v>
      </c>
      <c r="E106" s="26">
        <v>2008195</v>
      </c>
      <c r="F106" s="27" t="s">
        <v>99</v>
      </c>
      <c r="G106" s="28">
        <v>0.46505787037037033</v>
      </c>
      <c r="H106" s="28">
        <v>0.45868055555555554</v>
      </c>
      <c r="I106" s="27" t="s">
        <v>126</v>
      </c>
      <c r="J106" s="27" t="s">
        <v>101</v>
      </c>
      <c r="K106" s="26">
        <v>11</v>
      </c>
      <c r="L106" s="26">
        <v>126</v>
      </c>
      <c r="M106" s="26">
        <v>1386</v>
      </c>
      <c r="N106" s="27" t="s">
        <v>102</v>
      </c>
      <c r="O106" s="26">
        <v>6.93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-1392.93</v>
      </c>
      <c r="Z106" s="27"/>
    </row>
    <row r="107" spans="1:26" ht="15.75" thickBot="1">
      <c r="A107" s="25">
        <v>39735</v>
      </c>
      <c r="B107" s="26">
        <v>2008101400564760</v>
      </c>
      <c r="C107" s="26">
        <v>2008101467539650</v>
      </c>
      <c r="D107" s="27" t="s">
        <v>11</v>
      </c>
      <c r="E107" s="26">
        <v>2008195</v>
      </c>
      <c r="F107" s="27" t="s">
        <v>99</v>
      </c>
      <c r="G107" s="28">
        <v>0.46506944444444448</v>
      </c>
      <c r="H107" s="28">
        <v>0.45868055555555554</v>
      </c>
      <c r="I107" s="27" t="s">
        <v>126</v>
      </c>
      <c r="J107" s="27" t="s">
        <v>101</v>
      </c>
      <c r="K107" s="26">
        <v>1</v>
      </c>
      <c r="L107" s="26">
        <v>126</v>
      </c>
      <c r="M107" s="26">
        <v>126</v>
      </c>
      <c r="N107" s="27" t="s">
        <v>102</v>
      </c>
      <c r="O107" s="26">
        <v>0.63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-126.63</v>
      </c>
      <c r="Z107" s="27"/>
    </row>
    <row r="108" spans="1:26" ht="15.75" thickBot="1">
      <c r="A108" s="25">
        <v>39735</v>
      </c>
      <c r="B108" s="26">
        <v>2008101400567000</v>
      </c>
      <c r="C108" s="26">
        <v>2008101467539650</v>
      </c>
      <c r="D108" s="27" t="s">
        <v>11</v>
      </c>
      <c r="E108" s="26">
        <v>2008195</v>
      </c>
      <c r="F108" s="27" t="s">
        <v>99</v>
      </c>
      <c r="G108" s="28">
        <v>0.46533564814814815</v>
      </c>
      <c r="H108" s="28">
        <v>0.45868055555555554</v>
      </c>
      <c r="I108" s="27" t="s">
        <v>126</v>
      </c>
      <c r="J108" s="27" t="s">
        <v>101</v>
      </c>
      <c r="K108" s="26">
        <v>1</v>
      </c>
      <c r="L108" s="26">
        <v>126</v>
      </c>
      <c r="M108" s="26">
        <v>126</v>
      </c>
      <c r="N108" s="27" t="s">
        <v>102</v>
      </c>
      <c r="O108" s="26">
        <v>0.63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-126.63</v>
      </c>
      <c r="Z108" s="27"/>
    </row>
    <row r="109" spans="1:26" ht="15.75" thickBot="1">
      <c r="A109" s="25">
        <v>39735</v>
      </c>
      <c r="B109" s="26">
        <v>2008101400577450</v>
      </c>
      <c r="C109" s="26">
        <v>2008101467539650</v>
      </c>
      <c r="D109" s="27" t="s">
        <v>11</v>
      </c>
      <c r="E109" s="26">
        <v>2008195</v>
      </c>
      <c r="F109" s="27" t="s">
        <v>99</v>
      </c>
      <c r="G109" s="28">
        <v>0.4664699074074074</v>
      </c>
      <c r="H109" s="28">
        <v>0.45868055555555554</v>
      </c>
      <c r="I109" s="27" t="s">
        <v>126</v>
      </c>
      <c r="J109" s="27" t="s">
        <v>101</v>
      </c>
      <c r="K109" s="26">
        <v>37</v>
      </c>
      <c r="L109" s="26">
        <v>126</v>
      </c>
      <c r="M109" s="26">
        <v>4662</v>
      </c>
      <c r="N109" s="27" t="s">
        <v>102</v>
      </c>
      <c r="O109" s="26">
        <v>23.31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-4685.3100000000004</v>
      </c>
      <c r="Z109" s="27"/>
    </row>
    <row r="110" spans="1:26" ht="24" thickBot="1">
      <c r="A110" s="25">
        <v>39735</v>
      </c>
      <c r="B110" s="26">
        <v>2008101467246760</v>
      </c>
      <c r="C110" s="26">
        <v>2008101467502780</v>
      </c>
      <c r="D110" s="27" t="s">
        <v>11</v>
      </c>
      <c r="E110" s="26">
        <v>2008195</v>
      </c>
      <c r="F110" s="27" t="s">
        <v>99</v>
      </c>
      <c r="G110" s="28">
        <v>0.47113425925925928</v>
      </c>
      <c r="H110" s="28">
        <v>0.4562268518518518</v>
      </c>
      <c r="I110" s="27" t="s">
        <v>127</v>
      </c>
      <c r="J110" s="27" t="s">
        <v>101</v>
      </c>
      <c r="K110" s="26">
        <v>50</v>
      </c>
      <c r="L110" s="26">
        <v>250</v>
      </c>
      <c r="M110" s="26">
        <v>12500</v>
      </c>
      <c r="N110" s="27" t="s">
        <v>102</v>
      </c>
      <c r="O110" s="26">
        <v>62.5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-12562.5</v>
      </c>
      <c r="Z110" s="27"/>
    </row>
    <row r="111" spans="1:26" ht="24" thickBot="1">
      <c r="A111" s="25">
        <v>39735</v>
      </c>
      <c r="B111" s="26">
        <v>2008101467654490</v>
      </c>
      <c r="C111" s="26">
        <v>2008101467369980</v>
      </c>
      <c r="D111" s="27" t="s">
        <v>11</v>
      </c>
      <c r="E111" s="26">
        <v>2008195</v>
      </c>
      <c r="F111" s="27" t="s">
        <v>99</v>
      </c>
      <c r="G111" s="28">
        <v>0.52020833333333327</v>
      </c>
      <c r="H111" s="28">
        <v>0.44708333333333333</v>
      </c>
      <c r="I111" s="27" t="s">
        <v>119</v>
      </c>
      <c r="J111" s="27" t="s">
        <v>101</v>
      </c>
      <c r="K111" s="26">
        <v>50</v>
      </c>
      <c r="L111" s="26">
        <v>295</v>
      </c>
      <c r="M111" s="26">
        <v>14750</v>
      </c>
      <c r="N111" s="27" t="s">
        <v>102</v>
      </c>
      <c r="O111" s="26">
        <v>74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-14824</v>
      </c>
      <c r="Z111" s="27"/>
    </row>
    <row r="112" spans="1:26" ht="15.75" thickBot="1">
      <c r="A112" s="25">
        <v>39735</v>
      </c>
      <c r="B112" s="26">
        <v>2008101434329400</v>
      </c>
      <c r="C112" s="26">
        <v>2008101467103530</v>
      </c>
      <c r="D112" s="27" t="s">
        <v>11</v>
      </c>
      <c r="E112" s="26">
        <v>2008195</v>
      </c>
      <c r="F112" s="27" t="s">
        <v>99</v>
      </c>
      <c r="G112" s="28">
        <v>0.52350694444444446</v>
      </c>
      <c r="H112" s="28">
        <v>0.4309027777777778</v>
      </c>
      <c r="I112" s="27" t="s">
        <v>128</v>
      </c>
      <c r="J112" s="27" t="s">
        <v>101</v>
      </c>
      <c r="K112" s="26">
        <v>100</v>
      </c>
      <c r="L112" s="26">
        <v>100</v>
      </c>
      <c r="M112" s="26">
        <v>10000</v>
      </c>
      <c r="N112" s="27" t="s">
        <v>102</v>
      </c>
      <c r="O112" s="26">
        <v>50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-10050</v>
      </c>
      <c r="Z112" s="27"/>
    </row>
    <row r="113" spans="1:26" ht="15.75" thickBot="1">
      <c r="A113" s="25">
        <v>39735</v>
      </c>
      <c r="B113" s="26">
        <v>2008101401871480</v>
      </c>
      <c r="C113" s="26">
        <v>2008101467447500</v>
      </c>
      <c r="D113" s="27" t="s">
        <v>11</v>
      </c>
      <c r="E113" s="26">
        <v>2008195</v>
      </c>
      <c r="F113" s="27" t="s">
        <v>99</v>
      </c>
      <c r="G113" s="28">
        <v>0.62010416666666668</v>
      </c>
      <c r="H113" s="28">
        <v>0.45233796296296297</v>
      </c>
      <c r="I113" s="27" t="s">
        <v>129</v>
      </c>
      <c r="J113" s="27" t="s">
        <v>101</v>
      </c>
      <c r="K113" s="26">
        <v>50</v>
      </c>
      <c r="L113" s="26">
        <v>37</v>
      </c>
      <c r="M113" s="26">
        <v>1850</v>
      </c>
      <c r="N113" s="27" t="s">
        <v>102</v>
      </c>
      <c r="O113" s="26">
        <v>25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-1875</v>
      </c>
      <c r="Z113" s="27"/>
    </row>
    <row r="115" spans="1:26" ht="15.75" thickBot="1">
      <c r="A115" t="s">
        <v>131</v>
      </c>
    </row>
    <row r="116" spans="1:26">
      <c r="A116" s="29" t="s">
        <v>63</v>
      </c>
      <c r="B116" s="29" t="s">
        <v>64</v>
      </c>
      <c r="C116" s="29" t="s">
        <v>65</v>
      </c>
      <c r="D116" s="29" t="s">
        <v>66</v>
      </c>
      <c r="E116" s="22" t="s">
        <v>67</v>
      </c>
      <c r="F116" s="22" t="s">
        <v>67</v>
      </c>
      <c r="G116" s="22" t="s">
        <v>70</v>
      </c>
      <c r="H116" s="22" t="s">
        <v>72</v>
      </c>
      <c r="I116" s="22" t="s">
        <v>73</v>
      </c>
      <c r="J116" s="22" t="s">
        <v>13</v>
      </c>
      <c r="K116" s="29" t="s">
        <v>76</v>
      </c>
      <c r="L116" s="22" t="s">
        <v>77</v>
      </c>
      <c r="M116" s="22" t="s">
        <v>77</v>
      </c>
      <c r="N116" s="22" t="s">
        <v>80</v>
      </c>
      <c r="O116" s="22" t="s">
        <v>82</v>
      </c>
      <c r="P116" s="22" t="s">
        <v>84</v>
      </c>
      <c r="Q116" s="22" t="s">
        <v>86</v>
      </c>
      <c r="R116" s="22" t="s">
        <v>88</v>
      </c>
      <c r="S116" s="22" t="s">
        <v>84</v>
      </c>
      <c r="T116" s="29" t="s">
        <v>91</v>
      </c>
      <c r="U116" s="29" t="s">
        <v>92</v>
      </c>
      <c r="V116" s="22" t="s">
        <v>93</v>
      </c>
      <c r="W116" s="22" t="s">
        <v>95</v>
      </c>
      <c r="X116" s="22" t="s">
        <v>96</v>
      </c>
      <c r="Y116" s="22" t="s">
        <v>97</v>
      </c>
      <c r="Z116" s="29" t="s">
        <v>98</v>
      </c>
    </row>
    <row r="117" spans="1:26">
      <c r="A117" s="30"/>
      <c r="B117" s="30"/>
      <c r="C117" s="30"/>
      <c r="D117" s="30"/>
      <c r="E117" s="23" t="s">
        <v>68</v>
      </c>
      <c r="F117" s="23" t="s">
        <v>69</v>
      </c>
      <c r="G117" s="23" t="s">
        <v>71</v>
      </c>
      <c r="H117" s="23" t="s">
        <v>71</v>
      </c>
      <c r="I117" s="23" t="s">
        <v>74</v>
      </c>
      <c r="J117" s="23" t="s">
        <v>75</v>
      </c>
      <c r="K117" s="30"/>
      <c r="L117" s="23" t="s">
        <v>78</v>
      </c>
      <c r="M117" s="23" t="s">
        <v>79</v>
      </c>
      <c r="N117" s="23" t="s">
        <v>75</v>
      </c>
      <c r="O117" s="23" t="s">
        <v>83</v>
      </c>
      <c r="P117" s="23" t="s">
        <v>85</v>
      </c>
      <c r="Q117" s="23" t="s">
        <v>87</v>
      </c>
      <c r="R117" s="23" t="s">
        <v>89</v>
      </c>
      <c r="S117" s="23" t="s">
        <v>85</v>
      </c>
      <c r="T117" s="30"/>
      <c r="U117" s="30"/>
      <c r="V117" s="23" t="s">
        <v>94</v>
      </c>
      <c r="W117" s="23" t="s">
        <v>93</v>
      </c>
      <c r="X117" s="23" t="s">
        <v>89</v>
      </c>
      <c r="Y117" s="23" t="s">
        <v>83</v>
      </c>
      <c r="Z117" s="30"/>
    </row>
    <row r="118" spans="1:26">
      <c r="A118" s="30"/>
      <c r="B118" s="30"/>
      <c r="C118" s="30"/>
      <c r="D118" s="30"/>
      <c r="E118" s="23"/>
      <c r="F118" s="23"/>
      <c r="G118" s="23"/>
      <c r="H118" s="23"/>
      <c r="I118" s="23"/>
      <c r="J118" s="23" t="s">
        <v>17</v>
      </c>
      <c r="K118" s="30"/>
      <c r="L118" s="23"/>
      <c r="M118" s="23"/>
      <c r="N118" s="23" t="s">
        <v>81</v>
      </c>
      <c r="O118" s="23"/>
      <c r="P118" s="23"/>
      <c r="Q118" s="23"/>
      <c r="R118" s="23"/>
      <c r="S118" s="23" t="s">
        <v>90</v>
      </c>
      <c r="T118" s="30"/>
      <c r="U118" s="30"/>
      <c r="V118" s="23"/>
      <c r="W118" s="23" t="s">
        <v>94</v>
      </c>
      <c r="X118" s="23"/>
      <c r="Y118" s="23"/>
      <c r="Z118" s="30"/>
    </row>
    <row r="119" spans="1:26">
      <c r="A119" s="30"/>
      <c r="B119" s="30"/>
      <c r="C119" s="30"/>
      <c r="D119" s="30"/>
      <c r="E119" s="23"/>
      <c r="F119" s="23"/>
      <c r="G119" s="23"/>
      <c r="H119" s="23"/>
      <c r="I119" s="23"/>
      <c r="J119" s="23"/>
      <c r="K119" s="30"/>
      <c r="L119" s="23"/>
      <c r="M119" s="23"/>
      <c r="N119" s="23"/>
      <c r="O119" s="23"/>
      <c r="P119" s="23"/>
      <c r="Q119" s="23"/>
      <c r="R119" s="23"/>
      <c r="S119" s="23" t="s">
        <v>88</v>
      </c>
      <c r="T119" s="30"/>
      <c r="U119" s="30"/>
      <c r="V119" s="23"/>
      <c r="W119" s="23"/>
      <c r="X119" s="23"/>
      <c r="Y119" s="23"/>
      <c r="Z119" s="30"/>
    </row>
    <row r="120" spans="1:26" ht="15.75" thickBot="1">
      <c r="A120" s="31"/>
      <c r="B120" s="31"/>
      <c r="C120" s="31"/>
      <c r="D120" s="31"/>
      <c r="E120" s="24"/>
      <c r="F120" s="24"/>
      <c r="G120" s="24"/>
      <c r="H120" s="24"/>
      <c r="I120" s="24"/>
      <c r="J120" s="24"/>
      <c r="K120" s="31"/>
      <c r="L120" s="24"/>
      <c r="M120" s="24"/>
      <c r="N120" s="24"/>
      <c r="O120" s="24"/>
      <c r="P120" s="24"/>
      <c r="Q120" s="24"/>
      <c r="R120" s="24"/>
      <c r="S120" s="24" t="s">
        <v>89</v>
      </c>
      <c r="T120" s="31"/>
      <c r="U120" s="31"/>
      <c r="V120" s="24"/>
      <c r="W120" s="24"/>
      <c r="X120" s="24"/>
      <c r="Y120" s="24"/>
      <c r="Z120" s="31"/>
    </row>
    <row r="121" spans="1:26" ht="15.75" thickBot="1">
      <c r="A121" s="25">
        <v>40746</v>
      </c>
      <c r="B121" s="26">
        <v>2011072275000910</v>
      </c>
      <c r="C121" s="26">
        <v>2011072275003970</v>
      </c>
      <c r="D121" s="27" t="s">
        <v>11</v>
      </c>
      <c r="E121" s="26">
        <v>2011140</v>
      </c>
      <c r="F121" s="27" t="s">
        <v>99</v>
      </c>
      <c r="G121" s="28">
        <v>0.38543981481481482</v>
      </c>
      <c r="H121" s="28">
        <v>0.37686342592592598</v>
      </c>
      <c r="I121" s="27" t="s">
        <v>104</v>
      </c>
      <c r="J121" s="27" t="s">
        <v>116</v>
      </c>
      <c r="K121" s="26">
        <v>50</v>
      </c>
      <c r="L121" s="26">
        <v>53.45</v>
      </c>
      <c r="M121" s="26">
        <v>2672.5</v>
      </c>
      <c r="N121" s="27" t="s">
        <v>102</v>
      </c>
      <c r="O121" s="26">
        <v>25</v>
      </c>
      <c r="P121" s="26">
        <v>2.58</v>
      </c>
      <c r="Q121" s="26">
        <v>0.27</v>
      </c>
      <c r="R121" s="26">
        <v>0.09</v>
      </c>
      <c r="S121" s="26">
        <v>0.01</v>
      </c>
      <c r="T121" s="26">
        <v>3.34</v>
      </c>
      <c r="U121" s="26">
        <v>0</v>
      </c>
      <c r="V121" s="26">
        <v>0</v>
      </c>
      <c r="W121" s="26">
        <v>0</v>
      </c>
      <c r="X121" s="26">
        <v>0</v>
      </c>
      <c r="Y121" s="26">
        <v>2641.21</v>
      </c>
      <c r="Z121" s="27"/>
    </row>
    <row r="122" spans="1:26" ht="15.75" thickBot="1">
      <c r="A122" s="25">
        <v>40746</v>
      </c>
      <c r="B122" s="26">
        <v>2011072200021740</v>
      </c>
      <c r="C122" s="26">
        <v>2011072200099130</v>
      </c>
      <c r="D122" s="27" t="s">
        <v>11</v>
      </c>
      <c r="E122" s="26">
        <v>2011140</v>
      </c>
      <c r="F122" s="27" t="s">
        <v>99</v>
      </c>
      <c r="G122" s="28">
        <v>0.38700231481481479</v>
      </c>
      <c r="H122" s="28">
        <v>0.38700231481481479</v>
      </c>
      <c r="I122" s="27" t="s">
        <v>107</v>
      </c>
      <c r="J122" s="27" t="s">
        <v>116</v>
      </c>
      <c r="K122" s="26">
        <v>5</v>
      </c>
      <c r="L122" s="26">
        <v>190</v>
      </c>
      <c r="M122" s="26">
        <v>950</v>
      </c>
      <c r="N122" s="27" t="s">
        <v>102</v>
      </c>
      <c r="O122" s="26">
        <v>4.75</v>
      </c>
      <c r="P122" s="26">
        <v>0.49</v>
      </c>
      <c r="Q122" s="26">
        <v>0.1</v>
      </c>
      <c r="R122" s="26">
        <v>0.03</v>
      </c>
      <c r="S122" s="26">
        <v>0</v>
      </c>
      <c r="T122" s="26">
        <v>1.19</v>
      </c>
      <c r="U122" s="26">
        <v>0</v>
      </c>
      <c r="V122" s="26">
        <v>0</v>
      </c>
      <c r="W122" s="26">
        <v>0</v>
      </c>
      <c r="X122" s="26">
        <v>0</v>
      </c>
      <c r="Y122" s="26">
        <v>943.44</v>
      </c>
      <c r="Z122" s="27"/>
    </row>
    <row r="123" spans="1:26" ht="15.75" thickBot="1">
      <c r="A123" s="25">
        <v>40746</v>
      </c>
      <c r="B123" s="26">
        <v>2011072200026890</v>
      </c>
      <c r="C123" s="26">
        <v>2011072200099130</v>
      </c>
      <c r="D123" s="27" t="s">
        <v>11</v>
      </c>
      <c r="E123" s="26">
        <v>2011140</v>
      </c>
      <c r="F123" s="27" t="s">
        <v>99</v>
      </c>
      <c r="G123" s="28">
        <v>0.38744212962962959</v>
      </c>
      <c r="H123" s="28">
        <v>0.38700231481481479</v>
      </c>
      <c r="I123" s="27" t="s">
        <v>107</v>
      </c>
      <c r="J123" s="27" t="s">
        <v>116</v>
      </c>
      <c r="K123" s="26">
        <v>45</v>
      </c>
      <c r="L123" s="26">
        <v>190</v>
      </c>
      <c r="M123" s="26">
        <v>8550</v>
      </c>
      <c r="N123" s="27" t="s">
        <v>102</v>
      </c>
      <c r="O123" s="26">
        <v>42.75</v>
      </c>
      <c r="P123" s="26">
        <v>4.4000000000000004</v>
      </c>
      <c r="Q123" s="26">
        <v>0.86</v>
      </c>
      <c r="R123" s="26">
        <v>0.27</v>
      </c>
      <c r="S123" s="26">
        <v>0.03</v>
      </c>
      <c r="T123" s="26">
        <v>10.69</v>
      </c>
      <c r="U123" s="26">
        <v>0.01</v>
      </c>
      <c r="V123" s="26">
        <v>0</v>
      </c>
      <c r="W123" s="26">
        <v>0</v>
      </c>
      <c r="X123" s="26">
        <v>0</v>
      </c>
      <c r="Y123" s="26">
        <v>8490.99</v>
      </c>
      <c r="Z123" s="27"/>
    </row>
    <row r="124" spans="1:26" ht="15.75" thickBot="1">
      <c r="A124" s="25">
        <v>40746</v>
      </c>
      <c r="B124" s="26">
        <v>2011072200195690</v>
      </c>
      <c r="C124" s="26">
        <v>2011072200477770</v>
      </c>
      <c r="D124" s="27" t="s">
        <v>11</v>
      </c>
      <c r="E124" s="26">
        <v>2011140</v>
      </c>
      <c r="F124" s="27" t="s">
        <v>99</v>
      </c>
      <c r="G124" s="28">
        <v>0.40680555555555559</v>
      </c>
      <c r="H124" s="28">
        <v>0.40680555555555559</v>
      </c>
      <c r="I124" s="27" t="s">
        <v>103</v>
      </c>
      <c r="J124" s="27" t="s">
        <v>116</v>
      </c>
      <c r="K124" s="26">
        <v>1</v>
      </c>
      <c r="L124" s="26">
        <v>92.45</v>
      </c>
      <c r="M124" s="26">
        <v>92.45</v>
      </c>
      <c r="N124" s="27" t="s">
        <v>102</v>
      </c>
      <c r="O124" s="26">
        <v>2.31</v>
      </c>
      <c r="P124" s="26">
        <v>0.24</v>
      </c>
      <c r="Q124" s="26">
        <v>0.01</v>
      </c>
      <c r="R124" s="26">
        <v>0</v>
      </c>
      <c r="S124" s="26">
        <v>0</v>
      </c>
      <c r="T124" s="26">
        <v>0.12</v>
      </c>
      <c r="U124" s="26">
        <v>0</v>
      </c>
      <c r="V124" s="26">
        <v>0</v>
      </c>
      <c r="W124" s="26">
        <v>0</v>
      </c>
      <c r="X124" s="26">
        <v>0</v>
      </c>
      <c r="Y124" s="26">
        <v>89.77</v>
      </c>
      <c r="Z124" s="27"/>
    </row>
    <row r="125" spans="1:26" ht="15.75" thickBot="1">
      <c r="A125" s="25">
        <v>40746</v>
      </c>
      <c r="B125" s="26">
        <v>2011072200195690</v>
      </c>
      <c r="C125" s="26">
        <v>2011072200477770</v>
      </c>
      <c r="D125" s="27" t="s">
        <v>11</v>
      </c>
      <c r="E125" s="26">
        <v>2011140</v>
      </c>
      <c r="F125" s="27" t="s">
        <v>99</v>
      </c>
      <c r="G125" s="28">
        <v>0.40680555555555559</v>
      </c>
      <c r="H125" s="28">
        <v>0.40680555555555559</v>
      </c>
      <c r="I125" s="27" t="s">
        <v>103</v>
      </c>
      <c r="J125" s="27" t="s">
        <v>116</v>
      </c>
      <c r="K125" s="26">
        <v>49</v>
      </c>
      <c r="L125" s="26">
        <v>92.4</v>
      </c>
      <c r="M125" s="26">
        <v>4527.6000000000004</v>
      </c>
      <c r="N125" s="27" t="s">
        <v>102</v>
      </c>
      <c r="O125" s="26">
        <v>22.69</v>
      </c>
      <c r="P125" s="26">
        <v>2.34</v>
      </c>
      <c r="Q125" s="26">
        <v>0.45</v>
      </c>
      <c r="R125" s="26">
        <v>0.14000000000000001</v>
      </c>
      <c r="S125" s="26">
        <v>0.01</v>
      </c>
      <c r="T125" s="26">
        <v>5.66</v>
      </c>
      <c r="U125" s="26">
        <v>0</v>
      </c>
      <c r="V125" s="26">
        <v>0</v>
      </c>
      <c r="W125" s="26">
        <v>0</v>
      </c>
      <c r="X125" s="26">
        <v>0</v>
      </c>
      <c r="Y125" s="26">
        <v>4496.3100000000004</v>
      </c>
      <c r="Z125" s="27"/>
    </row>
    <row r="126" spans="1:26" ht="15.75" thickBot="1">
      <c r="A126" s="25">
        <v>40746</v>
      </c>
      <c r="B126" s="26">
        <v>2011072250583640</v>
      </c>
      <c r="C126" s="26">
        <v>2011072250080390</v>
      </c>
      <c r="D126" s="27" t="s">
        <v>11</v>
      </c>
      <c r="E126" s="26">
        <v>2011140</v>
      </c>
      <c r="F126" s="27" t="s">
        <v>99</v>
      </c>
      <c r="G126" s="28">
        <v>0.48318287037037039</v>
      </c>
      <c r="H126" s="28">
        <v>0.38701388888888894</v>
      </c>
      <c r="I126" s="27" t="s">
        <v>100</v>
      </c>
      <c r="J126" s="27" t="s">
        <v>116</v>
      </c>
      <c r="K126" s="26">
        <v>50</v>
      </c>
      <c r="L126" s="26">
        <v>75</v>
      </c>
      <c r="M126" s="26">
        <v>3750</v>
      </c>
      <c r="N126" s="27" t="s">
        <v>102</v>
      </c>
      <c r="O126" s="26">
        <v>25</v>
      </c>
      <c r="P126" s="26">
        <v>2.58</v>
      </c>
      <c r="Q126" s="26">
        <v>0.38</v>
      </c>
      <c r="R126" s="26">
        <v>0.12</v>
      </c>
      <c r="S126" s="26">
        <v>0.01</v>
      </c>
      <c r="T126" s="26">
        <v>4.6900000000000004</v>
      </c>
      <c r="U126" s="26">
        <v>0</v>
      </c>
      <c r="V126" s="26">
        <v>0</v>
      </c>
      <c r="W126" s="26">
        <v>0</v>
      </c>
      <c r="X126" s="26">
        <v>0</v>
      </c>
      <c r="Y126" s="26">
        <v>3717.22</v>
      </c>
      <c r="Z126" s="27"/>
    </row>
    <row r="127" spans="1:26" ht="15.75" thickBot="1">
      <c r="A127" s="25">
        <v>40771</v>
      </c>
      <c r="B127" s="26">
        <v>2011081625577470</v>
      </c>
      <c r="C127" s="26">
        <v>2011081625031900</v>
      </c>
      <c r="D127" s="27" t="s">
        <v>11</v>
      </c>
      <c r="E127" s="26">
        <v>2011156</v>
      </c>
      <c r="F127" s="27" t="s">
        <v>99</v>
      </c>
      <c r="G127" s="28">
        <v>0.50940972222222225</v>
      </c>
      <c r="H127" s="28">
        <v>0.385775462962963</v>
      </c>
      <c r="I127" s="27" t="s">
        <v>132</v>
      </c>
      <c r="J127" s="27" t="s">
        <v>101</v>
      </c>
      <c r="K127" s="26">
        <v>25</v>
      </c>
      <c r="L127" s="26">
        <v>940</v>
      </c>
      <c r="M127" s="26">
        <v>23500</v>
      </c>
      <c r="N127" s="27" t="s">
        <v>102</v>
      </c>
      <c r="O127" s="26">
        <v>117.5</v>
      </c>
      <c r="P127" s="26">
        <v>12.1</v>
      </c>
      <c r="Q127" s="26">
        <v>2.35</v>
      </c>
      <c r="R127" s="26">
        <v>0.75</v>
      </c>
      <c r="S127" s="26">
        <v>0.08</v>
      </c>
      <c r="T127" s="26">
        <v>29.38</v>
      </c>
      <c r="U127" s="26">
        <v>0.02</v>
      </c>
      <c r="V127" s="26">
        <v>0</v>
      </c>
      <c r="W127" s="26">
        <v>0</v>
      </c>
      <c r="X127" s="26">
        <v>0</v>
      </c>
      <c r="Y127" s="26">
        <v>-23662.18</v>
      </c>
      <c r="Z127" s="27"/>
    </row>
  </sheetData>
  <mergeCells count="23">
    <mergeCell ref="U72:U76"/>
    <mergeCell ref="Z72:Z76"/>
    <mergeCell ref="A116:A120"/>
    <mergeCell ref="B116:B120"/>
    <mergeCell ref="C116:C120"/>
    <mergeCell ref="D116:D120"/>
    <mergeCell ref="K116:K120"/>
    <mergeCell ref="T116:T120"/>
    <mergeCell ref="U116:U120"/>
    <mergeCell ref="Z116:Z120"/>
    <mergeCell ref="B72:B76"/>
    <mergeCell ref="C72:C76"/>
    <mergeCell ref="D72:D76"/>
    <mergeCell ref="K72:K76"/>
    <mergeCell ref="T72:T76"/>
    <mergeCell ref="A1:E1"/>
    <mergeCell ref="F1:H1"/>
    <mergeCell ref="A41:H41"/>
    <mergeCell ref="A42:E42"/>
    <mergeCell ref="F42:H42"/>
    <mergeCell ref="A13:H13"/>
    <mergeCell ref="A14:E14"/>
    <mergeCell ref="F14:H14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 Trade Details all years</vt:lpstr>
      <vt:lpstr>Sheet1</vt:lpstr>
      <vt:lpstr>wr_eq_trade_details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Hawa, Vishal</dc:creator>
  <cp:lastModifiedBy>Vish</cp:lastModifiedBy>
  <dcterms:created xsi:type="dcterms:W3CDTF">2011-10-09T03:43:06Z</dcterms:created>
  <dcterms:modified xsi:type="dcterms:W3CDTF">2011-10-15T16:01:33Z</dcterms:modified>
</cp:coreProperties>
</file>