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587"/>
  </bookViews>
  <sheets>
    <sheet name="Analysis" sheetId="1" r:id="rId1"/>
    <sheet name="Model-1" sheetId="8" r:id="rId2"/>
    <sheet name="Model-2" sheetId="9" r:id="rId3"/>
    <sheet name="Model" sheetId="18" r:id="rId4"/>
    <sheet name="1" sheetId="13" r:id="rId5"/>
    <sheet name="2" sheetId="14" r:id="rId6"/>
    <sheet name="3" sheetId="15" r:id="rId7"/>
    <sheet name="4" sheetId="16" r:id="rId8"/>
    <sheet name="5" sheetId="17" r:id="rId9"/>
  </sheets>
  <calcPr calcId="152511"/>
</workbook>
</file>

<file path=xl/calcChain.xml><?xml version="1.0" encoding="utf-8"?>
<calcChain xmlns="http://schemas.openxmlformats.org/spreadsheetml/2006/main">
  <c r="S23" i="18" l="1"/>
  <c r="R23" i="18"/>
  <c r="S22" i="18"/>
  <c r="R22" i="18"/>
  <c r="S18" i="18"/>
  <c r="R18" i="18"/>
  <c r="S17" i="18"/>
  <c r="R17" i="18"/>
  <c r="O34" i="18" l="1" a="1"/>
  <c r="O34" i="18" s="1"/>
  <c r="P34" i="18" a="1"/>
  <c r="P34" i="18" s="1"/>
  <c r="O29" i="18" a="1"/>
  <c r="O29" i="18" s="1"/>
  <c r="P29" i="18" a="1"/>
  <c r="P29" i="18" s="1"/>
  <c r="P35" i="18"/>
  <c r="P36" i="18"/>
  <c r="O36" i="18"/>
  <c r="O35" i="18"/>
  <c r="G34" i="18" a="1"/>
  <c r="G34" i="18" s="1"/>
  <c r="G29" i="18" a="1"/>
  <c r="G29" i="18" s="1"/>
  <c r="F29" i="18" a="1"/>
  <c r="F29" i="18" s="1"/>
  <c r="F34" i="18" a="1"/>
  <c r="F34" i="18" s="1"/>
  <c r="J23" i="18"/>
  <c r="J22" i="18"/>
  <c r="M22" i="18" s="1" a="1"/>
  <c r="M22" i="18" s="1"/>
  <c r="C23" i="18"/>
  <c r="D23" i="18"/>
  <c r="D22" i="18"/>
  <c r="C22" i="18"/>
  <c r="J18" i="18"/>
  <c r="J17" i="18"/>
  <c r="M17" i="18" s="1" a="1"/>
  <c r="M17" i="18" s="1"/>
  <c r="D18" i="18"/>
  <c r="D17" i="18"/>
  <c r="C18" i="18"/>
  <c r="C17" i="18"/>
  <c r="N13" i="18"/>
  <c r="N12" i="18"/>
  <c r="E13" i="18"/>
  <c r="E12" i="18"/>
  <c r="H29" i="18" l="1" a="1"/>
  <c r="H29" i="18" s="1"/>
  <c r="G35" i="18"/>
  <c r="G36" i="18"/>
  <c r="O31" i="18"/>
  <c r="O30" i="18"/>
  <c r="Q29" i="18" a="1"/>
  <c r="P30" i="18"/>
  <c r="P31" i="18"/>
  <c r="F30" i="18"/>
  <c r="F31" i="18"/>
  <c r="G31" i="18"/>
  <c r="F36" i="18"/>
  <c r="G30" i="18"/>
  <c r="F35" i="18"/>
  <c r="N29" i="18" a="1"/>
  <c r="N29" i="18" s="1"/>
  <c r="K34" i="18" a="1"/>
  <c r="K34" i="18" s="1"/>
  <c r="K29" i="18" a="1"/>
  <c r="K29" i="18" s="1"/>
  <c r="M29" i="18" a="1"/>
  <c r="M29" i="18" s="1"/>
  <c r="N34" i="18" a="1"/>
  <c r="N34" i="18" s="1"/>
  <c r="L29" i="18" a="1"/>
  <c r="L29" i="18" s="1"/>
  <c r="M34" i="18" a="1"/>
  <c r="M34" i="18" s="1"/>
  <c r="L34" i="18" a="1"/>
  <c r="L34" i="18" s="1"/>
  <c r="B29" i="18" a="1"/>
  <c r="B29" i="18" s="1"/>
  <c r="E34" i="18" a="1"/>
  <c r="E34" i="18" s="1"/>
  <c r="D34" i="18" a="1"/>
  <c r="D34" i="18" s="1"/>
  <c r="C34" i="18" a="1"/>
  <c r="C34" i="18" s="1"/>
  <c r="D29" i="18" a="1"/>
  <c r="D29" i="18" s="1"/>
  <c r="C29" i="18" a="1"/>
  <c r="C29" i="18" s="1"/>
  <c r="E29" i="18" a="1"/>
  <c r="E29" i="18" s="1"/>
  <c r="B34" i="18" a="1"/>
  <c r="B34" i="18" s="1"/>
  <c r="M31" i="18"/>
  <c r="N24" i="18"/>
  <c r="M23" i="18"/>
  <c r="M24" i="18"/>
  <c r="O22" i="18"/>
  <c r="O23" i="18"/>
  <c r="N22" i="18"/>
  <c r="O24" i="18"/>
  <c r="N23" i="18"/>
  <c r="N17" i="18"/>
  <c r="N19" i="18"/>
  <c r="M18" i="18"/>
  <c r="M19" i="18"/>
  <c r="O17" i="18"/>
  <c r="O18" i="18"/>
  <c r="O19" i="18"/>
  <c r="N18" i="18"/>
  <c r="F12" i="1"/>
  <c r="G11" i="1"/>
  <c r="G12" i="1"/>
  <c r="F11" i="1"/>
  <c r="M30" i="18" l="1"/>
  <c r="H30" i="18"/>
  <c r="K31" i="18"/>
  <c r="K30" i="18"/>
  <c r="M41" i="18" a="1"/>
  <c r="M41" i="18" s="1"/>
  <c r="H31" i="18"/>
  <c r="O41" i="18" a="1"/>
  <c r="O41" i="18" s="1"/>
  <c r="E41" i="18" a="1"/>
  <c r="E43" i="18" s="1"/>
  <c r="N31" i="18"/>
  <c r="N30" i="18"/>
  <c r="B35" i="18"/>
  <c r="E35" i="18"/>
  <c r="E36" i="18"/>
  <c r="P41" i="18" a="1"/>
  <c r="N41" i="18" a="1"/>
  <c r="L41" i="18" a="1"/>
  <c r="K41" i="18" a="1"/>
  <c r="L35" i="18"/>
  <c r="K35" i="18"/>
  <c r="L36" i="18"/>
  <c r="K36" i="18"/>
  <c r="N35" i="18"/>
  <c r="N36" i="18"/>
  <c r="M35" i="18"/>
  <c r="L30" i="18"/>
  <c r="Q29" i="18"/>
  <c r="Q31" i="18"/>
  <c r="Q30" i="18"/>
  <c r="M36" i="18"/>
  <c r="B36" i="18"/>
  <c r="C36" i="18"/>
  <c r="D30" i="18"/>
  <c r="D31" i="18"/>
  <c r="E30" i="18"/>
  <c r="E31" i="18"/>
  <c r="C30" i="18"/>
  <c r="L31" i="18"/>
  <c r="D41" i="18" a="1"/>
  <c r="F41" i="18" a="1"/>
  <c r="B41" i="18" a="1"/>
  <c r="C41" i="18" a="1"/>
  <c r="G41" i="18" a="1"/>
  <c r="B30" i="18"/>
  <c r="C31" i="18"/>
  <c r="C35" i="18"/>
  <c r="D36" i="18"/>
  <c r="B31" i="18"/>
  <c r="D35" i="18"/>
  <c r="G16" i="1"/>
  <c r="M42" i="18" l="1"/>
  <c r="M43" i="18"/>
  <c r="O43" i="18"/>
  <c r="O42" i="18"/>
  <c r="E42" i="18"/>
  <c r="E41" i="18"/>
  <c r="P41" i="18"/>
  <c r="P43" i="18"/>
  <c r="P42" i="18"/>
  <c r="K41" i="18"/>
  <c r="K42" i="18"/>
  <c r="K43" i="18"/>
  <c r="N41" i="18"/>
  <c r="N43" i="18"/>
  <c r="N42" i="18"/>
  <c r="L41" i="18"/>
  <c r="L42" i="18"/>
  <c r="L43" i="18"/>
  <c r="D41" i="18"/>
  <c r="D42" i="18"/>
  <c r="D43" i="18"/>
  <c r="C41" i="18"/>
  <c r="C43" i="18"/>
  <c r="C42" i="18"/>
  <c r="B41" i="18"/>
  <c r="B42" i="18"/>
  <c r="B43" i="18"/>
  <c r="G41" i="18"/>
  <c r="G43" i="18"/>
  <c r="G42" i="18"/>
  <c r="F41" i="18"/>
  <c r="F43" i="18"/>
  <c r="F42" i="18"/>
  <c r="F120" i="1"/>
  <c r="C120" i="1"/>
  <c r="B120" i="1"/>
  <c r="O47" i="18" l="1" a="1"/>
  <c r="O48" i="18" s="1"/>
  <c r="M47" i="18" a="1"/>
  <c r="M47" i="18" s="1"/>
  <c r="E47" i="18" a="1"/>
  <c r="E48" i="18" s="1"/>
  <c r="K47" i="18" a="1"/>
  <c r="K47" i="18" s="1"/>
  <c r="P47" i="18" a="1"/>
  <c r="P49" i="18" s="1"/>
  <c r="G47" i="18" a="1"/>
  <c r="G49" i="18" s="1"/>
  <c r="D47" i="18" a="1"/>
  <c r="D48" i="18" s="1"/>
  <c r="N47" i="18" a="1"/>
  <c r="L47" i="18" a="1"/>
  <c r="F47" i="18" a="1"/>
  <c r="C47" i="18" a="1"/>
  <c r="B47" i="18" a="1"/>
  <c r="C4" i="8"/>
  <c r="C3" i="8"/>
  <c r="C2" i="8"/>
  <c r="M49" i="18" l="1"/>
  <c r="M48" i="18"/>
  <c r="M53" i="18" s="1" a="1"/>
  <c r="O47" i="18"/>
  <c r="O49" i="18"/>
  <c r="O53" i="18" s="1" a="1"/>
  <c r="O53" i="18" s="1"/>
  <c r="E47" i="18"/>
  <c r="E49" i="18"/>
  <c r="K49" i="18"/>
  <c r="K48" i="18"/>
  <c r="P47" i="18"/>
  <c r="P48" i="18"/>
  <c r="D47" i="18"/>
  <c r="D49" i="18"/>
  <c r="G48" i="18"/>
  <c r="G47" i="18"/>
  <c r="N47" i="18"/>
  <c r="N48" i="18"/>
  <c r="N49" i="18"/>
  <c r="L47" i="18"/>
  <c r="L48" i="18"/>
  <c r="L49" i="18"/>
  <c r="F47" i="18"/>
  <c r="F49" i="18"/>
  <c r="F48" i="18"/>
  <c r="C47" i="18"/>
  <c r="C49" i="18"/>
  <c r="C48" i="18"/>
  <c r="B47" i="18"/>
  <c r="B48" i="18"/>
  <c r="B49" i="18"/>
  <c r="D13" i="8"/>
  <c r="C12" i="8"/>
  <c r="C13" i="8"/>
  <c r="D12" i="8"/>
  <c r="C4" i="9"/>
  <c r="P53" i="18" l="1" a="1"/>
  <c r="P54" i="18" s="1"/>
  <c r="E53" i="18" a="1"/>
  <c r="E55" i="18" s="1"/>
  <c r="O55" i="18"/>
  <c r="O54" i="18"/>
  <c r="K53" i="18" a="1"/>
  <c r="K53" i="18" s="1"/>
  <c r="D53" i="18" a="1"/>
  <c r="D54" i="18" s="1"/>
  <c r="L53" i="18" a="1"/>
  <c r="L53" i="18" s="1"/>
  <c r="G53" i="18" a="1"/>
  <c r="G54" i="18" s="1"/>
  <c r="M54" i="18"/>
  <c r="M55" i="18"/>
  <c r="M53" i="18"/>
  <c r="N53" i="18" a="1"/>
  <c r="C53" i="18" a="1"/>
  <c r="C53" i="18" s="1"/>
  <c r="B53" i="18" a="1"/>
  <c r="F53" i="18" a="1"/>
  <c r="D13" i="9"/>
  <c r="C13" i="9"/>
  <c r="D12" i="9"/>
  <c r="C12" i="9"/>
  <c r="D18" i="9"/>
  <c r="C18" i="9"/>
  <c r="D17" i="9"/>
  <c r="C17" i="9"/>
  <c r="D18" i="8"/>
  <c r="C18" i="8"/>
  <c r="D17" i="8"/>
  <c r="C17" i="8"/>
  <c r="G17" i="1"/>
  <c r="F17" i="1"/>
  <c r="F16" i="1"/>
  <c r="P53" i="18" l="1"/>
  <c r="P55" i="18"/>
  <c r="E53" i="18"/>
  <c r="E54" i="18"/>
  <c r="K55" i="18"/>
  <c r="K54" i="18"/>
  <c r="D55" i="18"/>
  <c r="D53" i="18"/>
  <c r="L55" i="18"/>
  <c r="L54" i="18"/>
  <c r="G55" i="18"/>
  <c r="G53" i="18"/>
  <c r="N53" i="18"/>
  <c r="N55" i="18"/>
  <c r="N54" i="18"/>
  <c r="C55" i="18"/>
  <c r="C54" i="18"/>
  <c r="B53" i="18"/>
  <c r="B55" i="18"/>
  <c r="B54" i="18"/>
  <c r="F55" i="18"/>
  <c r="F54" i="18"/>
  <c r="F53" i="18"/>
  <c r="F27" i="9" a="1"/>
  <c r="G27" i="9" a="1"/>
  <c r="F27" i="8" a="1"/>
  <c r="G27" i="8" a="1"/>
  <c r="H25" i="1" a="1"/>
  <c r="G25" i="1" a="1"/>
  <c r="G32" i="8" a="1"/>
  <c r="G32" i="8" s="1"/>
  <c r="I32" i="9" a="1"/>
  <c r="I32" i="9" s="1"/>
  <c r="C32" i="9" a="1"/>
  <c r="C32" i="9" s="1"/>
  <c r="F32" i="9" a="1"/>
  <c r="F32" i="9" s="1"/>
  <c r="E32" i="9" a="1"/>
  <c r="E32" i="9" s="1"/>
  <c r="G32" i="9" a="1"/>
  <c r="G32" i="9" s="1"/>
  <c r="D32" i="9" a="1"/>
  <c r="D32" i="9" s="1"/>
  <c r="H32" i="9" a="1"/>
  <c r="H32" i="9" s="1"/>
  <c r="B32" i="9" a="1"/>
  <c r="B32" i="9" s="1"/>
  <c r="F32" i="8" a="1"/>
  <c r="F32" i="8" s="1"/>
  <c r="H30" i="1" a="1"/>
  <c r="H30" i="1" s="1"/>
  <c r="G30" i="1" a="1"/>
  <c r="G30" i="1" s="1"/>
  <c r="B27" i="8" a="1"/>
  <c r="B27" i="8" l="1"/>
  <c r="B29" i="8"/>
  <c r="B28" i="8"/>
  <c r="C27" i="8" a="1"/>
  <c r="D27" i="8" a="1"/>
  <c r="G27" i="9"/>
  <c r="G29" i="9"/>
  <c r="G28" i="9"/>
  <c r="F27" i="9"/>
  <c r="F29" i="9"/>
  <c r="F28" i="9"/>
  <c r="F28" i="8"/>
  <c r="F29" i="8"/>
  <c r="F27" i="8"/>
  <c r="G25" i="1"/>
  <c r="G27" i="1"/>
  <c r="G26" i="1"/>
  <c r="G27" i="8"/>
  <c r="G29" i="8"/>
  <c r="G28" i="8"/>
  <c r="H25" i="1"/>
  <c r="O112" i="1" s="1"/>
  <c r="H26" i="1"/>
  <c r="H27" i="1"/>
  <c r="E33" i="9"/>
  <c r="G33" i="8"/>
  <c r="C33" i="9"/>
  <c r="I33" i="9"/>
  <c r="F33" i="9"/>
  <c r="F34" i="9"/>
  <c r="H33" i="9"/>
  <c r="C34" i="9"/>
  <c r="G34" i="8"/>
  <c r="E34" i="9"/>
  <c r="H34" i="9"/>
  <c r="I34" i="9"/>
  <c r="G33" i="9"/>
  <c r="F34" i="8"/>
  <c r="G34" i="9"/>
  <c r="F33" i="8"/>
  <c r="D34" i="9"/>
  <c r="B34" i="9"/>
  <c r="B33" i="9"/>
  <c r="D33" i="9"/>
  <c r="H32" i="1"/>
  <c r="H31" i="1"/>
  <c r="G31" i="1"/>
  <c r="G32" i="1"/>
  <c r="J13" i="9"/>
  <c r="J12" i="9"/>
  <c r="M8" i="9"/>
  <c r="M7" i="9"/>
  <c r="C27" i="8" l="1"/>
  <c r="C29" i="8"/>
  <c r="C28" i="8"/>
  <c r="D27" i="8"/>
  <c r="D29" i="8"/>
  <c r="D28" i="8"/>
  <c r="D124" i="1"/>
  <c r="P112" i="1"/>
  <c r="E124" i="1" s="1"/>
  <c r="M12" i="9" a="1"/>
  <c r="M13" i="9" s="1"/>
  <c r="M7" i="8"/>
  <c r="J13" i="8"/>
  <c r="J12" i="8"/>
  <c r="M12" i="1"/>
  <c r="M11" i="1"/>
  <c r="M8" i="8"/>
  <c r="F97" i="1"/>
  <c r="C97" i="1"/>
  <c r="B97" i="1"/>
  <c r="F71" i="1"/>
  <c r="C71" i="1"/>
  <c r="B71" i="1"/>
  <c r="M12" i="8" l="1" a="1"/>
  <c r="M12" i="8" s="1"/>
  <c r="N13" i="9"/>
  <c r="N14" i="9"/>
  <c r="N12" i="9"/>
  <c r="O13" i="9"/>
  <c r="M14" i="9"/>
  <c r="O14" i="9"/>
  <c r="O12" i="9"/>
  <c r="M12" i="9"/>
  <c r="P11" i="1" a="1"/>
  <c r="P11" i="1" s="1"/>
  <c r="C32" i="8" a="1"/>
  <c r="C32" i="8" s="1"/>
  <c r="H32" i="8" a="1"/>
  <c r="H32" i="8" s="1"/>
  <c r="E32" i="8" a="1"/>
  <c r="E32" i="8" s="1"/>
  <c r="B32" i="8" a="1"/>
  <c r="B32" i="8" s="1"/>
  <c r="D32" i="8" a="1"/>
  <c r="D32" i="8" s="1"/>
  <c r="F47" i="1"/>
  <c r="G97" i="1" s="1"/>
  <c r="B47" i="1"/>
  <c r="C47" i="1"/>
  <c r="G120" i="1" l="1"/>
  <c r="G47" i="1"/>
  <c r="G71" i="1"/>
  <c r="D120" i="1"/>
  <c r="R20" i="9" a="1"/>
  <c r="Q20" i="9" a="1"/>
  <c r="O12" i="8"/>
  <c r="M14" i="8"/>
  <c r="N12" i="8"/>
  <c r="N13" i="8"/>
  <c r="N14" i="8"/>
  <c r="M13" i="8"/>
  <c r="O14" i="8"/>
  <c r="O13" i="8"/>
  <c r="P20" i="9" a="1"/>
  <c r="P21" i="9" s="1"/>
  <c r="M20" i="9" a="1"/>
  <c r="M22" i="9" s="1"/>
  <c r="O20" i="9" a="1"/>
  <c r="O21" i="9" s="1"/>
  <c r="K20" i="9" a="1"/>
  <c r="K22" i="9" s="1"/>
  <c r="N20" i="9" a="1"/>
  <c r="N22" i="9" s="1"/>
  <c r="L20" i="9" a="1"/>
  <c r="L20" i="9" s="1"/>
  <c r="C34" i="8"/>
  <c r="C33" i="8"/>
  <c r="H33" i="8"/>
  <c r="H34" i="8"/>
  <c r="R12" i="1"/>
  <c r="R13" i="1"/>
  <c r="R11" i="1"/>
  <c r="P12" i="1"/>
  <c r="P13" i="1"/>
  <c r="Q12" i="1"/>
  <c r="Q11" i="1"/>
  <c r="Q13" i="1"/>
  <c r="E34" i="8"/>
  <c r="D34" i="8"/>
  <c r="B33" i="8"/>
  <c r="B34" i="8"/>
  <c r="E33" i="8"/>
  <c r="D33" i="8"/>
  <c r="D71" i="1"/>
  <c r="D97" i="1"/>
  <c r="D47" i="1"/>
  <c r="R18" i="1" l="1" a="1"/>
  <c r="R20" i="1" s="1"/>
  <c r="R20" i="8" a="1"/>
  <c r="R21" i="8" s="1"/>
  <c r="Q20" i="8" a="1"/>
  <c r="Q18" i="1" a="1"/>
  <c r="Q20" i="9"/>
  <c r="Q22" i="9"/>
  <c r="Q21" i="9"/>
  <c r="R20" i="9"/>
  <c r="R22" i="9"/>
  <c r="R21" i="9"/>
  <c r="O20" i="8" a="1"/>
  <c r="O21" i="8" s="1"/>
  <c r="M20" i="8" a="1"/>
  <c r="M21" i="8" s="1"/>
  <c r="L20" i="8" a="1"/>
  <c r="L22" i="8" s="1"/>
  <c r="K20" i="8" a="1"/>
  <c r="K22" i="8" s="1"/>
  <c r="P20" i="8" a="1"/>
  <c r="P21" i="8" s="1"/>
  <c r="N20" i="8" a="1"/>
  <c r="N21" i="8" s="1"/>
  <c r="P22" i="9"/>
  <c r="P20" i="9"/>
  <c r="M18" i="1" a="1"/>
  <c r="M19" i="1" s="1"/>
  <c r="O22" i="9"/>
  <c r="M20" i="9"/>
  <c r="M21" i="9"/>
  <c r="N21" i="9"/>
  <c r="K21" i="9"/>
  <c r="K20" i="9"/>
  <c r="L22" i="9"/>
  <c r="O20" i="9"/>
  <c r="L21" i="9"/>
  <c r="N20" i="9"/>
  <c r="N85" i="1"/>
  <c r="E30" i="1" a="1"/>
  <c r="E30" i="1" s="1"/>
  <c r="F30" i="1" a="1"/>
  <c r="F30" i="1" s="1"/>
  <c r="O39" i="1" s="1" a="1"/>
  <c r="O39" i="1" s="1"/>
  <c r="D30" i="1" a="1"/>
  <c r="D30" i="1" s="1"/>
  <c r="N61" i="1" s="1"/>
  <c r="C30" i="1" a="1"/>
  <c r="C30" i="1" s="1"/>
  <c r="R19" i="1" l="1"/>
  <c r="R18" i="1"/>
  <c r="R22" i="8"/>
  <c r="Q26" i="9" a="1"/>
  <c r="Q26" i="9" s="1"/>
  <c r="R20" i="8"/>
  <c r="R26" i="9" a="1"/>
  <c r="R28" i="9" s="1"/>
  <c r="Q18" i="1"/>
  <c r="Q20" i="1"/>
  <c r="Q19" i="1"/>
  <c r="Q21" i="8"/>
  <c r="Q22" i="8"/>
  <c r="Q20" i="8"/>
  <c r="O20" i="8"/>
  <c r="L20" i="8"/>
  <c r="O22" i="8"/>
  <c r="M22" i="8"/>
  <c r="L21" i="8"/>
  <c r="M20" i="8"/>
  <c r="N20" i="8"/>
  <c r="P20" i="8"/>
  <c r="P22" i="8"/>
  <c r="K21" i="8"/>
  <c r="N22" i="8"/>
  <c r="N26" i="8" s="1" a="1"/>
  <c r="K20" i="8"/>
  <c r="P26" i="9" a="1"/>
  <c r="P26" i="9" s="1"/>
  <c r="D51" i="1"/>
  <c r="N26" i="9" a="1"/>
  <c r="N28" i="9" s="1"/>
  <c r="M20" i="1"/>
  <c r="M18" i="1"/>
  <c r="M26" i="9" a="1"/>
  <c r="M27" i="9" s="1"/>
  <c r="K26" i="9" a="1"/>
  <c r="K28" i="9" s="1"/>
  <c r="O26" i="9" a="1"/>
  <c r="O27" i="9" s="1"/>
  <c r="L26" i="9" a="1"/>
  <c r="L26" i="9" s="1"/>
  <c r="N84" i="1"/>
  <c r="N60" i="1" a="1"/>
  <c r="N60" i="1" s="1"/>
  <c r="D31" i="1"/>
  <c r="F31" i="1"/>
  <c r="D32" i="1"/>
  <c r="E31" i="1"/>
  <c r="E32" i="1"/>
  <c r="F32" i="1"/>
  <c r="C32" i="1"/>
  <c r="O84" i="1"/>
  <c r="C31" i="1"/>
  <c r="O60" i="1" s="1"/>
  <c r="R24" i="1" l="1" a="1"/>
  <c r="R26" i="1" s="1"/>
  <c r="R26" i="8" a="1"/>
  <c r="R27" i="8" s="1"/>
  <c r="Q27" i="9"/>
  <c r="Q28" i="9"/>
  <c r="R26" i="9"/>
  <c r="R27" i="9"/>
  <c r="Q24" i="1" a="1"/>
  <c r="Q24" i="1" s="1"/>
  <c r="Q26" i="8" a="1"/>
  <c r="O26" i="8" a="1"/>
  <c r="O27" i="8" s="1"/>
  <c r="M26" i="8" a="1"/>
  <c r="M28" i="8" s="1"/>
  <c r="L26" i="8" a="1"/>
  <c r="L26" i="8" s="1"/>
  <c r="D103" i="1"/>
  <c r="K26" i="8" a="1"/>
  <c r="K28" i="8" s="1"/>
  <c r="P26" i="8" a="1"/>
  <c r="P27" i="8" s="1"/>
  <c r="P27" i="9"/>
  <c r="P28" i="9"/>
  <c r="N26" i="9"/>
  <c r="D77" i="1"/>
  <c r="M24" i="1" a="1"/>
  <c r="M26" i="1" s="1"/>
  <c r="M28" i="9"/>
  <c r="N27" i="9"/>
  <c r="M26" i="9"/>
  <c r="K26" i="9"/>
  <c r="K27" i="9"/>
  <c r="O28" i="9"/>
  <c r="O26" i="9"/>
  <c r="L27" i="9"/>
  <c r="L28" i="9"/>
  <c r="N26" i="8"/>
  <c r="N28" i="8"/>
  <c r="N27" i="8"/>
  <c r="O85" i="1"/>
  <c r="D104" i="1" s="1"/>
  <c r="C90" i="1"/>
  <c r="D91" i="1" s="1"/>
  <c r="D92" i="1" s="1"/>
  <c r="B90" i="1"/>
  <c r="B66" i="1"/>
  <c r="O61" i="1"/>
  <c r="C66" i="1"/>
  <c r="L18" i="1" a="1"/>
  <c r="L20" i="1" s="1"/>
  <c r="N18" i="1" a="1"/>
  <c r="N19" i="1" s="1"/>
  <c r="O18" i="1" a="1"/>
  <c r="O18" i="1" s="1"/>
  <c r="P18" i="1" a="1"/>
  <c r="P18" i="1" s="1"/>
  <c r="K18" i="1" a="1"/>
  <c r="K18" i="1" s="1"/>
  <c r="P39" i="1" a="1"/>
  <c r="P39" i="1" s="1"/>
  <c r="R24" i="1" l="1"/>
  <c r="R25" i="1"/>
  <c r="D66" i="1"/>
  <c r="Q32" i="9" a="1"/>
  <c r="Q33" i="9" s="1"/>
  <c r="R26" i="8"/>
  <c r="R28" i="8"/>
  <c r="R32" i="9" a="1"/>
  <c r="R32" i="9" s="1"/>
  <c r="Q25" i="1"/>
  <c r="Q26" i="1"/>
  <c r="O26" i="8"/>
  <c r="Q26" i="8"/>
  <c r="Q27" i="8"/>
  <c r="Q28" i="8"/>
  <c r="M27" i="8"/>
  <c r="N32" i="9" a="1"/>
  <c r="N34" i="9" s="1"/>
  <c r="O28" i="8"/>
  <c r="L27" i="8"/>
  <c r="L28" i="8"/>
  <c r="M26" i="8"/>
  <c r="P26" i="8"/>
  <c r="P28" i="8"/>
  <c r="K27" i="8"/>
  <c r="K26" i="8"/>
  <c r="P32" i="9" a="1"/>
  <c r="P34" i="9" s="1"/>
  <c r="D102" i="1"/>
  <c r="D90" i="1"/>
  <c r="D78" i="1"/>
  <c r="M24" i="1"/>
  <c r="D76" i="1"/>
  <c r="E51" i="1"/>
  <c r="M25" i="1"/>
  <c r="M32" i="9" a="1"/>
  <c r="M34" i="9" s="1"/>
  <c r="K32" i="9" a="1"/>
  <c r="K34" i="9" s="1"/>
  <c r="L32" i="9" a="1"/>
  <c r="L32" i="9" s="1"/>
  <c r="O32" i="9" a="1"/>
  <c r="N32" i="8" a="1"/>
  <c r="N32" i="8" s="1"/>
  <c r="L19" i="1"/>
  <c r="L18" i="1"/>
  <c r="N18" i="1"/>
  <c r="N20" i="1"/>
  <c r="O19" i="1"/>
  <c r="O20" i="1"/>
  <c r="P20" i="1"/>
  <c r="K20" i="1"/>
  <c r="P19" i="1"/>
  <c r="K19" i="1"/>
  <c r="R30" i="1" l="1" a="1"/>
  <c r="R32" i="1" s="1"/>
  <c r="Q32" i="9"/>
  <c r="Q34" i="9"/>
  <c r="R33" i="9"/>
  <c r="Q30" i="1" a="1"/>
  <c r="Q30" i="1" s="1"/>
  <c r="O111" i="1" s="1"/>
  <c r="R32" i="8" a="1"/>
  <c r="O32" i="8" a="1"/>
  <c r="O33" i="8" s="1"/>
  <c r="R34" i="9"/>
  <c r="M32" i="8" a="1"/>
  <c r="M32" i="8" s="1"/>
  <c r="Q32" i="8" a="1"/>
  <c r="Q34" i="8" s="1"/>
  <c r="N33" i="9"/>
  <c r="N32" i="9"/>
  <c r="L32" i="8" a="1"/>
  <c r="L34" i="8" s="1"/>
  <c r="P32" i="8" a="1"/>
  <c r="P32" i="8" s="1"/>
  <c r="K32" i="8" a="1"/>
  <c r="K33" i="8" s="1"/>
  <c r="P32" i="9"/>
  <c r="P33" i="9"/>
  <c r="M30" i="1" a="1"/>
  <c r="M30" i="1" s="1"/>
  <c r="K33" i="9"/>
  <c r="M33" i="9"/>
  <c r="K32" i="9"/>
  <c r="M32" i="9"/>
  <c r="L34" i="9"/>
  <c r="L33" i="9"/>
  <c r="O34" i="9"/>
  <c r="O33" i="9"/>
  <c r="O32" i="9"/>
  <c r="P24" i="1" a="1"/>
  <c r="P24" i="1" s="1"/>
  <c r="O24" i="1" a="1"/>
  <c r="O25" i="1" s="1"/>
  <c r="N24" i="1" a="1"/>
  <c r="N24" i="1" s="1"/>
  <c r="L24" i="1" a="1"/>
  <c r="L25" i="1" s="1"/>
  <c r="N34" i="8"/>
  <c r="N33" i="8"/>
  <c r="K24" i="1" a="1"/>
  <c r="K25" i="1" s="1"/>
  <c r="R30" i="1" l="1"/>
  <c r="O113" i="1" s="1"/>
  <c r="D126" i="1" s="1"/>
  <c r="R31" i="1"/>
  <c r="P113" i="1" s="1"/>
  <c r="Q31" i="1"/>
  <c r="C114" i="1" s="1"/>
  <c r="O32" i="8"/>
  <c r="Q32" i="1"/>
  <c r="R33" i="8"/>
  <c r="R34" i="8"/>
  <c r="R32" i="8"/>
  <c r="O34" i="8"/>
  <c r="Q33" i="8"/>
  <c r="M33" i="8"/>
  <c r="Q32" i="8"/>
  <c r="M34" i="8"/>
  <c r="L33" i="8"/>
  <c r="L32" i="8"/>
  <c r="P33" i="8"/>
  <c r="P34" i="8"/>
  <c r="K34" i="8"/>
  <c r="K32" i="8"/>
  <c r="M31" i="1"/>
  <c r="C41" i="1" s="1"/>
  <c r="M32" i="1"/>
  <c r="O38" i="1"/>
  <c r="P25" i="1"/>
  <c r="P26" i="1"/>
  <c r="O24" i="1"/>
  <c r="O26" i="1"/>
  <c r="N26" i="1"/>
  <c r="N25" i="1"/>
  <c r="L26" i="1"/>
  <c r="L24" i="1"/>
  <c r="K24" i="1"/>
  <c r="K26" i="1"/>
  <c r="D128" i="1" l="1"/>
  <c r="E114" i="1"/>
  <c r="B114" i="1"/>
  <c r="P111" i="1"/>
  <c r="D127" i="1" s="1"/>
  <c r="D114" i="1"/>
  <c r="B41" i="1"/>
  <c r="P38" i="1"/>
  <c r="P30" i="1" a="1"/>
  <c r="P30" i="1" s="1"/>
  <c r="N87" i="1" s="1"/>
  <c r="N30" i="1" a="1"/>
  <c r="N30" i="1" s="1"/>
  <c r="O30" i="1" a="1"/>
  <c r="O32" i="1" s="1"/>
  <c r="L30" i="1" a="1"/>
  <c r="L32" i="1" s="1"/>
  <c r="K30" i="1" a="1"/>
  <c r="K31" i="1" s="1"/>
  <c r="O62" i="1" s="1"/>
  <c r="G114" i="1" l="1"/>
  <c r="F114" i="1"/>
  <c r="D125" i="1"/>
  <c r="G126" i="1" s="1"/>
  <c r="H114" i="1" s="1"/>
  <c r="D101" i="1"/>
  <c r="P31" i="1"/>
  <c r="O87" i="1" s="1"/>
  <c r="E101" i="1" s="1"/>
  <c r="P32" i="1"/>
  <c r="N32" i="1"/>
  <c r="N31" i="1"/>
  <c r="O31" i="1"/>
  <c r="O86" i="1" s="1"/>
  <c r="O30" i="1"/>
  <c r="N86" i="1" s="1"/>
  <c r="L31" i="1"/>
  <c r="O63" i="1" s="1"/>
  <c r="L30" i="1"/>
  <c r="N63" i="1" s="1"/>
  <c r="K32" i="1"/>
  <c r="K30" i="1"/>
  <c r="O40" i="1" a="1"/>
  <c r="O40" i="1" s="1"/>
  <c r="I120" i="1" l="1"/>
  <c r="G104" i="1"/>
  <c r="E75" i="1"/>
  <c r="G127" i="1"/>
  <c r="I114" i="1" s="1"/>
  <c r="D105" i="1"/>
  <c r="D75" i="1"/>
  <c r="D79" i="1"/>
  <c r="D53" i="1"/>
  <c r="D41" i="1"/>
  <c r="E41" i="1"/>
  <c r="P40" i="1" a="1"/>
  <c r="P40" i="1" s="1"/>
  <c r="F90" i="1"/>
  <c r="G91" i="1" s="1"/>
  <c r="G92" i="1" s="1"/>
  <c r="E90" i="1"/>
  <c r="E66" i="1"/>
  <c r="N62" i="1"/>
  <c r="G66" i="1" s="1"/>
  <c r="F66" i="1"/>
  <c r="G90" i="1"/>
  <c r="I71" i="1" l="1"/>
  <c r="G78" i="1"/>
  <c r="I66" i="1" s="1"/>
  <c r="I97" i="1"/>
  <c r="H90" i="1"/>
  <c r="F41" i="1"/>
  <c r="G41" i="1"/>
  <c r="G103" i="1"/>
  <c r="I90" i="1" s="1"/>
  <c r="J90" i="1"/>
  <c r="D55" i="1"/>
  <c r="D52" i="1"/>
  <c r="D54" i="1"/>
  <c r="J66" i="1"/>
  <c r="I47" i="1" l="1"/>
  <c r="G53" i="1"/>
  <c r="H41" i="1" s="1"/>
  <c r="G77" i="1"/>
  <c r="H66" i="1" s="1"/>
  <c r="G54" i="1" l="1"/>
  <c r="I41" i="1" s="1"/>
</calcChain>
</file>

<file path=xl/sharedStrings.xml><?xml version="1.0" encoding="utf-8"?>
<sst xmlns="http://schemas.openxmlformats.org/spreadsheetml/2006/main" count="725" uniqueCount="158">
  <si>
    <t>TP1</t>
  </si>
  <si>
    <t>TP2</t>
  </si>
  <si>
    <t>SP0</t>
  </si>
  <si>
    <t>SP1</t>
  </si>
  <si>
    <t>FP1</t>
  </si>
  <si>
    <t>FP2</t>
  </si>
  <si>
    <t>THETA</t>
  </si>
  <si>
    <t>DELTA X</t>
  </si>
  <si>
    <t>R</t>
  </si>
  <si>
    <t>T</t>
  </si>
  <si>
    <t>INV(T)</t>
  </si>
  <si>
    <t>R_ACS</t>
  </si>
  <si>
    <t>Translation Matrix</t>
  </si>
  <si>
    <t>Inverse of Translation Matrix</t>
  </si>
  <si>
    <t>Rotation about ACS</t>
  </si>
  <si>
    <t>Transformation to OCS</t>
  </si>
  <si>
    <t>Rotation to OCS</t>
  </si>
  <si>
    <t>Backtrans to ACS</t>
  </si>
  <si>
    <t>TRTi_OCS</t>
  </si>
  <si>
    <t>Ti_OCS</t>
  </si>
  <si>
    <t>RTi_OCS</t>
  </si>
  <si>
    <t>Distance between Strap Points</t>
  </si>
  <si>
    <t>Pistoning</t>
  </si>
  <si>
    <t>x</t>
  </si>
  <si>
    <t>y</t>
  </si>
  <si>
    <t>z</t>
  </si>
  <si>
    <t>X</t>
  </si>
  <si>
    <t>Y</t>
  </si>
  <si>
    <t>Plotting</t>
  </si>
  <si>
    <t>Slope</t>
  </si>
  <si>
    <t>Distance</t>
  </si>
  <si>
    <t>Gap</t>
  </si>
  <si>
    <t>Delta X</t>
  </si>
  <si>
    <t>Delta Y</t>
  </si>
  <si>
    <t>Misalignment Type</t>
  </si>
  <si>
    <t>Theta</t>
  </si>
  <si>
    <t>Limb Motion</t>
  </si>
  <si>
    <t>Direction of Calf band travel w.r.t direction of Ankle motion</t>
  </si>
  <si>
    <t>Misalignment in X</t>
  </si>
  <si>
    <t>Dorsiflexion angle</t>
  </si>
  <si>
    <t>Misalignment in Y</t>
  </si>
  <si>
    <t>DELTA Y</t>
  </si>
  <si>
    <t>Point</t>
  </si>
  <si>
    <t>SP1_OCS</t>
  </si>
  <si>
    <t>SP1_ACS</t>
  </si>
  <si>
    <t>TP1_ACS</t>
  </si>
  <si>
    <t>TP2_ACS</t>
  </si>
  <si>
    <t>TP1_OCS</t>
  </si>
  <si>
    <t>TP2_OCS</t>
  </si>
  <si>
    <t>Relative Motion between TP Lines</t>
  </si>
  <si>
    <t>Intercept</t>
  </si>
  <si>
    <t>TP Lines relative motion</t>
  </si>
  <si>
    <t>FP1 &amp; FP2 - (R_ACS)</t>
  </si>
  <si>
    <t>FP1 &amp; FP2 - (TRTi_ACS)</t>
  </si>
  <si>
    <t>FP Lines relative motion</t>
  </si>
  <si>
    <t>FP1_ACS</t>
  </si>
  <si>
    <t>FP2_ACS</t>
  </si>
  <si>
    <t>FP1_OCS</t>
  </si>
  <si>
    <t>FP2_OCS</t>
  </si>
  <si>
    <t>Pressure Point</t>
  </si>
  <si>
    <t>Foot End</t>
  </si>
  <si>
    <t>Foot Tip</t>
  </si>
  <si>
    <t>Knee</t>
  </si>
  <si>
    <t>ACS</t>
  </si>
  <si>
    <t>OCS</t>
  </si>
  <si>
    <t>Relative Motion between FP Lines</t>
  </si>
  <si>
    <t>(-20:10:20)</t>
  </si>
  <si>
    <t>Rotation Matrix for SP &amp; TP</t>
  </si>
  <si>
    <t>ANKLE FOOT ORTHOSIS - SIMULATION MODEL</t>
  </si>
  <si>
    <t>Vertical</t>
  </si>
  <si>
    <t>Horizontal</t>
  </si>
  <si>
    <t>A</t>
  </si>
  <si>
    <t>B</t>
  </si>
  <si>
    <t>C</t>
  </si>
  <si>
    <t>AP</t>
  </si>
  <si>
    <t>SP0_OCS</t>
  </si>
  <si>
    <t>SP0_OCS &amp; SP1_ACS</t>
  </si>
  <si>
    <t>SP0_OCS &amp; SP1_OCS</t>
  </si>
  <si>
    <t>Separation Type</t>
  </si>
  <si>
    <t>Separation Distance</t>
  </si>
  <si>
    <t>PD</t>
  </si>
  <si>
    <t>Calculations</t>
  </si>
  <si>
    <t>MSP</t>
  </si>
  <si>
    <t>Moving Strap Point (SP1_ACS)</t>
  </si>
  <si>
    <t>Longitudinal Separation</t>
  </si>
  <si>
    <t>Anterior-Posterior Separation</t>
  </si>
  <si>
    <t>TP1_ACS &amp; TP2_ACS</t>
  </si>
  <si>
    <t>TP1_OCS &amp; TP2_OCS</t>
  </si>
  <si>
    <t>Separation Distance &amp; Type</t>
  </si>
  <si>
    <t>Touch Point 2 (TP2_OCS)</t>
  </si>
  <si>
    <t>Len_SP1s</t>
  </si>
  <si>
    <t>Len_TP2s</t>
  </si>
  <si>
    <t>Len_FP1s</t>
  </si>
  <si>
    <t>Foot Point 2 (FP2_OCS)</t>
  </si>
  <si>
    <t>FP</t>
  </si>
  <si>
    <t>TP</t>
  </si>
  <si>
    <t>Input</t>
  </si>
  <si>
    <t>(-20:5:20)</t>
  </si>
  <si>
    <t>FSP1</t>
  </si>
  <si>
    <t>FSP0</t>
  </si>
  <si>
    <t>Rotation Matrix for FP &amp; FSP</t>
  </si>
  <si>
    <t>Distance between Foot Strap Points</t>
  </si>
  <si>
    <t>FSP0_OCS &amp; FSP1_ACS</t>
  </si>
  <si>
    <t>FSP0_OCS &amp; FSP1_OCS</t>
  </si>
  <si>
    <t>FSP0_OCS</t>
  </si>
  <si>
    <t>FSP1_ACS</t>
  </si>
  <si>
    <t>FSP1_OCS</t>
  </si>
  <si>
    <t>Foot Strap Movement</t>
  </si>
  <si>
    <t>Perpendicular Line</t>
  </si>
  <si>
    <t>OSP</t>
  </si>
  <si>
    <t>OSP1</t>
  </si>
  <si>
    <t>OSP2</t>
  </si>
  <si>
    <t>Orthosis Shell Points</t>
  </si>
  <si>
    <t>LEFT LEG</t>
  </si>
  <si>
    <t>RIGHT LEG</t>
  </si>
  <si>
    <t>AFO Details</t>
  </si>
  <si>
    <t>X (mm)</t>
  </si>
  <si>
    <t>Y (mm)</t>
  </si>
  <si>
    <t>Z (mm)</t>
  </si>
  <si>
    <t>Point Description</t>
  </si>
  <si>
    <t>Vertical Height</t>
  </si>
  <si>
    <t>14" (360mm)</t>
  </si>
  <si>
    <t>Origin (LM)</t>
  </si>
  <si>
    <t>Foot Length</t>
  </si>
  <si>
    <t>12" (300mm)</t>
  </si>
  <si>
    <t>FHEE</t>
  </si>
  <si>
    <t>Foot End (Heel)</t>
  </si>
  <si>
    <t>FMT5</t>
  </si>
  <si>
    <t>Foot MT5</t>
  </si>
  <si>
    <t>KNEE</t>
  </si>
  <si>
    <t>Knee Joint</t>
  </si>
  <si>
    <t>Fixed Strap Point</t>
  </si>
  <si>
    <t>Moving Strap Point</t>
  </si>
  <si>
    <t>Touch Point-1</t>
  </si>
  <si>
    <t>Touch Point-2</t>
  </si>
  <si>
    <t>Fixed Foot Strap Point</t>
  </si>
  <si>
    <t>Moving Foot Strap Point</t>
  </si>
  <si>
    <t>Foot Point-1</t>
  </si>
  <si>
    <t>Foot Point-2</t>
  </si>
  <si>
    <t>Anthropometric Data - StS</t>
  </si>
  <si>
    <t>Anthropometric Data - TransWalk</t>
  </si>
  <si>
    <t>Anthropometric Data - RampWalk</t>
  </si>
  <si>
    <t>Anthropometric Data - Walking</t>
  </si>
  <si>
    <t>Anthropometric Data - Stepping</t>
  </si>
  <si>
    <t>Rotation Matrix Left</t>
  </si>
  <si>
    <t>Translation Matrix Left</t>
  </si>
  <si>
    <t>Inverse of Translation Matrix Left</t>
  </si>
  <si>
    <t>Rotation Matrix Right</t>
  </si>
  <si>
    <t>Translation Matrix Right</t>
  </si>
  <si>
    <t>Inverse of Translation Matrix Right</t>
  </si>
  <si>
    <t>OSP3</t>
  </si>
  <si>
    <t>OSP4</t>
  </si>
  <si>
    <t>L_THETA_S</t>
  </si>
  <si>
    <t>L_THETA_F</t>
  </si>
  <si>
    <t>R_THETA_S</t>
  </si>
  <si>
    <t>R_THETA_F</t>
  </si>
  <si>
    <t>Foot Angle</t>
  </si>
  <si>
    <t>Shank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</si>
</sst>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4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6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Border="1"/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7" xfId="0" applyFill="1" applyBorder="1"/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1" fillId="3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6" xfId="0" applyBorder="1"/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6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5" fillId="9" borderId="1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Movement of Strap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About Limb</c:v>
          </c:tx>
          <c:spPr>
            <a:ln w="2222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Analysis!$O$38:$O$39</c:f>
              <c:numCache>
                <c:formatCode>General</c:formatCode>
                <c:ptCount val="2"/>
                <c:pt idx="0">
                  <c:v>-82.084834398160496</c:v>
                </c:pt>
                <c:pt idx="1">
                  <c:v>-28.259800492351701</c:v>
                </c:pt>
              </c:numCache>
            </c:numRef>
          </c:xVal>
          <c:yVal>
            <c:numRef>
              <c:f>Analysis!$P$38:$P$39</c:f>
              <c:numCache>
                <c:formatCode>General</c:formatCode>
                <c:ptCount val="2"/>
                <c:pt idx="0">
                  <c:v>205.52622898861802</c:v>
                </c:pt>
                <c:pt idx="1">
                  <c:v>223.83338373918329</c:v>
                </c:pt>
              </c:numCache>
            </c:numRef>
          </c:yVal>
          <c:smooth val="1"/>
        </c:ser>
        <c:ser>
          <c:idx val="1"/>
          <c:order val="1"/>
          <c:tx>
            <c:v>About Orthosis</c:v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(Analysis!$O$38,Analysis!$O$40)</c:f>
              <c:numCache>
                <c:formatCode>General</c:formatCode>
                <c:ptCount val="2"/>
                <c:pt idx="0">
                  <c:v>-82.084834398160496</c:v>
                </c:pt>
                <c:pt idx="1">
                  <c:v>-35.100203358865073</c:v>
                </c:pt>
              </c:numCache>
            </c:numRef>
          </c:xVal>
          <c:yVal>
            <c:numRef>
              <c:f>(Analysis!$P$38,Analysis!$P$40)</c:f>
              <c:numCache>
                <c:formatCode>General</c:formatCode>
                <c:ptCount val="2"/>
                <c:pt idx="0">
                  <c:v>205.52622898861802</c:v>
                </c:pt>
                <c:pt idx="1">
                  <c:v>222.62723615490145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56535632"/>
        <c:axId val="-956538352"/>
      </c:scatterChart>
      <c:valAx>
        <c:axId val="-956535632"/>
        <c:scaling>
          <c:orientation val="minMax"/>
          <c:max val="300"/>
          <c:min val="-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6538352"/>
        <c:crosses val="autoZero"/>
        <c:crossBetween val="midCat"/>
        <c:majorUnit val="50"/>
      </c:valAx>
      <c:valAx>
        <c:axId val="-956538352"/>
        <c:scaling>
          <c:orientation val="minMax"/>
          <c:max val="3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6535632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Movement of </a:t>
            </a:r>
            <a:r>
              <a:rPr lang="en-US" baseline="0"/>
              <a:t>Touch Points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About Limb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Analysis!$N$60:$N$61</c:f>
              <c:numCache>
                <c:formatCode>General</c:formatCode>
                <c:ptCount val="2"/>
                <c:pt idx="0">
                  <c:v>-105.99173349657008</c:v>
                </c:pt>
                <c:pt idx="1">
                  <c:v>-119.67253922959684</c:v>
                </c:pt>
              </c:numCache>
            </c:numRef>
          </c:xVal>
          <c:yVal>
            <c:numRef>
              <c:f>Analysis!$O$60:$O$61</c:f>
              <c:numCache>
                <c:formatCode>General</c:formatCode>
                <c:ptCount val="2"/>
                <c:pt idx="0">
                  <c:v>174.25771842415494</c:v>
                </c:pt>
                <c:pt idx="1">
                  <c:v>211.84542325559127</c:v>
                </c:pt>
              </c:numCache>
            </c:numRef>
          </c:yVal>
          <c:smooth val="1"/>
        </c:ser>
        <c:ser>
          <c:idx val="1"/>
          <c:order val="1"/>
          <c:tx>
            <c:v>About Orthosis</c:v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Analysis!$N$62:$N$63</c:f>
              <c:numCache>
                <c:formatCode>General</c:formatCode>
                <c:ptCount val="2"/>
                <c:pt idx="0">
                  <c:v>-112.83213636308346</c:v>
                </c:pt>
                <c:pt idx="1">
                  <c:v>-126.51294209611021</c:v>
                </c:pt>
              </c:numCache>
            </c:numRef>
          </c:xVal>
          <c:yVal>
            <c:numRef>
              <c:f>Analysis!$O$62:$O$63</c:f>
              <c:numCache>
                <c:formatCode>General</c:formatCode>
                <c:ptCount val="2"/>
                <c:pt idx="0">
                  <c:v>173.05157083987311</c:v>
                </c:pt>
                <c:pt idx="1">
                  <c:v>210.63927567130943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56532912"/>
        <c:axId val="-956538896"/>
      </c:scatterChart>
      <c:valAx>
        <c:axId val="-956532912"/>
        <c:scaling>
          <c:orientation val="minMax"/>
          <c:max val="300"/>
          <c:min val="-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6538896"/>
        <c:crosses val="autoZero"/>
        <c:crossBetween val="midCat"/>
      </c:valAx>
      <c:valAx>
        <c:axId val="-956538896"/>
        <c:scaling>
          <c:orientation val="minMax"/>
          <c:max val="3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6532912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Movement of </a:t>
            </a:r>
            <a:r>
              <a:rPr lang="en-US" baseline="0"/>
              <a:t>Foot Points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About Limb</c:v>
          </c:tx>
          <c:spPr>
            <a:ln w="158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Analysis!$N$84:$N$85</c:f>
              <c:numCache>
                <c:formatCode>General</c:formatCode>
                <c:ptCount val="2"/>
                <c:pt idx="0">
                  <c:v>-12.710053271292338</c:v>
                </c:pt>
                <c:pt idx="1">
                  <c:v>118.84691363873483</c:v>
                </c:pt>
              </c:numCache>
            </c:numRef>
          </c:xVal>
          <c:yVal>
            <c:numRef>
              <c:f>Analysis!$O$84:$O$85</c:f>
              <c:numCache>
                <c:formatCode>General</c:formatCode>
                <c:ptCount val="2"/>
                <c:pt idx="0">
                  <c:v>-67.412569642767011</c:v>
                </c:pt>
                <c:pt idx="1">
                  <c:v>-19.529749577173384</c:v>
                </c:pt>
              </c:numCache>
            </c:numRef>
          </c:yVal>
          <c:smooth val="1"/>
        </c:ser>
        <c:ser>
          <c:idx val="1"/>
          <c:order val="1"/>
          <c:tx>
            <c:v>About Orthosis</c:v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Analysis!$N$86:$N$87</c:f>
              <c:numCache>
                <c:formatCode>General</c:formatCode>
                <c:ptCount val="2"/>
                <c:pt idx="0">
                  <c:v>-19.55045613780571</c:v>
                </c:pt>
                <c:pt idx="1">
                  <c:v>112.00651077222146</c:v>
                </c:pt>
              </c:numCache>
            </c:numRef>
          </c:xVal>
          <c:yVal>
            <c:numRef>
              <c:f>Analysis!$O$86:$O$87</c:f>
              <c:numCache>
                <c:formatCode>General</c:formatCode>
                <c:ptCount val="2"/>
                <c:pt idx="0">
                  <c:v>-68.618717227048833</c:v>
                </c:pt>
                <c:pt idx="1">
                  <c:v>-20.735897161455213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56540528"/>
        <c:axId val="-956529648"/>
      </c:scatterChart>
      <c:valAx>
        <c:axId val="-956540528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6529648"/>
        <c:crosses val="autoZero"/>
        <c:crossBetween val="midCat"/>
      </c:valAx>
      <c:valAx>
        <c:axId val="-956529648"/>
        <c:scaling>
          <c:orientation val="minMax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6540528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Movement of Foot Strap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About Limb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(Analysis!$O$111,Analysis!$O$112)</c:f>
              <c:numCache>
                <c:formatCode>General</c:formatCode>
                <c:ptCount val="2"/>
                <c:pt idx="0">
                  <c:v>10.260604299770062</c:v>
                </c:pt>
                <c:pt idx="1">
                  <c:v>48.86401628086724</c:v>
                </c:pt>
              </c:numCache>
            </c:numRef>
          </c:xVal>
          <c:yVal>
            <c:numRef>
              <c:f>(Analysis!$P$111,Analysis!$P$112)</c:f>
              <c:numCache>
                <c:formatCode>General</c:formatCode>
                <c:ptCount val="2"/>
                <c:pt idx="0">
                  <c:v>-48.190778623577252</c:v>
                </c:pt>
                <c:pt idx="1">
                  <c:v>17.785047452934773</c:v>
                </c:pt>
              </c:numCache>
            </c:numRef>
          </c:yVal>
          <c:smooth val="1"/>
        </c:ser>
        <c:ser>
          <c:idx val="1"/>
          <c:order val="1"/>
          <c:tx>
            <c:v>About Orthosis</c:v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(Analysis!$O$111,Analysis!$O$113)</c:f>
              <c:numCache>
                <c:formatCode>General</c:formatCode>
                <c:ptCount val="2"/>
                <c:pt idx="0">
                  <c:v>10.260604299770062</c:v>
                </c:pt>
                <c:pt idx="1">
                  <c:v>42.023613414353868</c:v>
                </c:pt>
              </c:numCache>
            </c:numRef>
          </c:xVal>
          <c:yVal>
            <c:numRef>
              <c:f>(Analysis!$P$111,Analysis!$P$113)</c:f>
              <c:numCache>
                <c:formatCode>General</c:formatCode>
                <c:ptCount val="2"/>
                <c:pt idx="0">
                  <c:v>-48.190778623577252</c:v>
                </c:pt>
                <c:pt idx="1">
                  <c:v>16.57889986865294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56537264"/>
        <c:axId val="-956536720"/>
      </c:scatterChart>
      <c:valAx>
        <c:axId val="-956537264"/>
        <c:scaling>
          <c:orientation val="minMax"/>
          <c:max val="2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6536720"/>
        <c:crosses val="autoZero"/>
        <c:crossBetween val="midCat"/>
      </c:valAx>
      <c:valAx>
        <c:axId val="-956536720"/>
        <c:scaling>
          <c:orientation val="minMax"/>
          <c:max val="50"/>
          <c:min val="-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6537264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658008658008658E-3"/>
          <c:w val="0.79418369354548379"/>
          <c:h val="0.93650793650793651"/>
        </c:manualLayout>
      </c:layout>
      <c:scatterChart>
        <c:scatterStyle val="smoothMarker"/>
        <c:varyColors val="0"/>
        <c:ser>
          <c:idx val="0"/>
          <c:order val="0"/>
          <c:tx>
            <c:v>Limb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('Model-1'!$J$7,'Model-1'!$K$7)</c:f>
              <c:numCache>
                <c:formatCode>General</c:formatCode>
                <c:ptCount val="2"/>
                <c:pt idx="0">
                  <c:v>-61.32</c:v>
                </c:pt>
                <c:pt idx="1">
                  <c:v>186.44</c:v>
                </c:pt>
              </c:numCache>
            </c:numRef>
          </c:xVal>
          <c:yVal>
            <c:numRef>
              <c:f>('Model-1'!$J$8,'Model-1'!$K$8)</c:f>
              <c:numCache>
                <c:formatCode>General</c:formatCode>
                <c:ptCount val="2"/>
                <c:pt idx="0">
                  <c:v>-63.57</c:v>
                </c:pt>
                <c:pt idx="1">
                  <c:v>-63.57</c:v>
                </c:pt>
              </c:numCache>
            </c:numRef>
          </c:yVal>
          <c:smooth val="1"/>
        </c:ser>
        <c:ser>
          <c:idx val="1"/>
          <c:order val="1"/>
          <c:tx>
            <c:v>Limb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</c:dPt>
          <c:xVal>
            <c:numRef>
              <c:f>('Model-1'!$I$7,'Model-1'!$J$7)</c:f>
              <c:numCache>
                <c:formatCode>General</c:formatCode>
                <c:ptCount val="2"/>
                <c:pt idx="0">
                  <c:v>0</c:v>
                </c:pt>
                <c:pt idx="1">
                  <c:v>-61.32</c:v>
                </c:pt>
              </c:numCache>
            </c:numRef>
          </c:xVal>
          <c:yVal>
            <c:numRef>
              <c:f>('Model-1'!$I$8,'Model-1'!$J$8)</c:f>
              <c:numCache>
                <c:formatCode>General</c:formatCode>
                <c:ptCount val="2"/>
                <c:pt idx="0">
                  <c:v>0</c:v>
                </c:pt>
                <c:pt idx="1">
                  <c:v>-63.57</c:v>
                </c:pt>
              </c:numCache>
            </c:numRef>
          </c:yVal>
          <c:smooth val="1"/>
        </c:ser>
        <c:ser>
          <c:idx val="2"/>
          <c:order val="2"/>
          <c:tx>
            <c:v>Limb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('Model-1'!$I$7,'Model-1'!$K$7)</c:f>
              <c:numCache>
                <c:formatCode>General</c:formatCode>
                <c:ptCount val="2"/>
                <c:pt idx="0">
                  <c:v>0</c:v>
                </c:pt>
                <c:pt idx="1">
                  <c:v>186.44</c:v>
                </c:pt>
              </c:numCache>
            </c:numRef>
          </c:xVal>
          <c:yVal>
            <c:numRef>
              <c:f>('Model-1'!$I$8,'Model-1'!$K$8)</c:f>
              <c:numCache>
                <c:formatCode>General</c:formatCode>
                <c:ptCount val="2"/>
                <c:pt idx="0">
                  <c:v>0</c:v>
                </c:pt>
                <c:pt idx="1">
                  <c:v>-63.57</c:v>
                </c:pt>
              </c:numCache>
            </c:numRef>
          </c:yVal>
          <c:smooth val="1"/>
        </c:ser>
        <c:ser>
          <c:idx val="3"/>
          <c:order val="3"/>
          <c:tx>
            <c:v>Limb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</c:dPt>
          <c:xVal>
            <c:numRef>
              <c:f>('Model-1'!$I$7,'Model-1'!$H$32)</c:f>
              <c:numCache>
                <c:formatCode>General</c:formatCode>
                <c:ptCount val="2"/>
                <c:pt idx="0">
                  <c:v>0</c:v>
                </c:pt>
                <c:pt idx="1">
                  <c:v>-137.14323707072666</c:v>
                </c:pt>
              </c:numCache>
            </c:numRef>
          </c:xVal>
          <c:yVal>
            <c:numRef>
              <c:f>('Model-1'!$I$8,'Model-1'!$H$33)</c:f>
              <c:numCache>
                <c:formatCode>General</c:formatCode>
                <c:ptCount val="2"/>
                <c:pt idx="0">
                  <c:v>0</c:v>
                </c:pt>
                <c:pt idx="1">
                  <c:v>376.79794708273357</c:v>
                </c:pt>
              </c:numCache>
            </c:numRef>
          </c:yVal>
          <c:smooth val="1"/>
        </c:ser>
        <c:ser>
          <c:idx val="4"/>
          <c:order val="4"/>
          <c:tx>
            <c:v>TP_ACS</c:v>
          </c:tx>
          <c:spPr>
            <a:ln w="1905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('Model-1'!$B$32,'Model-1'!$C$32)</c:f>
              <c:numCache>
                <c:formatCode>General</c:formatCode>
                <c:ptCount val="2"/>
                <c:pt idx="0">
                  <c:v>-92.215914126110818</c:v>
                </c:pt>
                <c:pt idx="1">
                  <c:v>-120.87720213680186</c:v>
                </c:pt>
              </c:numCache>
            </c:numRef>
          </c:xVal>
          <c:yVal>
            <c:numRef>
              <c:f>('Model-1'!$B$33,'Model-1'!$C$33)</c:f>
              <c:numCache>
                <c:formatCode>General</c:formatCode>
                <c:ptCount val="2"/>
                <c:pt idx="0">
                  <c:v>162.13844449076771</c:v>
                </c:pt>
                <c:pt idx="1">
                  <c:v>240.88468611262681</c:v>
                </c:pt>
              </c:numCache>
            </c:numRef>
          </c:yVal>
          <c:smooth val="1"/>
        </c:ser>
        <c:ser>
          <c:idx val="5"/>
          <c:order val="5"/>
          <c:tx>
            <c:v>TP_OCS</c:v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('Model-1'!$K$32,'Model-1'!$L$32)</c:f>
              <c:numCache>
                <c:formatCode>General</c:formatCode>
                <c:ptCount val="2"/>
                <c:pt idx="0">
                  <c:v>-99.05631699262419</c:v>
                </c:pt>
                <c:pt idx="1">
                  <c:v>-127.71760500331523</c:v>
                </c:pt>
              </c:numCache>
            </c:numRef>
          </c:xVal>
          <c:yVal>
            <c:numRef>
              <c:f>('Model-1'!$K$33,'Model-1'!$L$33)</c:f>
              <c:numCache>
                <c:formatCode>General</c:formatCode>
                <c:ptCount val="2"/>
                <c:pt idx="0">
                  <c:v>160.93229690648587</c:v>
                </c:pt>
                <c:pt idx="1">
                  <c:v>239.67853852834497</c:v>
                </c:pt>
              </c:numCache>
            </c:numRef>
          </c:yVal>
          <c:smooth val="1"/>
        </c:ser>
        <c:ser>
          <c:idx val="6"/>
          <c:order val="6"/>
          <c:tx>
            <c:v>SP_ACS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('Model-1'!$M$32,'Model-1'!$E$32)</c:f>
              <c:numCache>
                <c:formatCode>General</c:formatCode>
                <c:ptCount val="2"/>
                <c:pt idx="0">
                  <c:v>-86.702106333057017</c:v>
                </c:pt>
                <c:pt idx="1">
                  <c:v>-41.146367490164216</c:v>
                </c:pt>
              </c:numCache>
            </c:numRef>
          </c:xVal>
          <c:yVal>
            <c:numRef>
              <c:f>('Model-1'!$M$33,'Model-1'!$E$33)</c:f>
              <c:numCache>
                <c:formatCode>General</c:formatCode>
                <c:ptCount val="2"/>
                <c:pt idx="0">
                  <c:v>218.21207936922778</c:v>
                </c:pt>
                <c:pt idx="1">
                  <c:v>233.50945685852716</c:v>
                </c:pt>
              </c:numCache>
            </c:numRef>
          </c:yVal>
          <c:smooth val="1"/>
        </c:ser>
        <c:ser>
          <c:idx val="7"/>
          <c:order val="7"/>
          <c:tx>
            <c:v>SP_OCS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('Model-1'!$M$32,'Model-1'!$N$32)</c:f>
              <c:numCache>
                <c:formatCode>General</c:formatCode>
                <c:ptCount val="2"/>
                <c:pt idx="0">
                  <c:v>-86.702106333057017</c:v>
                </c:pt>
                <c:pt idx="1">
                  <c:v>-47.986770356677589</c:v>
                </c:pt>
              </c:numCache>
            </c:numRef>
          </c:xVal>
          <c:yVal>
            <c:numRef>
              <c:f>('Model-1'!$M$33,'Model-1'!$N$33)</c:f>
              <c:numCache>
                <c:formatCode>General</c:formatCode>
                <c:ptCount val="2"/>
                <c:pt idx="0">
                  <c:v>218.21207936922778</c:v>
                </c:pt>
                <c:pt idx="1">
                  <c:v>232.30330927424532</c:v>
                </c:pt>
              </c:numCache>
            </c:numRef>
          </c:yVal>
          <c:smooth val="1"/>
        </c:ser>
        <c:ser>
          <c:idx val="10"/>
          <c:order val="8"/>
          <c:tx>
            <c:v>OCS,ACS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('Model-1'!$M$7,'Model-1'!$I$7)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('Model-1'!$M$8,'Model-1'!$I$8)</c:f>
              <c:numCache>
                <c:formatCode>General</c:formatCode>
                <c:ptCount val="2"/>
                <c:pt idx="0">
                  <c:v>-20</c:v>
                </c:pt>
                <c:pt idx="1">
                  <c:v>0</c:v>
                </c:pt>
              </c:numCache>
            </c:numRef>
          </c:yVal>
          <c:smooth val="1"/>
        </c:ser>
        <c:ser>
          <c:idx val="8"/>
          <c:order val="9"/>
          <c:tx>
            <c:v>Orthosis Shell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('Model-1'!$B$27,'Model-1'!$C$27)</c:f>
              <c:numCache>
                <c:formatCode>General</c:formatCode>
                <c:ptCount val="2"/>
                <c:pt idx="0">
                  <c:v>-102.85913790376161</c:v>
                </c:pt>
                <c:pt idx="1">
                  <c:v>-141.57447388014103</c:v>
                </c:pt>
              </c:numCache>
            </c:numRef>
          </c:xVal>
          <c:yVal>
            <c:numRef>
              <c:f>('Model-1'!$B$28,'Model-1'!$C$28)</c:f>
              <c:numCache>
                <c:formatCode>General</c:formatCode>
                <c:ptCount val="2"/>
                <c:pt idx="0">
                  <c:v>282.6031587751541</c:v>
                </c:pt>
                <c:pt idx="1">
                  <c:v>268.51192887013656</c:v>
                </c:pt>
              </c:numCache>
            </c:numRef>
          </c:yVal>
          <c:smooth val="1"/>
        </c:ser>
        <c:ser>
          <c:idx val="9"/>
          <c:order val="10"/>
          <c:tx>
            <c:v>Orthosis Shell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('Model-1'!$C$27,'Model-1'!$D$27)</c:f>
              <c:numCache>
                <c:formatCode>General</c:formatCode>
                <c:ptCount val="2"/>
                <c:pt idx="0">
                  <c:v>-141.57447388014103</c:v>
                </c:pt>
                <c:pt idx="1">
                  <c:v>-38.715335976379428</c:v>
                </c:pt>
              </c:numCache>
            </c:numRef>
          </c:xVal>
          <c:yVal>
            <c:numRef>
              <c:f>('Model-1'!$C$28,'Model-1'!$D$28)</c:f>
              <c:numCache>
                <c:formatCode>General</c:formatCode>
                <c:ptCount val="2"/>
                <c:pt idx="0">
                  <c:v>268.51192887013656</c:v>
                </c:pt>
                <c:pt idx="1">
                  <c:v>-14.091229905017553</c:v>
                </c:pt>
              </c:numCache>
            </c:numRef>
          </c:yVal>
          <c:smooth val="1"/>
        </c:ser>
        <c:ser>
          <c:idx val="11"/>
          <c:order val="11"/>
          <c:tx>
            <c:v>Orthosis SHell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('Model-1'!$D$27,'Model-1'!$I$7)</c:f>
              <c:numCache>
                <c:formatCode>General</c:formatCode>
                <c:ptCount val="2"/>
                <c:pt idx="0">
                  <c:v>-38.715335976379428</c:v>
                </c:pt>
                <c:pt idx="1">
                  <c:v>0</c:v>
                </c:pt>
              </c:numCache>
            </c:numRef>
          </c:xVal>
          <c:yVal>
            <c:numRef>
              <c:f>('Model-1'!$D$28,'Model-1'!$I$8)</c:f>
              <c:numCache>
                <c:formatCode>General</c:formatCode>
                <c:ptCount val="2"/>
                <c:pt idx="0">
                  <c:v>-14.091229905017553</c:v>
                </c:pt>
                <c:pt idx="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56528016"/>
        <c:axId val="-956527472"/>
      </c:scatterChart>
      <c:valAx>
        <c:axId val="-956528016"/>
        <c:scaling>
          <c:orientation val="minMax"/>
          <c:max val="200"/>
          <c:min val="-150"/>
        </c:scaling>
        <c:delete val="1"/>
        <c:axPos val="b"/>
        <c:numFmt formatCode="General" sourceLinked="1"/>
        <c:majorTickMark val="out"/>
        <c:minorTickMark val="none"/>
        <c:tickLblPos val="nextTo"/>
        <c:crossAx val="-956527472"/>
        <c:crosses val="autoZero"/>
        <c:crossBetween val="midCat"/>
      </c:valAx>
      <c:valAx>
        <c:axId val="-956527472"/>
        <c:scaling>
          <c:orientation val="minMax"/>
          <c:max val="450"/>
          <c:min val="-75"/>
        </c:scaling>
        <c:delete val="1"/>
        <c:axPos val="l"/>
        <c:numFmt formatCode="General" sourceLinked="1"/>
        <c:majorTickMark val="out"/>
        <c:minorTickMark val="none"/>
        <c:tickLblPos val="nextTo"/>
        <c:crossAx val="-956528016"/>
        <c:crosses val="autoZero"/>
        <c:crossBetween val="midCat"/>
        <c:majorUnit val="75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Limb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('Model-2'!$I$7,'Model-2'!$L$7)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('Model-2'!$I$8,'Model-2'!$L$8)</c:f>
              <c:numCache>
                <c:formatCode>General</c:formatCode>
                <c:ptCount val="2"/>
                <c:pt idx="0">
                  <c:v>0</c:v>
                </c:pt>
                <c:pt idx="1">
                  <c:v>400.98</c:v>
                </c:pt>
              </c:numCache>
            </c:numRef>
          </c:yVal>
          <c:smooth val="1"/>
        </c:ser>
        <c:ser>
          <c:idx val="1"/>
          <c:order val="1"/>
          <c:tx>
            <c:v>Limb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('Model-2'!$I$7,'Model-2'!$H$32)</c:f>
              <c:numCache>
                <c:formatCode>General</c:formatCode>
                <c:ptCount val="2"/>
                <c:pt idx="0">
                  <c:v>0</c:v>
                </c:pt>
                <c:pt idx="1">
                  <c:v>-79.364172017804663</c:v>
                </c:pt>
              </c:numCache>
            </c:numRef>
          </c:xVal>
          <c:yVal>
            <c:numRef>
              <c:f>('Model-2'!$I$8,'Model-2'!$H$33)</c:f>
              <c:numCache>
                <c:formatCode>General</c:formatCode>
                <c:ptCount val="2"/>
                <c:pt idx="0">
                  <c:v>0</c:v>
                </c:pt>
                <c:pt idx="1">
                  <c:v>-38.763584714630198</c:v>
                </c:pt>
              </c:numCache>
            </c:numRef>
          </c:yVal>
          <c:smooth val="1"/>
        </c:ser>
        <c:ser>
          <c:idx val="2"/>
          <c:order val="2"/>
          <c:tx>
            <c:v>Limb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('Model-2'!$I$7,'Model-2'!$I$32)</c:f>
              <c:numCache>
                <c:formatCode>General</c:formatCode>
                <c:ptCount val="2"/>
                <c:pt idx="0">
                  <c:v>0</c:v>
                </c:pt>
                <c:pt idx="1">
                  <c:v>153.454071708112</c:v>
                </c:pt>
              </c:numCache>
            </c:numRef>
          </c:xVal>
          <c:yVal>
            <c:numRef>
              <c:f>('Model-2'!$I$8,'Model-2'!$I$33)</c:f>
              <c:numCache>
                <c:formatCode>General</c:formatCode>
                <c:ptCount val="2"/>
                <c:pt idx="0">
                  <c:v>0</c:v>
                </c:pt>
                <c:pt idx="1">
                  <c:v>-123.50249542499787</c:v>
                </c:pt>
              </c:numCache>
            </c:numRef>
          </c:yVal>
          <c:smooth val="1"/>
        </c:ser>
        <c:ser>
          <c:idx val="3"/>
          <c:order val="3"/>
          <c:tx>
            <c:v>Limb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('Model-2'!$H$32,'Model-2'!$I$32)</c:f>
              <c:numCache>
                <c:formatCode>General</c:formatCode>
                <c:ptCount val="2"/>
                <c:pt idx="0">
                  <c:v>-79.364172017804663</c:v>
                </c:pt>
                <c:pt idx="1">
                  <c:v>153.454071708112</c:v>
                </c:pt>
              </c:numCache>
            </c:numRef>
          </c:xVal>
          <c:yVal>
            <c:numRef>
              <c:f>('Model-2'!$H$33,'Model-2'!$I$33)</c:f>
              <c:numCache>
                <c:formatCode>General</c:formatCode>
                <c:ptCount val="2"/>
                <c:pt idx="0">
                  <c:v>-38.763584714630198</c:v>
                </c:pt>
                <c:pt idx="1">
                  <c:v>-123.50249542499787</c:v>
                </c:pt>
              </c:numCache>
            </c:numRef>
          </c:yVal>
          <c:smooth val="1"/>
        </c:ser>
        <c:ser>
          <c:idx val="4"/>
          <c:order val="4"/>
          <c:tx>
            <c:v>FP_ACS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('Model-2'!$F$32,'Model-2'!$G$32)</c:f>
              <c:numCache>
                <c:formatCode>General</c:formatCode>
                <c:ptCount val="2"/>
                <c:pt idx="0">
                  <c:v>99.947973880562373</c:v>
                </c:pt>
                <c:pt idx="1">
                  <c:v>-50.026968396868611</c:v>
                </c:pt>
              </c:numCache>
            </c:numRef>
          </c:xVal>
          <c:yVal>
            <c:numRef>
              <c:f>('Model-2'!$F$33,'Model-2'!$G$33)</c:f>
              <c:numCache>
                <c:formatCode>General</c:formatCode>
                <c:ptCount val="2"/>
                <c:pt idx="0">
                  <c:v>-104.0278684640343</c:v>
                </c:pt>
                <c:pt idx="1">
                  <c:v>-49.44145358925757</c:v>
                </c:pt>
              </c:numCache>
            </c:numRef>
          </c:yVal>
          <c:smooth val="1"/>
        </c:ser>
        <c:ser>
          <c:idx val="5"/>
          <c:order val="5"/>
          <c:tx>
            <c:v>FP_OCS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('Model-2'!$O$32,'Model-2'!$P$32)</c:f>
              <c:numCache>
                <c:formatCode>General</c:formatCode>
                <c:ptCount val="2"/>
                <c:pt idx="0">
                  <c:v>107.99452433135758</c:v>
                </c:pt>
                <c:pt idx="1">
                  <c:v>-41.980417946073402</c:v>
                </c:pt>
              </c:numCache>
            </c:numRef>
          </c:xVal>
          <c:yVal>
            <c:numRef>
              <c:f>('Model-2'!$O$33,'Model-2'!$P$33)</c:f>
              <c:numCache>
                <c:formatCode>General</c:formatCode>
                <c:ptCount val="2"/>
                <c:pt idx="0">
                  <c:v>-98.393613181802749</c:v>
                </c:pt>
                <c:pt idx="1">
                  <c:v>-43.807198307026027</c:v>
                </c:pt>
              </c:numCache>
            </c:numRef>
          </c:yVal>
          <c:smooth val="1"/>
        </c:ser>
        <c:ser>
          <c:idx val="6"/>
          <c:order val="6"/>
          <c:tx>
            <c:v>ACS,OCS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('Model-2'!$I$7,'Model-2'!$M$7)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('Model-2'!$I$8,'Model-2'!$M$8)</c:f>
              <c:numCache>
                <c:formatCode>General</c:formatCode>
                <c:ptCount val="2"/>
                <c:pt idx="0">
                  <c:v>0</c:v>
                </c:pt>
                <c:pt idx="1">
                  <c:v>-20</c:v>
                </c:pt>
              </c:numCache>
            </c:numRef>
          </c:yVal>
          <c:smooth val="1"/>
        </c:ser>
        <c:ser>
          <c:idx val="7"/>
          <c:order val="7"/>
          <c:tx>
            <c:v>FSP_ACS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('Model-2'!$Q$32,'Model-2'!$G$27)</c:f>
              <c:numCache>
                <c:formatCode>General</c:formatCode>
                <c:ptCount val="2"/>
                <c:pt idx="0">
                  <c:v>34.353946897537334</c:v>
                </c:pt>
                <c:pt idx="1">
                  <c:v>81.900049677796744</c:v>
                </c:pt>
              </c:numCache>
            </c:numRef>
          </c:xVal>
          <c:yVal>
            <c:numRef>
              <c:f>('Model-2'!$Q$33,'Model-2'!$G$28)</c:f>
              <c:numCache>
                <c:formatCode>General</c:formatCode>
                <c:ptCount val="2"/>
                <c:pt idx="0">
                  <c:v>-37.781707130157059</c:v>
                </c:pt>
                <c:pt idx="1">
                  <c:v>-27.393496724120965</c:v>
                </c:pt>
              </c:numCache>
            </c:numRef>
          </c:yVal>
          <c:smooth val="1"/>
        </c:ser>
        <c:ser>
          <c:idx val="8"/>
          <c:order val="8"/>
          <c:tx>
            <c:v>FSP_OCS</c:v>
          </c:tx>
          <c:spPr>
            <a:ln w="127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('Model-2'!$Q$32,'Model-2'!$R$32)</c:f>
              <c:numCache>
                <c:formatCode>General</c:formatCode>
                <c:ptCount val="2"/>
                <c:pt idx="0">
                  <c:v>34.353946897537334</c:v>
                </c:pt>
                <c:pt idx="1">
                  <c:v>89.946600128591939</c:v>
                </c:pt>
              </c:numCache>
            </c:numRef>
          </c:xVal>
          <c:yVal>
            <c:numRef>
              <c:f>('Model-2'!$Q$33,'Model-2'!$R$33)</c:f>
              <c:numCache>
                <c:formatCode>General</c:formatCode>
                <c:ptCount val="2"/>
                <c:pt idx="0">
                  <c:v>-37.781707130157059</c:v>
                </c:pt>
                <c:pt idx="1">
                  <c:v>-21.759241441889426</c:v>
                </c:pt>
              </c:numCache>
            </c:numRef>
          </c:yVal>
          <c:smooth val="1"/>
        </c:ser>
        <c:ser>
          <c:idx val="9"/>
          <c:order val="9"/>
          <c:tx>
            <c:v>Orthosis Shell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('Model-2'!$N$7,'Model-2'!$O$7)</c:f>
              <c:numCache>
                <c:formatCode>General</c:formatCode>
                <c:ptCount val="2"/>
                <c:pt idx="0">
                  <c:v>0</c:v>
                </c:pt>
                <c:pt idx="1">
                  <c:v>-41.2</c:v>
                </c:pt>
              </c:numCache>
            </c:numRef>
          </c:xVal>
          <c:yVal>
            <c:numRef>
              <c:f>('Model-2'!$N$8,'Model-2'!$O$8)</c:f>
              <c:numCache>
                <c:formatCode>General</c:formatCode>
                <c:ptCount val="2"/>
                <c:pt idx="0">
                  <c:v>300.74</c:v>
                </c:pt>
                <c:pt idx="1">
                  <c:v>300.74</c:v>
                </c:pt>
              </c:numCache>
            </c:numRef>
          </c:yVal>
          <c:smooth val="1"/>
        </c:ser>
        <c:ser>
          <c:idx val="10"/>
          <c:order val="10"/>
          <c:tx>
            <c:v>Orthosis Shell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('Model-2'!$O$7,'Model-2'!$P$7)</c:f>
              <c:numCache>
                <c:formatCode>General</c:formatCode>
                <c:ptCount val="2"/>
                <c:pt idx="0">
                  <c:v>-41.2</c:v>
                </c:pt>
                <c:pt idx="1">
                  <c:v>-41.2</c:v>
                </c:pt>
              </c:numCache>
            </c:numRef>
          </c:xVal>
          <c:yVal>
            <c:numRef>
              <c:f>('Model-2'!$O$8,'Model-2'!$P$8)</c:f>
              <c:numCache>
                <c:formatCode>General</c:formatCode>
                <c:ptCount val="2"/>
                <c:pt idx="0">
                  <c:v>300.74</c:v>
                </c:pt>
                <c:pt idx="1">
                  <c:v>0</c:v>
                </c:pt>
              </c:numCache>
            </c:numRef>
          </c:yVal>
          <c:smooth val="1"/>
        </c:ser>
        <c:ser>
          <c:idx val="11"/>
          <c:order val="11"/>
          <c:tx>
            <c:v>Orthosis SHell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('Model-2'!$P$7,'Model-2'!$I$7)</c:f>
              <c:numCache>
                <c:formatCode>General</c:formatCode>
                <c:ptCount val="2"/>
                <c:pt idx="0">
                  <c:v>-41.2</c:v>
                </c:pt>
                <c:pt idx="1">
                  <c:v>0</c:v>
                </c:pt>
              </c:numCache>
            </c:numRef>
          </c:xVal>
          <c:yVal>
            <c:numRef>
              <c:f>('Model-2'!$P$8,'Model-2'!$I$8)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2572464"/>
        <c:axId val="-882567568"/>
      </c:scatterChart>
      <c:valAx>
        <c:axId val="-882572464"/>
        <c:scaling>
          <c:orientation val="minMax"/>
          <c:max val="200"/>
          <c:min val="-100"/>
        </c:scaling>
        <c:delete val="1"/>
        <c:axPos val="b"/>
        <c:numFmt formatCode="General" sourceLinked="1"/>
        <c:majorTickMark val="out"/>
        <c:minorTickMark val="none"/>
        <c:tickLblPos val="nextTo"/>
        <c:crossAx val="-882567568"/>
        <c:crosses val="autoZero"/>
        <c:crossBetween val="midCat"/>
      </c:valAx>
      <c:valAx>
        <c:axId val="-882567568"/>
        <c:scaling>
          <c:orientation val="minMax"/>
          <c:max val="450"/>
          <c:min val="-150"/>
        </c:scaling>
        <c:delete val="1"/>
        <c:axPos val="l"/>
        <c:numFmt formatCode="General" sourceLinked="1"/>
        <c:majorTickMark val="out"/>
        <c:minorTickMark val="none"/>
        <c:tickLblPos val="nextTo"/>
        <c:crossAx val="-882572464"/>
        <c:crosses val="autoZero"/>
        <c:crossBetween val="midCat"/>
        <c:majorUnit val="75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 Leg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L_ACS_Knee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5875" cap="rnd">
                <a:solidFill>
                  <a:schemeClr val="accent6"/>
                </a:solidFill>
                <a:round/>
              </a:ln>
              <a:effectLst/>
            </c:spPr>
          </c:dPt>
          <c:xVal>
            <c:numRef>
              <c:f>(Model!$A$12,Model!$H$29)</c:f>
              <c:numCache>
                <c:formatCode>General</c:formatCode>
                <c:ptCount val="2"/>
                <c:pt idx="0">
                  <c:v>0</c:v>
                </c:pt>
                <c:pt idx="1">
                  <c:v>112.06252894577943</c:v>
                </c:pt>
              </c:numCache>
            </c:numRef>
          </c:xVal>
          <c:yVal>
            <c:numRef>
              <c:f>(Model!$A$13,Model!$H$30)</c:f>
              <c:numCache>
                <c:formatCode>General</c:formatCode>
                <c:ptCount val="2"/>
                <c:pt idx="0">
                  <c:v>0</c:v>
                </c:pt>
                <c:pt idx="1">
                  <c:v>468.79205369361404</c:v>
                </c:pt>
              </c:numCache>
            </c:numRef>
          </c:yVal>
          <c:smooth val="1"/>
        </c:ser>
        <c:ser>
          <c:idx val="1"/>
          <c:order val="1"/>
          <c:tx>
            <c:v>L_ACS_FHEE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(Model!$A$12,Model!$F$34)</c:f>
              <c:numCache>
                <c:formatCode>General</c:formatCode>
                <c:ptCount val="2"/>
                <c:pt idx="0">
                  <c:v>0</c:v>
                </c:pt>
                <c:pt idx="1">
                  <c:v>-72.576669351067068</c:v>
                </c:pt>
              </c:numCache>
            </c:numRef>
          </c:xVal>
          <c:yVal>
            <c:numRef>
              <c:f>(Model!$A$13,Model!$F$35)</c:f>
              <c:numCache>
                <c:formatCode>General</c:formatCode>
                <c:ptCount val="2"/>
                <c:pt idx="0">
                  <c:v>0</c:v>
                </c:pt>
                <c:pt idx="1">
                  <c:v>-63.660247139842966</c:v>
                </c:pt>
              </c:numCache>
            </c:numRef>
          </c:yVal>
          <c:smooth val="1"/>
        </c:ser>
        <c:ser>
          <c:idx val="2"/>
          <c:order val="2"/>
          <c:tx>
            <c:v>L_ACS_FMT5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(Model!$A$12,Model!$G$34)</c:f>
              <c:numCache>
                <c:formatCode>General</c:formatCode>
                <c:ptCount val="2"/>
                <c:pt idx="0">
                  <c:v>0</c:v>
                </c:pt>
                <c:pt idx="1">
                  <c:v>111.24026118426596</c:v>
                </c:pt>
              </c:numCache>
            </c:numRef>
          </c:xVal>
          <c:yVal>
            <c:numRef>
              <c:f>(Model!$A$13,Model!$G$35)</c:f>
              <c:numCache>
                <c:formatCode>General</c:formatCode>
                <c:ptCount val="2"/>
                <c:pt idx="0">
                  <c:v>0</c:v>
                </c:pt>
                <c:pt idx="1">
                  <c:v>-92.073906681840612</c:v>
                </c:pt>
              </c:numCache>
            </c:numRef>
          </c:yVal>
          <c:smooth val="1"/>
        </c:ser>
        <c:ser>
          <c:idx val="3"/>
          <c:order val="3"/>
          <c:tx>
            <c:v>L_FHEE_FMT5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(Model!$F$34,Model!$G$34)</c:f>
              <c:numCache>
                <c:formatCode>General</c:formatCode>
                <c:ptCount val="2"/>
                <c:pt idx="0">
                  <c:v>-72.576669351067068</c:v>
                </c:pt>
                <c:pt idx="1">
                  <c:v>111.24026118426596</c:v>
                </c:pt>
              </c:numCache>
            </c:numRef>
          </c:xVal>
          <c:yVal>
            <c:numRef>
              <c:f>(Model!$F$35,Model!$G$35)</c:f>
              <c:numCache>
                <c:formatCode>General</c:formatCode>
                <c:ptCount val="2"/>
                <c:pt idx="0">
                  <c:v>-63.660247139842966</c:v>
                </c:pt>
                <c:pt idx="1">
                  <c:v>-92.073906681840612</c:v>
                </c:pt>
              </c:numCache>
            </c:numRef>
          </c:yVal>
          <c:smooth val="1"/>
        </c:ser>
        <c:ser>
          <c:idx val="4"/>
          <c:order val="4"/>
          <c:tx>
            <c:v>L_OSP1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(Model!$B$34,Model!$C$34)</c:f>
              <c:numCache>
                <c:formatCode>General</c:formatCode>
                <c:ptCount val="2"/>
                <c:pt idx="0">
                  <c:v>9.2997949332597045</c:v>
                </c:pt>
                <c:pt idx="1">
                  <c:v>72.07341073276271</c:v>
                </c:pt>
              </c:numCache>
            </c:numRef>
          </c:xVal>
          <c:yVal>
            <c:numRef>
              <c:f>(Model!$B$35,Model!$C$35)</c:f>
              <c:numCache>
                <c:formatCode>General</c:formatCode>
                <c:ptCount val="2"/>
                <c:pt idx="0">
                  <c:v>38.903904870839341</c:v>
                </c:pt>
                <c:pt idx="1">
                  <c:v>301.50526274900488</c:v>
                </c:pt>
              </c:numCache>
            </c:numRef>
          </c:yVal>
          <c:smooth val="1"/>
        </c:ser>
        <c:ser>
          <c:idx val="5"/>
          <c:order val="5"/>
          <c:tx>
            <c:v>L_OSP2</c:v>
          </c:tx>
          <c:spPr>
            <a:ln w="15875" cap="rnd">
              <a:solidFill>
                <a:srgbClr val="92D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(Model!$C$34,Model!$D$34)</c:f>
              <c:numCache>
                <c:formatCode>General</c:formatCode>
                <c:ptCount val="2"/>
                <c:pt idx="0">
                  <c:v>72.07341073276271</c:v>
                </c:pt>
                <c:pt idx="1">
                  <c:v>13.717553426503699</c:v>
                </c:pt>
              </c:numCache>
            </c:numRef>
          </c:xVal>
          <c:yVal>
            <c:numRef>
              <c:f>(Model!$C$35,Model!$D$35)</c:f>
              <c:numCache>
                <c:formatCode>General</c:formatCode>
                <c:ptCount val="2"/>
                <c:pt idx="0">
                  <c:v>301.50526274900488</c:v>
                </c:pt>
                <c:pt idx="1">
                  <c:v>315.45495514889444</c:v>
                </c:pt>
              </c:numCache>
            </c:numRef>
          </c:yVal>
          <c:smooth val="1"/>
        </c:ser>
        <c:ser>
          <c:idx val="6"/>
          <c:order val="6"/>
          <c:tx>
            <c:v>L_OSP3</c:v>
          </c:tx>
          <c:spPr>
            <a:ln w="15875" cap="rnd">
              <a:solidFill>
                <a:srgbClr val="92D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(Model!$D$34,Model!$E$34)</c:f>
              <c:numCache>
                <c:formatCode>General</c:formatCode>
                <c:ptCount val="2"/>
                <c:pt idx="0">
                  <c:v>13.717553426503699</c:v>
                </c:pt>
                <c:pt idx="1">
                  <c:v>-49.056062372999307</c:v>
                </c:pt>
              </c:numCache>
            </c:numRef>
          </c:xVal>
          <c:yVal>
            <c:numRef>
              <c:f>(Model!$D$35,Model!$E$35)</c:f>
              <c:numCache>
                <c:formatCode>General</c:formatCode>
                <c:ptCount val="2"/>
                <c:pt idx="0">
                  <c:v>315.45495514889444</c:v>
                </c:pt>
                <c:pt idx="1">
                  <c:v>52.853597270728898</c:v>
                </c:pt>
              </c:numCache>
            </c:numRef>
          </c:yVal>
          <c:smooth val="1"/>
        </c:ser>
        <c:ser>
          <c:idx val="7"/>
          <c:order val="7"/>
          <c:tx>
            <c:v>L_OSP4</c:v>
          </c:tx>
          <c:spPr>
            <a:ln w="15875" cap="rnd">
              <a:solidFill>
                <a:srgbClr val="92D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(Model!$E$34,Model!$B$34)</c:f>
              <c:numCache>
                <c:formatCode>General</c:formatCode>
                <c:ptCount val="2"/>
                <c:pt idx="0">
                  <c:v>-49.056062372999307</c:v>
                </c:pt>
                <c:pt idx="1">
                  <c:v>9.2997949332597045</c:v>
                </c:pt>
              </c:numCache>
            </c:numRef>
          </c:xVal>
          <c:yVal>
            <c:numRef>
              <c:f>(Model!$E$35,Model!$B$35)</c:f>
              <c:numCache>
                <c:formatCode>General</c:formatCode>
                <c:ptCount val="2"/>
                <c:pt idx="0">
                  <c:v>52.853597270728898</c:v>
                </c:pt>
                <c:pt idx="1">
                  <c:v>38.903904870839341</c:v>
                </c:pt>
              </c:numCache>
            </c:numRef>
          </c:yVal>
          <c:smooth val="1"/>
        </c:ser>
        <c:ser>
          <c:idx val="8"/>
          <c:order val="8"/>
          <c:tx>
            <c:v>L_TP_ACS</c:v>
          </c:tx>
          <c:spPr>
            <a:ln w="158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(Model!$B$29,Model!$C$29)</c:f>
              <c:numCache>
                <c:formatCode>General</c:formatCode>
                <c:ptCount val="2"/>
                <c:pt idx="0">
                  <c:v>2.9451723288293294</c:v>
                </c:pt>
                <c:pt idx="1">
                  <c:v>23.869710928663665</c:v>
                </c:pt>
              </c:numCache>
            </c:numRef>
          </c:xVal>
          <c:yVal>
            <c:numRef>
              <c:f>(Model!$B$30,Model!$C$30)</c:f>
              <c:numCache>
                <c:formatCode>General</c:formatCode>
                <c:ptCount val="2"/>
                <c:pt idx="0">
                  <c:v>184.36736685203675</c:v>
                </c:pt>
                <c:pt idx="1">
                  <c:v>271.90115281142528</c:v>
                </c:pt>
              </c:numCache>
            </c:numRef>
          </c:yVal>
          <c:smooth val="1"/>
        </c:ser>
        <c:ser>
          <c:idx val="9"/>
          <c:order val="9"/>
          <c:tx>
            <c:v>L_SP_ACS</c:v>
          </c:tx>
          <c:spPr>
            <a:ln w="158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(Model!$D$53,Model!$E$29)</c:f>
              <c:numCache>
                <c:formatCode>General</c:formatCode>
                <c:ptCount val="2"/>
                <c:pt idx="0">
                  <c:v>56.346817164138557</c:v>
                </c:pt>
                <c:pt idx="1">
                  <c:v>99.778753221477558</c:v>
                </c:pt>
              </c:numCache>
            </c:numRef>
          </c:xVal>
          <c:yVal>
            <c:numRef>
              <c:f>(Model!$D$54,Model!$E$30)</c:f>
              <c:numCache>
                <c:formatCode>General</c:formatCode>
                <c:ptCount val="2"/>
                <c:pt idx="0">
                  <c:v>218.0733266916659</c:v>
                </c:pt>
                <c:pt idx="1">
                  <c:v>202.34673312304173</c:v>
                </c:pt>
              </c:numCache>
            </c:numRef>
          </c:yVal>
          <c:smooth val="1"/>
        </c:ser>
        <c:ser>
          <c:idx val="10"/>
          <c:order val="10"/>
          <c:tx>
            <c:v>L_FP_ACS</c:v>
          </c:tx>
          <c:spPr>
            <a:ln w="158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(Model!$F$29,Model!$G$29)</c:f>
              <c:numCache>
                <c:formatCode>General</c:formatCode>
                <c:ptCount val="2"/>
                <c:pt idx="0">
                  <c:v>-45.893566531421946</c:v>
                </c:pt>
                <c:pt idx="1">
                  <c:v>97.404578240746275</c:v>
                </c:pt>
              </c:numCache>
            </c:numRef>
          </c:xVal>
          <c:yVal>
            <c:numRef>
              <c:f>(Model!$F$30,Model!$G$30)</c:f>
              <c:numCache>
                <c:formatCode>General</c:formatCode>
                <c:ptCount val="2"/>
                <c:pt idx="0">
                  <c:v>-67.784810621745848</c:v>
                </c:pt>
                <c:pt idx="1">
                  <c:v>-89.935244135668739</c:v>
                </c:pt>
              </c:numCache>
            </c:numRef>
          </c:yVal>
          <c:smooth val="1"/>
        </c:ser>
        <c:ser>
          <c:idx val="11"/>
          <c:order val="11"/>
          <c:tx>
            <c:v>L_TP_OCS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(Model!$B$53,Model!$C$53)</c:f>
              <c:numCache>
                <c:formatCode>General</c:formatCode>
                <c:ptCount val="2"/>
                <c:pt idx="0">
                  <c:v>8.1431173600395113</c:v>
                </c:pt>
                <c:pt idx="1">
                  <c:v>29.067655959873846</c:v>
                </c:pt>
              </c:numCache>
            </c:numRef>
          </c:xVal>
          <c:yVal>
            <c:numRef>
              <c:f>(Model!$B$54,Model!$C$54)</c:f>
              <c:numCache>
                <c:formatCode>General</c:formatCode>
                <c:ptCount val="2"/>
                <c:pt idx="0">
                  <c:v>188.46921675408626</c:v>
                </c:pt>
                <c:pt idx="1">
                  <c:v>276.00300271347476</c:v>
                </c:pt>
              </c:numCache>
            </c:numRef>
          </c:yVal>
          <c:smooth val="1"/>
        </c:ser>
        <c:ser>
          <c:idx val="12"/>
          <c:order val="12"/>
          <c:tx>
            <c:v>L_SP_OCS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(Model!$D$53,Model!$E$53)</c:f>
              <c:numCache>
                <c:formatCode>General</c:formatCode>
                <c:ptCount val="2"/>
                <c:pt idx="0">
                  <c:v>56.346817164138557</c:v>
                </c:pt>
                <c:pt idx="1">
                  <c:v>104.97669825268773</c:v>
                </c:pt>
              </c:numCache>
            </c:numRef>
          </c:xVal>
          <c:yVal>
            <c:numRef>
              <c:f>(Model!$D$54,Model!$E$54)</c:f>
              <c:numCache>
                <c:formatCode>General</c:formatCode>
                <c:ptCount val="2"/>
                <c:pt idx="0">
                  <c:v>218.0733266916659</c:v>
                </c:pt>
                <c:pt idx="1">
                  <c:v>206.44858302509127</c:v>
                </c:pt>
              </c:numCache>
            </c:numRef>
          </c:yVal>
          <c:smooth val="1"/>
        </c:ser>
        <c:ser>
          <c:idx val="13"/>
          <c:order val="13"/>
          <c:tx>
            <c:v>L_FP_OCS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(Model!$F$53,Model!$G$53)</c:f>
              <c:numCache>
                <c:formatCode>General</c:formatCode>
                <c:ptCount val="2"/>
                <c:pt idx="0">
                  <c:v>-42.603595670490265</c:v>
                </c:pt>
                <c:pt idx="1">
                  <c:v>100.69454910167796</c:v>
                </c:pt>
              </c:numCache>
            </c:numRef>
          </c:xVal>
          <c:yVal>
            <c:numRef>
              <c:f>(Model!$F$54,Model!$G$54)</c:f>
              <c:numCache>
                <c:formatCode>General</c:formatCode>
                <c:ptCount val="2"/>
                <c:pt idx="0">
                  <c:v>-64.964317065043616</c:v>
                </c:pt>
                <c:pt idx="1">
                  <c:v>-87.114750578966522</c:v>
                </c:pt>
              </c:numCache>
            </c:numRef>
          </c:yVal>
          <c:smooth val="1"/>
        </c:ser>
        <c:ser>
          <c:idx val="14"/>
          <c:order val="14"/>
          <c:tx>
            <c:v>L_OCS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Model!$E$12</c:f>
              <c:numCache>
                <c:formatCode>General</c:formatCode>
                <c:ptCount val="1"/>
                <c:pt idx="0">
                  <c:v>20</c:v>
                </c:pt>
              </c:numCache>
            </c:numRef>
          </c:xVal>
          <c:yVal>
            <c:numRef>
              <c:f>Model!$E$13</c:f>
              <c:numCache>
                <c:formatCode>General</c:formatCode>
                <c:ptCount val="1"/>
                <c:pt idx="0">
                  <c:v>-20</c:v>
                </c:pt>
              </c:numCache>
            </c:numRef>
          </c:yVal>
          <c:smooth val="1"/>
        </c:ser>
        <c:ser>
          <c:idx val="15"/>
          <c:order val="15"/>
          <c:tx>
            <c:v>L_ACS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Model!$A$12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Model!$A$13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2562128"/>
        <c:axId val="-882570832"/>
      </c:scatterChart>
      <c:valAx>
        <c:axId val="-882562128"/>
        <c:scaling>
          <c:orientation val="minMax"/>
          <c:max val="350"/>
          <c:min val="-250"/>
        </c:scaling>
        <c:delete val="1"/>
        <c:axPos val="b"/>
        <c:numFmt formatCode="General" sourceLinked="1"/>
        <c:majorTickMark val="out"/>
        <c:minorTickMark val="none"/>
        <c:tickLblPos val="nextTo"/>
        <c:crossAx val="-882570832"/>
        <c:crosses val="autoZero"/>
        <c:crossBetween val="midCat"/>
      </c:valAx>
      <c:valAx>
        <c:axId val="-882570832"/>
        <c:scaling>
          <c:orientation val="minMax"/>
          <c:max val="500"/>
        </c:scaling>
        <c:delete val="1"/>
        <c:axPos val="l"/>
        <c:numFmt formatCode="General" sourceLinked="1"/>
        <c:majorTickMark val="out"/>
        <c:minorTickMark val="none"/>
        <c:tickLblPos val="nextTo"/>
        <c:crossAx val="-88256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 Leg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R_ACS_Knee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(Model!$J$12,Model!$Q$29)</c:f>
              <c:numCache>
                <c:formatCode>General</c:formatCode>
                <c:ptCount val="2"/>
                <c:pt idx="0">
                  <c:v>0</c:v>
                </c:pt>
                <c:pt idx="1">
                  <c:v>250.89744184161111</c:v>
                </c:pt>
              </c:numCache>
            </c:numRef>
          </c:xVal>
          <c:yVal>
            <c:numRef>
              <c:f>(Model!$J$13,Model!$Q$30)</c:f>
              <c:numCache>
                <c:formatCode>General</c:formatCode>
                <c:ptCount val="2"/>
                <c:pt idx="0">
                  <c:v>0</c:v>
                </c:pt>
                <c:pt idx="1">
                  <c:v>385.55216725799295</c:v>
                </c:pt>
              </c:numCache>
            </c:numRef>
          </c:yVal>
          <c:smooth val="1"/>
        </c:ser>
        <c:ser>
          <c:idx val="1"/>
          <c:order val="1"/>
          <c:tx>
            <c:v>R_ACS_FHEE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(Model!$J$12,Model!$O$34)</c:f>
              <c:numCache>
                <c:formatCode>General</c:formatCode>
                <c:ptCount val="2"/>
                <c:pt idx="0">
                  <c:v>0</c:v>
                </c:pt>
                <c:pt idx="1">
                  <c:v>-79.19464620074433</c:v>
                </c:pt>
              </c:numCache>
            </c:numRef>
          </c:xVal>
          <c:yVal>
            <c:numRef>
              <c:f>(Model!$J$13,Model!$O$35)</c:f>
              <c:numCache>
                <c:formatCode>General</c:formatCode>
                <c:ptCount val="2"/>
                <c:pt idx="0">
                  <c:v>0</c:v>
                </c:pt>
                <c:pt idx="1">
                  <c:v>-55.174341981929715</c:v>
                </c:pt>
              </c:numCache>
            </c:numRef>
          </c:yVal>
          <c:smooth val="1"/>
        </c:ser>
        <c:ser>
          <c:idx val="2"/>
          <c:order val="2"/>
          <c:tx>
            <c:v>R_ACS_FMT5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(Model!$J$12,Model!$P$34)</c:f>
              <c:numCache>
                <c:formatCode>General</c:formatCode>
                <c:ptCount val="2"/>
                <c:pt idx="0">
                  <c:v>0</c:v>
                </c:pt>
                <c:pt idx="1">
                  <c:v>95.248858885643045</c:v>
                </c:pt>
              </c:numCache>
            </c:numRef>
          </c:xVal>
          <c:yVal>
            <c:numRef>
              <c:f>(Model!$J$13,Model!$P$35)</c:f>
              <c:numCache>
                <c:formatCode>General</c:formatCode>
                <c:ptCount val="2"/>
                <c:pt idx="0">
                  <c:v>0</c:v>
                </c:pt>
                <c:pt idx="1">
                  <c:v>-122.54246154285812</c:v>
                </c:pt>
              </c:numCache>
            </c:numRef>
          </c:yVal>
          <c:smooth val="1"/>
        </c:ser>
        <c:ser>
          <c:idx val="3"/>
          <c:order val="3"/>
          <c:tx>
            <c:v>R_FHEE_FMT5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(Model!$O$34,Model!$P$34)</c:f>
              <c:numCache>
                <c:formatCode>General</c:formatCode>
                <c:ptCount val="2"/>
                <c:pt idx="0">
                  <c:v>-79.19464620074433</c:v>
                </c:pt>
                <c:pt idx="1">
                  <c:v>95.248858885643045</c:v>
                </c:pt>
              </c:numCache>
            </c:numRef>
          </c:xVal>
          <c:yVal>
            <c:numRef>
              <c:f>(Model!$O$35,Model!$P$35)</c:f>
              <c:numCache>
                <c:formatCode>General</c:formatCode>
                <c:ptCount val="2"/>
                <c:pt idx="0">
                  <c:v>-55.174341981929715</c:v>
                </c:pt>
                <c:pt idx="1">
                  <c:v>-122.54246154285812</c:v>
                </c:pt>
              </c:numCache>
            </c:numRef>
          </c:yVal>
          <c:smooth val="1"/>
        </c:ser>
        <c:ser>
          <c:idx val="4"/>
          <c:order val="4"/>
          <c:tx>
            <c:v>R_ACS_OCS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Model!$N$12</c:f>
              <c:numCache>
                <c:formatCode>General</c:formatCode>
                <c:ptCount val="1"/>
                <c:pt idx="0">
                  <c:v>20</c:v>
                </c:pt>
              </c:numCache>
            </c:numRef>
          </c:xVal>
          <c:yVal>
            <c:numRef>
              <c:f>Model!$N$13</c:f>
              <c:numCache>
                <c:formatCode>General</c:formatCode>
                <c:ptCount val="1"/>
                <c:pt idx="0">
                  <c:v>-20</c:v>
                </c:pt>
              </c:numCache>
            </c:numRef>
          </c:yVal>
          <c:smooth val="1"/>
        </c:ser>
        <c:ser>
          <c:idx val="5"/>
          <c:order val="5"/>
          <c:tx>
            <c:v>R_OCS1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(Model!$K$34,Model!$L$34)</c:f>
              <c:numCache>
                <c:formatCode>General</c:formatCode>
                <c:ptCount val="2"/>
                <c:pt idx="0">
                  <c:v>19.090022748818235</c:v>
                </c:pt>
                <c:pt idx="1">
                  <c:v>163.62876641844204</c:v>
                </c:pt>
              </c:numCache>
            </c:numRef>
          </c:xVal>
          <c:yVal>
            <c:numRef>
              <c:f>(Model!$K$35,Model!$L$35)</c:f>
              <c:numCache>
                <c:formatCode>General</c:formatCode>
                <c:ptCount val="2"/>
                <c:pt idx="0">
                  <c:v>29.335490987021203</c:v>
                </c:pt>
                <c:pt idx="1">
                  <c:v>251.44706560303888</c:v>
                </c:pt>
              </c:numCache>
            </c:numRef>
          </c:yVal>
          <c:smooth val="1"/>
        </c:ser>
        <c:ser>
          <c:idx val="6"/>
          <c:order val="6"/>
          <c:tx>
            <c:v>R_OCS2</c:v>
          </c:tx>
          <c:spPr>
            <a:ln w="15875" cap="rnd">
              <a:solidFill>
                <a:srgbClr val="92D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(Model!$L$34,Model!$M$34)</c:f>
              <c:numCache>
                <c:formatCode>General</c:formatCode>
                <c:ptCount val="2"/>
                <c:pt idx="0">
                  <c:v>163.62876641844204</c:v>
                </c:pt>
                <c:pt idx="1">
                  <c:v>113.33935329783426</c:v>
                </c:pt>
              </c:numCache>
            </c:numRef>
          </c:xVal>
          <c:yVal>
            <c:numRef>
              <c:f>(Model!$L$35,Model!$M$35)</c:f>
              <c:numCache>
                <c:formatCode>General</c:formatCode>
                <c:ptCount val="2"/>
                <c:pt idx="0">
                  <c:v>251.44706560303888</c:v>
                </c:pt>
                <c:pt idx="1">
                  <c:v>284.17281888672727</c:v>
                </c:pt>
              </c:numCache>
            </c:numRef>
          </c:yVal>
          <c:smooth val="1"/>
        </c:ser>
        <c:ser>
          <c:idx val="7"/>
          <c:order val="7"/>
          <c:tx>
            <c:v>R_OCS3</c:v>
          </c:tx>
          <c:spPr>
            <a:ln w="15875" cap="rnd">
              <a:solidFill>
                <a:srgbClr val="92D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(Model!$M$34,Model!$N$34)</c:f>
              <c:numCache>
                <c:formatCode>General</c:formatCode>
                <c:ptCount val="2"/>
                <c:pt idx="0">
                  <c:v>113.33935329783426</c:v>
                </c:pt>
                <c:pt idx="1">
                  <c:v>-31.199390371789541</c:v>
                </c:pt>
              </c:numCache>
            </c:numRef>
          </c:xVal>
          <c:yVal>
            <c:numRef>
              <c:f>(Model!$M$35,Model!$N$35)</c:f>
              <c:numCache>
                <c:formatCode>General</c:formatCode>
                <c:ptCount val="2"/>
                <c:pt idx="0">
                  <c:v>284.17281888672727</c:v>
                </c:pt>
                <c:pt idx="1">
                  <c:v>62.061244270709608</c:v>
                </c:pt>
              </c:numCache>
            </c:numRef>
          </c:yVal>
          <c:smooth val="1"/>
        </c:ser>
        <c:ser>
          <c:idx val="8"/>
          <c:order val="8"/>
          <c:tx>
            <c:v>R_OCS4</c:v>
          </c:tx>
          <c:spPr>
            <a:ln w="15875" cap="rnd">
              <a:solidFill>
                <a:srgbClr val="92D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(Model!$N$34,Model!$K$34)</c:f>
              <c:numCache>
                <c:formatCode>General</c:formatCode>
                <c:ptCount val="2"/>
                <c:pt idx="0">
                  <c:v>-31.199390371789541</c:v>
                </c:pt>
                <c:pt idx="1">
                  <c:v>19.090022748818235</c:v>
                </c:pt>
              </c:numCache>
            </c:numRef>
          </c:xVal>
          <c:yVal>
            <c:numRef>
              <c:f>(Model!$N$35,Model!$K$35)</c:f>
              <c:numCache>
                <c:formatCode>General</c:formatCode>
                <c:ptCount val="2"/>
                <c:pt idx="0">
                  <c:v>62.061244270709608</c:v>
                </c:pt>
                <c:pt idx="1">
                  <c:v>29.335490987021203</c:v>
                </c:pt>
              </c:numCache>
            </c:numRef>
          </c:yVal>
          <c:smooth val="1"/>
        </c:ser>
        <c:ser>
          <c:idx val="9"/>
          <c:order val="9"/>
          <c:tx>
            <c:v>R_TP_ACS</c:v>
          </c:tx>
          <c:spPr>
            <a:ln w="158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(Model!$K$29,Model!$L$29)</c:f>
              <c:numCache>
                <c:formatCode>General</c:formatCode>
                <c:ptCount val="2"/>
                <c:pt idx="0">
                  <c:v>64.650984437326699</c:v>
                </c:pt>
                <c:pt idx="1">
                  <c:v>113.7396143628593</c:v>
                </c:pt>
              </c:numCache>
            </c:numRef>
          </c:xVal>
          <c:yVal>
            <c:numRef>
              <c:f>(Model!$K$30,Model!$L$30)</c:f>
              <c:numCache>
                <c:formatCode>General</c:formatCode>
                <c:ptCount val="2"/>
                <c:pt idx="0">
                  <c:v>172.68540821761559</c:v>
                </c:pt>
                <c:pt idx="1">
                  <c:v>248.11952789852725</c:v>
                </c:pt>
              </c:numCache>
            </c:numRef>
          </c:yVal>
          <c:smooth val="1"/>
        </c:ser>
        <c:ser>
          <c:idx val="10"/>
          <c:order val="10"/>
          <c:tx>
            <c:v>R_SP_ACS</c:v>
          </c:tx>
          <c:spPr>
            <a:ln w="158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(Model!$M$53,Model!$N$29)</c:f>
              <c:numCache>
                <c:formatCode>General</c:formatCode>
                <c:ptCount val="2"/>
                <c:pt idx="0">
                  <c:v>134.13987542788436</c:v>
                </c:pt>
                <c:pt idx="1">
                  <c:v>161.90227297403064</c:v>
                </c:pt>
              </c:numCache>
            </c:numRef>
          </c:xVal>
          <c:yVal>
            <c:numRef>
              <c:f>(Model!$M$54,Model!$N$30)</c:f>
              <c:numCache>
                <c:formatCode>General</c:formatCode>
                <c:ptCount val="2"/>
                <c:pt idx="0">
                  <c:v>192.06623691032723</c:v>
                </c:pt>
                <c:pt idx="1">
                  <c:v>157.12305370582152</c:v>
                </c:pt>
              </c:numCache>
            </c:numRef>
          </c:yVal>
          <c:smooth val="1"/>
        </c:ser>
        <c:ser>
          <c:idx val="11"/>
          <c:order val="11"/>
          <c:tx>
            <c:v>R_FP_ACS</c:v>
          </c:tx>
          <c:spPr>
            <a:ln w="158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(Model!$O$29,Model!$P$29)</c:f>
              <c:numCache>
                <c:formatCode>General</c:formatCode>
                <c:ptCount val="2"/>
                <c:pt idx="0">
                  <c:v>-61.470439801592683</c:v>
                </c:pt>
                <c:pt idx="1">
                  <c:v>73.793240612985755</c:v>
                </c:pt>
              </c:numCache>
            </c:numRef>
          </c:xVal>
          <c:yVal>
            <c:numRef>
              <c:f>(Model!$O$30,Model!$P$30)</c:f>
              <c:numCache>
                <c:formatCode>General</c:formatCode>
                <c:ptCount val="2"/>
                <c:pt idx="0">
                  <c:v>-62.019231135179126</c:v>
                </c:pt>
                <c:pt idx="1">
                  <c:v>-114.25654309418779</c:v>
                </c:pt>
              </c:numCache>
            </c:numRef>
          </c:yVal>
          <c:smooth val="1"/>
        </c:ser>
        <c:ser>
          <c:idx val="12"/>
          <c:order val="12"/>
          <c:tx>
            <c:v>R_TP_OCS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(Model!$K$53,Model!$L$53)</c:f>
              <c:numCache>
                <c:formatCode>General</c:formatCode>
                <c:ptCount val="2"/>
                <c:pt idx="0">
                  <c:v>78.79643115835357</c:v>
                </c:pt>
                <c:pt idx="1">
                  <c:v>127.88506108388617</c:v>
                </c:pt>
              </c:numCache>
            </c:numRef>
          </c:xVal>
          <c:yVal>
            <c:numRef>
              <c:f>(Model!$K$54,Model!$L$54)</c:f>
              <c:numCache>
                <c:formatCode>General</c:formatCode>
                <c:ptCount val="2"/>
                <c:pt idx="0">
                  <c:v>180.35713035238098</c:v>
                </c:pt>
                <c:pt idx="1">
                  <c:v>255.79125003329267</c:v>
                </c:pt>
              </c:numCache>
            </c:numRef>
          </c:yVal>
          <c:smooth val="1"/>
        </c:ser>
        <c:ser>
          <c:idx val="13"/>
          <c:order val="13"/>
          <c:tx>
            <c:v>R_SP_OCS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(Model!$M$53,Model!$N$53)</c:f>
              <c:numCache>
                <c:formatCode>General</c:formatCode>
                <c:ptCount val="2"/>
                <c:pt idx="0">
                  <c:v>134.13987542788436</c:v>
                </c:pt>
                <c:pt idx="1">
                  <c:v>176.04771969505751</c:v>
                </c:pt>
              </c:numCache>
            </c:numRef>
          </c:xVal>
          <c:yVal>
            <c:numRef>
              <c:f>(Model!$M$54,Model!$N$54)</c:f>
              <c:numCache>
                <c:formatCode>General</c:formatCode>
                <c:ptCount val="2"/>
                <c:pt idx="0">
                  <c:v>192.06623691032723</c:v>
                </c:pt>
                <c:pt idx="1">
                  <c:v>164.79477584058691</c:v>
                </c:pt>
              </c:numCache>
            </c:numRef>
          </c:yVal>
          <c:smooth val="1"/>
        </c:ser>
        <c:ser>
          <c:idx val="14"/>
          <c:order val="14"/>
          <c:tx>
            <c:v>R_FP_OCS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(Model!$O$53,Model!$P$53)</c:f>
              <c:numCache>
                <c:formatCode>General</c:formatCode>
                <c:ptCount val="2"/>
                <c:pt idx="0">
                  <c:v>-52.922352692016091</c:v>
                </c:pt>
                <c:pt idx="1">
                  <c:v>82.34132772256234</c:v>
                </c:pt>
              </c:numCache>
            </c:numRef>
          </c:xVal>
          <c:yVal>
            <c:numRef>
              <c:f>(Model!$O$54,Model!$P$54)</c:f>
              <c:numCache>
                <c:formatCode>General</c:formatCode>
                <c:ptCount val="2"/>
                <c:pt idx="0">
                  <c:v>-56.157025290546414</c:v>
                </c:pt>
                <c:pt idx="1">
                  <c:v>-108.39433724955506</c:v>
                </c:pt>
              </c:numCache>
            </c:numRef>
          </c:yVal>
          <c:smooth val="1"/>
        </c:ser>
        <c:ser>
          <c:idx val="15"/>
          <c:order val="15"/>
          <c:tx>
            <c:v>L_ACS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Model!$J$12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Model!$J$13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2573552"/>
        <c:axId val="-882568112"/>
      </c:scatterChart>
      <c:valAx>
        <c:axId val="-882573552"/>
        <c:scaling>
          <c:orientation val="minMax"/>
          <c:max val="350"/>
          <c:min val="-250"/>
        </c:scaling>
        <c:delete val="1"/>
        <c:axPos val="b"/>
        <c:numFmt formatCode="General" sourceLinked="1"/>
        <c:majorTickMark val="out"/>
        <c:minorTickMark val="none"/>
        <c:tickLblPos val="nextTo"/>
        <c:crossAx val="-882568112"/>
        <c:crosses val="autoZero"/>
        <c:crossBetween val="midCat"/>
      </c:valAx>
      <c:valAx>
        <c:axId val="-882568112"/>
        <c:scaling>
          <c:orientation val="minMax"/>
          <c:max val="500"/>
        </c:scaling>
        <c:delete val="1"/>
        <c:axPos val="l"/>
        <c:numFmt formatCode="General" sourceLinked="1"/>
        <c:majorTickMark val="out"/>
        <c:minorTickMark val="none"/>
        <c:tickLblPos val="nextTo"/>
        <c:crossAx val="-88257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219075</xdr:colOff>
      <xdr:row>40</xdr:row>
      <xdr:rowOff>90487</xdr:rowOff>
    </xdr:from>
    <xdr:to>
      <xdr:col>17</xdr:col>
      <xdr:colOff>457200</xdr:colOff>
      <xdr:row>55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409575</xdr:colOff>
      <xdr:row>63</xdr:row>
      <xdr:rowOff>90487</xdr:rowOff>
    </xdr:from>
    <xdr:to>
      <xdr:col>17</xdr:col>
      <xdr:colOff>428625</xdr:colOff>
      <xdr:row>78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180975</xdr:colOff>
      <xdr:row>87</xdr:row>
      <xdr:rowOff>128586</xdr:rowOff>
    </xdr:from>
    <xdr:to>
      <xdr:col>17</xdr:col>
      <xdr:colOff>76201</xdr:colOff>
      <xdr:row>103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219075</xdr:colOff>
      <xdr:row>113</xdr:row>
      <xdr:rowOff>90487</xdr:rowOff>
    </xdr:from>
    <xdr:to>
      <xdr:col>17</xdr:col>
      <xdr:colOff>457200</xdr:colOff>
      <xdr:row>128</xdr:row>
      <xdr:rowOff>66675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114300</xdr:rowOff>
    </xdr:from>
    <xdr:to>
      <xdr:col>5</xdr:col>
      <xdr:colOff>600075</xdr:colOff>
      <xdr:row>24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247650</xdr:colOff>
      <xdr:row>0</xdr:row>
      <xdr:rowOff>38100</xdr:rowOff>
    </xdr:from>
    <xdr:to>
      <xdr:col>17</xdr:col>
      <xdr:colOff>152401</xdr:colOff>
      <xdr:row>22</xdr:row>
      <xdr:rowOff>152399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545524</xdr:colOff>
      <xdr:row>0</xdr:row>
      <xdr:rowOff>0</xdr:rowOff>
    </xdr:from>
    <xdr:to>
      <xdr:col>9</xdr:col>
      <xdr:colOff>681967</xdr:colOff>
      <xdr:row>23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86038</xdr:colOff>
      <xdr:row>0</xdr:row>
      <xdr:rowOff>0</xdr:rowOff>
    </xdr:from>
    <xdr:to>
      <xdr:col>16</xdr:col>
      <xdr:colOff>190813</xdr:colOff>
      <xdr:row>23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30"/>
  <sheetViews>
    <sheetView tabSelected="1" workbookViewId="0">
      <selection activeCell="K7" sqref="K7"/>
    </sheetView>
  </sheetViews>
  <sheetFormatPr defaultRowHeight="15" x14ac:dyDescent="0.25"/>
  <cols>
    <col min="3" max="3" width="9" customWidth="1"/>
    <col min="7" max="7" width="9.5" customWidth="1"/>
    <col min="8" max="8" width="9.75" customWidth="1"/>
    <col min="10" max="10" width="10.25" customWidth="1"/>
  </cols>
  <sheetData>
    <row r="2" spans="1:18" x14ac:dyDescent="0.25">
      <c r="E2" s="91" t="s">
        <v>68</v>
      </c>
      <c r="F2" s="91"/>
      <c r="G2" s="91"/>
      <c r="H2" s="91"/>
      <c r="I2" s="91"/>
      <c r="J2" s="91"/>
    </row>
    <row r="3" spans="1:18" x14ac:dyDescent="0.25">
      <c r="E3" s="91"/>
      <c r="F3" s="91"/>
      <c r="G3" s="91"/>
      <c r="H3" s="91"/>
      <c r="I3" s="91"/>
      <c r="J3" s="91"/>
    </row>
    <row r="4" spans="1:18" x14ac:dyDescent="0.25">
      <c r="K4" s="76" t="s">
        <v>96</v>
      </c>
    </row>
    <row r="5" spans="1:18" x14ac:dyDescent="0.25">
      <c r="A5" s="36" t="s">
        <v>99</v>
      </c>
      <c r="B5" s="36" t="s">
        <v>98</v>
      </c>
      <c r="C5" s="36" t="s">
        <v>0</v>
      </c>
      <c r="D5" s="36" t="s">
        <v>1</v>
      </c>
      <c r="E5" s="36" t="s">
        <v>2</v>
      </c>
      <c r="F5" s="36" t="s">
        <v>3</v>
      </c>
      <c r="G5" s="31" t="s">
        <v>4</v>
      </c>
      <c r="H5" s="36" t="s">
        <v>5</v>
      </c>
      <c r="J5" s="30" t="s">
        <v>6</v>
      </c>
      <c r="K5" s="51">
        <v>20</v>
      </c>
      <c r="L5" s="106" t="s">
        <v>39</v>
      </c>
      <c r="M5" s="107"/>
      <c r="N5" s="106" t="s">
        <v>66</v>
      </c>
      <c r="O5" s="107"/>
    </row>
    <row r="6" spans="1:18" x14ac:dyDescent="0.25">
      <c r="A6" s="67">
        <v>0</v>
      </c>
      <c r="B6" s="67">
        <v>52</v>
      </c>
      <c r="C6" s="67">
        <v>-40</v>
      </c>
      <c r="D6" s="67">
        <v>-40</v>
      </c>
      <c r="E6" s="67">
        <v>0</v>
      </c>
      <c r="F6" s="67">
        <v>50</v>
      </c>
      <c r="G6" s="67">
        <v>-35</v>
      </c>
      <c r="H6" s="67">
        <v>105</v>
      </c>
      <c r="J6" s="36" t="s">
        <v>7</v>
      </c>
      <c r="K6" s="50">
        <v>0</v>
      </c>
      <c r="L6" s="106" t="s">
        <v>38</v>
      </c>
      <c r="M6" s="107"/>
      <c r="N6" s="106" t="s">
        <v>97</v>
      </c>
      <c r="O6" s="107"/>
    </row>
    <row r="7" spans="1:18" x14ac:dyDescent="0.25">
      <c r="A7" s="68">
        <v>-50</v>
      </c>
      <c r="B7" s="68">
        <v>0</v>
      </c>
      <c r="C7" s="68">
        <v>200</v>
      </c>
      <c r="D7" s="68">
        <v>240</v>
      </c>
      <c r="E7" s="68">
        <v>220</v>
      </c>
      <c r="F7" s="68">
        <v>220</v>
      </c>
      <c r="G7" s="68">
        <v>-59</v>
      </c>
      <c r="H7" s="68">
        <v>-59</v>
      </c>
      <c r="J7" s="36" t="s">
        <v>41</v>
      </c>
      <c r="K7" s="50">
        <v>-20</v>
      </c>
      <c r="L7" s="106" t="s">
        <v>40</v>
      </c>
      <c r="M7" s="107"/>
      <c r="N7" s="106" t="s">
        <v>97</v>
      </c>
      <c r="O7" s="107"/>
    </row>
    <row r="8" spans="1:18" x14ac:dyDescent="0.25">
      <c r="A8" s="69">
        <v>1</v>
      </c>
      <c r="B8" s="69">
        <v>1</v>
      </c>
      <c r="C8" s="69">
        <v>1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</row>
    <row r="10" spans="1:18" x14ac:dyDescent="0.25">
      <c r="E10" s="100" t="s">
        <v>67</v>
      </c>
      <c r="F10" s="101"/>
      <c r="G10" s="102"/>
      <c r="J10" s="100" t="s">
        <v>12</v>
      </c>
      <c r="K10" s="101"/>
      <c r="L10" s="102"/>
      <c r="O10" s="100" t="s">
        <v>13</v>
      </c>
      <c r="P10" s="101"/>
      <c r="Q10" s="102"/>
    </row>
    <row r="11" spans="1:18" x14ac:dyDescent="0.25">
      <c r="E11" s="94" t="s">
        <v>8</v>
      </c>
      <c r="F11" s="58">
        <f>COS(RADIANS($K$5))</f>
        <v>0.93969262078590843</v>
      </c>
      <c r="G11" s="59">
        <f>-SIN(RADIANS($K$5))</f>
        <v>-0.34202014332566871</v>
      </c>
      <c r="H11" s="60">
        <v>0</v>
      </c>
      <c r="J11" s="94" t="s">
        <v>9</v>
      </c>
      <c r="K11" s="58">
        <v>1</v>
      </c>
      <c r="L11" s="59">
        <v>0</v>
      </c>
      <c r="M11" s="60">
        <f>$K$6</f>
        <v>0</v>
      </c>
      <c r="O11" s="94" t="s">
        <v>10</v>
      </c>
      <c r="P11" s="58">
        <f t="array" ref="P11:R13">MINVERSE($K$11:$M$13)</f>
        <v>1</v>
      </c>
      <c r="Q11" s="59">
        <v>0</v>
      </c>
      <c r="R11" s="60">
        <v>0</v>
      </c>
    </row>
    <row r="12" spans="1:18" x14ac:dyDescent="0.25">
      <c r="E12" s="95"/>
      <c r="F12" s="61">
        <f>SIN(RADIANS($K$5))</f>
        <v>0.34202014332566871</v>
      </c>
      <c r="G12" s="62">
        <f>COS(RADIANS($K$5))</f>
        <v>0.93969262078590843</v>
      </c>
      <c r="H12" s="63">
        <v>0</v>
      </c>
      <c r="J12" s="95"/>
      <c r="K12" s="61">
        <v>0</v>
      </c>
      <c r="L12" s="62">
        <v>1</v>
      </c>
      <c r="M12" s="63">
        <f>$K$7</f>
        <v>-20</v>
      </c>
      <c r="O12" s="95"/>
      <c r="P12" s="61">
        <v>0</v>
      </c>
      <c r="Q12" s="62">
        <v>1</v>
      </c>
      <c r="R12" s="63">
        <v>20</v>
      </c>
    </row>
    <row r="13" spans="1:18" x14ac:dyDescent="0.25">
      <c r="E13" s="96"/>
      <c r="F13" s="64">
        <v>0</v>
      </c>
      <c r="G13" s="65">
        <v>0</v>
      </c>
      <c r="H13" s="66">
        <v>1</v>
      </c>
      <c r="J13" s="96"/>
      <c r="K13" s="64">
        <v>0</v>
      </c>
      <c r="L13" s="65">
        <v>0</v>
      </c>
      <c r="M13" s="66">
        <v>1</v>
      </c>
      <c r="O13" s="96"/>
      <c r="P13" s="64">
        <v>0</v>
      </c>
      <c r="Q13" s="65">
        <v>0</v>
      </c>
      <c r="R13" s="66">
        <v>1</v>
      </c>
    </row>
    <row r="15" spans="1:18" x14ac:dyDescent="0.25">
      <c r="E15" s="100" t="s">
        <v>100</v>
      </c>
      <c r="F15" s="101"/>
      <c r="G15" s="102"/>
    </row>
    <row r="16" spans="1:18" x14ac:dyDescent="0.25">
      <c r="E16" s="94" t="s">
        <v>8</v>
      </c>
      <c r="F16" s="58">
        <f>COS(RADIANS($K$5))</f>
        <v>0.93969262078590843</v>
      </c>
      <c r="G16" s="59">
        <f>-SIN(RADIANS($K$5))</f>
        <v>-0.34202014332566871</v>
      </c>
      <c r="H16" s="60">
        <v>0</v>
      </c>
      <c r="K16" s="100" t="s">
        <v>15</v>
      </c>
      <c r="L16" s="101"/>
      <c r="M16" s="102"/>
    </row>
    <row r="17" spans="1:18" x14ac:dyDescent="0.25">
      <c r="E17" s="95"/>
      <c r="F17" s="61">
        <f>SIN(RADIANS($K$5))</f>
        <v>0.34202014332566871</v>
      </c>
      <c r="G17" s="62">
        <f>COS(RADIANS($K$5))</f>
        <v>0.93969262078590843</v>
      </c>
      <c r="H17" s="63">
        <v>0</v>
      </c>
      <c r="K17" s="10" t="s">
        <v>0</v>
      </c>
      <c r="L17" s="10" t="s">
        <v>1</v>
      </c>
      <c r="M17" s="10" t="s">
        <v>2</v>
      </c>
      <c r="N17" s="10" t="s">
        <v>3</v>
      </c>
      <c r="O17" s="10" t="s">
        <v>4</v>
      </c>
      <c r="P17" s="10" t="s">
        <v>5</v>
      </c>
      <c r="Q17" s="80" t="s">
        <v>99</v>
      </c>
      <c r="R17" s="80" t="s">
        <v>98</v>
      </c>
    </row>
    <row r="18" spans="1:18" x14ac:dyDescent="0.25">
      <c r="E18" s="96"/>
      <c r="F18" s="64">
        <v>0</v>
      </c>
      <c r="G18" s="65">
        <v>0</v>
      </c>
      <c r="H18" s="66">
        <v>1</v>
      </c>
      <c r="J18" s="94" t="s">
        <v>19</v>
      </c>
      <c r="K18" s="70">
        <f t="array" ref="K18:K20">MMULT($P$11:$R$13,C6:C8)</f>
        <v>-40</v>
      </c>
      <c r="L18" s="70">
        <f t="array" ref="L18:L20">MMULT($P$11:$R$13,D6:D8)</f>
        <v>-40</v>
      </c>
      <c r="M18" s="70">
        <f t="array" ref="M18:M20">MMULT($P$11:$R$13,E6:E8)</f>
        <v>0</v>
      </c>
      <c r="N18" s="70">
        <f t="array" ref="N18:N20">MMULT($P$11:$R$13,F6:F8)</f>
        <v>50</v>
      </c>
      <c r="O18" s="70">
        <f t="array" ref="O18:O20">MMULT($P$11:$R$13,G6:G8)</f>
        <v>-35</v>
      </c>
      <c r="P18" s="70">
        <f t="array" ref="P18:P20">MMULT($P$11:$R$13,H6:H8)</f>
        <v>105</v>
      </c>
      <c r="Q18" s="81">
        <f t="array" ref="Q18:Q20">MMULT($P$11:$R$13,A6:A8)</f>
        <v>0</v>
      </c>
      <c r="R18" s="81">
        <f t="array" ref="R18:R20">MMULT($P$11:$R$13,B6:B8)</f>
        <v>52</v>
      </c>
    </row>
    <row r="19" spans="1:18" x14ac:dyDescent="0.25">
      <c r="J19" s="95"/>
      <c r="K19" s="71">
        <v>220</v>
      </c>
      <c r="L19" s="71">
        <v>260</v>
      </c>
      <c r="M19" s="71">
        <v>240</v>
      </c>
      <c r="N19" s="71">
        <v>240</v>
      </c>
      <c r="O19" s="71">
        <v>-39</v>
      </c>
      <c r="P19" s="71">
        <v>-39</v>
      </c>
      <c r="Q19" s="82">
        <v>-30</v>
      </c>
      <c r="R19" s="82">
        <v>20</v>
      </c>
    </row>
    <row r="20" spans="1:18" x14ac:dyDescent="0.25">
      <c r="J20" s="96"/>
      <c r="K20" s="72">
        <v>1</v>
      </c>
      <c r="L20" s="72">
        <v>1</v>
      </c>
      <c r="M20" s="72">
        <v>1</v>
      </c>
      <c r="N20" s="72">
        <v>1</v>
      </c>
      <c r="O20" s="72">
        <v>1</v>
      </c>
      <c r="P20" s="72">
        <v>1</v>
      </c>
      <c r="Q20" s="83">
        <v>1</v>
      </c>
      <c r="R20" s="83">
        <v>1</v>
      </c>
    </row>
    <row r="22" spans="1:18" x14ac:dyDescent="0.25">
      <c r="K22" s="100" t="s">
        <v>16</v>
      </c>
      <c r="L22" s="101"/>
      <c r="M22" s="102"/>
    </row>
    <row r="23" spans="1:18" x14ac:dyDescent="0.25">
      <c r="K23" s="10" t="s">
        <v>0</v>
      </c>
      <c r="L23" s="10" t="s">
        <v>1</v>
      </c>
      <c r="M23" s="10" t="s">
        <v>2</v>
      </c>
      <c r="N23" s="10" t="s">
        <v>3</v>
      </c>
      <c r="O23" s="10" t="s">
        <v>4</v>
      </c>
      <c r="P23" s="10" t="s">
        <v>5</v>
      </c>
      <c r="Q23" s="80" t="s">
        <v>99</v>
      </c>
      <c r="R23" s="80" t="s">
        <v>98</v>
      </c>
    </row>
    <row r="24" spans="1:18" x14ac:dyDescent="0.25">
      <c r="G24" s="22" t="s">
        <v>99</v>
      </c>
      <c r="H24" s="22" t="s">
        <v>98</v>
      </c>
      <c r="J24" s="94" t="s">
        <v>20</v>
      </c>
      <c r="K24" s="70">
        <f t="array" ref="K24:K26">MMULT($F$11:$H$13,K18:K20)</f>
        <v>-112.83213636308346</v>
      </c>
      <c r="L24" s="70">
        <f t="array" ref="L24:L26">MMULT($F$11:$H$13,L18:L20)</f>
        <v>-126.51294209611021</v>
      </c>
      <c r="M24" s="70">
        <f t="array" ref="M24:M26">MMULT($F$11:$H$13,M18:M20)</f>
        <v>-82.084834398160496</v>
      </c>
      <c r="N24" s="70">
        <f t="array" ref="N24:N26">MMULT($F$11:$H$13,N18:N20)</f>
        <v>-35.100203358865073</v>
      </c>
      <c r="O24" s="70">
        <f t="array" ref="O24:O26">MMULT($F$16:$H$18,O18:O20)</f>
        <v>-19.55045613780571</v>
      </c>
      <c r="P24" s="70">
        <f t="array" ref="P24:P26">MMULT($F$16:$H$18,P18:P20)</f>
        <v>112.00651077222146</v>
      </c>
      <c r="Q24" s="81">
        <f t="array" ref="Q24:Q26">MMULT($F$16:$H$18,Q18:Q20)</f>
        <v>10.260604299770062</v>
      </c>
      <c r="R24" s="81">
        <f t="array" ref="R24:R26">MMULT($F$16:$H$18,R18:R20)</f>
        <v>42.023613414353868</v>
      </c>
    </row>
    <row r="25" spans="1:18" x14ac:dyDescent="0.25">
      <c r="G25" s="73">
        <f t="array" ref="G25:G27">MMULT($F$16:$H$18,A6:A8)</f>
        <v>17.101007166283434</v>
      </c>
      <c r="H25" s="73">
        <f t="array" ref="H25:H27">MMULT($F$16:$H$18,B6:B8)</f>
        <v>48.86401628086724</v>
      </c>
      <c r="J25" s="95"/>
      <c r="K25" s="71">
        <v>193.05157083987311</v>
      </c>
      <c r="L25" s="71">
        <v>230.63927567130943</v>
      </c>
      <c r="M25" s="71">
        <v>225.52622898861802</v>
      </c>
      <c r="N25" s="71">
        <v>242.62723615490145</v>
      </c>
      <c r="O25" s="71">
        <v>-48.618717227048833</v>
      </c>
      <c r="P25" s="71">
        <v>-0.73589716145521322</v>
      </c>
      <c r="Q25" s="82">
        <v>-28.190778623577252</v>
      </c>
      <c r="R25" s="82">
        <v>36.57889986865294</v>
      </c>
    </row>
    <row r="26" spans="1:18" x14ac:dyDescent="0.25">
      <c r="G26" s="74">
        <v>-46.984631039295422</v>
      </c>
      <c r="H26" s="74">
        <v>17.785047452934773</v>
      </c>
      <c r="J26" s="96"/>
      <c r="K26" s="72">
        <v>1</v>
      </c>
      <c r="L26" s="72">
        <v>1</v>
      </c>
      <c r="M26" s="72">
        <v>1</v>
      </c>
      <c r="N26" s="72">
        <v>1</v>
      </c>
      <c r="O26" s="72">
        <v>1</v>
      </c>
      <c r="P26" s="72">
        <v>1</v>
      </c>
      <c r="Q26" s="83">
        <v>1</v>
      </c>
      <c r="R26" s="83">
        <v>1</v>
      </c>
    </row>
    <row r="27" spans="1:18" s="15" customFormat="1" x14ac:dyDescent="0.25">
      <c r="G27" s="75">
        <v>1</v>
      </c>
      <c r="H27" s="75">
        <v>1</v>
      </c>
    </row>
    <row r="28" spans="1:18" x14ac:dyDescent="0.25">
      <c r="B28" s="16"/>
      <c r="C28" s="103" t="s">
        <v>14</v>
      </c>
      <c r="D28" s="104"/>
      <c r="E28" s="105"/>
      <c r="F28" s="16"/>
      <c r="G28" s="16"/>
      <c r="H28" s="16"/>
      <c r="J28" s="16"/>
      <c r="K28" s="103" t="s">
        <v>17</v>
      </c>
      <c r="L28" s="104"/>
      <c r="M28" s="105"/>
      <c r="N28" s="16"/>
      <c r="O28" s="16"/>
      <c r="P28" s="16"/>
      <c r="Q28" s="16"/>
      <c r="R28" s="16"/>
    </row>
    <row r="29" spans="1:18" x14ac:dyDescent="0.25">
      <c r="B29" s="16"/>
      <c r="C29" s="22" t="s">
        <v>0</v>
      </c>
      <c r="D29" s="22" t="s">
        <v>1</v>
      </c>
      <c r="E29" s="22" t="s">
        <v>2</v>
      </c>
      <c r="F29" s="17" t="s">
        <v>3</v>
      </c>
      <c r="G29" s="22" t="s">
        <v>4</v>
      </c>
      <c r="H29" s="22" t="s">
        <v>5</v>
      </c>
      <c r="J29" s="16"/>
      <c r="K29" s="22" t="s">
        <v>0</v>
      </c>
      <c r="L29" s="22" t="s">
        <v>1</v>
      </c>
      <c r="M29" s="22" t="s">
        <v>2</v>
      </c>
      <c r="N29" s="22" t="s">
        <v>3</v>
      </c>
      <c r="O29" s="22" t="s">
        <v>4</v>
      </c>
      <c r="P29" s="22" t="s">
        <v>5</v>
      </c>
      <c r="Q29" s="22" t="s">
        <v>99</v>
      </c>
      <c r="R29" s="22" t="s">
        <v>98</v>
      </c>
    </row>
    <row r="30" spans="1:18" x14ac:dyDescent="0.25">
      <c r="A30" s="23" t="s">
        <v>23</v>
      </c>
      <c r="B30" s="97" t="s">
        <v>11</v>
      </c>
      <c r="C30" s="73">
        <f t="array" ref="C30:C32">MMULT(F11:H13,C6:C8)</f>
        <v>-105.99173349657008</v>
      </c>
      <c r="D30" s="73">
        <f t="array" ref="D30:D32">MMULT(F11:H13,D6:D8)</f>
        <v>-119.67253922959684</v>
      </c>
      <c r="E30" s="73">
        <f t="array" ref="E30:E32">MMULT(F11:H13,E6:E8)</f>
        <v>-75.244431531647123</v>
      </c>
      <c r="F30" s="73">
        <f t="array" ref="F30:F32">MMULT(F11:H13,F6:F8)</f>
        <v>-28.259800492351701</v>
      </c>
      <c r="G30" s="73">
        <f t="array" ref="G30:G32">MMULT(F16:H18,G6:G8)</f>
        <v>-12.710053271292338</v>
      </c>
      <c r="H30" s="73">
        <f t="array" ref="H30:H32">MMULT(F16:H18,H6:H8)</f>
        <v>118.84691363873483</v>
      </c>
      <c r="J30" s="97" t="s">
        <v>18</v>
      </c>
      <c r="K30" s="73">
        <f t="array" ref="K30:K32">MMULT($K$11:$M$13,K24:K26)</f>
        <v>-112.83213636308346</v>
      </c>
      <c r="L30" s="73">
        <f t="array" ref="L30:L32">MMULT($K$11:$M$13,L24:L26)</f>
        <v>-126.51294209611021</v>
      </c>
      <c r="M30" s="73">
        <f t="array" ref="M30:M32">MMULT($K$11:$M$13,M24:M26)</f>
        <v>-82.084834398160496</v>
      </c>
      <c r="N30" s="73">
        <f t="array" ref="N30:N32">MMULT($K$11:$M$13,N24:N26)</f>
        <v>-35.100203358865073</v>
      </c>
      <c r="O30" s="73">
        <f t="array" ref="O30:O32">MMULT($K$11:$M$13,O24:O26)</f>
        <v>-19.55045613780571</v>
      </c>
      <c r="P30" s="73">
        <f t="array" ref="P30:P32">MMULT($K$11:$M$13,P24:P26)</f>
        <v>112.00651077222146</v>
      </c>
      <c r="Q30" s="73">
        <f t="array" ref="Q30:Q32">MMULT($K$11:$M$13,Q24:Q26)</f>
        <v>10.260604299770062</v>
      </c>
      <c r="R30" s="73">
        <f t="array" ref="R30:R32">MMULT($K$11:$M$13,R24:R26)</f>
        <v>42.023613414353868</v>
      </c>
    </row>
    <row r="31" spans="1:18" x14ac:dyDescent="0.25">
      <c r="A31" s="24" t="s">
        <v>24</v>
      </c>
      <c r="B31" s="98"/>
      <c r="C31" s="74">
        <v>174.25771842415494</v>
      </c>
      <c r="D31" s="74">
        <v>211.84542325559127</v>
      </c>
      <c r="E31" s="74">
        <v>206.73237657289985</v>
      </c>
      <c r="F31" s="74">
        <v>223.83338373918329</v>
      </c>
      <c r="G31" s="74">
        <v>-67.412569642767011</v>
      </c>
      <c r="H31" s="74">
        <v>-19.529749577173384</v>
      </c>
      <c r="J31" s="98"/>
      <c r="K31" s="74">
        <v>173.05157083987311</v>
      </c>
      <c r="L31" s="74">
        <v>210.63927567130943</v>
      </c>
      <c r="M31" s="74">
        <v>205.52622898861802</v>
      </c>
      <c r="N31" s="74">
        <v>222.62723615490145</v>
      </c>
      <c r="O31" s="74">
        <v>-68.618717227048833</v>
      </c>
      <c r="P31" s="74">
        <v>-20.735897161455213</v>
      </c>
      <c r="Q31" s="74">
        <v>-48.190778623577252</v>
      </c>
      <c r="R31" s="74">
        <v>16.57889986865294</v>
      </c>
    </row>
    <row r="32" spans="1:18" x14ac:dyDescent="0.25">
      <c r="A32" s="25" t="s">
        <v>25</v>
      </c>
      <c r="B32" s="99"/>
      <c r="C32" s="75">
        <v>1</v>
      </c>
      <c r="D32" s="75">
        <v>1</v>
      </c>
      <c r="E32" s="75">
        <v>1</v>
      </c>
      <c r="F32" s="75">
        <v>1</v>
      </c>
      <c r="G32" s="75">
        <v>1</v>
      </c>
      <c r="H32" s="75">
        <v>1</v>
      </c>
      <c r="J32" s="99"/>
      <c r="K32" s="75">
        <v>1</v>
      </c>
      <c r="L32" s="75">
        <v>1</v>
      </c>
      <c r="M32" s="75">
        <v>1</v>
      </c>
      <c r="N32" s="75">
        <v>1</v>
      </c>
      <c r="O32" s="75">
        <v>1</v>
      </c>
      <c r="P32" s="75">
        <v>1</v>
      </c>
      <c r="Q32" s="75">
        <v>1</v>
      </c>
      <c r="R32" s="75">
        <v>1</v>
      </c>
    </row>
    <row r="34" spans="2:17" s="14" customFormat="1" x14ac:dyDescent="0.25"/>
    <row r="36" spans="2:17" ht="15" customHeight="1" x14ac:dyDescent="0.25">
      <c r="B36" s="111" t="s">
        <v>21</v>
      </c>
      <c r="C36" s="112"/>
      <c r="D36" s="112"/>
      <c r="E36" s="112"/>
      <c r="F36" s="112"/>
      <c r="G36" s="112"/>
      <c r="H36" s="112"/>
      <c r="I36" s="113"/>
    </row>
    <row r="37" spans="2:17" ht="15" customHeight="1" x14ac:dyDescent="0.25">
      <c r="B37" s="114"/>
      <c r="C37" s="115"/>
      <c r="D37" s="115"/>
      <c r="E37" s="115"/>
      <c r="F37" s="115"/>
      <c r="G37" s="115"/>
      <c r="H37" s="115"/>
      <c r="I37" s="116"/>
      <c r="M37" s="120" t="s">
        <v>28</v>
      </c>
      <c r="N37" s="121"/>
      <c r="O37" s="10" t="s">
        <v>26</v>
      </c>
      <c r="P37" s="10" t="s">
        <v>27</v>
      </c>
      <c r="Q37" s="10" t="s">
        <v>42</v>
      </c>
    </row>
    <row r="38" spans="2:17" x14ac:dyDescent="0.25">
      <c r="B38" s="92" t="s">
        <v>76</v>
      </c>
      <c r="C38" s="93"/>
      <c r="D38" s="92" t="s">
        <v>77</v>
      </c>
      <c r="E38" s="93"/>
      <c r="F38" s="117" t="s">
        <v>22</v>
      </c>
      <c r="G38" s="118"/>
      <c r="H38" s="118"/>
      <c r="I38" s="119"/>
      <c r="M38" s="122"/>
      <c r="N38" s="123"/>
      <c r="O38" s="11">
        <f>INDEX($M$30:$M$32,1,1)</f>
        <v>-82.084834398160496</v>
      </c>
      <c r="P38" s="11">
        <f>INDEX($M$30:$M$32,2,1)</f>
        <v>205.52622898861802</v>
      </c>
      <c r="Q38" s="38" t="s">
        <v>75</v>
      </c>
    </row>
    <row r="39" spans="2:17" x14ac:dyDescent="0.25">
      <c r="B39" s="92"/>
      <c r="C39" s="93"/>
      <c r="D39" s="92"/>
      <c r="E39" s="93"/>
      <c r="F39" s="108" t="s">
        <v>78</v>
      </c>
      <c r="G39" s="109"/>
      <c r="H39" s="108" t="s">
        <v>79</v>
      </c>
      <c r="I39" s="110"/>
      <c r="M39" s="122"/>
      <c r="N39" s="123"/>
      <c r="O39" s="12">
        <f t="array" ref="O39">INDEX($F$30:$F$32,1,1)</f>
        <v>-28.259800492351701</v>
      </c>
      <c r="P39" s="12">
        <f t="array" ref="P39">INDEX($F$30:$F$32,2,1)</f>
        <v>223.83338373918329</v>
      </c>
      <c r="Q39" s="38" t="s">
        <v>44</v>
      </c>
    </row>
    <row r="40" spans="2:17" ht="15" customHeight="1" x14ac:dyDescent="0.25">
      <c r="B40" s="27" t="s">
        <v>30</v>
      </c>
      <c r="C40" s="27" t="s">
        <v>29</v>
      </c>
      <c r="D40" s="27" t="s">
        <v>30</v>
      </c>
      <c r="E40" s="27" t="s">
        <v>29</v>
      </c>
      <c r="F40" s="49" t="s">
        <v>69</v>
      </c>
      <c r="G40" s="49" t="s">
        <v>70</v>
      </c>
      <c r="H40" s="49" t="s">
        <v>80</v>
      </c>
      <c r="I40" s="49" t="s">
        <v>74</v>
      </c>
      <c r="M40" s="124"/>
      <c r="N40" s="125"/>
      <c r="O40" s="13">
        <f t="array" ref="O40">INDEX($N$30:$N$32,1,1)</f>
        <v>-35.100203358865073</v>
      </c>
      <c r="P40" s="13">
        <f t="array" ref="P40">INDEX($N$30:$N$32,2,1)</f>
        <v>222.62723615490145</v>
      </c>
      <c r="Q40" s="38" t="s">
        <v>43</v>
      </c>
    </row>
    <row r="41" spans="2:17" ht="15" customHeight="1" x14ac:dyDescent="0.25">
      <c r="B41" s="28">
        <f>SQRT((($M$30-$F$30)^2)+(($M$31-$F$31)^2)+(($M$32-$F$32)^2))</f>
        <v>56.853198590955387</v>
      </c>
      <c r="C41" s="28">
        <f>($F$31-$M$31)/($F$30-$M$30)</f>
        <v>0.34012342254353078</v>
      </c>
      <c r="D41" s="28">
        <f>SQRT((($M$30-$N$30)^2)+(($M$31-$N$31)^2)+(($M$32-$N$32)^2))</f>
        <v>50.000000000000007</v>
      </c>
      <c r="E41" s="28">
        <f>($N$31-$M$31)/($N$30-$M$30)</f>
        <v>0.36397023426620234</v>
      </c>
      <c r="F41" s="41" t="str">
        <f>IF($E$41&gt;$C$41,"Proximal",IF($E$41&lt;$C$41,"Distal","Coincident"))</f>
        <v>Proximal</v>
      </c>
      <c r="G41" s="41" t="str">
        <f>IF($D$41&gt;$B$41,"Anterior",IF($D$41&lt;$B$41,"Posterior","Coincident"))</f>
        <v>Posterior</v>
      </c>
      <c r="H41" s="41">
        <f>IF($E$41&gt;$C$41,$G$53,IF($E$41&lt;$C$41,-$G$53,$G$53))</f>
        <v>1.2061475842818252</v>
      </c>
      <c r="I41" s="41">
        <f>IF($D$41&gt;$B$41,$G$54,IF($D$41&lt;$B$41,-$G$54,$G$54))</f>
        <v>-6.840402866513374</v>
      </c>
    </row>
    <row r="45" spans="2:17" ht="15" customHeight="1" x14ac:dyDescent="0.25">
      <c r="B45" s="163" t="s">
        <v>32</v>
      </c>
      <c r="C45" s="163" t="s">
        <v>33</v>
      </c>
      <c r="D45" s="151" t="s">
        <v>34</v>
      </c>
      <c r="E45" s="152"/>
      <c r="F45" s="159" t="s">
        <v>35</v>
      </c>
      <c r="G45" s="165" t="s">
        <v>36</v>
      </c>
      <c r="H45" s="166"/>
      <c r="I45" s="117" t="s">
        <v>37</v>
      </c>
      <c r="J45" s="118"/>
      <c r="K45" s="119"/>
    </row>
    <row r="46" spans="2:17" x14ac:dyDescent="0.25">
      <c r="B46" s="164"/>
      <c r="C46" s="164"/>
      <c r="D46" s="153"/>
      <c r="E46" s="154"/>
      <c r="F46" s="160"/>
      <c r="G46" s="167"/>
      <c r="H46" s="168"/>
      <c r="I46" s="132"/>
      <c r="J46" s="133"/>
      <c r="K46" s="134"/>
    </row>
    <row r="47" spans="2:17" x14ac:dyDescent="0.25">
      <c r="B47" s="149">
        <f t="shared" ref="B47" si="0">$K$6</f>
        <v>0</v>
      </c>
      <c r="C47" s="149">
        <f t="shared" ref="C47" si="1">$K$7</f>
        <v>-20</v>
      </c>
      <c r="D47" s="155" t="str">
        <f>IF(AND($B$47&gt;0,$C$47=0),"Anterior",IF(AND($B$47&gt;0,$C$47&gt;0),"Anterior-Proximal",IF(AND($B$47&gt;0,$C$47&lt;0),"Anterior-Distal",IF(AND($B$47&lt;0,$C$47=0),"Posterior",IF(AND($B$47&lt;0,$C$47&gt;0),"Posterior-Proximal",IF(AND($B$47&lt;0,$C$47&lt;0),"Posterior-Distal",IF(AND($B$47=0,$C$47&gt;0),"Proximal",IF(AND($B$47=0,$C$47&lt;0),"Distal","None"))))))))</f>
        <v>Distal</v>
      </c>
      <c r="E47" s="156"/>
      <c r="F47" s="161">
        <f t="shared" ref="F47" si="2">$K$5</f>
        <v>20</v>
      </c>
      <c r="G47" s="145" t="str">
        <f t="shared" ref="G47" si="3">IF($F$47&lt;0,"Dorsiflexion",IF($F$47&gt;0,"Plantarflexion","Neutral"))</f>
        <v>Plantarflexion</v>
      </c>
      <c r="H47" s="146"/>
      <c r="I47" s="139" t="str">
        <f t="shared" ref="I47" si="4">CONCATENATE($G$41," ",$F$41)</f>
        <v>Posterior Proximal</v>
      </c>
      <c r="J47" s="140"/>
      <c r="K47" s="141"/>
    </row>
    <row r="48" spans="2:17" x14ac:dyDescent="0.25">
      <c r="B48" s="150"/>
      <c r="C48" s="150"/>
      <c r="D48" s="157"/>
      <c r="E48" s="158"/>
      <c r="F48" s="162"/>
      <c r="G48" s="147"/>
      <c r="H48" s="148"/>
      <c r="I48" s="142"/>
      <c r="J48" s="143"/>
      <c r="K48" s="144"/>
    </row>
    <row r="49" spans="1:16" x14ac:dyDescent="0.25">
      <c r="B49" s="29"/>
      <c r="C49" s="29"/>
    </row>
    <row r="50" spans="1:16" x14ac:dyDescent="0.25">
      <c r="B50" s="26"/>
      <c r="C50" s="26"/>
    </row>
    <row r="51" spans="1:16" ht="15" customHeight="1" x14ac:dyDescent="0.25">
      <c r="A51" s="135" t="s">
        <v>81</v>
      </c>
      <c r="B51" s="136"/>
      <c r="C51" s="54" t="s">
        <v>82</v>
      </c>
      <c r="D51" s="52">
        <f>$O$39</f>
        <v>-28.259800492351701</v>
      </c>
      <c r="E51" s="52">
        <f>$P$39</f>
        <v>223.83338373918329</v>
      </c>
      <c r="F51" s="129" t="s">
        <v>83</v>
      </c>
      <c r="G51" s="130"/>
      <c r="H51" s="131"/>
    </row>
    <row r="52" spans="1:16" x14ac:dyDescent="0.25">
      <c r="A52" s="137"/>
      <c r="B52" s="138"/>
      <c r="C52" s="54" t="s">
        <v>71</v>
      </c>
      <c r="D52" s="53">
        <f>($P$38-$P$40)</f>
        <v>-17.101007166283438</v>
      </c>
    </row>
    <row r="53" spans="1:16" x14ac:dyDescent="0.25">
      <c r="C53" s="54" t="s">
        <v>72</v>
      </c>
      <c r="D53" s="53">
        <f>($O$40-$O$38)</f>
        <v>46.984631039295422</v>
      </c>
      <c r="F53" s="84" t="s">
        <v>80</v>
      </c>
      <c r="G53" s="84">
        <f>ABS(($D$52*$D$51+$D$53*$E$51+$D$54)/SQRT($D$52^2+$D$53^2))</f>
        <v>1.2061475842818252</v>
      </c>
      <c r="H53" s="126" t="s">
        <v>84</v>
      </c>
      <c r="I53" s="127"/>
      <c r="J53" s="128"/>
    </row>
    <row r="54" spans="1:16" x14ac:dyDescent="0.25">
      <c r="C54" s="54" t="s">
        <v>73</v>
      </c>
      <c r="D54" s="53">
        <f>($O$38*$P$40-$P$38*$O$40)</f>
        <v>-11060.307379214093</v>
      </c>
      <c r="F54" s="84" t="s">
        <v>74</v>
      </c>
      <c r="G54" s="84">
        <f>SQRT($D$55^2-$G$53^2)</f>
        <v>6.840402866513374</v>
      </c>
      <c r="H54" s="126" t="s">
        <v>85</v>
      </c>
      <c r="I54" s="127"/>
      <c r="J54" s="128"/>
    </row>
    <row r="55" spans="1:16" x14ac:dyDescent="0.25">
      <c r="C55" s="54" t="s">
        <v>90</v>
      </c>
      <c r="D55" s="53">
        <f>SQRT(($O$39-$O$40)^2+($P$39-$P$40)^2)</f>
        <v>6.9459271066772121</v>
      </c>
    </row>
    <row r="57" spans="1:16" s="14" customFormat="1" x14ac:dyDescent="0.25"/>
    <row r="59" spans="1:16" x14ac:dyDescent="0.25">
      <c r="L59" s="169" t="s">
        <v>28</v>
      </c>
      <c r="M59" s="170"/>
      <c r="N59" s="10" t="s">
        <v>26</v>
      </c>
      <c r="O59" s="10" t="s">
        <v>27</v>
      </c>
      <c r="P59" s="10" t="s">
        <v>42</v>
      </c>
    </row>
    <row r="60" spans="1:16" ht="15" customHeight="1" x14ac:dyDescent="0.25">
      <c r="B60" s="39"/>
      <c r="C60" s="39"/>
      <c r="D60" s="39"/>
      <c r="E60" s="39"/>
      <c r="F60" s="39"/>
      <c r="G60" s="39"/>
      <c r="L60" s="171"/>
      <c r="M60" s="172"/>
      <c r="N60" s="38">
        <f t="array" ref="N60">INDEX($C$30:$C$32,1,1)</f>
        <v>-105.99173349657008</v>
      </c>
      <c r="O60" s="38">
        <f>INDEX($C$30:$C$32,2,1)</f>
        <v>174.25771842415494</v>
      </c>
      <c r="P60" s="38" t="s">
        <v>45</v>
      </c>
    </row>
    <row r="61" spans="1:16" ht="15" customHeight="1" x14ac:dyDescent="0.25">
      <c r="B61" s="169" t="s">
        <v>49</v>
      </c>
      <c r="C61" s="175"/>
      <c r="D61" s="175"/>
      <c r="E61" s="175"/>
      <c r="F61" s="175"/>
      <c r="G61" s="175"/>
      <c r="H61" s="175"/>
      <c r="I61" s="175"/>
      <c r="J61" s="170"/>
      <c r="L61" s="171"/>
      <c r="M61" s="172"/>
      <c r="N61" s="38">
        <f t="shared" ref="N61" si="5">INDEX($D$30:$D$32,1,1)</f>
        <v>-119.67253922959684</v>
      </c>
      <c r="O61" s="38">
        <f>INDEX($D$30:$D$32,2,1)</f>
        <v>211.84542325559127</v>
      </c>
      <c r="P61" s="38" t="s">
        <v>46</v>
      </c>
    </row>
    <row r="62" spans="1:16" ht="15" customHeight="1" x14ac:dyDescent="0.25">
      <c r="B62" s="173"/>
      <c r="C62" s="176"/>
      <c r="D62" s="176"/>
      <c r="E62" s="176"/>
      <c r="F62" s="176"/>
      <c r="G62" s="176"/>
      <c r="H62" s="176"/>
      <c r="I62" s="176"/>
      <c r="J62" s="174"/>
      <c r="L62" s="171"/>
      <c r="M62" s="172"/>
      <c r="N62" s="38">
        <f>INDEX($K$30:$K$32,1,1)</f>
        <v>-112.83213636308346</v>
      </c>
      <c r="O62" s="38">
        <f>INDEX($K$30:$K$32,2,1)</f>
        <v>173.05157083987311</v>
      </c>
      <c r="P62" s="38" t="s">
        <v>47</v>
      </c>
    </row>
    <row r="63" spans="1:16" x14ac:dyDescent="0.25">
      <c r="B63" s="135" t="s">
        <v>86</v>
      </c>
      <c r="C63" s="177"/>
      <c r="D63" s="136"/>
      <c r="E63" s="135" t="s">
        <v>87</v>
      </c>
      <c r="F63" s="177"/>
      <c r="G63" s="136"/>
      <c r="H63" s="108" t="s">
        <v>51</v>
      </c>
      <c r="I63" s="109"/>
      <c r="J63" s="110"/>
      <c r="L63" s="173"/>
      <c r="M63" s="174"/>
      <c r="N63" s="38">
        <f>INDEX($L$30:$L$32,1,1)</f>
        <v>-126.51294209611021</v>
      </c>
      <c r="O63" s="38">
        <f>INDEX($L$30:$L$32,2,1)</f>
        <v>210.63927567130943</v>
      </c>
      <c r="P63" s="38" t="s">
        <v>48</v>
      </c>
    </row>
    <row r="64" spans="1:16" x14ac:dyDescent="0.25">
      <c r="B64" s="137"/>
      <c r="C64" s="178"/>
      <c r="D64" s="138"/>
      <c r="E64" s="137"/>
      <c r="F64" s="178"/>
      <c r="G64" s="138"/>
      <c r="H64" s="132" t="s">
        <v>88</v>
      </c>
      <c r="I64" s="133"/>
      <c r="J64" s="134"/>
    </row>
    <row r="65" spans="1:10" ht="15.75" x14ac:dyDescent="0.25">
      <c r="B65" s="27" t="s">
        <v>30</v>
      </c>
      <c r="C65" s="27" t="s">
        <v>29</v>
      </c>
      <c r="D65" s="27" t="s">
        <v>50</v>
      </c>
      <c r="E65" s="27" t="s">
        <v>30</v>
      </c>
      <c r="F65" s="27" t="s">
        <v>29</v>
      </c>
      <c r="G65" s="27" t="s">
        <v>50</v>
      </c>
      <c r="H65" s="56" t="s">
        <v>80</v>
      </c>
      <c r="I65" s="56" t="s">
        <v>74</v>
      </c>
      <c r="J65" s="40" t="s">
        <v>31</v>
      </c>
    </row>
    <row r="66" spans="1:10" x14ac:dyDescent="0.25">
      <c r="B66" s="38">
        <f>SQRT((($C$30-$D$30)^2)+(($C$31-$D$31)^2)+(($C$32-$D$32)^2))</f>
        <v>39.999999999999993</v>
      </c>
      <c r="C66" s="38">
        <f>($D$31-$C$31)/($D$30-$C$30)</f>
        <v>-2.7474774194546199</v>
      </c>
      <c r="D66" s="38">
        <f>INTERCEPT($O$60:$O$61,$N$60:$N$61)</f>
        <v>-116.95217600652316</v>
      </c>
      <c r="E66" s="38">
        <f>SQRT((($K$30-$L$30)^2)+(($K$31-$L$31)^2)+(($K$32-$L$32)^2))</f>
        <v>39.999999999999986</v>
      </c>
      <c r="F66" s="38">
        <f>($L$31-$K$31)/($L$30-$K$30)</f>
        <v>-2.7474774194546225</v>
      </c>
      <c r="G66" s="38">
        <f>INTERCEPT($O$62:$O$63,$N$62:$N$63)</f>
        <v>-136.9521760065235</v>
      </c>
      <c r="H66" s="55">
        <f>IF($O$61&gt;$O$63,-$G$77,IF($O$61&lt;$O$63,$G$77,$G$77))</f>
        <v>-1.2061475842816831</v>
      </c>
      <c r="I66" s="42">
        <f>IF($F$71&lt;0,IF($D$66&lt;$G$66,-$G$78,IF($D$66&gt;$G$66,$G$78,$G$78)),IF($F$71&gt;0,IF($D$66&gt;$G$66,-$G$78,IF($D$66&lt;$G$66,$G$78,$G$78)),$G$78))</f>
        <v>-6.8404028665133989</v>
      </c>
      <c r="J66" s="42" t="str">
        <f>IF($D$66&gt;$G$66,"Clearance",IF($D$66&lt;$G$66,"Interference","Coincident"))</f>
        <v>Clearance</v>
      </c>
    </row>
    <row r="69" spans="1:10" ht="15" customHeight="1" x14ac:dyDescent="0.25">
      <c r="B69" s="183" t="s">
        <v>32</v>
      </c>
      <c r="C69" s="183" t="s">
        <v>33</v>
      </c>
      <c r="D69" s="151" t="s">
        <v>34</v>
      </c>
      <c r="E69" s="152"/>
      <c r="F69" s="185" t="s">
        <v>35</v>
      </c>
      <c r="G69" s="165" t="s">
        <v>36</v>
      </c>
      <c r="H69" s="166"/>
      <c r="I69" s="117" t="s">
        <v>59</v>
      </c>
      <c r="J69" s="119"/>
    </row>
    <row r="70" spans="1:10" x14ac:dyDescent="0.25">
      <c r="B70" s="184"/>
      <c r="C70" s="184"/>
      <c r="D70" s="153"/>
      <c r="E70" s="154"/>
      <c r="F70" s="186"/>
      <c r="G70" s="167"/>
      <c r="H70" s="168"/>
      <c r="I70" s="132"/>
      <c r="J70" s="134"/>
    </row>
    <row r="71" spans="1:10" ht="15" customHeight="1" x14ac:dyDescent="0.25">
      <c r="B71" s="187">
        <f t="shared" ref="B71" si="6">$K$6</f>
        <v>0</v>
      </c>
      <c r="C71" s="187">
        <f t="shared" ref="C71" si="7">$K$7</f>
        <v>-20</v>
      </c>
      <c r="D71" s="189" t="str">
        <f>IF(AND($B$47&gt;0,$C$47=0),"Anterior",IF(AND($B$47&gt;0,$C$47&gt;0),"Anterior-Proximal",IF(AND($B$47&gt;0,$C$47&lt;0),"Anterior-Distal",IF(AND($B$47&lt;0,$C$47=0),"Posterior",IF(AND($B$47&lt;0,$C$47&gt;0),"Posterior-Proximal",IF(AND($B$47&lt;0,$C$47&lt;0),"Posterior-Distal",IF(AND($B$47=0,$C$47&gt;0),"Proximal",IF(AND($B$47=0,$C$47&lt;0),"Distal","None"))))))))</f>
        <v>Distal</v>
      </c>
      <c r="E71" s="190"/>
      <c r="F71" s="193">
        <f t="shared" ref="F71" si="8">$K$5</f>
        <v>20</v>
      </c>
      <c r="G71" s="195" t="str">
        <f t="shared" ref="G71" si="9">IF($F$47&lt;0,"Dorsiflexion",IF($F$47&gt;0,"Plantarflexion","Neutral"))</f>
        <v>Plantarflexion</v>
      </c>
      <c r="H71" s="196"/>
      <c r="I71" s="179" t="str">
        <f>IF($F$71&lt;0,IF($D$66&lt;$G$66,"Anterior",IF($D$66&gt;$G$66,"Posterior","None")),IF($F$71&gt;0,IF($D$66&lt;$G$66,"Posterior",IF($D$66&gt;$G$66,"Anterior","None")),"None"))</f>
        <v>Anterior</v>
      </c>
      <c r="J71" s="180"/>
    </row>
    <row r="72" spans="1:10" x14ac:dyDescent="0.25">
      <c r="B72" s="188"/>
      <c r="C72" s="188"/>
      <c r="D72" s="191"/>
      <c r="E72" s="192"/>
      <c r="F72" s="194"/>
      <c r="G72" s="197"/>
      <c r="H72" s="198"/>
      <c r="I72" s="181"/>
      <c r="J72" s="182"/>
    </row>
    <row r="74" spans="1:10" x14ac:dyDescent="0.25">
      <c r="B74" s="26"/>
      <c r="C74" s="26"/>
    </row>
    <row r="75" spans="1:10" x14ac:dyDescent="0.25">
      <c r="A75" s="135" t="s">
        <v>81</v>
      </c>
      <c r="B75" s="136"/>
      <c r="C75" s="54" t="s">
        <v>95</v>
      </c>
      <c r="D75" s="57">
        <f>$N$63</f>
        <v>-126.51294209611021</v>
      </c>
      <c r="E75" s="57">
        <f>$O$63</f>
        <v>210.63927567130943</v>
      </c>
      <c r="F75" s="129" t="s">
        <v>89</v>
      </c>
      <c r="G75" s="130"/>
      <c r="H75" s="131"/>
    </row>
    <row r="76" spans="1:10" x14ac:dyDescent="0.25">
      <c r="A76" s="137"/>
      <c r="B76" s="138"/>
      <c r="C76" s="54" t="s">
        <v>71</v>
      </c>
      <c r="D76" s="53">
        <f>($O$60-$O$61)</f>
        <v>-37.587704831436326</v>
      </c>
    </row>
    <row r="77" spans="1:10" x14ac:dyDescent="0.25">
      <c r="C77" s="54" t="s">
        <v>72</v>
      </c>
      <c r="D77" s="53">
        <f>($N$61-$N$60)</f>
        <v>-13.680805733026759</v>
      </c>
      <c r="F77" s="84" t="s">
        <v>80</v>
      </c>
      <c r="G77" s="84">
        <f>SQRT($D$79^2-$G$78^2)</f>
        <v>1.2061475842816831</v>
      </c>
      <c r="H77" s="126" t="s">
        <v>84</v>
      </c>
      <c r="I77" s="127"/>
      <c r="J77" s="128"/>
    </row>
    <row r="78" spans="1:10" x14ac:dyDescent="0.25">
      <c r="C78" s="54" t="s">
        <v>73</v>
      </c>
      <c r="D78" s="53">
        <f>($N$60*$O$61-$N$61*$O$60)</f>
        <v>-1599.9999999999964</v>
      </c>
      <c r="F78" s="84" t="s">
        <v>74</v>
      </c>
      <c r="G78" s="84">
        <f>ABS(($D$76*$D$75+$D$77*$E$75+$D$78)/SQRT($D$76^2+$D$77^2))</f>
        <v>6.8404028665133989</v>
      </c>
      <c r="H78" s="126" t="s">
        <v>85</v>
      </c>
      <c r="I78" s="127"/>
      <c r="J78" s="128"/>
    </row>
    <row r="79" spans="1:10" x14ac:dyDescent="0.25">
      <c r="C79" s="54" t="s">
        <v>91</v>
      </c>
      <c r="D79" s="53">
        <f>SQRT(($N$61-$N$63)^2+($O$61-$O$63)^2)</f>
        <v>6.9459271066772121</v>
      </c>
    </row>
    <row r="80" spans="1:10" x14ac:dyDescent="0.25">
      <c r="C80" s="26"/>
      <c r="D80" s="5"/>
    </row>
    <row r="81" spans="1:16" s="14" customFormat="1" x14ac:dyDescent="0.25"/>
    <row r="83" spans="1:16" x14ac:dyDescent="0.25">
      <c r="L83" s="169" t="s">
        <v>28</v>
      </c>
      <c r="M83" s="170"/>
      <c r="N83" s="10" t="s">
        <v>26</v>
      </c>
      <c r="O83" s="10" t="s">
        <v>27</v>
      </c>
      <c r="P83" s="10" t="s">
        <v>42</v>
      </c>
    </row>
    <row r="84" spans="1:16" x14ac:dyDescent="0.25">
      <c r="L84" s="171"/>
      <c r="M84" s="172"/>
      <c r="N84" s="38">
        <f>INDEX($G$30:$G$32,1,1)</f>
        <v>-12.710053271292338</v>
      </c>
      <c r="O84" s="38">
        <f>INDEX($G$30:$G$32,2,1)</f>
        <v>-67.412569642767011</v>
      </c>
      <c r="P84" s="38" t="s">
        <v>55</v>
      </c>
    </row>
    <row r="85" spans="1:16" x14ac:dyDescent="0.25">
      <c r="B85" s="169" t="s">
        <v>65</v>
      </c>
      <c r="C85" s="175"/>
      <c r="D85" s="175"/>
      <c r="E85" s="175"/>
      <c r="F85" s="175"/>
      <c r="G85" s="175"/>
      <c r="H85" s="175"/>
      <c r="I85" s="175"/>
      <c r="J85" s="170"/>
      <c r="L85" s="171"/>
      <c r="M85" s="172"/>
      <c r="N85" s="38">
        <f>INDEX($H$30:$H$32,1,1)</f>
        <v>118.84691363873483</v>
      </c>
      <c r="O85" s="38">
        <f>INDEX($H$30:$H$32,2,1)</f>
        <v>-19.529749577173384</v>
      </c>
      <c r="P85" s="38" t="s">
        <v>56</v>
      </c>
    </row>
    <row r="86" spans="1:16" x14ac:dyDescent="0.25">
      <c r="B86" s="173"/>
      <c r="C86" s="176"/>
      <c r="D86" s="176"/>
      <c r="E86" s="176"/>
      <c r="F86" s="176"/>
      <c r="G86" s="176"/>
      <c r="H86" s="176"/>
      <c r="I86" s="176"/>
      <c r="J86" s="174"/>
      <c r="L86" s="171"/>
      <c r="M86" s="172"/>
      <c r="N86" s="38">
        <f>INDEX($O$30:$O$32,1,1)</f>
        <v>-19.55045613780571</v>
      </c>
      <c r="O86" s="38">
        <f>INDEX($O$30:$O$32,2,1)</f>
        <v>-68.618717227048833</v>
      </c>
      <c r="P86" s="38" t="s">
        <v>57</v>
      </c>
    </row>
    <row r="87" spans="1:16" x14ac:dyDescent="0.25">
      <c r="B87" s="135" t="s">
        <v>52</v>
      </c>
      <c r="C87" s="177"/>
      <c r="D87" s="136"/>
      <c r="E87" s="135" t="s">
        <v>53</v>
      </c>
      <c r="F87" s="177"/>
      <c r="G87" s="136"/>
      <c r="H87" s="108" t="s">
        <v>54</v>
      </c>
      <c r="I87" s="109"/>
      <c r="J87" s="110"/>
      <c r="L87" s="173"/>
      <c r="M87" s="174"/>
      <c r="N87" s="38">
        <f>INDEX($P$30:$P$32,1,1)</f>
        <v>112.00651077222146</v>
      </c>
      <c r="O87" s="38">
        <f>INDEX($P$30:$P$32,2,1)</f>
        <v>-20.735897161455213</v>
      </c>
      <c r="P87" s="38" t="s">
        <v>58</v>
      </c>
    </row>
    <row r="88" spans="1:16" x14ac:dyDescent="0.25">
      <c r="B88" s="137"/>
      <c r="C88" s="178"/>
      <c r="D88" s="138"/>
      <c r="E88" s="137"/>
      <c r="F88" s="178"/>
      <c r="G88" s="138"/>
      <c r="H88" s="132" t="s">
        <v>88</v>
      </c>
      <c r="I88" s="133"/>
      <c r="J88" s="134"/>
    </row>
    <row r="89" spans="1:16" ht="15.75" x14ac:dyDescent="0.25">
      <c r="B89" s="27" t="s">
        <v>30</v>
      </c>
      <c r="C89" s="27" t="s">
        <v>29</v>
      </c>
      <c r="D89" s="27" t="s">
        <v>50</v>
      </c>
      <c r="E89" s="27" t="s">
        <v>30</v>
      </c>
      <c r="F89" s="27" t="s">
        <v>29</v>
      </c>
      <c r="G89" s="27" t="s">
        <v>50</v>
      </c>
      <c r="H89" s="56" t="s">
        <v>80</v>
      </c>
      <c r="I89" s="56" t="s">
        <v>74</v>
      </c>
      <c r="J89" s="40" t="s">
        <v>31</v>
      </c>
    </row>
    <row r="90" spans="1:16" x14ac:dyDescent="0.25">
      <c r="B90" s="38">
        <f>SQRT((($G$30-$H$30)^2)+(($G$31-$H$31)^2)+(($G$32-$H$32)^2))</f>
        <v>140</v>
      </c>
      <c r="C90" s="38">
        <f>($H$31-$G$31)/($H$30-$G$30)</f>
        <v>0.3639702342662024</v>
      </c>
      <c r="D90" s="38">
        <f>INTERCEPT($O$84:$O$85,$N$84:$N$85)</f>
        <v>-62.786488576078824</v>
      </c>
      <c r="E90" s="38">
        <f>SQRT((($O$30-$P$30)^2)+(($O$31-$P$31)^2)+(($O$32-$P$32)^2))</f>
        <v>140</v>
      </c>
      <c r="F90" s="38">
        <f>($P$31-$O$31)/($P$30-$O$30)</f>
        <v>0.36397023426620234</v>
      </c>
      <c r="G90" s="38">
        <f>INTERCEPT($O$86:$O$87,$N$86:$N$87)</f>
        <v>-61.502933126560578</v>
      </c>
      <c r="H90" s="42">
        <f>IF($D$90&gt;$G$90,-$G$104,IF($D$90&lt;$G$90,$G$104,$G$104))</f>
        <v>1.2061475842818254</v>
      </c>
      <c r="I90" s="42">
        <f>IF(($D$92&gt;$G$92),-$G$103,IF(($D$92&lt;$G$92),$G$103,$G$103))</f>
        <v>-6.8404028665133731</v>
      </c>
      <c r="J90" s="42" t="str">
        <f>IF($D$66&gt;$G$66,"Clearance",IF($D$66&lt;$G$66,"Interference","Coincident"))</f>
        <v>Clearance</v>
      </c>
    </row>
    <row r="91" spans="1:16" ht="15.75" customHeight="1" x14ac:dyDescent="0.25">
      <c r="A91" s="85"/>
      <c r="B91" s="201" t="s">
        <v>108</v>
      </c>
      <c r="C91" s="27" t="s">
        <v>50</v>
      </c>
      <c r="D91" s="86">
        <f>$O$84+($N$84/$C$90)</f>
        <v>-102.33315400570805</v>
      </c>
      <c r="E91" s="201" t="s">
        <v>108</v>
      </c>
      <c r="F91" s="27" t="s">
        <v>50</v>
      </c>
      <c r="G91" s="86">
        <f>$O$86+($N$86/$F$90)</f>
        <v>-122.33315400570805</v>
      </c>
    </row>
    <row r="92" spans="1:16" ht="15.75" x14ac:dyDescent="0.25">
      <c r="A92" s="85"/>
      <c r="B92" s="202"/>
      <c r="C92" s="27" t="s">
        <v>26</v>
      </c>
      <c r="D92" s="86">
        <f>$D$91*$C$90</f>
        <v>-37.246222036656931</v>
      </c>
      <c r="E92" s="202"/>
      <c r="F92" s="27" t="s">
        <v>26</v>
      </c>
      <c r="G92" s="86">
        <f>$G$91*$F$90</f>
        <v>-44.52562672198097</v>
      </c>
    </row>
    <row r="95" spans="1:16" x14ac:dyDescent="0.25">
      <c r="B95" s="199" t="s">
        <v>32</v>
      </c>
      <c r="C95" s="163" t="s">
        <v>33</v>
      </c>
      <c r="D95" s="151" t="s">
        <v>34</v>
      </c>
      <c r="E95" s="152"/>
      <c r="F95" s="159" t="s">
        <v>35</v>
      </c>
      <c r="G95" s="165" t="s">
        <v>36</v>
      </c>
      <c r="H95" s="166"/>
      <c r="I95" s="117" t="s">
        <v>59</v>
      </c>
      <c r="J95" s="119"/>
    </row>
    <row r="96" spans="1:16" x14ac:dyDescent="0.25">
      <c r="B96" s="200"/>
      <c r="C96" s="164"/>
      <c r="D96" s="153"/>
      <c r="E96" s="154"/>
      <c r="F96" s="160"/>
      <c r="G96" s="167"/>
      <c r="H96" s="168"/>
      <c r="I96" s="132"/>
      <c r="J96" s="134"/>
    </row>
    <row r="97" spans="1:17" x14ac:dyDescent="0.25">
      <c r="B97" s="149">
        <f t="shared" ref="B97" si="10">$K$6</f>
        <v>0</v>
      </c>
      <c r="C97" s="149">
        <f t="shared" ref="C97" si="11">$K$7</f>
        <v>-20</v>
      </c>
      <c r="D97" s="155" t="str">
        <f>IF(AND($B$47&gt;0,$C$47=0),"Anterior",IF(AND($B$47&gt;0,$C$47&gt;0),"Anterior-Proximal",IF(AND($B$47&gt;0,$C$47&lt;0),"Anterior-Distal",IF(AND($B$47&lt;0,$C$47=0),"Posterior",IF(AND($B$47&lt;0,$C$47&gt;0),"Posterior-Proximal",IF(AND($B$47&lt;0,$C$47&lt;0),"Posterior-Distal",IF(AND($B$47=0,$C$47&gt;0),"Proximal",IF(AND($B$47=0,$C$47&lt;0),"Distal","None"))))))))</f>
        <v>Distal</v>
      </c>
      <c r="E97" s="156"/>
      <c r="F97" s="161">
        <f t="shared" ref="F97" si="12">$K$5</f>
        <v>20</v>
      </c>
      <c r="G97" s="145" t="str">
        <f t="shared" ref="G97" si="13">IF($F$47&gt;0,"Dorsiflexion",IF($F$47&lt;0,"Plantarflexion","Neutral"))</f>
        <v>Dorsiflexion</v>
      </c>
      <c r="H97" s="146"/>
      <c r="I97" s="139" t="str">
        <f t="shared" ref="I97" si="14">IF($F$97&gt;0,IF($D$90&gt;$G$90,"Proximal-Top",IF($D$90&lt;$G$90,"Distal-Bottom","None")),IF($F$97&lt;0,IF($D$90&lt;$G$90,"Distal-Bottom",IF($D$90&gt;$G$90,"Proximal-Top","None"))))</f>
        <v>Distal-Bottom</v>
      </c>
      <c r="J97" s="141"/>
    </row>
    <row r="98" spans="1:17" x14ac:dyDescent="0.25">
      <c r="B98" s="150"/>
      <c r="C98" s="150"/>
      <c r="D98" s="157"/>
      <c r="E98" s="158"/>
      <c r="F98" s="162"/>
      <c r="G98" s="147"/>
      <c r="H98" s="148"/>
      <c r="I98" s="142"/>
      <c r="J98" s="144"/>
    </row>
    <row r="100" spans="1:17" x14ac:dyDescent="0.25">
      <c r="B100" s="26"/>
      <c r="C100" s="26"/>
    </row>
    <row r="101" spans="1:17" x14ac:dyDescent="0.25">
      <c r="A101" s="135" t="s">
        <v>81</v>
      </c>
      <c r="B101" s="136"/>
      <c r="C101" s="54" t="s">
        <v>94</v>
      </c>
      <c r="D101" s="57">
        <f>$N$87</f>
        <v>112.00651077222146</v>
      </c>
      <c r="E101" s="57">
        <f>$O$87</f>
        <v>-20.735897161455213</v>
      </c>
      <c r="F101" s="129" t="s">
        <v>93</v>
      </c>
      <c r="G101" s="130"/>
      <c r="H101" s="131"/>
    </row>
    <row r="102" spans="1:17" x14ac:dyDescent="0.25">
      <c r="A102" s="137"/>
      <c r="B102" s="138"/>
      <c r="C102" s="54" t="s">
        <v>71</v>
      </c>
      <c r="D102" s="53">
        <f>($O$84-$O$85)</f>
        <v>-47.882820065593627</v>
      </c>
    </row>
    <row r="103" spans="1:17" x14ac:dyDescent="0.25">
      <c r="C103" s="54" t="s">
        <v>72</v>
      </c>
      <c r="D103" s="53">
        <f>($N$85-$N$84)</f>
        <v>131.55696691002717</v>
      </c>
      <c r="F103" s="84" t="s">
        <v>74</v>
      </c>
      <c r="G103" s="84">
        <f>SQRT($D$105^2-$G$104^2)</f>
        <v>6.8404028665133731</v>
      </c>
      <c r="H103" s="126" t="s">
        <v>84</v>
      </c>
      <c r="I103" s="127"/>
      <c r="J103" s="128"/>
    </row>
    <row r="104" spans="1:17" x14ac:dyDescent="0.25">
      <c r="C104" s="54" t="s">
        <v>73</v>
      </c>
      <c r="D104" s="53">
        <f>($N$84*$O$85-$N$85*$O$84)</f>
        <v>8260</v>
      </c>
      <c r="F104" s="84" t="s">
        <v>80</v>
      </c>
      <c r="G104" s="84">
        <f>ABS(($D$102*$D$101+$D$103*$E$101+$D$104)/SQRT($D$102^2+$D$103^2))</f>
        <v>1.2061475842818254</v>
      </c>
      <c r="H104" s="126" t="s">
        <v>85</v>
      </c>
      <c r="I104" s="127"/>
      <c r="J104" s="128"/>
    </row>
    <row r="105" spans="1:17" x14ac:dyDescent="0.25">
      <c r="C105" s="54" t="s">
        <v>92</v>
      </c>
      <c r="D105" s="53">
        <f>SQRT(($N$87-$N$85)^2+($O$87-$O$85)^2)</f>
        <v>6.9459271066772112</v>
      </c>
    </row>
    <row r="107" spans="1:17" s="14" customFormat="1" x14ac:dyDescent="0.25"/>
    <row r="109" spans="1:17" x14ac:dyDescent="0.25">
      <c r="B109" s="111" t="s">
        <v>101</v>
      </c>
      <c r="C109" s="112"/>
      <c r="D109" s="112"/>
      <c r="E109" s="112"/>
      <c r="F109" s="112"/>
      <c r="G109" s="112"/>
      <c r="H109" s="112"/>
      <c r="I109" s="113"/>
    </row>
    <row r="110" spans="1:17" x14ac:dyDescent="0.25">
      <c r="B110" s="114"/>
      <c r="C110" s="115"/>
      <c r="D110" s="115"/>
      <c r="E110" s="115"/>
      <c r="F110" s="115"/>
      <c r="G110" s="115"/>
      <c r="H110" s="115"/>
      <c r="I110" s="116"/>
      <c r="M110" s="120" t="s">
        <v>28</v>
      </c>
      <c r="N110" s="121"/>
      <c r="O110" s="10" t="s">
        <v>26</v>
      </c>
      <c r="P110" s="10" t="s">
        <v>27</v>
      </c>
      <c r="Q110" s="10" t="s">
        <v>42</v>
      </c>
    </row>
    <row r="111" spans="1:17" x14ac:dyDescent="0.25">
      <c r="B111" s="92" t="s">
        <v>102</v>
      </c>
      <c r="C111" s="93"/>
      <c r="D111" s="92" t="s">
        <v>103</v>
      </c>
      <c r="E111" s="93"/>
      <c r="F111" s="117" t="s">
        <v>22</v>
      </c>
      <c r="G111" s="118"/>
      <c r="H111" s="118"/>
      <c r="I111" s="119"/>
      <c r="M111" s="122"/>
      <c r="N111" s="123"/>
      <c r="O111" s="11">
        <f>INDEX($Q$30:$Q$32,1,1)</f>
        <v>10.260604299770062</v>
      </c>
      <c r="P111" s="11">
        <f>INDEX($Q$30:$Q$32,2,1)</f>
        <v>-48.190778623577252</v>
      </c>
      <c r="Q111" s="38" t="s">
        <v>104</v>
      </c>
    </row>
    <row r="112" spans="1:17" x14ac:dyDescent="0.25">
      <c r="B112" s="92"/>
      <c r="C112" s="93"/>
      <c r="D112" s="92"/>
      <c r="E112" s="93"/>
      <c r="F112" s="108" t="s">
        <v>78</v>
      </c>
      <c r="G112" s="109"/>
      <c r="H112" s="108" t="s">
        <v>79</v>
      </c>
      <c r="I112" s="110"/>
      <c r="M112" s="122"/>
      <c r="N112" s="123"/>
      <c r="O112" s="12">
        <f>INDEX($H$25:$H$27,1,1)</f>
        <v>48.86401628086724</v>
      </c>
      <c r="P112" s="12">
        <f>INDEX($H$25:$H$27,2,1)</f>
        <v>17.785047452934773</v>
      </c>
      <c r="Q112" s="38" t="s">
        <v>105</v>
      </c>
    </row>
    <row r="113" spans="1:17" ht="15.75" x14ac:dyDescent="0.25">
      <c r="B113" s="27" t="s">
        <v>30</v>
      </c>
      <c r="C113" s="27" t="s">
        <v>29</v>
      </c>
      <c r="D113" s="27" t="s">
        <v>30</v>
      </c>
      <c r="E113" s="27" t="s">
        <v>29</v>
      </c>
      <c r="F113" s="49" t="s">
        <v>69</v>
      </c>
      <c r="G113" s="49" t="s">
        <v>70</v>
      </c>
      <c r="H113" s="49" t="s">
        <v>80</v>
      </c>
      <c r="I113" s="49" t="s">
        <v>74</v>
      </c>
      <c r="M113" s="124"/>
      <c r="N113" s="125"/>
      <c r="O113" s="13">
        <f>INDEX($R$30:$R$32,1,1)</f>
        <v>42.023613414353868</v>
      </c>
      <c r="P113" s="13">
        <f>INDEX($R$30:$R$32,2,1)</f>
        <v>16.57889986865294</v>
      </c>
      <c r="Q113" s="38" t="s">
        <v>106</v>
      </c>
    </row>
    <row r="114" spans="1:17" ht="15.75" x14ac:dyDescent="0.25">
      <c r="B114" s="28">
        <f>SQRT((($Q$30-$H$25)^2)+(($Q$31-$H$26)^2)+(($Q$32-$H$27)^2))</f>
        <v>76.439734713436053</v>
      </c>
      <c r="C114" s="28">
        <f>($H$26-$Q$31)/($H$25-$Q$30)</f>
        <v>1.7090672220584597</v>
      </c>
      <c r="D114" s="28">
        <f>SQRT((($Q$30-$R$30)^2)+(($Q$31-$R$31)^2)+(($Q$32-$R$32)^2))</f>
        <v>72.138755187485728</v>
      </c>
      <c r="E114" s="28">
        <f>($R$31-$Q$31)/($R$30-$Q$30)</f>
        <v>2.0391543590399799</v>
      </c>
      <c r="F114" s="41" t="str">
        <f>IF($E$114&lt;$C$114,"Distal",IF($E$114&gt;$C$114,"Proximal"," "))</f>
        <v>Proximal</v>
      </c>
      <c r="G114" s="41" t="str">
        <f>IF($D$114&gt;$B$114,"Anterior",IF($D$114&lt;$B$114,"Posterior"," "))</f>
        <v>Posterior</v>
      </c>
      <c r="H114" s="41">
        <f>IF($E$114&gt;$C$114,$G$126,IF($E$114&lt;$C$114,-$G$126,$G$126))</f>
        <v>5.6105739093559448</v>
      </c>
      <c r="I114" s="41">
        <f>IF($D$114&gt;$B$114,$G$127,IF($D$114&lt;$B$114,-$G$127,$G$127))</f>
        <v>-4.0947971596805148</v>
      </c>
    </row>
    <row r="118" spans="1:17" x14ac:dyDescent="0.25">
      <c r="B118" s="163" t="s">
        <v>32</v>
      </c>
      <c r="C118" s="163" t="s">
        <v>33</v>
      </c>
      <c r="D118" s="151" t="s">
        <v>34</v>
      </c>
      <c r="E118" s="152"/>
      <c r="F118" s="159" t="s">
        <v>35</v>
      </c>
      <c r="G118" s="165" t="s">
        <v>36</v>
      </c>
      <c r="H118" s="166"/>
      <c r="I118" s="117" t="s">
        <v>107</v>
      </c>
      <c r="J118" s="118"/>
      <c r="K118" s="119"/>
    </row>
    <row r="119" spans="1:17" x14ac:dyDescent="0.25">
      <c r="B119" s="164"/>
      <c r="C119" s="164"/>
      <c r="D119" s="153"/>
      <c r="E119" s="154"/>
      <c r="F119" s="160"/>
      <c r="G119" s="167"/>
      <c r="H119" s="168"/>
      <c r="I119" s="132"/>
      <c r="J119" s="133"/>
      <c r="K119" s="134"/>
    </row>
    <row r="120" spans="1:17" x14ac:dyDescent="0.25">
      <c r="B120" s="149">
        <f t="shared" ref="B120" si="15">$K$6</f>
        <v>0</v>
      </c>
      <c r="C120" s="149">
        <f t="shared" ref="C120" si="16">$K$7</f>
        <v>-20</v>
      </c>
      <c r="D120" s="155" t="str">
        <f>IF(AND($B$47&gt;0,$C$47=0),"Anterior",IF(AND($B$47&gt;0,$C$47&gt;0),"Anterior-Proximal",IF(AND($B$47&gt;0,$C$47&lt;0),"Anterior-Distal",IF(AND($B$47&lt;0,$C$47=0),"Posterior",IF(AND($B$47&lt;0,$C$47&gt;0),"Posterior-Proximal",IF(AND($B$47&lt;0,$C$47&lt;0),"Posterior-Distal",IF(AND($B$47=0,$C$47&gt;0),"Proximal",IF(AND($B$47=0,$C$47&lt;0),"Distal","None"))))))))</f>
        <v>Distal</v>
      </c>
      <c r="E120" s="156"/>
      <c r="F120" s="161">
        <f t="shared" ref="F120" si="17">$K$5</f>
        <v>20</v>
      </c>
      <c r="G120" s="145" t="str">
        <f t="shared" ref="G120" si="18">IF($F$47&lt;0,"Dorsiflexion",IF($F$47&gt;0,"Plantarflexion","Neutral"))</f>
        <v>Plantarflexion</v>
      </c>
      <c r="H120" s="146"/>
      <c r="I120" s="139" t="str">
        <f t="shared" ref="I120" si="19">CONCATENATE($G$114," ",$F$114)</f>
        <v>Posterior Proximal</v>
      </c>
      <c r="J120" s="140"/>
      <c r="K120" s="141"/>
    </row>
    <row r="121" spans="1:17" x14ac:dyDescent="0.25">
      <c r="B121" s="150"/>
      <c r="C121" s="150"/>
      <c r="D121" s="157"/>
      <c r="E121" s="158"/>
      <c r="F121" s="162"/>
      <c r="G121" s="147"/>
      <c r="H121" s="148"/>
      <c r="I121" s="142"/>
      <c r="J121" s="143"/>
      <c r="K121" s="144"/>
    </row>
    <row r="122" spans="1:17" x14ac:dyDescent="0.25">
      <c r="B122" s="29"/>
      <c r="C122" s="29"/>
    </row>
    <row r="123" spans="1:17" x14ac:dyDescent="0.25">
      <c r="B123" s="26"/>
      <c r="C123" s="26"/>
    </row>
    <row r="124" spans="1:17" x14ac:dyDescent="0.25">
      <c r="A124" s="135" t="s">
        <v>81</v>
      </c>
      <c r="B124" s="136"/>
      <c r="C124" s="54" t="s">
        <v>82</v>
      </c>
      <c r="D124" s="52">
        <f>$O$112</f>
        <v>48.86401628086724</v>
      </c>
      <c r="E124" s="52">
        <f>$P$112</f>
        <v>17.785047452934773</v>
      </c>
      <c r="F124" s="129" t="s">
        <v>83</v>
      </c>
      <c r="G124" s="130"/>
      <c r="H124" s="131"/>
    </row>
    <row r="125" spans="1:17" x14ac:dyDescent="0.25">
      <c r="A125" s="137"/>
      <c r="B125" s="138"/>
      <c r="C125" s="54" t="s">
        <v>71</v>
      </c>
      <c r="D125" s="53">
        <f>($P$111-$P$113)</f>
        <v>-64.769678492230184</v>
      </c>
    </row>
    <row r="126" spans="1:17" x14ac:dyDescent="0.25">
      <c r="C126" s="54" t="s">
        <v>72</v>
      </c>
      <c r="D126" s="53">
        <f>($O$113-$O$111)</f>
        <v>31.763009114583806</v>
      </c>
      <c r="F126" s="84" t="s">
        <v>80</v>
      </c>
      <c r="G126" s="84">
        <f>ABS(($D$125*$D$124+$D$126*$E$124+$D$127)/SQRT($D$125^2+$D$126^2))</f>
        <v>5.6105739093559448</v>
      </c>
      <c r="H126" s="126" t="s">
        <v>84</v>
      </c>
      <c r="I126" s="127"/>
      <c r="J126" s="128"/>
    </row>
    <row r="127" spans="1:17" x14ac:dyDescent="0.25">
      <c r="C127" s="54" t="s">
        <v>73</v>
      </c>
      <c r="D127" s="53">
        <f>($O$111*$P$113-$P$111*$O$113)</f>
        <v>2195.2601822916763</v>
      </c>
      <c r="F127" s="84" t="s">
        <v>74</v>
      </c>
      <c r="G127" s="84">
        <f>SQRT($D$128^2-$G$126^2)</f>
        <v>4.0947971596805148</v>
      </c>
      <c r="H127" s="126" t="s">
        <v>85</v>
      </c>
      <c r="I127" s="127"/>
      <c r="J127" s="128"/>
    </row>
    <row r="128" spans="1:17" x14ac:dyDescent="0.25">
      <c r="C128" s="54" t="s">
        <v>90</v>
      </c>
      <c r="D128" s="53">
        <f>SQRT(($O$112-$O$113)^2+($P$112-$P$113)^2)</f>
        <v>6.9459271066772121</v>
      </c>
    </row>
    <row r="130" s="14" customFormat="1" x14ac:dyDescent="0.25"/>
  </sheetData>
  <mergeCells count="115">
    <mergeCell ref="A124:B125"/>
    <mergeCell ref="F124:H124"/>
    <mergeCell ref="H126:J126"/>
    <mergeCell ref="H127:J127"/>
    <mergeCell ref="I118:K119"/>
    <mergeCell ref="B120:B121"/>
    <mergeCell ref="C120:C121"/>
    <mergeCell ref="D120:E121"/>
    <mergeCell ref="F120:F121"/>
    <mergeCell ref="G120:H121"/>
    <mergeCell ref="I120:K121"/>
    <mergeCell ref="B118:B119"/>
    <mergeCell ref="C118:C119"/>
    <mergeCell ref="D118:E119"/>
    <mergeCell ref="F118:F119"/>
    <mergeCell ref="G118:H119"/>
    <mergeCell ref="B109:I110"/>
    <mergeCell ref="M110:N113"/>
    <mergeCell ref="B111:C112"/>
    <mergeCell ref="D111:E112"/>
    <mergeCell ref="F111:I111"/>
    <mergeCell ref="F112:G112"/>
    <mergeCell ref="H112:I112"/>
    <mergeCell ref="H103:J103"/>
    <mergeCell ref="H104:J104"/>
    <mergeCell ref="A101:B102"/>
    <mergeCell ref="F101:H101"/>
    <mergeCell ref="B97:B98"/>
    <mergeCell ref="C97:C98"/>
    <mergeCell ref="D97:E98"/>
    <mergeCell ref="F97:F98"/>
    <mergeCell ref="L83:M87"/>
    <mergeCell ref="B85:J86"/>
    <mergeCell ref="B87:D88"/>
    <mergeCell ref="E87:G88"/>
    <mergeCell ref="H87:J87"/>
    <mergeCell ref="H88:J88"/>
    <mergeCell ref="I97:J98"/>
    <mergeCell ref="G97:H98"/>
    <mergeCell ref="I95:J96"/>
    <mergeCell ref="B95:B96"/>
    <mergeCell ref="C95:C96"/>
    <mergeCell ref="D95:E96"/>
    <mergeCell ref="F95:F96"/>
    <mergeCell ref="G95:H96"/>
    <mergeCell ref="B91:B92"/>
    <mergeCell ref="E91:E92"/>
    <mergeCell ref="H78:J78"/>
    <mergeCell ref="L59:M63"/>
    <mergeCell ref="B61:J62"/>
    <mergeCell ref="B63:D64"/>
    <mergeCell ref="E63:G64"/>
    <mergeCell ref="I71:J72"/>
    <mergeCell ref="B69:B70"/>
    <mergeCell ref="C69:C70"/>
    <mergeCell ref="D69:E70"/>
    <mergeCell ref="F69:F70"/>
    <mergeCell ref="G69:H70"/>
    <mergeCell ref="I69:J70"/>
    <mergeCell ref="B71:B72"/>
    <mergeCell ref="C71:C72"/>
    <mergeCell ref="D71:E72"/>
    <mergeCell ref="F71:F72"/>
    <mergeCell ref="G71:H72"/>
    <mergeCell ref="A75:B76"/>
    <mergeCell ref="F75:H75"/>
    <mergeCell ref="H77:J77"/>
    <mergeCell ref="H64:J64"/>
    <mergeCell ref="A51:B52"/>
    <mergeCell ref="I47:K48"/>
    <mergeCell ref="G47:H48"/>
    <mergeCell ref="B47:B48"/>
    <mergeCell ref="C47:C48"/>
    <mergeCell ref="D45:E46"/>
    <mergeCell ref="D47:E48"/>
    <mergeCell ref="F45:F46"/>
    <mergeCell ref="F47:F48"/>
    <mergeCell ref="B45:B46"/>
    <mergeCell ref="C45:C46"/>
    <mergeCell ref="G45:H46"/>
    <mergeCell ref="O11:O13"/>
    <mergeCell ref="O10:Q10"/>
    <mergeCell ref="K22:M22"/>
    <mergeCell ref="J24:J26"/>
    <mergeCell ref="K28:M28"/>
    <mergeCell ref="J18:J20"/>
    <mergeCell ref="H53:J53"/>
    <mergeCell ref="H54:J54"/>
    <mergeCell ref="H63:J63"/>
    <mergeCell ref="F51:H51"/>
    <mergeCell ref="I45:K46"/>
    <mergeCell ref="E2:J3"/>
    <mergeCell ref="B38:C39"/>
    <mergeCell ref="D38:E39"/>
    <mergeCell ref="E11:E13"/>
    <mergeCell ref="J11:J13"/>
    <mergeCell ref="B30:B32"/>
    <mergeCell ref="E10:G10"/>
    <mergeCell ref="J10:L10"/>
    <mergeCell ref="J30:J32"/>
    <mergeCell ref="C28:E28"/>
    <mergeCell ref="K16:M16"/>
    <mergeCell ref="L5:M5"/>
    <mergeCell ref="F39:G39"/>
    <mergeCell ref="H39:I39"/>
    <mergeCell ref="B36:I37"/>
    <mergeCell ref="F38:I38"/>
    <mergeCell ref="L6:M6"/>
    <mergeCell ref="L7:M7"/>
    <mergeCell ref="M37:N40"/>
    <mergeCell ref="E15:G15"/>
    <mergeCell ref="E16:E18"/>
    <mergeCell ref="N5:O5"/>
    <mergeCell ref="N6:O6"/>
    <mergeCell ref="N7:O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"/>
  <sheetViews>
    <sheetView workbookViewId="0">
      <selection activeCell="J30" sqref="J30:P34"/>
    </sheetView>
  </sheetViews>
  <sheetFormatPr defaultRowHeight="15" x14ac:dyDescent="0.25"/>
  <sheetData>
    <row r="2" spans="1:16" x14ac:dyDescent="0.25">
      <c r="B2" s="30" t="s">
        <v>6</v>
      </c>
      <c r="C2" s="35">
        <f>Analysis!$K$5</f>
        <v>20</v>
      </c>
      <c r="D2" s="106" t="s">
        <v>39</v>
      </c>
      <c r="E2" s="107"/>
    </row>
    <row r="3" spans="1:16" x14ac:dyDescent="0.25">
      <c r="B3" s="36" t="s">
        <v>7</v>
      </c>
      <c r="C3" s="37">
        <f>Analysis!$K$6</f>
        <v>0</v>
      </c>
      <c r="D3" s="106" t="s">
        <v>38</v>
      </c>
      <c r="E3" s="107"/>
    </row>
    <row r="4" spans="1:16" x14ac:dyDescent="0.25">
      <c r="B4" s="36" t="s">
        <v>41</v>
      </c>
      <c r="C4" s="37">
        <f>Analysis!$K$7</f>
        <v>-20</v>
      </c>
      <c r="D4" s="106" t="s">
        <v>40</v>
      </c>
      <c r="E4" s="107"/>
    </row>
    <row r="6" spans="1:16" x14ac:dyDescent="0.25">
      <c r="A6" s="36" t="s">
        <v>99</v>
      </c>
      <c r="B6" s="36" t="s">
        <v>98</v>
      </c>
      <c r="C6" s="36" t="s">
        <v>0</v>
      </c>
      <c r="D6" s="36" t="s">
        <v>1</v>
      </c>
      <c r="E6" s="36" t="s">
        <v>2</v>
      </c>
      <c r="F6" s="36" t="s">
        <v>3</v>
      </c>
      <c r="G6" s="31" t="s">
        <v>4</v>
      </c>
      <c r="H6" s="36" t="s">
        <v>5</v>
      </c>
      <c r="I6" s="36" t="s">
        <v>63</v>
      </c>
      <c r="J6" s="36" t="s">
        <v>60</v>
      </c>
      <c r="K6" s="36" t="s">
        <v>61</v>
      </c>
      <c r="L6" s="36" t="s">
        <v>62</v>
      </c>
      <c r="M6" s="36" t="s">
        <v>64</v>
      </c>
      <c r="N6" s="36" t="s">
        <v>109</v>
      </c>
      <c r="O6" s="36" t="s">
        <v>110</v>
      </c>
      <c r="P6" s="36" t="s">
        <v>111</v>
      </c>
    </row>
    <row r="7" spans="1:16" x14ac:dyDescent="0.25">
      <c r="A7" s="67">
        <v>39.57</v>
      </c>
      <c r="B7" s="67">
        <v>86.33</v>
      </c>
      <c r="C7" s="32">
        <v>-31.2</v>
      </c>
      <c r="D7" s="32">
        <v>-31.2</v>
      </c>
      <c r="E7" s="32">
        <v>0</v>
      </c>
      <c r="F7" s="32">
        <v>41.2</v>
      </c>
      <c r="G7" s="32">
        <v>129.5</v>
      </c>
      <c r="H7" s="32">
        <v>-30.1</v>
      </c>
      <c r="I7" s="32">
        <v>0</v>
      </c>
      <c r="J7" s="32">
        <v>-61.32</v>
      </c>
      <c r="K7" s="32">
        <v>186.44</v>
      </c>
      <c r="L7" s="32">
        <v>0</v>
      </c>
      <c r="M7" s="32">
        <f>$C$3</f>
        <v>0</v>
      </c>
      <c r="N7" s="32">
        <v>0</v>
      </c>
      <c r="O7" s="32">
        <v>-41.2</v>
      </c>
      <c r="P7" s="32">
        <v>-41.2</v>
      </c>
    </row>
    <row r="8" spans="1:16" x14ac:dyDescent="0.25">
      <c r="A8" s="68">
        <v>-31.8</v>
      </c>
      <c r="B8" s="68">
        <v>2.27</v>
      </c>
      <c r="C8" s="33">
        <v>183.9</v>
      </c>
      <c r="D8" s="33">
        <v>267.7</v>
      </c>
      <c r="E8" s="33">
        <v>233.5</v>
      </c>
      <c r="F8" s="33">
        <v>233.5</v>
      </c>
      <c r="G8" s="33">
        <v>-63.57</v>
      </c>
      <c r="H8" s="33">
        <v>-63.57</v>
      </c>
      <c r="I8" s="33">
        <v>0</v>
      </c>
      <c r="J8" s="33">
        <v>-63.57</v>
      </c>
      <c r="K8" s="33">
        <v>-63.57</v>
      </c>
      <c r="L8" s="33">
        <v>400.98</v>
      </c>
      <c r="M8" s="33">
        <f>$C$4</f>
        <v>-20</v>
      </c>
      <c r="N8" s="33">
        <v>300.74</v>
      </c>
      <c r="O8" s="33">
        <v>300.74</v>
      </c>
      <c r="P8" s="33">
        <v>0</v>
      </c>
    </row>
    <row r="9" spans="1:16" x14ac:dyDescent="0.25">
      <c r="A9" s="69">
        <v>1</v>
      </c>
      <c r="B9" s="69">
        <v>1</v>
      </c>
      <c r="C9" s="34">
        <v>1</v>
      </c>
      <c r="D9" s="34">
        <v>1</v>
      </c>
      <c r="E9" s="34">
        <v>1</v>
      </c>
      <c r="F9" s="34">
        <v>1</v>
      </c>
      <c r="G9" s="34">
        <v>1</v>
      </c>
      <c r="H9" s="34">
        <v>1</v>
      </c>
      <c r="I9" s="34">
        <v>1</v>
      </c>
      <c r="J9" s="34">
        <v>1</v>
      </c>
      <c r="K9" s="34">
        <v>1</v>
      </c>
      <c r="L9" s="34">
        <v>1</v>
      </c>
      <c r="M9" s="34">
        <v>1</v>
      </c>
      <c r="N9" s="34">
        <v>1</v>
      </c>
      <c r="O9" s="34">
        <v>1</v>
      </c>
      <c r="P9" s="34">
        <v>1</v>
      </c>
    </row>
    <row r="11" spans="1:16" x14ac:dyDescent="0.25">
      <c r="B11" s="100" t="s">
        <v>67</v>
      </c>
      <c r="C11" s="101"/>
      <c r="D11" s="102"/>
      <c r="G11" s="100" t="s">
        <v>12</v>
      </c>
      <c r="H11" s="101"/>
      <c r="I11" s="102"/>
      <c r="L11" s="100" t="s">
        <v>13</v>
      </c>
      <c r="M11" s="101"/>
      <c r="N11" s="102"/>
    </row>
    <row r="12" spans="1:16" x14ac:dyDescent="0.25">
      <c r="B12" s="94" t="s">
        <v>8</v>
      </c>
      <c r="C12" s="1">
        <f>COS(RADIANS($C$2))</f>
        <v>0.93969262078590843</v>
      </c>
      <c r="D12" s="2">
        <f>-SIN(RADIANS($C$2))</f>
        <v>-0.34202014332566871</v>
      </c>
      <c r="E12" s="3">
        <v>0</v>
      </c>
      <c r="G12" s="94" t="s">
        <v>9</v>
      </c>
      <c r="H12" s="1">
        <v>1</v>
      </c>
      <c r="I12" s="2">
        <v>0</v>
      </c>
      <c r="J12" s="3">
        <f>$C$3</f>
        <v>0</v>
      </c>
      <c r="L12" s="94" t="s">
        <v>10</v>
      </c>
      <c r="M12" s="1">
        <f t="array" ref="M12:O14">MINVERSE($H$12:$J$14)</f>
        <v>1</v>
      </c>
      <c r="N12" s="2">
        <v>0</v>
      </c>
      <c r="O12" s="3">
        <v>0</v>
      </c>
    </row>
    <row r="13" spans="1:16" x14ac:dyDescent="0.25">
      <c r="B13" s="95"/>
      <c r="C13" s="4">
        <f>SIN(RADIANS($C$2))</f>
        <v>0.34202014332566871</v>
      </c>
      <c r="D13" s="5">
        <f>COS(RADIANS($C$2))</f>
        <v>0.93969262078590843</v>
      </c>
      <c r="E13" s="6">
        <v>0</v>
      </c>
      <c r="G13" s="95"/>
      <c r="H13" s="4">
        <v>0</v>
      </c>
      <c r="I13" s="5">
        <v>1</v>
      </c>
      <c r="J13" s="6">
        <f>$C$4</f>
        <v>-20</v>
      </c>
      <c r="L13" s="95"/>
      <c r="M13" s="4">
        <v>0</v>
      </c>
      <c r="N13" s="5">
        <v>1</v>
      </c>
      <c r="O13" s="6">
        <v>20</v>
      </c>
    </row>
    <row r="14" spans="1:16" x14ac:dyDescent="0.25">
      <c r="B14" s="96"/>
      <c r="C14" s="7">
        <v>0</v>
      </c>
      <c r="D14" s="8">
        <v>0</v>
      </c>
      <c r="E14" s="9">
        <v>1</v>
      </c>
      <c r="G14" s="96"/>
      <c r="H14" s="7">
        <v>0</v>
      </c>
      <c r="I14" s="8">
        <v>0</v>
      </c>
      <c r="J14" s="9">
        <v>1</v>
      </c>
      <c r="L14" s="96"/>
      <c r="M14" s="7">
        <v>0</v>
      </c>
      <c r="N14" s="8">
        <v>0</v>
      </c>
      <c r="O14" s="9">
        <v>1</v>
      </c>
    </row>
    <row r="16" spans="1:16" x14ac:dyDescent="0.25">
      <c r="B16" s="100" t="s">
        <v>100</v>
      </c>
      <c r="C16" s="101"/>
      <c r="D16" s="102"/>
    </row>
    <row r="17" spans="1:18" x14ac:dyDescent="0.25">
      <c r="B17" s="94" t="s">
        <v>8</v>
      </c>
      <c r="C17" s="1">
        <f>COS(RADIANS($C$2))</f>
        <v>0.93969262078590843</v>
      </c>
      <c r="D17" s="2">
        <f>-SIN(RADIANS($C$2))</f>
        <v>-0.34202014332566871</v>
      </c>
      <c r="E17" s="3">
        <v>0</v>
      </c>
    </row>
    <row r="18" spans="1:18" x14ac:dyDescent="0.25">
      <c r="B18" s="95"/>
      <c r="C18" s="4">
        <f>SIN(RADIANS($C$2))</f>
        <v>0.34202014332566871</v>
      </c>
      <c r="D18" s="5">
        <f>COS(RADIANS($C$2))</f>
        <v>0.93969262078590843</v>
      </c>
      <c r="E18" s="6">
        <v>0</v>
      </c>
      <c r="K18" s="100" t="s">
        <v>15</v>
      </c>
      <c r="L18" s="101"/>
      <c r="M18" s="102"/>
    </row>
    <row r="19" spans="1:18" x14ac:dyDescent="0.25">
      <c r="B19" s="96"/>
      <c r="C19" s="7">
        <v>0</v>
      </c>
      <c r="D19" s="8">
        <v>0</v>
      </c>
      <c r="E19" s="9">
        <v>1</v>
      </c>
      <c r="K19" s="10" t="s">
        <v>0</v>
      </c>
      <c r="L19" s="10" t="s">
        <v>1</v>
      </c>
      <c r="M19" s="10" t="s">
        <v>2</v>
      </c>
      <c r="N19" s="10" t="s">
        <v>3</v>
      </c>
      <c r="O19" s="10" t="s">
        <v>4</v>
      </c>
      <c r="P19" s="10" t="s">
        <v>5</v>
      </c>
      <c r="Q19" s="80" t="s">
        <v>99</v>
      </c>
      <c r="R19" s="80" t="s">
        <v>98</v>
      </c>
    </row>
    <row r="20" spans="1:18" x14ac:dyDescent="0.25">
      <c r="J20" s="94" t="s">
        <v>19</v>
      </c>
      <c r="K20" s="11">
        <f t="array" ref="K20:K22">MMULT($M$12:$O$14,$C$7:$C$9)</f>
        <v>-31.2</v>
      </c>
      <c r="L20" s="11">
        <f t="array" ref="L20:L22">MMULT($M$12:$O$14,$D$7:$D$9)</f>
        <v>-31.2</v>
      </c>
      <c r="M20" s="11">
        <f t="array" ref="M20:M22">MMULT($M$12:$O$14,$E$7:$E$9)</f>
        <v>0</v>
      </c>
      <c r="N20" s="11">
        <f t="array" ref="N20:N22">MMULT($M$12:$O$14,$F$7:$F$9)</f>
        <v>41.2</v>
      </c>
      <c r="O20" s="11">
        <f t="array" ref="O20:O22">MMULT($M$12:$O$14,$G$7:$G$9)</f>
        <v>129.5</v>
      </c>
      <c r="P20" s="11">
        <f t="array" ref="P20:P22">MMULT($M$12:$O$14,$H$7:$H$9)</f>
        <v>-30.1</v>
      </c>
      <c r="Q20" s="81">
        <f t="array" ref="Q20:Q22">MMULT($M$12:$O$14,A7:A9)</f>
        <v>39.57</v>
      </c>
      <c r="R20" s="81">
        <f t="array" ref="R20:R22">MMULT($M$12:$O$14,B7:B9)</f>
        <v>86.33</v>
      </c>
    </row>
    <row r="21" spans="1:18" x14ac:dyDescent="0.25">
      <c r="J21" s="95"/>
      <c r="K21" s="12">
        <v>203.9</v>
      </c>
      <c r="L21" s="12">
        <v>287.7</v>
      </c>
      <c r="M21" s="12">
        <v>253.5</v>
      </c>
      <c r="N21" s="12">
        <v>253.5</v>
      </c>
      <c r="O21" s="12">
        <v>-43.57</v>
      </c>
      <c r="P21" s="12">
        <v>-43.57</v>
      </c>
      <c r="Q21" s="82">
        <v>-11.8</v>
      </c>
      <c r="R21" s="82">
        <v>22.27</v>
      </c>
    </row>
    <row r="22" spans="1:18" x14ac:dyDescent="0.25">
      <c r="J22" s="96"/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83">
        <v>1</v>
      </c>
      <c r="R22" s="83">
        <v>1</v>
      </c>
    </row>
    <row r="24" spans="1:18" x14ac:dyDescent="0.25">
      <c r="K24" s="100" t="s">
        <v>16</v>
      </c>
      <c r="L24" s="101"/>
      <c r="M24" s="102"/>
    </row>
    <row r="25" spans="1:18" x14ac:dyDescent="0.25">
      <c r="B25" s="126" t="s">
        <v>112</v>
      </c>
      <c r="C25" s="127"/>
      <c r="D25" s="128"/>
      <c r="K25" s="10" t="s">
        <v>0</v>
      </c>
      <c r="L25" s="10" t="s">
        <v>1</v>
      </c>
      <c r="M25" s="10" t="s">
        <v>2</v>
      </c>
      <c r="N25" s="10" t="s">
        <v>3</v>
      </c>
      <c r="O25" s="10" t="s">
        <v>4</v>
      </c>
      <c r="P25" s="10" t="s">
        <v>5</v>
      </c>
      <c r="Q25" s="80" t="s">
        <v>99</v>
      </c>
      <c r="R25" s="80" t="s">
        <v>98</v>
      </c>
    </row>
    <row r="26" spans="1:18" x14ac:dyDescent="0.25">
      <c r="B26" s="36" t="s">
        <v>109</v>
      </c>
      <c r="C26" s="36" t="s">
        <v>110</v>
      </c>
      <c r="D26" s="36" t="s">
        <v>111</v>
      </c>
      <c r="F26" s="22" t="s">
        <v>99</v>
      </c>
      <c r="G26" s="22" t="s">
        <v>98</v>
      </c>
      <c r="J26" s="94" t="s">
        <v>20</v>
      </c>
      <c r="K26" s="11">
        <f t="array" ref="K26:K28">MMULT($C$12:$E$14,K20:K22)</f>
        <v>-99.05631699262419</v>
      </c>
      <c r="L26" s="11">
        <f t="array" ref="L26:L28">MMULT($C$12:$E$14,L20:L22)</f>
        <v>-127.71760500331523</v>
      </c>
      <c r="M26" s="11">
        <f t="array" ref="M26:M28">MMULT($C$12:$E$14,M20:M22)</f>
        <v>-86.702106333057017</v>
      </c>
      <c r="N26" s="11">
        <f t="array" ref="N26:N28">MMULT($C$12:$E$14,N20:N22)</f>
        <v>-47.986770356677589</v>
      </c>
      <c r="O26" s="11">
        <f t="array" ref="O26:O28">MMULT($C$17:$E$19,O20:O22)</f>
        <v>136.59201203647453</v>
      </c>
      <c r="P26" s="11">
        <f t="array" ref="P26:P28">MMULT($C$17:$E$19,P20:P22)</f>
        <v>-13.38293024095646</v>
      </c>
      <c r="Q26" s="81">
        <f t="array" ref="Q26:Q28">MMULT($C$17:$E$19,Q20:Q22)</f>
        <v>41.219474695741283</v>
      </c>
      <c r="R26" s="81">
        <f t="array" ref="R26:R28">MMULT($C$17:$E$19,R20:R22)</f>
        <v>73.506875360584829</v>
      </c>
    </row>
    <row r="27" spans="1:18" x14ac:dyDescent="0.25">
      <c r="B27" s="32">
        <f t="array" ref="B27:B29">MMULT($C$12:$E$14,$N$7:$N$9)</f>
        <v>-102.85913790376161</v>
      </c>
      <c r="C27" s="32">
        <f t="array" ref="C27:C29">MMULT($C$12:$E$14,$O$7:$O$9)</f>
        <v>-141.57447388014103</v>
      </c>
      <c r="D27" s="32">
        <f t="array" ref="D27:D29">MMULT($C$12:$E$14,$P$7:$P$9)</f>
        <v>-38.715335976379428</v>
      </c>
      <c r="F27" s="73">
        <f t="array" ref="F27:F29">MMULT($C$17:$E$19,A7:A9)</f>
        <v>48.059877562254655</v>
      </c>
      <c r="G27" s="73">
        <f t="array" ref="G27:G29">MMULT($C$17:$E$19,B7:B9)</f>
        <v>80.347278227098201</v>
      </c>
      <c r="J27" s="95"/>
      <c r="K27" s="12">
        <v>180.93229690648587</v>
      </c>
      <c r="L27" s="12">
        <v>259.67853852834497</v>
      </c>
      <c r="M27" s="12">
        <v>238.21207936922778</v>
      </c>
      <c r="N27" s="12">
        <v>252.30330927424532</v>
      </c>
      <c r="O27" s="12">
        <v>3.34920107303207</v>
      </c>
      <c r="P27" s="12">
        <v>-51.237213801744659</v>
      </c>
      <c r="Q27" s="82">
        <v>2.4453641461229907</v>
      </c>
      <c r="R27" s="82">
        <v>50.453553638207154</v>
      </c>
    </row>
    <row r="28" spans="1:18" x14ac:dyDescent="0.25">
      <c r="B28" s="33">
        <v>282.6031587751541</v>
      </c>
      <c r="C28" s="33">
        <v>268.51192887013656</v>
      </c>
      <c r="D28" s="33">
        <v>-14.091229905017553</v>
      </c>
      <c r="F28" s="74">
        <v>-16.348488269595176</v>
      </c>
      <c r="G28" s="74">
        <v>31.659701222488991</v>
      </c>
      <c r="J28" s="96"/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83">
        <v>1</v>
      </c>
      <c r="R28" s="83">
        <v>1</v>
      </c>
    </row>
    <row r="29" spans="1:18" x14ac:dyDescent="0.25">
      <c r="B29" s="34">
        <v>1</v>
      </c>
      <c r="C29" s="34">
        <v>1</v>
      </c>
      <c r="D29" s="34">
        <v>1</v>
      </c>
      <c r="F29" s="75">
        <v>1</v>
      </c>
      <c r="G29" s="75">
        <v>1</v>
      </c>
    </row>
    <row r="30" spans="1:18" x14ac:dyDescent="0.25">
      <c r="A30" s="16"/>
      <c r="B30" s="103" t="s">
        <v>14</v>
      </c>
      <c r="C30" s="104"/>
      <c r="D30" s="105"/>
      <c r="E30" s="16"/>
      <c r="F30" s="16"/>
      <c r="G30" s="16"/>
      <c r="H30" s="16"/>
      <c r="J30" s="43"/>
      <c r="K30" s="206" t="s">
        <v>17</v>
      </c>
      <c r="L30" s="207"/>
      <c r="M30" s="208"/>
      <c r="N30" s="43"/>
      <c r="O30" s="43"/>
      <c r="P30" s="43"/>
      <c r="Q30" s="43"/>
      <c r="R30" s="43"/>
    </row>
    <row r="31" spans="1:18" x14ac:dyDescent="0.25">
      <c r="A31" s="16"/>
      <c r="B31" s="22" t="s">
        <v>0</v>
      </c>
      <c r="C31" s="22" t="s">
        <v>1</v>
      </c>
      <c r="D31" s="22" t="s">
        <v>2</v>
      </c>
      <c r="E31" s="21" t="s">
        <v>3</v>
      </c>
      <c r="F31" s="22" t="s">
        <v>4</v>
      </c>
      <c r="G31" s="22" t="s">
        <v>5</v>
      </c>
      <c r="H31" s="22" t="s">
        <v>62</v>
      </c>
      <c r="J31" s="43"/>
      <c r="K31" s="44" t="s">
        <v>0</v>
      </c>
      <c r="L31" s="44" t="s">
        <v>1</v>
      </c>
      <c r="M31" s="44" t="s">
        <v>2</v>
      </c>
      <c r="N31" s="44" t="s">
        <v>3</v>
      </c>
      <c r="O31" s="44" t="s">
        <v>4</v>
      </c>
      <c r="P31" s="44" t="s">
        <v>5</v>
      </c>
      <c r="Q31" s="44" t="s">
        <v>99</v>
      </c>
      <c r="R31" s="44" t="s">
        <v>98</v>
      </c>
    </row>
    <row r="32" spans="1:18" x14ac:dyDescent="0.25">
      <c r="A32" s="203" t="s">
        <v>11</v>
      </c>
      <c r="B32" s="18">
        <f t="array" ref="B32:B34">MMULT($C$12:$E$14,C7:C9)</f>
        <v>-92.215914126110818</v>
      </c>
      <c r="C32" s="18">
        <f t="array" ref="C32:C34">MMULT($C$12:$E$14,D7:D9)</f>
        <v>-120.87720213680186</v>
      </c>
      <c r="D32" s="18">
        <f t="array" ref="D32:D34">MMULT($C$12:$E$14,E7:E9)</f>
        <v>-79.861703466543645</v>
      </c>
      <c r="E32" s="18">
        <f t="array" ref="E32:E34">MMULT($C$12:$E$14,F7:F9)</f>
        <v>-41.146367490164216</v>
      </c>
      <c r="F32" s="18">
        <f t="array" ref="F32:F34">MMULT($C$17:$E$19,G7:G9)</f>
        <v>143.43241490298789</v>
      </c>
      <c r="G32" s="18">
        <f t="array" ref="G32:G34">MMULT($C$17:$E$19,H7:H9)</f>
        <v>-6.5425273744430861</v>
      </c>
      <c r="H32" s="18">
        <f t="array" ref="H32:H34">MMULT($C$12:$E$14,$L$7:$L$9)</f>
        <v>-137.14323707072666</v>
      </c>
      <c r="J32" s="209" t="s">
        <v>18</v>
      </c>
      <c r="K32" s="45">
        <f t="array" ref="K32:K34">MMULT($H$12:$J$14,K26:K28)</f>
        <v>-99.05631699262419</v>
      </c>
      <c r="L32" s="45">
        <f t="array" ref="L32:L34">MMULT($H$12:$J$14,L26:L28)</f>
        <v>-127.71760500331523</v>
      </c>
      <c r="M32" s="45">
        <f t="array" ref="M32:M34">MMULT($H$12:$J$14,M26:M28)</f>
        <v>-86.702106333057017</v>
      </c>
      <c r="N32" s="45">
        <f t="array" ref="N32:N34">MMULT($H$12:$J$14,N26:N28)</f>
        <v>-47.986770356677589</v>
      </c>
      <c r="O32" s="45">
        <f t="array" ref="O32:O34">MMULT($H$12:$J$14,O26:O28)</f>
        <v>136.59201203647453</v>
      </c>
      <c r="P32" s="45">
        <f t="array" ref="P32:P34">MMULT($H$12:$J$14,P26:P28)</f>
        <v>-13.38293024095646</v>
      </c>
      <c r="Q32" s="77">
        <f t="array" ref="Q32:Q34">MMULT($H$12:$J$14,Q26:Q28)</f>
        <v>41.219474695741283</v>
      </c>
      <c r="R32" s="77">
        <f t="array" ref="R32:R34">MMULT($H$12:$J$14,R26:R28)</f>
        <v>73.506875360584829</v>
      </c>
    </row>
    <row r="33" spans="1:18" x14ac:dyDescent="0.25">
      <c r="A33" s="204"/>
      <c r="B33" s="19">
        <v>162.13844449076771</v>
      </c>
      <c r="C33" s="19">
        <v>240.88468611262681</v>
      </c>
      <c r="D33" s="19">
        <v>219.41822695350962</v>
      </c>
      <c r="E33" s="19">
        <v>233.50945685852716</v>
      </c>
      <c r="F33" s="19">
        <v>-15.4446513426861</v>
      </c>
      <c r="G33" s="19">
        <v>-70.031066217462836</v>
      </c>
      <c r="H33" s="19">
        <v>376.79794708273357</v>
      </c>
      <c r="J33" s="210"/>
      <c r="K33" s="46">
        <v>160.93229690648587</v>
      </c>
      <c r="L33" s="46">
        <v>239.67853852834497</v>
      </c>
      <c r="M33" s="46">
        <v>218.21207936922778</v>
      </c>
      <c r="N33" s="46">
        <v>232.30330927424532</v>
      </c>
      <c r="O33" s="46">
        <v>-16.65079892696793</v>
      </c>
      <c r="P33" s="46">
        <v>-71.237213801744659</v>
      </c>
      <c r="Q33" s="78">
        <v>-17.554635853877009</v>
      </c>
      <c r="R33" s="78">
        <v>30.453553638207154</v>
      </c>
    </row>
    <row r="34" spans="1:18" x14ac:dyDescent="0.25">
      <c r="A34" s="205"/>
      <c r="B34" s="20">
        <v>1</v>
      </c>
      <c r="C34" s="20">
        <v>1</v>
      </c>
      <c r="D34" s="20">
        <v>1</v>
      </c>
      <c r="E34" s="20">
        <v>1</v>
      </c>
      <c r="F34" s="20">
        <v>1</v>
      </c>
      <c r="G34" s="20">
        <v>1</v>
      </c>
      <c r="H34" s="20">
        <v>1</v>
      </c>
      <c r="J34" s="211"/>
      <c r="K34" s="47">
        <v>1</v>
      </c>
      <c r="L34" s="47">
        <v>1</v>
      </c>
      <c r="M34" s="47">
        <v>1</v>
      </c>
      <c r="N34" s="47">
        <v>1</v>
      </c>
      <c r="O34" s="47">
        <v>1</v>
      </c>
      <c r="P34" s="47">
        <v>1</v>
      </c>
      <c r="Q34" s="79">
        <v>1</v>
      </c>
      <c r="R34" s="79">
        <v>1</v>
      </c>
    </row>
    <row r="36" spans="1:18" s="14" customFormat="1" x14ac:dyDescent="0.25"/>
  </sheetData>
  <mergeCells count="20">
    <mergeCell ref="J32:J34"/>
    <mergeCell ref="B30:D30"/>
    <mergeCell ref="B16:D16"/>
    <mergeCell ref="B17:B19"/>
    <mergeCell ref="J20:J22"/>
    <mergeCell ref="B25:D25"/>
    <mergeCell ref="K24:M24"/>
    <mergeCell ref="J26:J28"/>
    <mergeCell ref="K30:M30"/>
    <mergeCell ref="G11:I11"/>
    <mergeCell ref="G12:G14"/>
    <mergeCell ref="L11:N11"/>
    <mergeCell ref="L12:L14"/>
    <mergeCell ref="K18:M18"/>
    <mergeCell ref="D2:E2"/>
    <mergeCell ref="D3:E3"/>
    <mergeCell ref="D4:E4"/>
    <mergeCell ref="B11:D11"/>
    <mergeCell ref="A32:A34"/>
    <mergeCell ref="B12:B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"/>
  <sheetViews>
    <sheetView workbookViewId="0">
      <selection activeCell="D17" sqref="D17"/>
    </sheetView>
  </sheetViews>
  <sheetFormatPr defaultRowHeight="15" x14ac:dyDescent="0.25"/>
  <sheetData>
    <row r="2" spans="1:16" x14ac:dyDescent="0.25">
      <c r="B2" s="30" t="s">
        <v>6</v>
      </c>
      <c r="C2" s="35">
        <v>-20</v>
      </c>
      <c r="D2" s="106" t="s">
        <v>39</v>
      </c>
      <c r="E2" s="107"/>
    </row>
    <row r="3" spans="1:16" x14ac:dyDescent="0.25">
      <c r="B3" s="36" t="s">
        <v>7</v>
      </c>
      <c r="C3" s="37">
        <v>20</v>
      </c>
      <c r="D3" s="106" t="s">
        <v>38</v>
      </c>
      <c r="E3" s="107"/>
    </row>
    <row r="4" spans="1:16" x14ac:dyDescent="0.25">
      <c r="B4" s="36" t="s">
        <v>41</v>
      </c>
      <c r="C4" s="37">
        <f>Analysis!$K$7</f>
        <v>-20</v>
      </c>
      <c r="D4" s="106" t="s">
        <v>40</v>
      </c>
      <c r="E4" s="107"/>
    </row>
    <row r="6" spans="1:16" x14ac:dyDescent="0.25">
      <c r="A6" s="36" t="s">
        <v>99</v>
      </c>
      <c r="B6" s="36" t="s">
        <v>98</v>
      </c>
      <c r="C6" s="36" t="s">
        <v>0</v>
      </c>
      <c r="D6" s="36" t="s">
        <v>1</v>
      </c>
      <c r="E6" s="36" t="s">
        <v>2</v>
      </c>
      <c r="F6" s="36" t="s">
        <v>3</v>
      </c>
      <c r="G6" s="31" t="s">
        <v>4</v>
      </c>
      <c r="H6" s="36" t="s">
        <v>5</v>
      </c>
      <c r="I6" s="36" t="s">
        <v>63</v>
      </c>
      <c r="J6" s="36" t="s">
        <v>60</v>
      </c>
      <c r="K6" s="36" t="s">
        <v>61</v>
      </c>
      <c r="L6" s="36" t="s">
        <v>62</v>
      </c>
      <c r="M6" s="36" t="s">
        <v>64</v>
      </c>
      <c r="N6" s="36" t="s">
        <v>109</v>
      </c>
      <c r="O6" s="36" t="s">
        <v>110</v>
      </c>
      <c r="P6" s="36" t="s">
        <v>111</v>
      </c>
    </row>
    <row r="7" spans="1:16" x14ac:dyDescent="0.25">
      <c r="A7" s="67">
        <v>39.57</v>
      </c>
      <c r="B7" s="67">
        <v>86.33</v>
      </c>
      <c r="C7" s="32">
        <v>-31.2</v>
      </c>
      <c r="D7" s="32">
        <v>-31.2</v>
      </c>
      <c r="E7" s="32">
        <v>0</v>
      </c>
      <c r="F7" s="32">
        <v>41.2</v>
      </c>
      <c r="G7" s="32">
        <v>129.5</v>
      </c>
      <c r="H7" s="32">
        <v>-30.1</v>
      </c>
      <c r="I7" s="32">
        <v>0</v>
      </c>
      <c r="J7" s="32">
        <v>-61.32</v>
      </c>
      <c r="K7" s="32">
        <v>186.44</v>
      </c>
      <c r="L7" s="32">
        <v>0</v>
      </c>
      <c r="M7" s="32">
        <f>$C$3</f>
        <v>20</v>
      </c>
      <c r="N7" s="32">
        <v>0</v>
      </c>
      <c r="O7" s="32">
        <v>-41.2</v>
      </c>
      <c r="P7" s="32">
        <v>-41.2</v>
      </c>
    </row>
    <row r="8" spans="1:16" x14ac:dyDescent="0.25">
      <c r="A8" s="68">
        <v>-31.8</v>
      </c>
      <c r="B8" s="68">
        <v>2.27</v>
      </c>
      <c r="C8" s="33">
        <v>183.9</v>
      </c>
      <c r="D8" s="33">
        <v>267.7</v>
      </c>
      <c r="E8" s="33">
        <v>233.5</v>
      </c>
      <c r="F8" s="33">
        <v>233.5</v>
      </c>
      <c r="G8" s="33">
        <v>-63.57</v>
      </c>
      <c r="H8" s="33">
        <v>-63.57</v>
      </c>
      <c r="I8" s="33">
        <v>0</v>
      </c>
      <c r="J8" s="33">
        <v>-63.57</v>
      </c>
      <c r="K8" s="33">
        <v>-63.57</v>
      </c>
      <c r="L8" s="33">
        <v>400.98</v>
      </c>
      <c r="M8" s="33">
        <f>$C$4</f>
        <v>-20</v>
      </c>
      <c r="N8" s="33">
        <v>300.74</v>
      </c>
      <c r="O8" s="33">
        <v>300.74</v>
      </c>
      <c r="P8" s="33">
        <v>0</v>
      </c>
    </row>
    <row r="9" spans="1:16" x14ac:dyDescent="0.25">
      <c r="A9" s="69">
        <v>1</v>
      </c>
      <c r="B9" s="69">
        <v>1</v>
      </c>
      <c r="C9" s="34">
        <v>1</v>
      </c>
      <c r="D9" s="34">
        <v>1</v>
      </c>
      <c r="E9" s="34">
        <v>1</v>
      </c>
      <c r="F9" s="34">
        <v>1</v>
      </c>
      <c r="G9" s="34">
        <v>1</v>
      </c>
      <c r="H9" s="34">
        <v>1</v>
      </c>
      <c r="I9" s="34">
        <v>1</v>
      </c>
      <c r="J9" s="34">
        <v>1</v>
      </c>
      <c r="K9" s="34">
        <v>1</v>
      </c>
      <c r="L9" s="34">
        <v>1</v>
      </c>
      <c r="M9" s="34">
        <v>1</v>
      </c>
      <c r="N9" s="34">
        <v>1</v>
      </c>
      <c r="O9" s="34">
        <v>1</v>
      </c>
      <c r="P9" s="34">
        <v>1</v>
      </c>
    </row>
    <row r="11" spans="1:16" x14ac:dyDescent="0.25">
      <c r="B11" s="100" t="s">
        <v>67</v>
      </c>
      <c r="C11" s="101"/>
      <c r="D11" s="102"/>
      <c r="G11" s="100" t="s">
        <v>12</v>
      </c>
      <c r="H11" s="101"/>
      <c r="I11" s="102"/>
      <c r="L11" s="100" t="s">
        <v>13</v>
      </c>
      <c r="M11" s="101"/>
      <c r="N11" s="102"/>
    </row>
    <row r="12" spans="1:16" x14ac:dyDescent="0.25">
      <c r="B12" s="94" t="s">
        <v>8</v>
      </c>
      <c r="C12" s="1">
        <f>COS(RADIANS($C$2))</f>
        <v>0.93969262078590843</v>
      </c>
      <c r="D12" s="2">
        <f>-SIN(RADIANS($C$2))</f>
        <v>0.34202014332566871</v>
      </c>
      <c r="E12" s="3">
        <v>0</v>
      </c>
      <c r="G12" s="94" t="s">
        <v>9</v>
      </c>
      <c r="H12" s="1">
        <v>1</v>
      </c>
      <c r="I12" s="2">
        <v>0</v>
      </c>
      <c r="J12" s="3">
        <f>$C$3</f>
        <v>20</v>
      </c>
      <c r="L12" s="94" t="s">
        <v>10</v>
      </c>
      <c r="M12" s="1">
        <f t="array" ref="M12:O14">MINVERSE($H$12:$J$14)</f>
        <v>1</v>
      </c>
      <c r="N12" s="2">
        <v>0</v>
      </c>
      <c r="O12" s="3">
        <v>-20</v>
      </c>
    </row>
    <row r="13" spans="1:16" x14ac:dyDescent="0.25">
      <c r="B13" s="95"/>
      <c r="C13" s="4">
        <f>SIN(RADIANS($C$2))</f>
        <v>-0.34202014332566871</v>
      </c>
      <c r="D13" s="5">
        <f>COS(RADIANS($C$2))</f>
        <v>0.93969262078590843</v>
      </c>
      <c r="E13" s="6">
        <v>0</v>
      </c>
      <c r="G13" s="95"/>
      <c r="H13" s="4">
        <v>0</v>
      </c>
      <c r="I13" s="5">
        <v>1</v>
      </c>
      <c r="J13" s="6">
        <f>$C$4</f>
        <v>-20</v>
      </c>
      <c r="L13" s="95"/>
      <c r="M13" s="4">
        <v>0</v>
      </c>
      <c r="N13" s="5">
        <v>1</v>
      </c>
      <c r="O13" s="6">
        <v>20</v>
      </c>
    </row>
    <row r="14" spans="1:16" x14ac:dyDescent="0.25">
      <c r="B14" s="96"/>
      <c r="C14" s="7">
        <v>0</v>
      </c>
      <c r="D14" s="8">
        <v>0</v>
      </c>
      <c r="E14" s="9">
        <v>1</v>
      </c>
      <c r="G14" s="96"/>
      <c r="H14" s="7">
        <v>0</v>
      </c>
      <c r="I14" s="8">
        <v>0</v>
      </c>
      <c r="J14" s="9">
        <v>1</v>
      </c>
      <c r="L14" s="96"/>
      <c r="M14" s="7">
        <v>0</v>
      </c>
      <c r="N14" s="8">
        <v>0</v>
      </c>
      <c r="O14" s="9">
        <v>1</v>
      </c>
    </row>
    <row r="16" spans="1:16" x14ac:dyDescent="0.25">
      <c r="B16" s="100" t="s">
        <v>100</v>
      </c>
      <c r="C16" s="101"/>
      <c r="D16" s="102"/>
    </row>
    <row r="17" spans="1:18" x14ac:dyDescent="0.25">
      <c r="B17" s="94" t="s">
        <v>8</v>
      </c>
      <c r="C17" s="1">
        <f>COS(RADIANS($C$2))</f>
        <v>0.93969262078590843</v>
      </c>
      <c r="D17" s="2">
        <f>-SIN(RADIANS($C$2))</f>
        <v>0.34202014332566871</v>
      </c>
      <c r="E17" s="3">
        <v>0</v>
      </c>
    </row>
    <row r="18" spans="1:18" x14ac:dyDescent="0.25">
      <c r="B18" s="95"/>
      <c r="C18" s="4">
        <f>SIN(RADIANS($C$2))</f>
        <v>-0.34202014332566871</v>
      </c>
      <c r="D18" s="5">
        <f>COS(RADIANS($C$2))</f>
        <v>0.93969262078590843</v>
      </c>
      <c r="E18" s="6">
        <v>0</v>
      </c>
      <c r="K18" s="100" t="s">
        <v>15</v>
      </c>
      <c r="L18" s="101"/>
      <c r="M18" s="102"/>
    </row>
    <row r="19" spans="1:18" x14ac:dyDescent="0.25">
      <c r="B19" s="96"/>
      <c r="C19" s="7">
        <v>0</v>
      </c>
      <c r="D19" s="8">
        <v>0</v>
      </c>
      <c r="E19" s="9">
        <v>1</v>
      </c>
      <c r="K19" s="10" t="s">
        <v>0</v>
      </c>
      <c r="L19" s="10" t="s">
        <v>1</v>
      </c>
      <c r="M19" s="10" t="s">
        <v>2</v>
      </c>
      <c r="N19" s="10" t="s">
        <v>3</v>
      </c>
      <c r="O19" s="10" t="s">
        <v>4</v>
      </c>
      <c r="P19" s="10" t="s">
        <v>5</v>
      </c>
      <c r="Q19" s="80" t="s">
        <v>99</v>
      </c>
      <c r="R19" s="80" t="s">
        <v>98</v>
      </c>
    </row>
    <row r="20" spans="1:18" x14ac:dyDescent="0.25">
      <c r="J20" s="94" t="s">
        <v>19</v>
      </c>
      <c r="K20" s="11">
        <f t="array" ref="K20:K22">MMULT($M$12:$O$14,$C$7:$C$9)</f>
        <v>-51.2</v>
      </c>
      <c r="L20" s="11">
        <f t="array" ref="L20:L22">MMULT($M$12:$O$14,$D$7:$D$9)</f>
        <v>-51.2</v>
      </c>
      <c r="M20" s="11">
        <f t="array" ref="M20:M22">MMULT($M$12:$O$14,$E$7:$E$9)</f>
        <v>-20</v>
      </c>
      <c r="N20" s="11">
        <f t="array" ref="N20:N22">MMULT($M$12:$O$14,$F$7:$F$9)</f>
        <v>21.200000000000003</v>
      </c>
      <c r="O20" s="11">
        <f t="array" ref="O20:O22">MMULT($M$12:$O$14,$G$7:$G$9)</f>
        <v>109.5</v>
      </c>
      <c r="P20" s="11">
        <f t="array" ref="P20:P22">MMULT($M$12:$O$14,$H$7:$H$9)</f>
        <v>-50.1</v>
      </c>
      <c r="Q20" s="81">
        <f t="array" ref="Q20:Q22">MMULT($M$12:$O$14,A7:A9)</f>
        <v>19.57</v>
      </c>
      <c r="R20" s="81">
        <f t="array" ref="R20:R22">MMULT($M$12:$O$14,B7:B9)</f>
        <v>66.33</v>
      </c>
    </row>
    <row r="21" spans="1:18" x14ac:dyDescent="0.25">
      <c r="J21" s="95"/>
      <c r="K21" s="12">
        <v>203.9</v>
      </c>
      <c r="L21" s="12">
        <v>287.7</v>
      </c>
      <c r="M21" s="12">
        <v>253.5</v>
      </c>
      <c r="N21" s="12">
        <v>253.5</v>
      </c>
      <c r="O21" s="12">
        <v>-43.57</v>
      </c>
      <c r="P21" s="12">
        <v>-43.57</v>
      </c>
      <c r="Q21" s="82">
        <v>-11.8</v>
      </c>
      <c r="R21" s="82">
        <v>22.27</v>
      </c>
    </row>
    <row r="22" spans="1:18" x14ac:dyDescent="0.25">
      <c r="J22" s="96"/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83">
        <v>1</v>
      </c>
      <c r="R22" s="83">
        <v>1</v>
      </c>
    </row>
    <row r="24" spans="1:18" x14ac:dyDescent="0.25">
      <c r="K24" s="100" t="s">
        <v>16</v>
      </c>
      <c r="L24" s="101"/>
      <c r="M24" s="102"/>
    </row>
    <row r="25" spans="1:18" ht="15" customHeight="1" x14ac:dyDescent="0.25">
      <c r="K25" s="10" t="s">
        <v>0</v>
      </c>
      <c r="L25" s="10" t="s">
        <v>1</v>
      </c>
      <c r="M25" s="10" t="s">
        <v>2</v>
      </c>
      <c r="N25" s="10" t="s">
        <v>3</v>
      </c>
      <c r="O25" s="10" t="s">
        <v>4</v>
      </c>
      <c r="P25" s="10" t="s">
        <v>5</v>
      </c>
      <c r="Q25" s="80" t="s">
        <v>99</v>
      </c>
      <c r="R25" s="80" t="s">
        <v>98</v>
      </c>
    </row>
    <row r="26" spans="1:18" x14ac:dyDescent="0.25">
      <c r="B26" s="87"/>
      <c r="C26" s="87"/>
      <c r="D26" s="87"/>
      <c r="F26" s="22" t="s">
        <v>99</v>
      </c>
      <c r="G26" s="22" t="s">
        <v>98</v>
      </c>
      <c r="J26" s="94" t="s">
        <v>20</v>
      </c>
      <c r="K26" s="11">
        <f t="array" ref="K26:K28">MMULT($C$12:$E$14,K20:K22)</f>
        <v>21.625645039865333</v>
      </c>
      <c r="L26" s="11">
        <f t="array" ref="L26:L28">MMULT($C$12:$E$14,L20:L22)</f>
        <v>50.286933050556371</v>
      </c>
      <c r="M26" s="11">
        <f t="array" ref="M26:M28">MMULT($C$12:$E$14,M20:M22)</f>
        <v>67.90825391733884</v>
      </c>
      <c r="N26" s="11">
        <f t="array" ref="N26:N28">MMULT($C$12:$E$14,N20:N22)</f>
        <v>106.62358989371828</v>
      </c>
      <c r="O26" s="11">
        <f t="array" ref="O26:O28">MMULT($C$17:$E$19,O20:O22)</f>
        <v>87.994524331357582</v>
      </c>
      <c r="P26" s="11">
        <f t="array" ref="P26:P28">MMULT($C$17:$E$19,P20:P22)</f>
        <v>-61.980417946073402</v>
      </c>
      <c r="Q26" s="81">
        <f t="array" ref="Q26:Q28">MMULT($C$17:$E$19,Q20:Q22)</f>
        <v>14.353946897537336</v>
      </c>
      <c r="R26" s="81">
        <f t="array" ref="R26:R28">MMULT($C$17:$E$19,R20:R22)</f>
        <v>69.946600128591939</v>
      </c>
    </row>
    <row r="27" spans="1:18" x14ac:dyDescent="0.25">
      <c r="B27" s="88"/>
      <c r="C27" s="88"/>
      <c r="D27" s="88"/>
      <c r="F27" s="73">
        <f t="array" ref="F27:F29">MMULT($C$17:$E$19,A7:A9)</f>
        <v>26.307396446742128</v>
      </c>
      <c r="G27" s="73">
        <f t="array" ref="G27:G29">MMULT($C$17:$E$19,B7:B9)</f>
        <v>81.900049677796744</v>
      </c>
      <c r="J27" s="95"/>
      <c r="K27" s="12">
        <v>209.11475671652096</v>
      </c>
      <c r="L27" s="12">
        <v>287.86099833838006</v>
      </c>
      <c r="M27" s="12">
        <v>245.05248223574117</v>
      </c>
      <c r="N27" s="12">
        <v>230.9612523307236</v>
      </c>
      <c r="O27" s="12">
        <v>-78.393613181802749</v>
      </c>
      <c r="P27" s="12">
        <v>-23.807198307026027</v>
      </c>
      <c r="Q27" s="82">
        <v>-17.781707130157059</v>
      </c>
      <c r="R27" s="82">
        <v>-1.7592414418894258</v>
      </c>
    </row>
    <row r="28" spans="1:18" x14ac:dyDescent="0.25">
      <c r="B28" s="88"/>
      <c r="C28" s="88"/>
      <c r="D28" s="88"/>
      <c r="F28" s="74">
        <v>-43.415962412388595</v>
      </c>
      <c r="G28" s="74">
        <v>-27.393496724120965</v>
      </c>
      <c r="J28" s="96"/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83">
        <v>1</v>
      </c>
      <c r="R28" s="83">
        <v>1</v>
      </c>
    </row>
    <row r="29" spans="1:18" x14ac:dyDescent="0.25">
      <c r="B29" s="88"/>
      <c r="C29" s="88"/>
      <c r="D29" s="88"/>
      <c r="F29" s="75">
        <v>1</v>
      </c>
      <c r="G29" s="75">
        <v>1</v>
      </c>
    </row>
    <row r="30" spans="1:18" x14ac:dyDescent="0.25">
      <c r="A30" s="16"/>
      <c r="B30" s="103" t="s">
        <v>14</v>
      </c>
      <c r="C30" s="104"/>
      <c r="D30" s="105"/>
      <c r="E30" s="16"/>
      <c r="F30" s="16"/>
      <c r="G30" s="16"/>
      <c r="H30" s="16"/>
      <c r="I30" s="16"/>
      <c r="J30" s="43"/>
      <c r="K30" s="206" t="s">
        <v>17</v>
      </c>
      <c r="L30" s="207"/>
      <c r="M30" s="208"/>
      <c r="N30" s="43"/>
      <c r="O30" s="43"/>
      <c r="P30" s="43"/>
      <c r="Q30" s="43"/>
      <c r="R30" s="43"/>
    </row>
    <row r="31" spans="1:18" x14ac:dyDescent="0.25">
      <c r="A31" s="16"/>
      <c r="B31" s="22" t="s">
        <v>0</v>
      </c>
      <c r="C31" s="22" t="s">
        <v>1</v>
      </c>
      <c r="D31" s="22" t="s">
        <v>2</v>
      </c>
      <c r="E31" s="48" t="s">
        <v>3</v>
      </c>
      <c r="F31" s="22" t="s">
        <v>4</v>
      </c>
      <c r="G31" s="22" t="s">
        <v>5</v>
      </c>
      <c r="H31" s="22" t="s">
        <v>60</v>
      </c>
      <c r="I31" s="22" t="s">
        <v>61</v>
      </c>
      <c r="J31" s="43"/>
      <c r="K31" s="44" t="s">
        <v>0</v>
      </c>
      <c r="L31" s="44" t="s">
        <v>1</v>
      </c>
      <c r="M31" s="44" t="s">
        <v>2</v>
      </c>
      <c r="N31" s="44" t="s">
        <v>3</v>
      </c>
      <c r="O31" s="44" t="s">
        <v>4</v>
      </c>
      <c r="P31" s="44" t="s">
        <v>5</v>
      </c>
      <c r="Q31" s="44" t="s">
        <v>99</v>
      </c>
      <c r="R31" s="44" t="s">
        <v>98</v>
      </c>
    </row>
    <row r="32" spans="1:18" x14ac:dyDescent="0.25">
      <c r="A32" s="203" t="s">
        <v>11</v>
      </c>
      <c r="B32" s="18">
        <f t="array" ref="B32:B34">MMULT($C$12:$E$14,C7:C9)</f>
        <v>33.579094589070138</v>
      </c>
      <c r="C32" s="18">
        <f t="array" ref="C32:C34">MMULT($C$12:$E$14,D7:D9)</f>
        <v>62.240382599761176</v>
      </c>
      <c r="D32" s="18">
        <f t="array" ref="D32:D34">MMULT($C$12:$E$14,E7:E9)</f>
        <v>79.861703466543645</v>
      </c>
      <c r="E32" s="18">
        <f t="array" ref="E32:E34">MMULT($C$12:$E$14,F7:F9)</f>
        <v>118.57703944292308</v>
      </c>
      <c r="F32" s="18">
        <f t="array" ref="F32:F34">MMULT($C$17:$E$19,G7:G9)</f>
        <v>99.947973880562373</v>
      </c>
      <c r="G32" s="18">
        <f t="array" ref="G32:G34">MMULT($C$17:$E$19,H7:H9)</f>
        <v>-50.026968396868611</v>
      </c>
      <c r="H32" s="18">
        <f t="array" ref="H32:H34">MMULT($C$17:$E$19,J7:J9)</f>
        <v>-79.364172017804663</v>
      </c>
      <c r="I32" s="18">
        <f t="array" ref="I32:I34">MMULT($C$17:$E$19,K7:K9)</f>
        <v>153.454071708112</v>
      </c>
      <c r="J32" s="209" t="s">
        <v>18</v>
      </c>
      <c r="K32" s="45">
        <f t="array" ref="K32:K34">MMULT($H$12:$J$14,K26:K28)</f>
        <v>41.625645039865333</v>
      </c>
      <c r="L32" s="45">
        <f t="array" ref="L32:L34">MMULT($H$12:$J$14,L26:L28)</f>
        <v>70.286933050556371</v>
      </c>
      <c r="M32" s="45">
        <f t="array" ref="M32:M34">MMULT($H$12:$J$14,M26:M28)</f>
        <v>87.90825391733884</v>
      </c>
      <c r="N32" s="45">
        <f t="array" ref="N32:N34">MMULT($H$12:$J$14,N26:N28)</f>
        <v>126.62358989371828</v>
      </c>
      <c r="O32" s="45">
        <f t="array" ref="O32:O34">MMULT($H$12:$J$14,O26:O28)</f>
        <v>107.99452433135758</v>
      </c>
      <c r="P32" s="45">
        <f t="array" ref="P32:P34">MMULT($H$12:$J$14,P26:P28)</f>
        <v>-41.980417946073402</v>
      </c>
      <c r="Q32" s="77">
        <f t="array" ref="Q32:Q34">MMULT($H$12:$J$14,Q26:Q28)</f>
        <v>34.353946897537334</v>
      </c>
      <c r="R32" s="77">
        <f t="array" ref="R32:R34">MMULT($H$12:$J$14,R26:R28)</f>
        <v>89.946600128591939</v>
      </c>
    </row>
    <row r="33" spans="1:18" x14ac:dyDescent="0.25">
      <c r="A33" s="204"/>
      <c r="B33" s="19">
        <v>183.48050143428941</v>
      </c>
      <c r="C33" s="19">
        <v>262.22674305614856</v>
      </c>
      <c r="D33" s="19">
        <v>219.41822695350962</v>
      </c>
      <c r="E33" s="19">
        <v>205.32699704849207</v>
      </c>
      <c r="F33" s="19">
        <v>-104.0278684640343</v>
      </c>
      <c r="G33" s="19">
        <v>-49.44145358925757</v>
      </c>
      <c r="H33" s="19">
        <v>-38.763584714630198</v>
      </c>
      <c r="I33" s="19">
        <v>-123.50249542499787</v>
      </c>
      <c r="J33" s="210"/>
      <c r="K33" s="46">
        <v>189.11475671652096</v>
      </c>
      <c r="L33" s="46">
        <v>267.86099833838006</v>
      </c>
      <c r="M33" s="46">
        <v>225.05248223574117</v>
      </c>
      <c r="N33" s="46">
        <v>210.9612523307236</v>
      </c>
      <c r="O33" s="46">
        <v>-98.393613181802749</v>
      </c>
      <c r="P33" s="46">
        <v>-43.807198307026027</v>
      </c>
      <c r="Q33" s="78">
        <v>-37.781707130157059</v>
      </c>
      <c r="R33" s="78">
        <v>-21.759241441889426</v>
      </c>
    </row>
    <row r="34" spans="1:18" x14ac:dyDescent="0.25">
      <c r="A34" s="205"/>
      <c r="B34" s="20">
        <v>1</v>
      </c>
      <c r="C34" s="20">
        <v>1</v>
      </c>
      <c r="D34" s="20">
        <v>1</v>
      </c>
      <c r="E34" s="20">
        <v>1</v>
      </c>
      <c r="F34" s="20">
        <v>1</v>
      </c>
      <c r="G34" s="20">
        <v>1</v>
      </c>
      <c r="H34" s="20">
        <v>1</v>
      </c>
      <c r="I34" s="20">
        <v>1</v>
      </c>
      <c r="J34" s="211"/>
      <c r="K34" s="47">
        <v>1</v>
      </c>
      <c r="L34" s="47">
        <v>1</v>
      </c>
      <c r="M34" s="47">
        <v>1</v>
      </c>
      <c r="N34" s="47">
        <v>1</v>
      </c>
      <c r="O34" s="47">
        <v>1</v>
      </c>
      <c r="P34" s="47">
        <v>1</v>
      </c>
      <c r="Q34" s="79">
        <v>1</v>
      </c>
      <c r="R34" s="79">
        <v>1</v>
      </c>
    </row>
    <row r="36" spans="1:18" s="14" customFormat="1" x14ac:dyDescent="0.25"/>
  </sheetData>
  <mergeCells count="19">
    <mergeCell ref="D2:E2"/>
    <mergeCell ref="D3:E3"/>
    <mergeCell ref="D4:E4"/>
    <mergeCell ref="B11:D11"/>
    <mergeCell ref="A32:A34"/>
    <mergeCell ref="J32:J34"/>
    <mergeCell ref="L11:N11"/>
    <mergeCell ref="B12:B14"/>
    <mergeCell ref="G12:G14"/>
    <mergeCell ref="L12:L14"/>
    <mergeCell ref="K18:M18"/>
    <mergeCell ref="J20:J22"/>
    <mergeCell ref="G11:I11"/>
    <mergeCell ref="B16:D16"/>
    <mergeCell ref="B17:B19"/>
    <mergeCell ref="K24:M24"/>
    <mergeCell ref="J26:J28"/>
    <mergeCell ref="B30:D30"/>
    <mergeCell ref="K30:M3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opLeftCell="E1" zoomScale="130" zoomScaleNormal="130" workbookViewId="0">
      <selection activeCell="K1" sqref="K1"/>
    </sheetView>
  </sheetViews>
  <sheetFormatPr defaultRowHeight="15" x14ac:dyDescent="0.25"/>
  <sheetData>
    <row r="1" spans="1:19" x14ac:dyDescent="0.25">
      <c r="A1" s="30" t="s">
        <v>153</v>
      </c>
      <c r="B1" s="51">
        <v>-8.7870000000000008</v>
      </c>
      <c r="C1" s="106" t="s">
        <v>156</v>
      </c>
      <c r="D1" s="107"/>
      <c r="J1" s="30" t="s">
        <v>155</v>
      </c>
      <c r="K1" s="51">
        <v>-21.116</v>
      </c>
      <c r="L1" s="106" t="s">
        <v>156</v>
      </c>
      <c r="M1" s="107"/>
    </row>
    <row r="2" spans="1:19" x14ac:dyDescent="0.25">
      <c r="A2" s="30" t="s">
        <v>152</v>
      </c>
      <c r="B2" s="51">
        <v>-13.444000000000001</v>
      </c>
      <c r="C2" s="106" t="s">
        <v>157</v>
      </c>
      <c r="D2" s="107"/>
      <c r="J2" s="30" t="s">
        <v>154</v>
      </c>
      <c r="K2" s="51">
        <v>-33.054000000000002</v>
      </c>
      <c r="L2" s="106" t="s">
        <v>157</v>
      </c>
      <c r="M2" s="107"/>
    </row>
    <row r="3" spans="1:19" x14ac:dyDescent="0.25">
      <c r="A3" s="36" t="s">
        <v>7</v>
      </c>
      <c r="B3" s="90">
        <v>20</v>
      </c>
      <c r="C3" s="106" t="s">
        <v>38</v>
      </c>
      <c r="D3" s="107"/>
      <c r="J3" s="36" t="s">
        <v>7</v>
      </c>
      <c r="K3" s="90">
        <v>20</v>
      </c>
      <c r="L3" s="106" t="s">
        <v>38</v>
      </c>
      <c r="M3" s="107"/>
    </row>
    <row r="4" spans="1:19" x14ac:dyDescent="0.25">
      <c r="A4" s="36" t="s">
        <v>41</v>
      </c>
      <c r="B4" s="90">
        <v>-20</v>
      </c>
      <c r="C4" s="106" t="s">
        <v>40</v>
      </c>
      <c r="D4" s="107"/>
      <c r="J4" s="36" t="s">
        <v>41</v>
      </c>
      <c r="K4" s="90">
        <v>-20</v>
      </c>
      <c r="L4" s="106" t="s">
        <v>40</v>
      </c>
      <c r="M4" s="107"/>
    </row>
    <row r="6" spans="1:19" x14ac:dyDescent="0.25">
      <c r="A6" s="36" t="s">
        <v>99</v>
      </c>
      <c r="B6" s="36" t="s">
        <v>98</v>
      </c>
      <c r="C6" s="36" t="s">
        <v>0</v>
      </c>
      <c r="D6" s="36" t="s">
        <v>1</v>
      </c>
      <c r="E6" s="36" t="s">
        <v>2</v>
      </c>
      <c r="F6" s="36" t="s">
        <v>3</v>
      </c>
      <c r="G6" s="31" t="s">
        <v>4</v>
      </c>
      <c r="H6" s="36" t="s">
        <v>5</v>
      </c>
      <c r="J6" s="36" t="s">
        <v>99</v>
      </c>
      <c r="K6" s="36" t="s">
        <v>98</v>
      </c>
      <c r="L6" s="36" t="s">
        <v>0</v>
      </c>
      <c r="M6" s="36" t="s">
        <v>1</v>
      </c>
      <c r="N6" s="36" t="s">
        <v>2</v>
      </c>
      <c r="O6" s="36" t="s">
        <v>3</v>
      </c>
      <c r="P6" s="31" t="s">
        <v>4</v>
      </c>
      <c r="Q6" s="36" t="s">
        <v>5</v>
      </c>
    </row>
    <row r="7" spans="1:19" x14ac:dyDescent="0.25">
      <c r="A7" s="67">
        <v>0</v>
      </c>
      <c r="B7" s="67">
        <v>52</v>
      </c>
      <c r="C7" s="67">
        <v>-40</v>
      </c>
      <c r="D7" s="67">
        <v>-40</v>
      </c>
      <c r="E7" s="67">
        <v>0</v>
      </c>
      <c r="F7" s="67">
        <v>50</v>
      </c>
      <c r="G7" s="67">
        <v>-35</v>
      </c>
      <c r="H7" s="67">
        <v>110</v>
      </c>
      <c r="J7" s="67">
        <v>0</v>
      </c>
      <c r="K7" s="67">
        <v>52</v>
      </c>
      <c r="L7" s="67">
        <v>-40</v>
      </c>
      <c r="M7" s="67">
        <v>-40</v>
      </c>
      <c r="N7" s="67">
        <v>0</v>
      </c>
      <c r="O7" s="67">
        <v>50</v>
      </c>
      <c r="P7" s="67">
        <v>-35</v>
      </c>
      <c r="Q7" s="67">
        <v>110</v>
      </c>
    </row>
    <row r="8" spans="1:19" x14ac:dyDescent="0.25">
      <c r="A8" s="68">
        <v>-50</v>
      </c>
      <c r="B8" s="68">
        <v>0</v>
      </c>
      <c r="C8" s="68">
        <v>180</v>
      </c>
      <c r="D8" s="68">
        <v>270</v>
      </c>
      <c r="E8" s="68">
        <v>220</v>
      </c>
      <c r="F8" s="68">
        <v>220</v>
      </c>
      <c r="G8" s="68">
        <v>-74</v>
      </c>
      <c r="H8" s="68">
        <v>-74</v>
      </c>
      <c r="J8" s="68">
        <v>-50</v>
      </c>
      <c r="K8" s="68">
        <v>0</v>
      </c>
      <c r="L8" s="68">
        <v>180</v>
      </c>
      <c r="M8" s="68">
        <v>270</v>
      </c>
      <c r="N8" s="68">
        <v>220</v>
      </c>
      <c r="O8" s="68">
        <v>220</v>
      </c>
      <c r="P8" s="68">
        <v>-80</v>
      </c>
      <c r="Q8" s="68">
        <v>-80</v>
      </c>
    </row>
    <row r="9" spans="1:19" x14ac:dyDescent="0.25">
      <c r="A9" s="69">
        <v>1</v>
      </c>
      <c r="B9" s="69">
        <v>1</v>
      </c>
      <c r="C9" s="69">
        <v>1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</row>
    <row r="11" spans="1:19" x14ac:dyDescent="0.25">
      <c r="A11" s="36" t="s">
        <v>63</v>
      </c>
      <c r="B11" s="36" t="s">
        <v>125</v>
      </c>
      <c r="C11" s="36" t="s">
        <v>127</v>
      </c>
      <c r="D11" s="36" t="s">
        <v>62</v>
      </c>
      <c r="E11" s="36" t="s">
        <v>64</v>
      </c>
      <c r="F11" s="36" t="s">
        <v>110</v>
      </c>
      <c r="G11" s="36" t="s">
        <v>111</v>
      </c>
      <c r="H11" s="36" t="s">
        <v>150</v>
      </c>
      <c r="I11" s="36" t="s">
        <v>151</v>
      </c>
      <c r="J11" s="36" t="s">
        <v>63</v>
      </c>
      <c r="K11" s="36" t="s">
        <v>125</v>
      </c>
      <c r="L11" s="36" t="s">
        <v>127</v>
      </c>
      <c r="M11" s="36" t="s">
        <v>62</v>
      </c>
      <c r="N11" s="36" t="s">
        <v>64</v>
      </c>
      <c r="O11" s="36" t="s">
        <v>110</v>
      </c>
      <c r="P11" s="36" t="s">
        <v>111</v>
      </c>
      <c r="Q11" s="36" t="s">
        <v>150</v>
      </c>
      <c r="R11" s="36" t="s">
        <v>151</v>
      </c>
    </row>
    <row r="12" spans="1:19" x14ac:dyDescent="0.25">
      <c r="A12" s="32">
        <v>0</v>
      </c>
      <c r="B12" s="32">
        <v>-62</v>
      </c>
      <c r="C12" s="32">
        <v>124</v>
      </c>
      <c r="D12" s="32">
        <v>0</v>
      </c>
      <c r="E12" s="32">
        <f>$B$3</f>
        <v>20</v>
      </c>
      <c r="F12" s="32">
        <v>0</v>
      </c>
      <c r="G12" s="32">
        <v>0</v>
      </c>
      <c r="H12" s="32">
        <v>-60</v>
      </c>
      <c r="I12" s="32">
        <v>-60</v>
      </c>
      <c r="J12" s="32">
        <v>0</v>
      </c>
      <c r="K12" s="32">
        <v>-54</v>
      </c>
      <c r="L12" s="32">
        <v>133</v>
      </c>
      <c r="M12" s="32">
        <v>0</v>
      </c>
      <c r="N12" s="32">
        <f>$K$3</f>
        <v>20</v>
      </c>
      <c r="O12" s="32">
        <v>0</v>
      </c>
      <c r="P12" s="32">
        <v>0</v>
      </c>
      <c r="Q12" s="32">
        <v>-60</v>
      </c>
      <c r="R12" s="32">
        <v>-60</v>
      </c>
    </row>
    <row r="13" spans="1:19" x14ac:dyDescent="0.25">
      <c r="A13" s="33">
        <v>0</v>
      </c>
      <c r="B13" s="33">
        <v>-74</v>
      </c>
      <c r="C13" s="33">
        <v>-74</v>
      </c>
      <c r="D13" s="33">
        <v>482</v>
      </c>
      <c r="E13" s="33">
        <f>$B$4</f>
        <v>-20</v>
      </c>
      <c r="F13" s="33">
        <v>40</v>
      </c>
      <c r="G13" s="33">
        <v>310</v>
      </c>
      <c r="H13" s="33">
        <v>310</v>
      </c>
      <c r="I13" s="33">
        <v>40</v>
      </c>
      <c r="J13" s="33">
        <v>0</v>
      </c>
      <c r="K13" s="33">
        <v>-80</v>
      </c>
      <c r="L13" s="33">
        <v>-80</v>
      </c>
      <c r="M13" s="33">
        <v>460</v>
      </c>
      <c r="N13" s="33">
        <f>$K$4</f>
        <v>-20</v>
      </c>
      <c r="O13" s="33">
        <v>35</v>
      </c>
      <c r="P13" s="33">
        <v>300</v>
      </c>
      <c r="Q13" s="33">
        <v>300</v>
      </c>
      <c r="R13" s="33">
        <v>35</v>
      </c>
    </row>
    <row r="14" spans="1:19" x14ac:dyDescent="0.25">
      <c r="A14" s="34">
        <v>1</v>
      </c>
      <c r="B14" s="34">
        <v>1</v>
      </c>
      <c r="C14" s="34">
        <v>1</v>
      </c>
      <c r="D14" s="34">
        <v>1</v>
      </c>
      <c r="E14" s="34">
        <v>1</v>
      </c>
      <c r="F14" s="34">
        <v>1</v>
      </c>
      <c r="G14" s="34">
        <v>1</v>
      </c>
      <c r="H14" s="34">
        <v>1</v>
      </c>
      <c r="I14" s="34">
        <v>1</v>
      </c>
      <c r="J14" s="34">
        <v>1</v>
      </c>
      <c r="K14" s="34">
        <v>1</v>
      </c>
      <c r="L14" s="34">
        <v>1</v>
      </c>
      <c r="M14" s="34">
        <v>1</v>
      </c>
      <c r="N14" s="34">
        <v>1</v>
      </c>
      <c r="O14" s="34">
        <v>1</v>
      </c>
      <c r="P14" s="34">
        <v>1</v>
      </c>
      <c r="Q14" s="34">
        <v>1</v>
      </c>
      <c r="R14" s="34">
        <v>1</v>
      </c>
    </row>
    <row r="16" spans="1:19" x14ac:dyDescent="0.25">
      <c r="B16" s="100" t="s">
        <v>144</v>
      </c>
      <c r="C16" s="101"/>
      <c r="D16" s="102"/>
      <c r="G16" s="100" t="s">
        <v>145</v>
      </c>
      <c r="H16" s="101"/>
      <c r="I16" s="102"/>
      <c r="L16" s="100" t="s">
        <v>146</v>
      </c>
      <c r="M16" s="101"/>
      <c r="N16" s="102"/>
      <c r="Q16" s="100" t="s">
        <v>144</v>
      </c>
      <c r="R16" s="101"/>
      <c r="S16" s="102"/>
    </row>
    <row r="17" spans="1:20" x14ac:dyDescent="0.25">
      <c r="B17" s="94" t="s">
        <v>8</v>
      </c>
      <c r="C17" s="1">
        <f>COS(RADIANS($B$2))</f>
        <v>0.97259762177098352</v>
      </c>
      <c r="D17" s="2">
        <f>-SIN(RADIANS($B$2))</f>
        <v>0.2324948733314926</v>
      </c>
      <c r="E17" s="3">
        <v>0</v>
      </c>
      <c r="G17" s="94" t="s">
        <v>9</v>
      </c>
      <c r="H17" s="1">
        <v>1</v>
      </c>
      <c r="I17" s="2">
        <v>0</v>
      </c>
      <c r="J17" s="3">
        <f>$B$3</f>
        <v>20</v>
      </c>
      <c r="L17" s="94" t="s">
        <v>10</v>
      </c>
      <c r="M17" s="1">
        <f t="array" ref="M17:O19">MINVERSE($H$17:$J$19)</f>
        <v>1</v>
      </c>
      <c r="N17" s="2">
        <v>0</v>
      </c>
      <c r="O17" s="3">
        <v>-20</v>
      </c>
      <c r="Q17" s="94" t="s">
        <v>8</v>
      </c>
      <c r="R17" s="1">
        <f>COS(RADIANS($B$1))</f>
        <v>0.98826306739426362</v>
      </c>
      <c r="S17" s="2">
        <f>-SIN(RADIANS($B$1))</f>
        <v>0.15276161044084755</v>
      </c>
      <c r="T17" s="3">
        <v>0</v>
      </c>
    </row>
    <row r="18" spans="1:20" x14ac:dyDescent="0.25">
      <c r="B18" s="95"/>
      <c r="C18" s="4">
        <f>SIN(RADIANS($B$2))</f>
        <v>-0.2324948733314926</v>
      </c>
      <c r="D18" s="5">
        <f>COS(RADIANS($B$2))</f>
        <v>0.97259762177098352</v>
      </c>
      <c r="E18" s="6">
        <v>0</v>
      </c>
      <c r="G18" s="95"/>
      <c r="H18" s="4">
        <v>0</v>
      </c>
      <c r="I18" s="5">
        <v>1</v>
      </c>
      <c r="J18" s="6">
        <f>$B$4</f>
        <v>-20</v>
      </c>
      <c r="L18" s="95"/>
      <c r="M18" s="4">
        <v>0</v>
      </c>
      <c r="N18" s="5">
        <v>1</v>
      </c>
      <c r="O18" s="6">
        <v>20</v>
      </c>
      <c r="Q18" s="95"/>
      <c r="R18" s="4">
        <f>SIN(RADIANS($B$1))</f>
        <v>-0.15276161044084755</v>
      </c>
      <c r="S18" s="5">
        <f>COS(RADIANS($B$1))</f>
        <v>0.98826306739426362</v>
      </c>
      <c r="T18" s="6">
        <v>0</v>
      </c>
    </row>
    <row r="19" spans="1:20" x14ac:dyDescent="0.25">
      <c r="B19" s="96"/>
      <c r="C19" s="7">
        <v>0</v>
      </c>
      <c r="D19" s="8">
        <v>0</v>
      </c>
      <c r="E19" s="9">
        <v>1</v>
      </c>
      <c r="G19" s="96"/>
      <c r="H19" s="7">
        <v>0</v>
      </c>
      <c r="I19" s="8">
        <v>0</v>
      </c>
      <c r="J19" s="9">
        <v>1</v>
      </c>
      <c r="L19" s="96"/>
      <c r="M19" s="7">
        <v>0</v>
      </c>
      <c r="N19" s="8">
        <v>0</v>
      </c>
      <c r="O19" s="9">
        <v>1</v>
      </c>
      <c r="Q19" s="96"/>
      <c r="R19" s="7">
        <v>0</v>
      </c>
      <c r="S19" s="8">
        <v>0</v>
      </c>
      <c r="T19" s="9">
        <v>1</v>
      </c>
    </row>
    <row r="21" spans="1:20" x14ac:dyDescent="0.25">
      <c r="B21" s="100" t="s">
        <v>147</v>
      </c>
      <c r="C21" s="101"/>
      <c r="D21" s="102"/>
      <c r="G21" s="100" t="s">
        <v>148</v>
      </c>
      <c r="H21" s="101"/>
      <c r="I21" s="102"/>
      <c r="L21" s="100" t="s">
        <v>149</v>
      </c>
      <c r="M21" s="101"/>
      <c r="N21" s="102"/>
      <c r="Q21" s="100" t="s">
        <v>147</v>
      </c>
      <c r="R21" s="101"/>
      <c r="S21" s="102"/>
    </row>
    <row r="22" spans="1:20" x14ac:dyDescent="0.25">
      <c r="B22" s="94" t="s">
        <v>8</v>
      </c>
      <c r="C22" s="1">
        <f>COS(RADIANS($K$2))</f>
        <v>0.83815688534346289</v>
      </c>
      <c r="D22" s="2">
        <f>-SIN(RADIANS($K$2))</f>
        <v>0.54542922139480676</v>
      </c>
      <c r="E22" s="3">
        <v>0</v>
      </c>
      <c r="G22" s="94" t="s">
        <v>9</v>
      </c>
      <c r="H22" s="1">
        <v>1</v>
      </c>
      <c r="I22" s="2">
        <v>0</v>
      </c>
      <c r="J22" s="3">
        <f>$K$3</f>
        <v>20</v>
      </c>
      <c r="L22" s="94" t="s">
        <v>10</v>
      </c>
      <c r="M22" s="1">
        <f t="array" ref="M22:O24">MINVERSE($H$22:$J$24)</f>
        <v>1</v>
      </c>
      <c r="N22" s="2">
        <v>0</v>
      </c>
      <c r="O22" s="3">
        <v>-20</v>
      </c>
      <c r="Q22" s="94" t="s">
        <v>8</v>
      </c>
      <c r="R22" s="1">
        <f>COS(RADIANS($K$1))</f>
        <v>0.93285296837640308</v>
      </c>
      <c r="S22" s="2">
        <f>-SIN(RADIANS($K$1))</f>
        <v>0.36025732385523213</v>
      </c>
      <c r="T22" s="3">
        <v>0</v>
      </c>
    </row>
    <row r="23" spans="1:20" x14ac:dyDescent="0.25">
      <c r="B23" s="95"/>
      <c r="C23" s="4">
        <f>SIN(RADIANS($K$2))</f>
        <v>-0.54542922139480676</v>
      </c>
      <c r="D23" s="5">
        <f>COS(RADIANS($K$2))</f>
        <v>0.83815688534346289</v>
      </c>
      <c r="E23" s="6">
        <v>0</v>
      </c>
      <c r="G23" s="95"/>
      <c r="H23" s="4">
        <v>0</v>
      </c>
      <c r="I23" s="5">
        <v>1</v>
      </c>
      <c r="J23" s="6">
        <f>$K$4</f>
        <v>-20</v>
      </c>
      <c r="L23" s="95"/>
      <c r="M23" s="4">
        <v>0</v>
      </c>
      <c r="N23" s="5">
        <v>1</v>
      </c>
      <c r="O23" s="6">
        <v>20</v>
      </c>
      <c r="Q23" s="95"/>
      <c r="R23" s="4">
        <f>SIN(RADIANS($K$1))</f>
        <v>-0.36025732385523213</v>
      </c>
      <c r="S23" s="5">
        <f>COS(RADIANS($K$1))</f>
        <v>0.93285296837640308</v>
      </c>
      <c r="T23" s="6">
        <v>0</v>
      </c>
    </row>
    <row r="24" spans="1:20" x14ac:dyDescent="0.25">
      <c r="B24" s="96"/>
      <c r="C24" s="7">
        <v>0</v>
      </c>
      <c r="D24" s="8">
        <v>0</v>
      </c>
      <c r="E24" s="9">
        <v>1</v>
      </c>
      <c r="G24" s="96"/>
      <c r="H24" s="7">
        <v>0</v>
      </c>
      <c r="I24" s="8">
        <v>0</v>
      </c>
      <c r="J24" s="9">
        <v>1</v>
      </c>
      <c r="L24" s="96"/>
      <c r="M24" s="7">
        <v>0</v>
      </c>
      <c r="N24" s="8">
        <v>0</v>
      </c>
      <c r="O24" s="9">
        <v>1</v>
      </c>
      <c r="Q24" s="96"/>
      <c r="R24" s="7">
        <v>0</v>
      </c>
      <c r="S24" s="8">
        <v>0</v>
      </c>
      <c r="T24" s="9">
        <v>1</v>
      </c>
    </row>
    <row r="27" spans="1:20" x14ac:dyDescent="0.25">
      <c r="A27" s="16"/>
      <c r="B27" s="103" t="s">
        <v>14</v>
      </c>
      <c r="C27" s="104"/>
      <c r="D27" s="105"/>
      <c r="E27" s="16"/>
      <c r="F27" s="16"/>
      <c r="G27" s="16"/>
      <c r="H27" s="16"/>
      <c r="J27" s="16"/>
      <c r="K27" s="103" t="s">
        <v>14</v>
      </c>
      <c r="L27" s="104"/>
      <c r="M27" s="105"/>
      <c r="N27" s="16"/>
      <c r="O27" s="16"/>
      <c r="P27" s="16"/>
      <c r="Q27" s="16"/>
    </row>
    <row r="28" spans="1:20" x14ac:dyDescent="0.25">
      <c r="A28" s="16"/>
      <c r="B28" s="22" t="s">
        <v>0</v>
      </c>
      <c r="C28" s="22" t="s">
        <v>1</v>
      </c>
      <c r="D28" s="22" t="s">
        <v>2</v>
      </c>
      <c r="E28" s="89" t="s">
        <v>3</v>
      </c>
      <c r="F28" s="22" t="s">
        <v>4</v>
      </c>
      <c r="G28" s="22" t="s">
        <v>5</v>
      </c>
      <c r="H28" s="22" t="s">
        <v>62</v>
      </c>
      <c r="J28" s="16"/>
      <c r="K28" s="22" t="s">
        <v>0</v>
      </c>
      <c r="L28" s="22" t="s">
        <v>1</v>
      </c>
      <c r="M28" s="22" t="s">
        <v>2</v>
      </c>
      <c r="N28" s="89" t="s">
        <v>3</v>
      </c>
      <c r="O28" s="22" t="s">
        <v>4</v>
      </c>
      <c r="P28" s="22" t="s">
        <v>5</v>
      </c>
      <c r="Q28" s="22" t="s">
        <v>62</v>
      </c>
    </row>
    <row r="29" spans="1:20" x14ac:dyDescent="0.25">
      <c r="A29" s="203" t="s">
        <v>11</v>
      </c>
      <c r="B29" s="18">
        <f t="array" ref="B29:B31">MMULT($C$17:$E$19,C7:C9)</f>
        <v>2.9451723288293294</v>
      </c>
      <c r="C29" s="18">
        <f t="array" ref="C29:C31">MMULT($C$17:$E$19,D7:D9)</f>
        <v>23.869710928663665</v>
      </c>
      <c r="D29" s="18">
        <f t="array" ref="D29:D31">MMULT($C$17:$E$19,E7:E9)</f>
        <v>51.148872132928375</v>
      </c>
      <c r="E29" s="18">
        <f t="array" ref="E29:E31">MMULT($C$17:$E$19,F7:F9)</f>
        <v>99.778753221477558</v>
      </c>
      <c r="F29" s="18">
        <f t="array" ref="F29:F31">MMULT($R$17:$T$19,G7:G9)</f>
        <v>-45.893566531421946</v>
      </c>
      <c r="G29" s="18">
        <f t="array" ref="G29:G31">MMULT($R$17:$T$19,H7:H9)</f>
        <v>97.404578240746275</v>
      </c>
      <c r="H29" s="18">
        <f t="array" ref="H29:H31">MMULT($C$17:$E$19,D12:D14)</f>
        <v>112.06252894577943</v>
      </c>
      <c r="J29" s="203" t="s">
        <v>11</v>
      </c>
      <c r="K29" s="18">
        <f t="array" ref="K29:K31">MMULT($C$22:$E$24,L7:L9)</f>
        <v>64.650984437326699</v>
      </c>
      <c r="L29" s="18">
        <f t="array" ref="L29:L31">MMULT($C$22:$E$24,M7:M9)</f>
        <v>113.7396143628593</v>
      </c>
      <c r="M29" s="18">
        <f t="array" ref="M29:M31">MMULT($C$22:$E$24,N7:N9)</f>
        <v>119.99442870685749</v>
      </c>
      <c r="N29" s="18">
        <f t="array" ref="N29:N31">MMULT($C$22:$E$24,O7:O9)</f>
        <v>161.90227297403064</v>
      </c>
      <c r="O29" s="18">
        <f t="array" ref="O29:O31">MMULT($R$22:$T$24,P7:P9)</f>
        <v>-61.470439801592683</v>
      </c>
      <c r="P29" s="18">
        <f t="array" ref="P29:P31">MMULT($R$22:$T$24,Q7:Q9)</f>
        <v>73.793240612985755</v>
      </c>
      <c r="Q29" s="18">
        <f t="array" ref="Q29:Q31">MMULT($C$22:$E$24,M12:M14)</f>
        <v>250.89744184161111</v>
      </c>
    </row>
    <row r="30" spans="1:20" x14ac:dyDescent="0.25">
      <c r="A30" s="204"/>
      <c r="B30" s="19">
        <v>184.36736685203675</v>
      </c>
      <c r="C30" s="19">
        <v>271.90115281142528</v>
      </c>
      <c r="D30" s="19">
        <v>213.97147678961636</v>
      </c>
      <c r="E30" s="19">
        <v>202.34673312304173</v>
      </c>
      <c r="F30" s="19">
        <v>-67.784810621745848</v>
      </c>
      <c r="G30" s="19">
        <v>-89.935244135668739</v>
      </c>
      <c r="H30" s="19">
        <v>468.79205369361404</v>
      </c>
      <c r="J30" s="204"/>
      <c r="K30" s="19">
        <v>172.68540821761559</v>
      </c>
      <c r="L30" s="19">
        <v>248.11952789852725</v>
      </c>
      <c r="M30" s="19">
        <v>184.39451477556184</v>
      </c>
      <c r="N30" s="19">
        <v>157.12305370582152</v>
      </c>
      <c r="O30" s="19">
        <v>-62.019231135179126</v>
      </c>
      <c r="P30" s="19">
        <v>-114.25654309418779</v>
      </c>
      <c r="Q30" s="19">
        <v>385.55216725799295</v>
      </c>
    </row>
    <row r="31" spans="1:20" x14ac:dyDescent="0.25">
      <c r="A31" s="205"/>
      <c r="B31" s="20">
        <v>1</v>
      </c>
      <c r="C31" s="20">
        <v>1</v>
      </c>
      <c r="D31" s="20">
        <v>1</v>
      </c>
      <c r="E31" s="20">
        <v>1</v>
      </c>
      <c r="F31" s="20">
        <v>1</v>
      </c>
      <c r="G31" s="20">
        <v>1</v>
      </c>
      <c r="H31" s="20">
        <v>1</v>
      </c>
      <c r="J31" s="205"/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</row>
    <row r="32" spans="1:20" x14ac:dyDescent="0.25">
      <c r="A32" s="16"/>
      <c r="B32" s="103" t="s">
        <v>14</v>
      </c>
      <c r="C32" s="104"/>
      <c r="D32" s="105"/>
      <c r="E32" s="16"/>
      <c r="F32" s="16"/>
      <c r="G32" s="16"/>
      <c r="J32" s="16"/>
      <c r="K32" s="103" t="s">
        <v>14</v>
      </c>
      <c r="L32" s="104"/>
      <c r="M32" s="105"/>
      <c r="N32" s="16"/>
      <c r="O32" s="16"/>
      <c r="P32" s="16"/>
    </row>
    <row r="33" spans="1:16" x14ac:dyDescent="0.25">
      <c r="A33" s="16"/>
      <c r="B33" s="22" t="s">
        <v>110</v>
      </c>
      <c r="C33" s="22" t="s">
        <v>111</v>
      </c>
      <c r="D33" s="22" t="s">
        <v>150</v>
      </c>
      <c r="E33" s="22" t="s">
        <v>151</v>
      </c>
      <c r="F33" s="22" t="s">
        <v>125</v>
      </c>
      <c r="G33" s="22" t="s">
        <v>127</v>
      </c>
      <c r="J33" s="16"/>
      <c r="K33" s="22" t="s">
        <v>110</v>
      </c>
      <c r="L33" s="22" t="s">
        <v>111</v>
      </c>
      <c r="M33" s="22" t="s">
        <v>150</v>
      </c>
      <c r="N33" s="22" t="s">
        <v>151</v>
      </c>
      <c r="O33" s="22" t="s">
        <v>125</v>
      </c>
      <c r="P33" s="22" t="s">
        <v>127</v>
      </c>
    </row>
    <row r="34" spans="1:16" x14ac:dyDescent="0.25">
      <c r="A34" s="203" t="s">
        <v>11</v>
      </c>
      <c r="B34" s="18">
        <f t="array" ref="B34:B36">MMULT($C$17:$E$19,F12:F14)</f>
        <v>9.2997949332597045</v>
      </c>
      <c r="C34" s="18">
        <f t="array" ref="C34:C36">MMULT($C$17:$E$19,G12:G14)</f>
        <v>72.07341073276271</v>
      </c>
      <c r="D34" s="18">
        <f t="array" ref="D34:D36">MMULT($C$17:$E$19,H12:H14)</f>
        <v>13.717553426503699</v>
      </c>
      <c r="E34" s="18">
        <f t="array" ref="E34:E36">MMULT($C$17:$E$19,I12:I14)</f>
        <v>-49.056062372999307</v>
      </c>
      <c r="F34" s="18">
        <f t="array" ref="F34:F36">MMULT($R$17:$T$19,B12:B14)</f>
        <v>-72.576669351067068</v>
      </c>
      <c r="G34" s="18">
        <f t="array" ref="G34:G36">MMULT($R$17:$T$19,C12:C14)</f>
        <v>111.24026118426596</v>
      </c>
      <c r="J34" s="203" t="s">
        <v>11</v>
      </c>
      <c r="K34" s="18">
        <f t="array" ref="K34:K36">MMULT($C$22:$E$24,O12:O14)</f>
        <v>19.090022748818235</v>
      </c>
      <c r="L34" s="18">
        <f t="array" ref="L34:L36">MMULT($C$22:$E$24,P12:P14)</f>
        <v>163.62876641844204</v>
      </c>
      <c r="M34" s="18">
        <f t="array" ref="M34:M36">MMULT($C$22:$E$24,Q12:Q14)</f>
        <v>113.33935329783426</v>
      </c>
      <c r="N34" s="18">
        <f t="array" ref="N34:N36">MMULT($C$22:$E$24,R12:R14)</f>
        <v>-31.199390371789541</v>
      </c>
      <c r="O34" s="18">
        <f t="array" ref="O34:O36">MMULT($R$22:$T$24,K12:K14)</f>
        <v>-79.19464620074433</v>
      </c>
      <c r="P34" s="18">
        <f t="array" ref="P34:P36">MMULT($R$22:$T$24,L12:L14)</f>
        <v>95.248858885643045</v>
      </c>
    </row>
    <row r="35" spans="1:16" x14ac:dyDescent="0.25">
      <c r="A35" s="204"/>
      <c r="B35" s="19">
        <v>38.903904870839341</v>
      </c>
      <c r="C35" s="19">
        <v>301.50526274900488</v>
      </c>
      <c r="D35" s="19">
        <v>315.45495514889444</v>
      </c>
      <c r="E35" s="19">
        <v>52.853597270728898</v>
      </c>
      <c r="F35" s="19">
        <v>-63.660247139842966</v>
      </c>
      <c r="G35" s="19">
        <v>-92.073906681840612</v>
      </c>
      <c r="J35" s="204"/>
      <c r="K35" s="19">
        <v>29.335490987021203</v>
      </c>
      <c r="L35" s="19">
        <v>251.44706560303888</v>
      </c>
      <c r="M35" s="19">
        <v>284.17281888672727</v>
      </c>
      <c r="N35" s="19">
        <v>62.061244270709608</v>
      </c>
      <c r="O35" s="19">
        <v>-55.174341981929715</v>
      </c>
      <c r="P35" s="19">
        <v>-122.54246154285812</v>
      </c>
    </row>
    <row r="36" spans="1:16" x14ac:dyDescent="0.25">
      <c r="A36" s="205"/>
      <c r="B36" s="20">
        <v>1</v>
      </c>
      <c r="C36" s="20">
        <v>1</v>
      </c>
      <c r="D36" s="20">
        <v>1</v>
      </c>
      <c r="E36" s="20">
        <v>1</v>
      </c>
      <c r="F36" s="20">
        <v>1</v>
      </c>
      <c r="G36" s="20">
        <v>1</v>
      </c>
      <c r="J36" s="205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</row>
    <row r="39" spans="1:16" x14ac:dyDescent="0.25">
      <c r="B39" s="100" t="s">
        <v>15</v>
      </c>
      <c r="C39" s="101"/>
      <c r="D39" s="102"/>
      <c r="K39" s="100" t="s">
        <v>15</v>
      </c>
      <c r="L39" s="101"/>
      <c r="M39" s="102"/>
    </row>
    <row r="40" spans="1:16" x14ac:dyDescent="0.25">
      <c r="B40" s="10" t="s">
        <v>0</v>
      </c>
      <c r="C40" s="10" t="s">
        <v>1</v>
      </c>
      <c r="D40" s="10" t="s">
        <v>2</v>
      </c>
      <c r="E40" s="10" t="s">
        <v>3</v>
      </c>
      <c r="F40" s="10" t="s">
        <v>4</v>
      </c>
      <c r="G40" s="10" t="s">
        <v>5</v>
      </c>
      <c r="K40" s="10" t="s">
        <v>0</v>
      </c>
      <c r="L40" s="10" t="s">
        <v>1</v>
      </c>
      <c r="M40" s="10" t="s">
        <v>2</v>
      </c>
      <c r="N40" s="10" t="s">
        <v>3</v>
      </c>
      <c r="O40" s="10" t="s">
        <v>4</v>
      </c>
      <c r="P40" s="10" t="s">
        <v>5</v>
      </c>
    </row>
    <row r="41" spans="1:16" x14ac:dyDescent="0.25">
      <c r="A41" s="94" t="s">
        <v>19</v>
      </c>
      <c r="B41" s="11">
        <f t="array" ref="B41:B43">MMULT($M$17:$O$19,C7:C9)</f>
        <v>-60</v>
      </c>
      <c r="C41" s="11">
        <f t="array" ref="C41:C43">MMULT($M$17:$O$19,D7:D9)</f>
        <v>-60</v>
      </c>
      <c r="D41" s="11">
        <f t="array" ref="D41:D43">MMULT($M$17:$O$19,E7:E9)</f>
        <v>-20</v>
      </c>
      <c r="E41" s="11">
        <f t="array" ref="E41:E43">MMULT($M$17:$O$19,F7:F9)</f>
        <v>30</v>
      </c>
      <c r="F41" s="11">
        <f t="array" ref="F41:F43">MMULT($M$17:$O$19,G7:G9)</f>
        <v>-55</v>
      </c>
      <c r="G41" s="11">
        <f t="array" ref="G41:G43">MMULT($M$17:$O$19,H7:H9)</f>
        <v>90</v>
      </c>
      <c r="J41" s="94" t="s">
        <v>19</v>
      </c>
      <c r="K41" s="11">
        <f t="array" ref="K41:K43">MMULT($M$22:$O$24,L7:L9)</f>
        <v>-60</v>
      </c>
      <c r="L41" s="11">
        <f t="array" ref="L41:L43">MMULT($M$22:$O$24,M7:M9)</f>
        <v>-60</v>
      </c>
      <c r="M41" s="11">
        <f t="array" ref="M41:M43">MMULT($M$22:$O$24,N7:N9)</f>
        <v>-20</v>
      </c>
      <c r="N41" s="11">
        <f t="array" ref="N41:N43">MMULT($M$22:$O$24,O7:O9)</f>
        <v>30</v>
      </c>
      <c r="O41" s="11">
        <f t="array" ref="O41:O43">MMULT($M$22:$O$24,P7:P9)</f>
        <v>-55</v>
      </c>
      <c r="P41" s="11">
        <f t="array" ref="P41:P43">MMULT($M$22:$O$24,Q7:Q9)</f>
        <v>90</v>
      </c>
    </row>
    <row r="42" spans="1:16" x14ac:dyDescent="0.25">
      <c r="A42" s="95"/>
      <c r="B42" s="12">
        <v>200</v>
      </c>
      <c r="C42" s="12">
        <v>290</v>
      </c>
      <c r="D42" s="12">
        <v>240</v>
      </c>
      <c r="E42" s="12">
        <v>240</v>
      </c>
      <c r="F42" s="12">
        <v>-54</v>
      </c>
      <c r="G42" s="12">
        <v>-54</v>
      </c>
      <c r="J42" s="95"/>
      <c r="K42" s="12">
        <v>200</v>
      </c>
      <c r="L42" s="12">
        <v>290</v>
      </c>
      <c r="M42" s="12">
        <v>240</v>
      </c>
      <c r="N42" s="12">
        <v>240</v>
      </c>
      <c r="O42" s="12">
        <v>-60</v>
      </c>
      <c r="P42" s="12">
        <v>-60</v>
      </c>
    </row>
    <row r="43" spans="1:16" x14ac:dyDescent="0.25">
      <c r="A43" s="96"/>
      <c r="B43" s="13">
        <v>1</v>
      </c>
      <c r="C43" s="13">
        <v>1</v>
      </c>
      <c r="D43" s="13">
        <v>1</v>
      </c>
      <c r="E43" s="13">
        <v>1</v>
      </c>
      <c r="F43" s="13">
        <v>1</v>
      </c>
      <c r="G43" s="13">
        <v>1</v>
      </c>
      <c r="J43" s="96"/>
      <c r="K43" s="13">
        <v>1</v>
      </c>
      <c r="L43" s="13">
        <v>1</v>
      </c>
      <c r="M43" s="13">
        <v>1</v>
      </c>
      <c r="N43" s="13">
        <v>1</v>
      </c>
      <c r="O43" s="13">
        <v>1</v>
      </c>
      <c r="P43" s="13">
        <v>1</v>
      </c>
    </row>
    <row r="45" spans="1:16" x14ac:dyDescent="0.25">
      <c r="B45" s="100" t="s">
        <v>16</v>
      </c>
      <c r="C45" s="101"/>
      <c r="D45" s="102"/>
      <c r="K45" s="100" t="s">
        <v>16</v>
      </c>
      <c r="L45" s="101"/>
      <c r="M45" s="102"/>
    </row>
    <row r="46" spans="1:16" x14ac:dyDescent="0.25">
      <c r="B46" s="10" t="s">
        <v>0</v>
      </c>
      <c r="C46" s="10" t="s">
        <v>1</v>
      </c>
      <c r="D46" s="10" t="s">
        <v>2</v>
      </c>
      <c r="E46" s="10" t="s">
        <v>3</v>
      </c>
      <c r="F46" s="10" t="s">
        <v>4</v>
      </c>
      <c r="G46" s="10" t="s">
        <v>5</v>
      </c>
      <c r="K46" s="10" t="s">
        <v>0</v>
      </c>
      <c r="L46" s="10" t="s">
        <v>1</v>
      </c>
      <c r="M46" s="10" t="s">
        <v>2</v>
      </c>
      <c r="N46" s="10" t="s">
        <v>3</v>
      </c>
      <c r="O46" s="10" t="s">
        <v>4</v>
      </c>
      <c r="P46" s="10" t="s">
        <v>5</v>
      </c>
    </row>
    <row r="47" spans="1:16" x14ac:dyDescent="0.25">
      <c r="A47" s="94" t="s">
        <v>20</v>
      </c>
      <c r="B47" s="11">
        <f t="array" ref="B47:B49">MMULT($C$17:$E$19,B41:B43)</f>
        <v>-11.856882639960489</v>
      </c>
      <c r="C47" s="11">
        <f t="array" ref="C47:C49">MMULT($C$17:$E$19,C41:C43)</f>
        <v>9.0676559598738464</v>
      </c>
      <c r="D47" s="11">
        <f t="array" ref="D47:D49">MMULT($C$17:$E$19,D41:D43)</f>
        <v>36.346817164138557</v>
      </c>
      <c r="E47" s="11">
        <f t="array" ref="E47:E49">MMULT($C$17:$E$19,E41:E43)</f>
        <v>84.976698252687726</v>
      </c>
      <c r="F47" s="11">
        <f t="array" ref="F47:F49">MMULT($R$17:$T$19,F41:F43)</f>
        <v>-62.603595670490265</v>
      </c>
      <c r="G47" s="11">
        <f t="array" ref="G47:G49">MMULT($R$17:$T$19,G41:G43)</f>
        <v>80.694549101677964</v>
      </c>
      <c r="J47" s="94" t="s">
        <v>20</v>
      </c>
      <c r="K47" s="11">
        <f t="array" ref="K47:K49">MMULT($C$22:$E$24,K41:K43)</f>
        <v>58.79643115835357</v>
      </c>
      <c r="L47" s="11">
        <f t="array" ref="L47:L49">MMULT($C$22:$E$24,L41:L43)</f>
        <v>107.88506108388617</v>
      </c>
      <c r="M47" s="11">
        <f t="array" ref="M47:M49">MMULT($C$22:$E$24,M41:M43)</f>
        <v>114.13987542788436</v>
      </c>
      <c r="N47" s="11">
        <f t="array" ref="N47:N49">MMULT($C$22:$E$24,N41:N43)</f>
        <v>156.04771969505751</v>
      </c>
      <c r="O47" s="11">
        <f t="array" ref="O47:O49">MMULT($R$22:$T$24,O41:O43)</f>
        <v>-72.922352692016091</v>
      </c>
      <c r="P47" s="11">
        <f t="array" ref="P47:P49">MMULT($R$22:$T$24,P41:P43)</f>
        <v>62.34132772256234</v>
      </c>
    </row>
    <row r="48" spans="1:16" x14ac:dyDescent="0.25">
      <c r="A48" s="95"/>
      <c r="B48" s="12">
        <v>208.46921675408626</v>
      </c>
      <c r="C48" s="12">
        <v>296.00300271347476</v>
      </c>
      <c r="D48" s="12">
        <v>238.0733266916659</v>
      </c>
      <c r="E48" s="12">
        <v>226.44858302509127</v>
      </c>
      <c r="F48" s="12">
        <v>-44.964317065043623</v>
      </c>
      <c r="G48" s="12">
        <v>-67.114750578966522</v>
      </c>
      <c r="J48" s="95"/>
      <c r="K48" s="12">
        <v>200.35713035238098</v>
      </c>
      <c r="L48" s="12">
        <v>275.79125003329267</v>
      </c>
      <c r="M48" s="12">
        <v>212.06623691032723</v>
      </c>
      <c r="N48" s="12">
        <v>184.79477584058691</v>
      </c>
      <c r="O48" s="12">
        <v>-36.157025290546414</v>
      </c>
      <c r="P48" s="12">
        <v>-88.394337249555065</v>
      </c>
    </row>
    <row r="49" spans="1:16" x14ac:dyDescent="0.25">
      <c r="A49" s="96"/>
      <c r="B49" s="13">
        <v>1</v>
      </c>
      <c r="C49" s="13">
        <v>1</v>
      </c>
      <c r="D49" s="13">
        <v>1</v>
      </c>
      <c r="E49" s="13">
        <v>1</v>
      </c>
      <c r="F49" s="13">
        <v>1</v>
      </c>
      <c r="G49" s="13">
        <v>1</v>
      </c>
      <c r="J49" s="96"/>
      <c r="K49" s="13">
        <v>1</v>
      </c>
      <c r="L49" s="13">
        <v>1</v>
      </c>
      <c r="M49" s="13">
        <v>1</v>
      </c>
      <c r="N49" s="13">
        <v>1</v>
      </c>
      <c r="O49" s="13">
        <v>1</v>
      </c>
      <c r="P49" s="13">
        <v>1</v>
      </c>
    </row>
    <row r="51" spans="1:16" x14ac:dyDescent="0.25">
      <c r="A51" s="43"/>
      <c r="B51" s="206" t="s">
        <v>17</v>
      </c>
      <c r="C51" s="207"/>
      <c r="D51" s="208"/>
      <c r="E51" s="43"/>
      <c r="F51" s="43"/>
      <c r="G51" s="43"/>
      <c r="J51" s="43"/>
      <c r="K51" s="206" t="s">
        <v>17</v>
      </c>
      <c r="L51" s="207"/>
      <c r="M51" s="208"/>
      <c r="N51" s="43"/>
      <c r="O51" s="43"/>
      <c r="P51" s="43"/>
    </row>
    <row r="52" spans="1:16" x14ac:dyDescent="0.25">
      <c r="A52" s="43"/>
      <c r="B52" s="44" t="s">
        <v>0</v>
      </c>
      <c r="C52" s="44" t="s">
        <v>1</v>
      </c>
      <c r="D52" s="44" t="s">
        <v>2</v>
      </c>
      <c r="E52" s="44" t="s">
        <v>3</v>
      </c>
      <c r="F52" s="44" t="s">
        <v>4</v>
      </c>
      <c r="G52" s="44" t="s">
        <v>5</v>
      </c>
      <c r="J52" s="43"/>
      <c r="K52" s="44" t="s">
        <v>0</v>
      </c>
      <c r="L52" s="44" t="s">
        <v>1</v>
      </c>
      <c r="M52" s="44" t="s">
        <v>2</v>
      </c>
      <c r="N52" s="44" t="s">
        <v>3</v>
      </c>
      <c r="O52" s="44" t="s">
        <v>4</v>
      </c>
      <c r="P52" s="44" t="s">
        <v>5</v>
      </c>
    </row>
    <row r="53" spans="1:16" x14ac:dyDescent="0.25">
      <c r="A53" s="209" t="s">
        <v>18</v>
      </c>
      <c r="B53" s="45">
        <f t="array" ref="B53:B55">MMULT($H$17:$J$19,B47:B49)</f>
        <v>8.1431173600395113</v>
      </c>
      <c r="C53" s="45">
        <f t="array" ref="C53:C55">MMULT($H$17:$J$19,C47:C49)</f>
        <v>29.067655959873846</v>
      </c>
      <c r="D53" s="45">
        <f t="array" ref="D53:D55">MMULT($H$17:$J$19,D47:D49)</f>
        <v>56.346817164138557</v>
      </c>
      <c r="E53" s="45">
        <f t="array" ref="E53:E55">MMULT($H$17:$J$19,E47:E49)</f>
        <v>104.97669825268773</v>
      </c>
      <c r="F53" s="45">
        <f t="array" ref="F53:F55">MMULT($H$17:$J$19,F47:F49)</f>
        <v>-42.603595670490265</v>
      </c>
      <c r="G53" s="45">
        <f t="array" ref="G53:G55">MMULT($H$17:$J$19,G47:G49)</f>
        <v>100.69454910167796</v>
      </c>
      <c r="J53" s="209" t="s">
        <v>18</v>
      </c>
      <c r="K53" s="45">
        <f t="array" ref="K53:K55">MMULT($H$22:$J$24,K47:K49)</f>
        <v>78.79643115835357</v>
      </c>
      <c r="L53" s="45">
        <f t="array" ref="L53:L55">MMULT($H$22:$J$24,L47:L49)</f>
        <v>127.88506108388617</v>
      </c>
      <c r="M53" s="45">
        <f t="array" ref="M53:M55">MMULT($H$22:$J$24,M47:M49)</f>
        <v>134.13987542788436</v>
      </c>
      <c r="N53" s="45">
        <f t="array" ref="N53:N55">MMULT($H$22:$J$24,N47:N49)</f>
        <v>176.04771969505751</v>
      </c>
      <c r="O53" s="45">
        <f t="array" ref="O53:O55">MMULT($H$22:$J$24,O47:O49)</f>
        <v>-52.922352692016091</v>
      </c>
      <c r="P53" s="45">
        <f t="array" ref="P53:P55">MMULT($H$22:$J$24,P47:P49)</f>
        <v>82.34132772256234</v>
      </c>
    </row>
    <row r="54" spans="1:16" x14ac:dyDescent="0.25">
      <c r="A54" s="210"/>
      <c r="B54" s="46">
        <v>188.46921675408626</v>
      </c>
      <c r="C54" s="46">
        <v>276.00300271347476</v>
      </c>
      <c r="D54" s="46">
        <v>218.0733266916659</v>
      </c>
      <c r="E54" s="46">
        <v>206.44858302509127</v>
      </c>
      <c r="F54" s="46">
        <v>-64.964317065043616</v>
      </c>
      <c r="G54" s="46">
        <v>-87.114750578966522</v>
      </c>
      <c r="J54" s="210"/>
      <c r="K54" s="46">
        <v>180.35713035238098</v>
      </c>
      <c r="L54" s="46">
        <v>255.79125003329267</v>
      </c>
      <c r="M54" s="46">
        <v>192.06623691032723</v>
      </c>
      <c r="N54" s="46">
        <v>164.79477584058691</v>
      </c>
      <c r="O54" s="46">
        <v>-56.157025290546414</v>
      </c>
      <c r="P54" s="46">
        <v>-108.39433724955506</v>
      </c>
    </row>
    <row r="55" spans="1:16" x14ac:dyDescent="0.25">
      <c r="A55" s="211"/>
      <c r="B55" s="47">
        <v>1</v>
      </c>
      <c r="C55" s="47">
        <v>1</v>
      </c>
      <c r="D55" s="47">
        <v>1</v>
      </c>
      <c r="E55" s="47">
        <v>1</v>
      </c>
      <c r="F55" s="47">
        <v>1</v>
      </c>
      <c r="G55" s="47">
        <v>1</v>
      </c>
      <c r="J55" s="211"/>
      <c r="K55" s="47">
        <v>1</v>
      </c>
      <c r="L55" s="47">
        <v>1</v>
      </c>
      <c r="M55" s="47">
        <v>1</v>
      </c>
      <c r="N55" s="47">
        <v>1</v>
      </c>
      <c r="O55" s="47">
        <v>1</v>
      </c>
      <c r="P55" s="47">
        <v>1</v>
      </c>
    </row>
  </sheetData>
  <mergeCells count="44">
    <mergeCell ref="A34:A36"/>
    <mergeCell ref="J34:J36"/>
    <mergeCell ref="B32:D32"/>
    <mergeCell ref="K32:M32"/>
    <mergeCell ref="J53:J55"/>
    <mergeCell ref="B39:D39"/>
    <mergeCell ref="A41:A43"/>
    <mergeCell ref="B45:D45"/>
    <mergeCell ref="A47:A49"/>
    <mergeCell ref="B51:D51"/>
    <mergeCell ref="A53:A55"/>
    <mergeCell ref="K39:M39"/>
    <mergeCell ref="J41:J43"/>
    <mergeCell ref="K45:M45"/>
    <mergeCell ref="J47:J49"/>
    <mergeCell ref="K51:M51"/>
    <mergeCell ref="B22:B24"/>
    <mergeCell ref="G22:G24"/>
    <mergeCell ref="L22:L24"/>
    <mergeCell ref="B27:D27"/>
    <mergeCell ref="A29:A31"/>
    <mergeCell ref="K27:M27"/>
    <mergeCell ref="J29:J31"/>
    <mergeCell ref="L16:N16"/>
    <mergeCell ref="L17:L19"/>
    <mergeCell ref="B21:D21"/>
    <mergeCell ref="G21:I21"/>
    <mergeCell ref="L21:N21"/>
    <mergeCell ref="Q17:Q19"/>
    <mergeCell ref="Q21:S21"/>
    <mergeCell ref="Q22:Q24"/>
    <mergeCell ref="C1:D1"/>
    <mergeCell ref="L1:M1"/>
    <mergeCell ref="Q16:S16"/>
    <mergeCell ref="C2:D2"/>
    <mergeCell ref="C3:D3"/>
    <mergeCell ref="C4:D4"/>
    <mergeCell ref="L2:M2"/>
    <mergeCell ref="L3:M3"/>
    <mergeCell ref="L4:M4"/>
    <mergeCell ref="B16:D16"/>
    <mergeCell ref="B17:B19"/>
    <mergeCell ref="G16:I16"/>
    <mergeCell ref="G17:G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5" x14ac:dyDescent="0.25"/>
  <sheetData>
    <row r="1" spans="1:12" x14ac:dyDescent="0.25">
      <c r="H1" s="215" t="s">
        <v>139</v>
      </c>
      <c r="I1" s="216"/>
      <c r="J1" s="216"/>
      <c r="K1" s="180"/>
    </row>
    <row r="2" spans="1:12" x14ac:dyDescent="0.25">
      <c r="H2" s="181"/>
      <c r="I2" s="217"/>
      <c r="J2" s="217"/>
      <c r="K2" s="182"/>
    </row>
    <row r="4" spans="1:12" x14ac:dyDescent="0.25">
      <c r="B4" s="218" t="s">
        <v>113</v>
      </c>
      <c r="C4" s="219"/>
      <c r="D4" s="220"/>
      <c r="E4" s="218" t="s">
        <v>114</v>
      </c>
      <c r="F4" s="224"/>
      <c r="G4" s="225"/>
      <c r="K4" s="229" t="s">
        <v>115</v>
      </c>
      <c r="L4" s="230"/>
    </row>
    <row r="5" spans="1:12" x14ac:dyDescent="0.25">
      <c r="B5" s="221"/>
      <c r="C5" s="222"/>
      <c r="D5" s="223"/>
      <c r="E5" s="226"/>
      <c r="F5" s="227"/>
      <c r="G5" s="228"/>
      <c r="K5" s="231"/>
      <c r="L5" s="232"/>
    </row>
    <row r="6" spans="1:12" ht="15" customHeight="1" x14ac:dyDescent="0.25">
      <c r="A6" s="201" t="s">
        <v>42</v>
      </c>
      <c r="B6" s="201" t="s">
        <v>116</v>
      </c>
      <c r="C6" s="201" t="s">
        <v>117</v>
      </c>
      <c r="D6" s="201" t="s">
        <v>118</v>
      </c>
      <c r="E6" s="201" t="s">
        <v>116</v>
      </c>
      <c r="F6" s="201" t="s">
        <v>117</v>
      </c>
      <c r="G6" s="201" t="s">
        <v>118</v>
      </c>
      <c r="H6" s="120" t="s">
        <v>119</v>
      </c>
      <c r="I6" s="121"/>
      <c r="K6" s="213" t="s">
        <v>120</v>
      </c>
      <c r="L6" s="213" t="s">
        <v>121</v>
      </c>
    </row>
    <row r="7" spans="1:12" x14ac:dyDescent="0.25">
      <c r="A7" s="202"/>
      <c r="B7" s="202"/>
      <c r="C7" s="202"/>
      <c r="D7" s="202"/>
      <c r="E7" s="202"/>
      <c r="F7" s="202"/>
      <c r="G7" s="202"/>
      <c r="H7" s="124"/>
      <c r="I7" s="125"/>
      <c r="K7" s="233"/>
      <c r="L7" s="233"/>
    </row>
    <row r="8" spans="1:12" x14ac:dyDescent="0.25">
      <c r="A8" s="38" t="s">
        <v>63</v>
      </c>
      <c r="B8" s="38">
        <v>0</v>
      </c>
      <c r="C8" s="38">
        <v>0</v>
      </c>
      <c r="D8" s="38">
        <v>1</v>
      </c>
      <c r="E8" s="38">
        <v>0</v>
      </c>
      <c r="F8" s="38">
        <v>0</v>
      </c>
      <c r="G8" s="38">
        <v>1</v>
      </c>
      <c r="H8" s="212" t="s">
        <v>122</v>
      </c>
      <c r="I8" s="212"/>
      <c r="K8" s="213" t="s">
        <v>123</v>
      </c>
      <c r="L8" s="213" t="s">
        <v>124</v>
      </c>
    </row>
    <row r="9" spans="1:12" ht="15" customHeight="1" x14ac:dyDescent="0.25">
      <c r="A9" s="38" t="s">
        <v>125</v>
      </c>
      <c r="B9" s="38">
        <v>-66</v>
      </c>
      <c r="C9" s="38">
        <v>-55</v>
      </c>
      <c r="D9" s="38">
        <v>1</v>
      </c>
      <c r="E9" s="38">
        <v>-74</v>
      </c>
      <c r="F9" s="38">
        <v>-50</v>
      </c>
      <c r="G9" s="38">
        <v>1</v>
      </c>
      <c r="H9" s="212" t="s">
        <v>126</v>
      </c>
      <c r="I9" s="212"/>
      <c r="K9" s="214"/>
      <c r="L9" s="214"/>
    </row>
    <row r="10" spans="1:12" ht="15" customHeight="1" x14ac:dyDescent="0.25">
      <c r="A10" s="38" t="s">
        <v>127</v>
      </c>
      <c r="B10" s="38">
        <v>125</v>
      </c>
      <c r="C10" s="38">
        <v>-59</v>
      </c>
      <c r="D10" s="38">
        <v>1</v>
      </c>
      <c r="E10" s="38">
        <v>113</v>
      </c>
      <c r="F10" s="38">
        <v>-64</v>
      </c>
      <c r="G10" s="38">
        <v>1</v>
      </c>
      <c r="H10" s="212" t="s">
        <v>128</v>
      </c>
      <c r="I10" s="212"/>
    </row>
    <row r="11" spans="1:12" x14ac:dyDescent="0.25">
      <c r="A11" s="38" t="s">
        <v>129</v>
      </c>
      <c r="B11" s="38">
        <v>0</v>
      </c>
      <c r="C11" s="38">
        <v>429</v>
      </c>
      <c r="D11" s="38">
        <v>1</v>
      </c>
      <c r="E11" s="38">
        <v>0</v>
      </c>
      <c r="F11" s="38">
        <v>424</v>
      </c>
      <c r="G11" s="38">
        <v>1</v>
      </c>
      <c r="H11" s="212" t="s">
        <v>130</v>
      </c>
      <c r="I11" s="212"/>
    </row>
    <row r="12" spans="1:12" ht="15" customHeight="1" x14ac:dyDescent="0.25">
      <c r="A12" s="38" t="s">
        <v>2</v>
      </c>
      <c r="B12" s="38">
        <v>0</v>
      </c>
      <c r="C12" s="38">
        <v>220</v>
      </c>
      <c r="D12" s="38">
        <v>1</v>
      </c>
      <c r="E12" s="38">
        <v>0</v>
      </c>
      <c r="F12" s="38">
        <v>220</v>
      </c>
      <c r="G12" s="38">
        <v>1</v>
      </c>
      <c r="H12" s="212" t="s">
        <v>131</v>
      </c>
      <c r="I12" s="212"/>
    </row>
    <row r="13" spans="1:12" ht="15" customHeight="1" x14ac:dyDescent="0.25">
      <c r="A13" s="38" t="s">
        <v>3</v>
      </c>
      <c r="B13" s="38">
        <v>50</v>
      </c>
      <c r="C13" s="38">
        <v>220</v>
      </c>
      <c r="D13" s="38">
        <v>1</v>
      </c>
      <c r="E13" s="38">
        <v>50</v>
      </c>
      <c r="F13" s="38">
        <v>220</v>
      </c>
      <c r="G13" s="38">
        <v>1</v>
      </c>
      <c r="H13" s="212" t="s">
        <v>132</v>
      </c>
      <c r="I13" s="212"/>
    </row>
    <row r="14" spans="1:12" ht="15" customHeight="1" x14ac:dyDescent="0.25">
      <c r="A14" s="38" t="s">
        <v>0</v>
      </c>
      <c r="B14" s="38">
        <v>-40</v>
      </c>
      <c r="C14" s="38">
        <v>200</v>
      </c>
      <c r="D14" s="38">
        <v>1</v>
      </c>
      <c r="E14" s="38">
        <v>-40</v>
      </c>
      <c r="F14" s="38">
        <v>200</v>
      </c>
      <c r="G14" s="38">
        <v>1</v>
      </c>
      <c r="H14" s="212" t="s">
        <v>133</v>
      </c>
      <c r="I14" s="212"/>
    </row>
    <row r="15" spans="1:12" ht="15" customHeight="1" x14ac:dyDescent="0.25">
      <c r="A15" s="38" t="s">
        <v>1</v>
      </c>
      <c r="B15" s="38">
        <v>-40</v>
      </c>
      <c r="C15" s="38">
        <v>240</v>
      </c>
      <c r="D15" s="38">
        <v>1</v>
      </c>
      <c r="E15" s="38">
        <v>-40</v>
      </c>
      <c r="F15" s="38">
        <v>240</v>
      </c>
      <c r="G15" s="38">
        <v>1</v>
      </c>
      <c r="H15" s="212" t="s">
        <v>134</v>
      </c>
      <c r="I15" s="212"/>
    </row>
    <row r="16" spans="1:12" ht="15" customHeight="1" x14ac:dyDescent="0.25">
      <c r="A16" s="38" t="s">
        <v>99</v>
      </c>
      <c r="B16" s="38">
        <v>0</v>
      </c>
      <c r="C16" s="38">
        <v>-50</v>
      </c>
      <c r="D16" s="38">
        <v>1</v>
      </c>
      <c r="E16" s="38">
        <v>0</v>
      </c>
      <c r="F16" s="38">
        <v>-50</v>
      </c>
      <c r="G16" s="38">
        <v>1</v>
      </c>
      <c r="H16" s="212" t="s">
        <v>135</v>
      </c>
      <c r="I16" s="212"/>
    </row>
    <row r="17" spans="1:9" ht="15" customHeight="1" x14ac:dyDescent="0.25">
      <c r="A17" s="38" t="s">
        <v>98</v>
      </c>
      <c r="B17" s="38">
        <v>52</v>
      </c>
      <c r="C17" s="38">
        <v>0</v>
      </c>
      <c r="D17" s="38">
        <v>1</v>
      </c>
      <c r="E17" s="38">
        <v>52</v>
      </c>
      <c r="F17" s="38">
        <v>0</v>
      </c>
      <c r="G17" s="38">
        <v>1</v>
      </c>
      <c r="H17" s="212" t="s">
        <v>136</v>
      </c>
      <c r="I17" s="212"/>
    </row>
    <row r="18" spans="1:9" ht="15" customHeight="1" x14ac:dyDescent="0.25">
      <c r="A18" s="38" t="s">
        <v>4</v>
      </c>
      <c r="B18" s="38">
        <v>-35</v>
      </c>
      <c r="C18" s="38">
        <v>-59</v>
      </c>
      <c r="D18" s="38">
        <v>1</v>
      </c>
      <c r="E18" s="38">
        <v>-35</v>
      </c>
      <c r="F18" s="38">
        <v>-64</v>
      </c>
      <c r="G18" s="38">
        <v>1</v>
      </c>
      <c r="H18" s="212" t="s">
        <v>137</v>
      </c>
      <c r="I18" s="212"/>
    </row>
    <row r="19" spans="1:9" ht="15" customHeight="1" x14ac:dyDescent="0.25">
      <c r="A19" s="38" t="s">
        <v>5</v>
      </c>
      <c r="B19" s="38">
        <v>105</v>
      </c>
      <c r="C19" s="38">
        <v>-59</v>
      </c>
      <c r="D19" s="38">
        <v>1</v>
      </c>
      <c r="E19" s="38">
        <v>105</v>
      </c>
      <c r="F19" s="38">
        <v>-64</v>
      </c>
      <c r="G19" s="38">
        <v>1</v>
      </c>
      <c r="H19" s="212" t="s">
        <v>138</v>
      </c>
      <c r="I19" s="212"/>
    </row>
  </sheetData>
  <mergeCells count="28">
    <mergeCell ref="H1:K2"/>
    <mergeCell ref="B4:D5"/>
    <mergeCell ref="E4:G5"/>
    <mergeCell ref="K4:L5"/>
    <mergeCell ref="A6:A7"/>
    <mergeCell ref="B6:B7"/>
    <mergeCell ref="C6:C7"/>
    <mergeCell ref="D6:D7"/>
    <mergeCell ref="E6:E7"/>
    <mergeCell ref="F6:F7"/>
    <mergeCell ref="G6:G7"/>
    <mergeCell ref="H6:I7"/>
    <mergeCell ref="K6:K7"/>
    <mergeCell ref="L6:L7"/>
    <mergeCell ref="H8:I8"/>
    <mergeCell ref="K8:K9"/>
    <mergeCell ref="L8:L9"/>
    <mergeCell ref="H9:I9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H15:I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H1" sqref="H1:K2"/>
    </sheetView>
  </sheetViews>
  <sheetFormatPr defaultRowHeight="15" x14ac:dyDescent="0.25"/>
  <sheetData>
    <row r="1" spans="1:12" x14ac:dyDescent="0.25">
      <c r="H1" s="215" t="s">
        <v>140</v>
      </c>
      <c r="I1" s="216"/>
      <c r="J1" s="216"/>
      <c r="K1" s="180"/>
    </row>
    <row r="2" spans="1:12" ht="29.25" customHeight="1" x14ac:dyDescent="0.25">
      <c r="H2" s="181"/>
      <c r="I2" s="217"/>
      <c r="J2" s="217"/>
      <c r="K2" s="182"/>
    </row>
    <row r="4" spans="1:12" x14ac:dyDescent="0.25">
      <c r="B4" s="218" t="s">
        <v>113</v>
      </c>
      <c r="C4" s="219"/>
      <c r="D4" s="220"/>
      <c r="E4" s="218" t="s">
        <v>114</v>
      </c>
      <c r="F4" s="224"/>
      <c r="G4" s="225"/>
      <c r="K4" s="229" t="s">
        <v>115</v>
      </c>
      <c r="L4" s="230"/>
    </row>
    <row r="5" spans="1:12" x14ac:dyDescent="0.25">
      <c r="B5" s="221"/>
      <c r="C5" s="222"/>
      <c r="D5" s="223"/>
      <c r="E5" s="226"/>
      <c r="F5" s="227"/>
      <c r="G5" s="228"/>
      <c r="K5" s="231"/>
      <c r="L5" s="232"/>
    </row>
    <row r="6" spans="1:12" x14ac:dyDescent="0.25">
      <c r="A6" s="201" t="s">
        <v>42</v>
      </c>
      <c r="B6" s="201" t="s">
        <v>116</v>
      </c>
      <c r="C6" s="201" t="s">
        <v>117</v>
      </c>
      <c r="D6" s="201" t="s">
        <v>118</v>
      </c>
      <c r="E6" s="201" t="s">
        <v>116</v>
      </c>
      <c r="F6" s="201" t="s">
        <v>117</v>
      </c>
      <c r="G6" s="201" t="s">
        <v>118</v>
      </c>
      <c r="H6" s="120" t="s">
        <v>119</v>
      </c>
      <c r="I6" s="121"/>
      <c r="K6" s="213" t="s">
        <v>120</v>
      </c>
      <c r="L6" s="213" t="s">
        <v>121</v>
      </c>
    </row>
    <row r="7" spans="1:12" x14ac:dyDescent="0.25">
      <c r="A7" s="202"/>
      <c r="B7" s="202"/>
      <c r="C7" s="202"/>
      <c r="D7" s="202"/>
      <c r="E7" s="202"/>
      <c r="F7" s="202"/>
      <c r="G7" s="202"/>
      <c r="H7" s="124"/>
      <c r="I7" s="125"/>
      <c r="K7" s="233"/>
      <c r="L7" s="233"/>
    </row>
    <row r="8" spans="1:12" x14ac:dyDescent="0.25">
      <c r="A8" s="38" t="s">
        <v>63</v>
      </c>
      <c r="B8" s="38">
        <v>0</v>
      </c>
      <c r="C8" s="38">
        <v>0</v>
      </c>
      <c r="D8" s="38">
        <v>1</v>
      </c>
      <c r="E8" s="38">
        <v>0</v>
      </c>
      <c r="F8" s="38">
        <v>0</v>
      </c>
      <c r="G8" s="38">
        <v>1</v>
      </c>
      <c r="H8" s="212" t="s">
        <v>122</v>
      </c>
      <c r="I8" s="212"/>
      <c r="K8" s="213" t="s">
        <v>123</v>
      </c>
      <c r="L8" s="213" t="s">
        <v>124</v>
      </c>
    </row>
    <row r="9" spans="1:12" x14ac:dyDescent="0.25">
      <c r="A9" s="38" t="s">
        <v>125</v>
      </c>
      <c r="B9" s="38">
        <v>-85</v>
      </c>
      <c r="C9" s="38">
        <v>-43</v>
      </c>
      <c r="D9" s="38">
        <v>1</v>
      </c>
      <c r="E9" s="38">
        <v>-81</v>
      </c>
      <c r="F9" s="38">
        <v>-41</v>
      </c>
      <c r="G9" s="38">
        <v>1</v>
      </c>
      <c r="H9" s="212" t="s">
        <v>126</v>
      </c>
      <c r="I9" s="212"/>
      <c r="K9" s="214"/>
      <c r="L9" s="214"/>
    </row>
    <row r="10" spans="1:12" x14ac:dyDescent="0.25">
      <c r="A10" s="38" t="s">
        <v>127</v>
      </c>
      <c r="B10" s="38">
        <v>116</v>
      </c>
      <c r="C10" s="38">
        <v>-62</v>
      </c>
      <c r="D10" s="38">
        <v>1</v>
      </c>
      <c r="E10" s="38">
        <v>118</v>
      </c>
      <c r="F10" s="38">
        <v>-66</v>
      </c>
      <c r="G10" s="38">
        <v>1</v>
      </c>
      <c r="H10" s="212" t="s">
        <v>128</v>
      </c>
      <c r="I10" s="212"/>
    </row>
    <row r="11" spans="1:12" x14ac:dyDescent="0.25">
      <c r="A11" s="38" t="s">
        <v>129</v>
      </c>
      <c r="B11" s="38">
        <v>0</v>
      </c>
      <c r="C11" s="38">
        <v>470</v>
      </c>
      <c r="D11" s="38">
        <v>1</v>
      </c>
      <c r="E11" s="38">
        <v>0</v>
      </c>
      <c r="F11" s="38">
        <v>485</v>
      </c>
      <c r="G11" s="38">
        <v>1</v>
      </c>
      <c r="H11" s="212" t="s">
        <v>130</v>
      </c>
      <c r="I11" s="212"/>
    </row>
    <row r="12" spans="1:12" x14ac:dyDescent="0.25">
      <c r="A12" s="38" t="s">
        <v>2</v>
      </c>
      <c r="B12" s="38">
        <v>0</v>
      </c>
      <c r="C12" s="38">
        <v>220</v>
      </c>
      <c r="D12" s="38">
        <v>1</v>
      </c>
      <c r="E12" s="38">
        <v>0</v>
      </c>
      <c r="F12" s="38">
        <v>220</v>
      </c>
      <c r="G12" s="38">
        <v>1</v>
      </c>
      <c r="H12" s="212" t="s">
        <v>131</v>
      </c>
      <c r="I12" s="212"/>
    </row>
    <row r="13" spans="1:12" x14ac:dyDescent="0.25">
      <c r="A13" s="38" t="s">
        <v>3</v>
      </c>
      <c r="B13" s="38">
        <v>50</v>
      </c>
      <c r="C13" s="38">
        <v>220</v>
      </c>
      <c r="D13" s="38">
        <v>1</v>
      </c>
      <c r="E13" s="38">
        <v>50</v>
      </c>
      <c r="F13" s="38">
        <v>220</v>
      </c>
      <c r="G13" s="38">
        <v>1</v>
      </c>
      <c r="H13" s="212" t="s">
        <v>132</v>
      </c>
      <c r="I13" s="212"/>
    </row>
    <row r="14" spans="1:12" x14ac:dyDescent="0.25">
      <c r="A14" s="38" t="s">
        <v>0</v>
      </c>
      <c r="B14" s="38">
        <v>-40</v>
      </c>
      <c r="C14" s="38">
        <v>200</v>
      </c>
      <c r="D14" s="38">
        <v>1</v>
      </c>
      <c r="E14" s="38">
        <v>-40</v>
      </c>
      <c r="F14" s="38">
        <v>200</v>
      </c>
      <c r="G14" s="38">
        <v>1</v>
      </c>
      <c r="H14" s="212" t="s">
        <v>133</v>
      </c>
      <c r="I14" s="212"/>
    </row>
    <row r="15" spans="1:12" x14ac:dyDescent="0.25">
      <c r="A15" s="38" t="s">
        <v>1</v>
      </c>
      <c r="B15" s="38">
        <v>-40</v>
      </c>
      <c r="C15" s="38">
        <v>240</v>
      </c>
      <c r="D15" s="38">
        <v>1</v>
      </c>
      <c r="E15" s="38">
        <v>-40</v>
      </c>
      <c r="F15" s="38">
        <v>240</v>
      </c>
      <c r="G15" s="38">
        <v>1</v>
      </c>
      <c r="H15" s="212" t="s">
        <v>134</v>
      </c>
      <c r="I15" s="212"/>
    </row>
    <row r="16" spans="1:12" x14ac:dyDescent="0.25">
      <c r="A16" s="38" t="s">
        <v>99</v>
      </c>
      <c r="B16" s="38">
        <v>0</v>
      </c>
      <c r="C16" s="38">
        <v>-50</v>
      </c>
      <c r="D16" s="38">
        <v>1</v>
      </c>
      <c r="E16" s="38">
        <v>0</v>
      </c>
      <c r="F16" s="38">
        <v>-50</v>
      </c>
      <c r="G16" s="38">
        <v>1</v>
      </c>
      <c r="H16" s="212" t="s">
        <v>135</v>
      </c>
      <c r="I16" s="212"/>
    </row>
    <row r="17" spans="1:9" x14ac:dyDescent="0.25">
      <c r="A17" s="38" t="s">
        <v>98</v>
      </c>
      <c r="B17" s="38">
        <v>52</v>
      </c>
      <c r="C17" s="38">
        <v>0</v>
      </c>
      <c r="D17" s="38">
        <v>1</v>
      </c>
      <c r="E17" s="38">
        <v>52</v>
      </c>
      <c r="F17" s="38">
        <v>0</v>
      </c>
      <c r="G17" s="38">
        <v>1</v>
      </c>
      <c r="H17" s="212" t="s">
        <v>136</v>
      </c>
      <c r="I17" s="212"/>
    </row>
    <row r="18" spans="1:9" x14ac:dyDescent="0.25">
      <c r="A18" s="38" t="s">
        <v>4</v>
      </c>
      <c r="B18" s="38">
        <v>-35</v>
      </c>
      <c r="C18" s="38">
        <v>-62</v>
      </c>
      <c r="D18" s="38">
        <v>1</v>
      </c>
      <c r="E18" s="38">
        <v>-35</v>
      </c>
      <c r="F18" s="38">
        <v>-66</v>
      </c>
      <c r="G18" s="38">
        <v>1</v>
      </c>
      <c r="H18" s="212" t="s">
        <v>137</v>
      </c>
      <c r="I18" s="212"/>
    </row>
    <row r="19" spans="1:9" x14ac:dyDescent="0.25">
      <c r="A19" s="38" t="s">
        <v>5</v>
      </c>
      <c r="B19" s="38">
        <v>105</v>
      </c>
      <c r="C19" s="38">
        <v>-62</v>
      </c>
      <c r="D19" s="38">
        <v>1</v>
      </c>
      <c r="E19" s="38">
        <v>105</v>
      </c>
      <c r="F19" s="38">
        <v>-66</v>
      </c>
      <c r="G19" s="38">
        <v>1</v>
      </c>
      <c r="H19" s="212" t="s">
        <v>138</v>
      </c>
      <c r="I19" s="212"/>
    </row>
  </sheetData>
  <mergeCells count="28">
    <mergeCell ref="H1:K2"/>
    <mergeCell ref="B4:D5"/>
    <mergeCell ref="E4:G5"/>
    <mergeCell ref="K4:L5"/>
    <mergeCell ref="A6:A7"/>
    <mergeCell ref="B6:B7"/>
    <mergeCell ref="C6:C7"/>
    <mergeCell ref="D6:D7"/>
    <mergeCell ref="E6:E7"/>
    <mergeCell ref="F6:F7"/>
    <mergeCell ref="G6:G7"/>
    <mergeCell ref="H6:I7"/>
    <mergeCell ref="K6:K7"/>
    <mergeCell ref="L6:L7"/>
    <mergeCell ref="H8:I8"/>
    <mergeCell ref="K8:K9"/>
    <mergeCell ref="L8:L9"/>
    <mergeCell ref="H9:I9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H15:I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H3" sqref="H3"/>
    </sheetView>
  </sheetViews>
  <sheetFormatPr defaultRowHeight="15" x14ac:dyDescent="0.25"/>
  <sheetData>
    <row r="1" spans="1:12" ht="21" customHeight="1" x14ac:dyDescent="0.25">
      <c r="H1" s="215" t="s">
        <v>141</v>
      </c>
      <c r="I1" s="216"/>
      <c r="J1" s="216"/>
      <c r="K1" s="180"/>
    </row>
    <row r="2" spans="1:12" ht="21" customHeight="1" x14ac:dyDescent="0.25">
      <c r="H2" s="181"/>
      <c r="I2" s="217"/>
      <c r="J2" s="217"/>
      <c r="K2" s="182"/>
    </row>
    <row r="4" spans="1:12" x14ac:dyDescent="0.25">
      <c r="B4" s="218" t="s">
        <v>113</v>
      </c>
      <c r="C4" s="219"/>
      <c r="D4" s="220"/>
      <c r="E4" s="218" t="s">
        <v>114</v>
      </c>
      <c r="F4" s="224"/>
      <c r="G4" s="225"/>
      <c r="K4" s="229" t="s">
        <v>115</v>
      </c>
      <c r="L4" s="230"/>
    </row>
    <row r="5" spans="1:12" x14ac:dyDescent="0.25">
      <c r="B5" s="221"/>
      <c r="C5" s="222"/>
      <c r="D5" s="223"/>
      <c r="E5" s="226"/>
      <c r="F5" s="227"/>
      <c r="G5" s="228"/>
      <c r="K5" s="231"/>
      <c r="L5" s="232"/>
    </row>
    <row r="6" spans="1:12" x14ac:dyDescent="0.25">
      <c r="A6" s="201" t="s">
        <v>42</v>
      </c>
      <c r="B6" s="201" t="s">
        <v>116</v>
      </c>
      <c r="C6" s="201" t="s">
        <v>117</v>
      </c>
      <c r="D6" s="201" t="s">
        <v>118</v>
      </c>
      <c r="E6" s="201" t="s">
        <v>116</v>
      </c>
      <c r="F6" s="201" t="s">
        <v>117</v>
      </c>
      <c r="G6" s="201" t="s">
        <v>118</v>
      </c>
      <c r="H6" s="120" t="s">
        <v>119</v>
      </c>
      <c r="I6" s="121"/>
      <c r="K6" s="213" t="s">
        <v>120</v>
      </c>
      <c r="L6" s="213" t="s">
        <v>121</v>
      </c>
    </row>
    <row r="7" spans="1:12" x14ac:dyDescent="0.25">
      <c r="A7" s="202"/>
      <c r="B7" s="202"/>
      <c r="C7" s="202"/>
      <c r="D7" s="202"/>
      <c r="E7" s="202"/>
      <c r="F7" s="202"/>
      <c r="G7" s="202"/>
      <c r="H7" s="124"/>
      <c r="I7" s="125"/>
      <c r="K7" s="233"/>
      <c r="L7" s="233"/>
    </row>
    <row r="8" spans="1:12" x14ac:dyDescent="0.25">
      <c r="A8" s="38" t="s">
        <v>63</v>
      </c>
      <c r="B8" s="38">
        <v>0</v>
      </c>
      <c r="C8" s="38">
        <v>0</v>
      </c>
      <c r="D8" s="38">
        <v>1</v>
      </c>
      <c r="E8" s="38">
        <v>0</v>
      </c>
      <c r="F8" s="38">
        <v>0</v>
      </c>
      <c r="G8" s="38">
        <v>1</v>
      </c>
      <c r="H8" s="212" t="s">
        <v>122</v>
      </c>
      <c r="I8" s="212"/>
      <c r="K8" s="213" t="s">
        <v>123</v>
      </c>
      <c r="L8" s="213" t="s">
        <v>124</v>
      </c>
    </row>
    <row r="9" spans="1:12" x14ac:dyDescent="0.25">
      <c r="A9" s="38" t="s">
        <v>125</v>
      </c>
      <c r="B9" s="38">
        <v>-70</v>
      </c>
      <c r="C9" s="38">
        <v>-51</v>
      </c>
      <c r="D9" s="38">
        <v>1</v>
      </c>
      <c r="E9" s="38">
        <v>-75</v>
      </c>
      <c r="F9" s="38">
        <v>-48</v>
      </c>
      <c r="G9" s="38">
        <v>1</v>
      </c>
      <c r="H9" s="212" t="s">
        <v>126</v>
      </c>
      <c r="I9" s="212"/>
      <c r="K9" s="214"/>
      <c r="L9" s="214"/>
    </row>
    <row r="10" spans="1:12" x14ac:dyDescent="0.25">
      <c r="A10" s="38" t="s">
        <v>127</v>
      </c>
      <c r="B10" s="38">
        <v>114</v>
      </c>
      <c r="C10" s="38">
        <v>-70</v>
      </c>
      <c r="D10" s="38">
        <v>1</v>
      </c>
      <c r="E10" s="38">
        <v>102</v>
      </c>
      <c r="F10" s="38">
        <v>-76</v>
      </c>
      <c r="G10" s="38">
        <v>1</v>
      </c>
      <c r="H10" s="212" t="s">
        <v>128</v>
      </c>
      <c r="I10" s="212"/>
    </row>
    <row r="11" spans="1:12" x14ac:dyDescent="0.25">
      <c r="A11" s="38" t="s">
        <v>129</v>
      </c>
      <c r="B11" s="38">
        <v>0</v>
      </c>
      <c r="C11" s="38">
        <v>462</v>
      </c>
      <c r="D11" s="38">
        <v>1</v>
      </c>
      <c r="E11" s="38">
        <v>0</v>
      </c>
      <c r="F11" s="38">
        <v>449</v>
      </c>
      <c r="G11" s="38">
        <v>1</v>
      </c>
      <c r="H11" s="212" t="s">
        <v>130</v>
      </c>
      <c r="I11" s="212"/>
    </row>
    <row r="12" spans="1:12" x14ac:dyDescent="0.25">
      <c r="A12" s="38" t="s">
        <v>2</v>
      </c>
      <c r="B12" s="38">
        <v>0</v>
      </c>
      <c r="C12" s="38">
        <v>220</v>
      </c>
      <c r="D12" s="38">
        <v>1</v>
      </c>
      <c r="E12" s="38">
        <v>0</v>
      </c>
      <c r="F12" s="38">
        <v>220</v>
      </c>
      <c r="G12" s="38">
        <v>1</v>
      </c>
      <c r="H12" s="212" t="s">
        <v>131</v>
      </c>
      <c r="I12" s="212"/>
    </row>
    <row r="13" spans="1:12" x14ac:dyDescent="0.25">
      <c r="A13" s="38" t="s">
        <v>3</v>
      </c>
      <c r="B13" s="38">
        <v>50</v>
      </c>
      <c r="C13" s="38">
        <v>220</v>
      </c>
      <c r="D13" s="38">
        <v>1</v>
      </c>
      <c r="E13" s="38">
        <v>50</v>
      </c>
      <c r="F13" s="38">
        <v>220</v>
      </c>
      <c r="G13" s="38">
        <v>1</v>
      </c>
      <c r="H13" s="212" t="s">
        <v>132</v>
      </c>
      <c r="I13" s="212"/>
    </row>
    <row r="14" spans="1:12" x14ac:dyDescent="0.25">
      <c r="A14" s="38" t="s">
        <v>0</v>
      </c>
      <c r="B14" s="38">
        <v>-40</v>
      </c>
      <c r="C14" s="38">
        <v>200</v>
      </c>
      <c r="D14" s="38">
        <v>1</v>
      </c>
      <c r="E14" s="38">
        <v>-40</v>
      </c>
      <c r="F14" s="38">
        <v>200</v>
      </c>
      <c r="G14" s="38">
        <v>1</v>
      </c>
      <c r="H14" s="212" t="s">
        <v>133</v>
      </c>
      <c r="I14" s="212"/>
    </row>
    <row r="15" spans="1:12" x14ac:dyDescent="0.25">
      <c r="A15" s="38" t="s">
        <v>1</v>
      </c>
      <c r="B15" s="38">
        <v>-40</v>
      </c>
      <c r="C15" s="38">
        <v>240</v>
      </c>
      <c r="D15" s="38">
        <v>1</v>
      </c>
      <c r="E15" s="38">
        <v>-40</v>
      </c>
      <c r="F15" s="38">
        <v>240</v>
      </c>
      <c r="G15" s="38">
        <v>1</v>
      </c>
      <c r="H15" s="212" t="s">
        <v>134</v>
      </c>
      <c r="I15" s="212"/>
    </row>
    <row r="16" spans="1:12" x14ac:dyDescent="0.25">
      <c r="A16" s="38" t="s">
        <v>99</v>
      </c>
      <c r="B16" s="38">
        <v>0</v>
      </c>
      <c r="C16" s="38">
        <v>-50</v>
      </c>
      <c r="D16" s="38">
        <v>1</v>
      </c>
      <c r="E16" s="38">
        <v>0</v>
      </c>
      <c r="F16" s="38">
        <v>-50</v>
      </c>
      <c r="G16" s="38">
        <v>1</v>
      </c>
      <c r="H16" s="212" t="s">
        <v>135</v>
      </c>
      <c r="I16" s="212"/>
    </row>
    <row r="17" spans="1:9" x14ac:dyDescent="0.25">
      <c r="A17" s="38" t="s">
        <v>98</v>
      </c>
      <c r="B17" s="38">
        <v>52</v>
      </c>
      <c r="C17" s="38">
        <v>0</v>
      </c>
      <c r="D17" s="38">
        <v>1</v>
      </c>
      <c r="E17" s="38">
        <v>52</v>
      </c>
      <c r="F17" s="38">
        <v>0</v>
      </c>
      <c r="G17" s="38">
        <v>1</v>
      </c>
      <c r="H17" s="212" t="s">
        <v>136</v>
      </c>
      <c r="I17" s="212"/>
    </row>
    <row r="18" spans="1:9" x14ac:dyDescent="0.25">
      <c r="A18" s="38" t="s">
        <v>4</v>
      </c>
      <c r="B18" s="38">
        <v>-35</v>
      </c>
      <c r="C18" s="38">
        <v>-70</v>
      </c>
      <c r="D18" s="38">
        <v>1</v>
      </c>
      <c r="E18" s="38">
        <v>-35</v>
      </c>
      <c r="F18" s="38">
        <v>-76</v>
      </c>
      <c r="G18" s="38">
        <v>1</v>
      </c>
      <c r="H18" s="212" t="s">
        <v>137</v>
      </c>
      <c r="I18" s="212"/>
    </row>
    <row r="19" spans="1:9" x14ac:dyDescent="0.25">
      <c r="A19" s="38" t="s">
        <v>5</v>
      </c>
      <c r="B19" s="38">
        <v>98</v>
      </c>
      <c r="C19" s="38">
        <v>-70</v>
      </c>
      <c r="D19" s="38">
        <v>1</v>
      </c>
      <c r="E19" s="38">
        <v>98</v>
      </c>
      <c r="F19" s="38">
        <v>-76</v>
      </c>
      <c r="G19" s="38">
        <v>1</v>
      </c>
      <c r="H19" s="212" t="s">
        <v>138</v>
      </c>
      <c r="I19" s="212"/>
    </row>
  </sheetData>
  <mergeCells count="28">
    <mergeCell ref="H1:K2"/>
    <mergeCell ref="B4:D5"/>
    <mergeCell ref="E4:G5"/>
    <mergeCell ref="K4:L5"/>
    <mergeCell ref="A6:A7"/>
    <mergeCell ref="B6:B7"/>
    <mergeCell ref="C6:C7"/>
    <mergeCell ref="D6:D7"/>
    <mergeCell ref="E6:E7"/>
    <mergeCell ref="F6:F7"/>
    <mergeCell ref="G6:G7"/>
    <mergeCell ref="H6:I7"/>
    <mergeCell ref="K6:K7"/>
    <mergeCell ref="L6:L7"/>
    <mergeCell ref="H8:I8"/>
    <mergeCell ref="K8:K9"/>
    <mergeCell ref="L8:L9"/>
    <mergeCell ref="H9:I9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H15:I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H3" sqref="H3"/>
    </sheetView>
  </sheetViews>
  <sheetFormatPr defaultRowHeight="15" x14ac:dyDescent="0.25"/>
  <sheetData>
    <row r="1" spans="1:12" x14ac:dyDescent="0.25">
      <c r="H1" s="215" t="s">
        <v>142</v>
      </c>
      <c r="I1" s="216"/>
      <c r="J1" s="216"/>
      <c r="K1" s="180"/>
    </row>
    <row r="2" spans="1:12" x14ac:dyDescent="0.25">
      <c r="H2" s="181"/>
      <c r="I2" s="217"/>
      <c r="J2" s="217"/>
      <c r="K2" s="182"/>
    </row>
    <row r="4" spans="1:12" x14ac:dyDescent="0.25">
      <c r="B4" s="218" t="s">
        <v>113</v>
      </c>
      <c r="C4" s="219"/>
      <c r="D4" s="220"/>
      <c r="E4" s="218" t="s">
        <v>114</v>
      </c>
      <c r="F4" s="224"/>
      <c r="G4" s="225"/>
      <c r="K4" s="229" t="s">
        <v>115</v>
      </c>
      <c r="L4" s="230"/>
    </row>
    <row r="5" spans="1:12" x14ac:dyDescent="0.25">
      <c r="B5" s="221"/>
      <c r="C5" s="222"/>
      <c r="D5" s="223"/>
      <c r="E5" s="226"/>
      <c r="F5" s="227"/>
      <c r="G5" s="228"/>
      <c r="K5" s="231"/>
      <c r="L5" s="232"/>
    </row>
    <row r="6" spans="1:12" x14ac:dyDescent="0.25">
      <c r="A6" s="201" t="s">
        <v>42</v>
      </c>
      <c r="B6" s="201" t="s">
        <v>116</v>
      </c>
      <c r="C6" s="201" t="s">
        <v>117</v>
      </c>
      <c r="D6" s="201" t="s">
        <v>118</v>
      </c>
      <c r="E6" s="201" t="s">
        <v>116</v>
      </c>
      <c r="F6" s="201" t="s">
        <v>117</v>
      </c>
      <c r="G6" s="201" t="s">
        <v>118</v>
      </c>
      <c r="H6" s="120" t="s">
        <v>119</v>
      </c>
      <c r="I6" s="121"/>
      <c r="K6" s="213" t="s">
        <v>120</v>
      </c>
      <c r="L6" s="213" t="s">
        <v>121</v>
      </c>
    </row>
    <row r="7" spans="1:12" x14ac:dyDescent="0.25">
      <c r="A7" s="202"/>
      <c r="B7" s="202"/>
      <c r="C7" s="202"/>
      <c r="D7" s="202"/>
      <c r="E7" s="202"/>
      <c r="F7" s="202"/>
      <c r="G7" s="202"/>
      <c r="H7" s="124"/>
      <c r="I7" s="125"/>
      <c r="K7" s="233"/>
      <c r="L7" s="233"/>
    </row>
    <row r="8" spans="1:12" x14ac:dyDescent="0.25">
      <c r="A8" s="38" t="s">
        <v>63</v>
      </c>
      <c r="B8" s="38">
        <v>0</v>
      </c>
      <c r="C8" s="38">
        <v>0</v>
      </c>
      <c r="D8" s="38">
        <v>1</v>
      </c>
      <c r="E8" s="38">
        <v>0</v>
      </c>
      <c r="F8" s="38">
        <v>0</v>
      </c>
      <c r="G8" s="38">
        <v>1</v>
      </c>
      <c r="H8" s="212" t="s">
        <v>122</v>
      </c>
      <c r="I8" s="212"/>
      <c r="K8" s="213" t="s">
        <v>123</v>
      </c>
      <c r="L8" s="213" t="s">
        <v>124</v>
      </c>
    </row>
    <row r="9" spans="1:12" x14ac:dyDescent="0.25">
      <c r="A9" s="38" t="s">
        <v>125</v>
      </c>
      <c r="B9" s="38">
        <v>-62</v>
      </c>
      <c r="C9" s="38">
        <v>-44</v>
      </c>
      <c r="D9" s="38">
        <v>1</v>
      </c>
      <c r="E9" s="38">
        <v>-54</v>
      </c>
      <c r="F9" s="38">
        <v>-50</v>
      </c>
      <c r="G9" s="38">
        <v>1</v>
      </c>
      <c r="H9" s="212" t="s">
        <v>126</v>
      </c>
      <c r="I9" s="212"/>
      <c r="K9" s="214"/>
      <c r="L9" s="214"/>
    </row>
    <row r="10" spans="1:12" x14ac:dyDescent="0.25">
      <c r="A10" s="38" t="s">
        <v>127</v>
      </c>
      <c r="B10" s="38">
        <v>124</v>
      </c>
      <c r="C10" s="38">
        <v>-74</v>
      </c>
      <c r="D10" s="38">
        <v>1</v>
      </c>
      <c r="E10" s="38">
        <v>133</v>
      </c>
      <c r="F10" s="38">
        <v>-80</v>
      </c>
      <c r="G10" s="38">
        <v>1</v>
      </c>
      <c r="H10" s="212" t="s">
        <v>128</v>
      </c>
      <c r="I10" s="212"/>
    </row>
    <row r="11" spans="1:12" x14ac:dyDescent="0.25">
      <c r="A11" s="38" t="s">
        <v>129</v>
      </c>
      <c r="B11" s="38">
        <v>0</v>
      </c>
      <c r="C11" s="38">
        <v>482</v>
      </c>
      <c r="D11" s="38">
        <v>1</v>
      </c>
      <c r="E11" s="38">
        <v>0</v>
      </c>
      <c r="F11" s="38">
        <v>460</v>
      </c>
      <c r="G11" s="38">
        <v>1</v>
      </c>
      <c r="H11" s="212" t="s">
        <v>130</v>
      </c>
      <c r="I11" s="212"/>
    </row>
    <row r="12" spans="1:12" x14ac:dyDescent="0.25">
      <c r="A12" s="38" t="s">
        <v>2</v>
      </c>
      <c r="B12" s="38">
        <v>0</v>
      </c>
      <c r="C12" s="38">
        <v>220</v>
      </c>
      <c r="D12" s="38">
        <v>1</v>
      </c>
      <c r="E12" s="38">
        <v>0</v>
      </c>
      <c r="F12" s="38">
        <v>220</v>
      </c>
      <c r="G12" s="38">
        <v>1</v>
      </c>
      <c r="H12" s="212" t="s">
        <v>131</v>
      </c>
      <c r="I12" s="212"/>
    </row>
    <row r="13" spans="1:12" x14ac:dyDescent="0.25">
      <c r="A13" s="38" t="s">
        <v>3</v>
      </c>
      <c r="B13" s="38">
        <v>50</v>
      </c>
      <c r="C13" s="38">
        <v>220</v>
      </c>
      <c r="D13" s="38">
        <v>1</v>
      </c>
      <c r="E13" s="38">
        <v>50</v>
      </c>
      <c r="F13" s="38">
        <v>220</v>
      </c>
      <c r="G13" s="38">
        <v>1</v>
      </c>
      <c r="H13" s="212" t="s">
        <v>132</v>
      </c>
      <c r="I13" s="212"/>
    </row>
    <row r="14" spans="1:12" x14ac:dyDescent="0.25">
      <c r="A14" s="38" t="s">
        <v>0</v>
      </c>
      <c r="B14" s="38">
        <v>-40</v>
      </c>
      <c r="C14" s="38">
        <v>200</v>
      </c>
      <c r="D14" s="38">
        <v>1</v>
      </c>
      <c r="E14" s="38">
        <v>-40</v>
      </c>
      <c r="F14" s="38">
        <v>200</v>
      </c>
      <c r="G14" s="38">
        <v>1</v>
      </c>
      <c r="H14" s="212" t="s">
        <v>133</v>
      </c>
      <c r="I14" s="212"/>
    </row>
    <row r="15" spans="1:12" x14ac:dyDescent="0.25">
      <c r="A15" s="38" t="s">
        <v>1</v>
      </c>
      <c r="B15" s="38">
        <v>-40</v>
      </c>
      <c r="C15" s="38">
        <v>240</v>
      </c>
      <c r="D15" s="38">
        <v>1</v>
      </c>
      <c r="E15" s="38">
        <v>-40</v>
      </c>
      <c r="F15" s="38">
        <v>240</v>
      </c>
      <c r="G15" s="38">
        <v>1</v>
      </c>
      <c r="H15" s="212" t="s">
        <v>134</v>
      </c>
      <c r="I15" s="212"/>
    </row>
    <row r="16" spans="1:12" x14ac:dyDescent="0.25">
      <c r="A16" s="38" t="s">
        <v>99</v>
      </c>
      <c r="B16" s="38">
        <v>0</v>
      </c>
      <c r="C16" s="38">
        <v>-50</v>
      </c>
      <c r="D16" s="38">
        <v>1</v>
      </c>
      <c r="E16" s="38">
        <v>0</v>
      </c>
      <c r="F16" s="38">
        <v>-50</v>
      </c>
      <c r="G16" s="38">
        <v>1</v>
      </c>
      <c r="H16" s="212" t="s">
        <v>135</v>
      </c>
      <c r="I16" s="212"/>
    </row>
    <row r="17" spans="1:9" x14ac:dyDescent="0.25">
      <c r="A17" s="38" t="s">
        <v>98</v>
      </c>
      <c r="B17" s="38">
        <v>52</v>
      </c>
      <c r="C17" s="38">
        <v>0</v>
      </c>
      <c r="D17" s="38">
        <v>1</v>
      </c>
      <c r="E17" s="38">
        <v>52</v>
      </c>
      <c r="F17" s="38">
        <v>0</v>
      </c>
      <c r="G17" s="38">
        <v>1</v>
      </c>
      <c r="H17" s="212" t="s">
        <v>136</v>
      </c>
      <c r="I17" s="212"/>
    </row>
    <row r="18" spans="1:9" x14ac:dyDescent="0.25">
      <c r="A18" s="38" t="s">
        <v>4</v>
      </c>
      <c r="B18" s="38">
        <v>-35</v>
      </c>
      <c r="C18" s="38">
        <v>-74</v>
      </c>
      <c r="D18" s="38">
        <v>1</v>
      </c>
      <c r="E18" s="38">
        <v>-35</v>
      </c>
      <c r="F18" s="38">
        <v>-80</v>
      </c>
      <c r="G18" s="38">
        <v>1</v>
      </c>
      <c r="H18" s="212" t="s">
        <v>137</v>
      </c>
      <c r="I18" s="212"/>
    </row>
    <row r="19" spans="1:9" x14ac:dyDescent="0.25">
      <c r="A19" s="38" t="s">
        <v>5</v>
      </c>
      <c r="B19" s="38">
        <v>110</v>
      </c>
      <c r="C19" s="38">
        <v>-74</v>
      </c>
      <c r="D19" s="38">
        <v>1</v>
      </c>
      <c r="E19" s="38">
        <v>110</v>
      </c>
      <c r="F19" s="38">
        <v>-80</v>
      </c>
      <c r="G19" s="38">
        <v>1</v>
      </c>
      <c r="H19" s="212" t="s">
        <v>138</v>
      </c>
      <c r="I19" s="212"/>
    </row>
  </sheetData>
  <mergeCells count="28">
    <mergeCell ref="H1:K2"/>
    <mergeCell ref="B4:D5"/>
    <mergeCell ref="E4:G5"/>
    <mergeCell ref="K4:L5"/>
    <mergeCell ref="A6:A7"/>
    <mergeCell ref="B6:B7"/>
    <mergeCell ref="C6:C7"/>
    <mergeCell ref="D6:D7"/>
    <mergeCell ref="E6:E7"/>
    <mergeCell ref="F6:F7"/>
    <mergeCell ref="G6:G7"/>
    <mergeCell ref="H6:I7"/>
    <mergeCell ref="K6:K7"/>
    <mergeCell ref="L6:L7"/>
    <mergeCell ref="H8:I8"/>
    <mergeCell ref="K8:K9"/>
    <mergeCell ref="L8:L9"/>
    <mergeCell ref="H9:I9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H15:I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5" x14ac:dyDescent="0.25"/>
  <sheetData>
    <row r="1" spans="1:12" x14ac:dyDescent="0.25">
      <c r="H1" s="215" t="s">
        <v>143</v>
      </c>
      <c r="I1" s="216"/>
      <c r="J1" s="216"/>
      <c r="K1" s="180"/>
    </row>
    <row r="2" spans="1:12" x14ac:dyDescent="0.25">
      <c r="H2" s="181"/>
      <c r="I2" s="217"/>
      <c r="J2" s="217"/>
      <c r="K2" s="182"/>
    </row>
    <row r="4" spans="1:12" x14ac:dyDescent="0.25">
      <c r="B4" s="218" t="s">
        <v>113</v>
      </c>
      <c r="C4" s="219"/>
      <c r="D4" s="220"/>
      <c r="E4" s="218" t="s">
        <v>114</v>
      </c>
      <c r="F4" s="224"/>
      <c r="G4" s="225"/>
      <c r="K4" s="229" t="s">
        <v>115</v>
      </c>
      <c r="L4" s="230"/>
    </row>
    <row r="5" spans="1:12" x14ac:dyDescent="0.25">
      <c r="B5" s="221"/>
      <c r="C5" s="222"/>
      <c r="D5" s="223"/>
      <c r="E5" s="226"/>
      <c r="F5" s="227"/>
      <c r="G5" s="228"/>
      <c r="K5" s="231"/>
      <c r="L5" s="232"/>
    </row>
    <row r="6" spans="1:12" x14ac:dyDescent="0.25">
      <c r="A6" s="201" t="s">
        <v>42</v>
      </c>
      <c r="B6" s="201" t="s">
        <v>116</v>
      </c>
      <c r="C6" s="201" t="s">
        <v>117</v>
      </c>
      <c r="D6" s="201" t="s">
        <v>118</v>
      </c>
      <c r="E6" s="201" t="s">
        <v>116</v>
      </c>
      <c r="F6" s="201" t="s">
        <v>117</v>
      </c>
      <c r="G6" s="201" t="s">
        <v>118</v>
      </c>
      <c r="H6" s="120" t="s">
        <v>119</v>
      </c>
      <c r="I6" s="121"/>
      <c r="K6" s="213" t="s">
        <v>120</v>
      </c>
      <c r="L6" s="213" t="s">
        <v>121</v>
      </c>
    </row>
    <row r="7" spans="1:12" x14ac:dyDescent="0.25">
      <c r="A7" s="202"/>
      <c r="B7" s="202"/>
      <c r="C7" s="202"/>
      <c r="D7" s="202"/>
      <c r="E7" s="202"/>
      <c r="F7" s="202"/>
      <c r="G7" s="202"/>
      <c r="H7" s="124"/>
      <c r="I7" s="125"/>
      <c r="K7" s="233"/>
      <c r="L7" s="233"/>
    </row>
    <row r="8" spans="1:12" x14ac:dyDescent="0.25">
      <c r="A8" s="38" t="s">
        <v>63</v>
      </c>
      <c r="B8" s="38">
        <v>0</v>
      </c>
      <c r="C8" s="38">
        <v>0</v>
      </c>
      <c r="D8" s="38">
        <v>1</v>
      </c>
      <c r="E8" s="38">
        <v>0</v>
      </c>
      <c r="F8" s="38">
        <v>0</v>
      </c>
      <c r="G8" s="38">
        <v>1</v>
      </c>
      <c r="H8" s="212" t="s">
        <v>122</v>
      </c>
      <c r="I8" s="212"/>
      <c r="K8" s="213" t="s">
        <v>123</v>
      </c>
      <c r="L8" s="213" t="s">
        <v>124</v>
      </c>
    </row>
    <row r="9" spans="1:12" x14ac:dyDescent="0.25">
      <c r="A9" s="38" t="s">
        <v>125</v>
      </c>
      <c r="B9" s="38">
        <v>-73</v>
      </c>
      <c r="C9" s="38">
        <v>-31</v>
      </c>
      <c r="D9" s="38">
        <v>1</v>
      </c>
      <c r="E9" s="38">
        <v>-75</v>
      </c>
      <c r="F9" s="38">
        <v>-25</v>
      </c>
      <c r="G9" s="38">
        <v>1</v>
      </c>
      <c r="H9" s="212" t="s">
        <v>126</v>
      </c>
      <c r="I9" s="212"/>
      <c r="K9" s="214"/>
      <c r="L9" s="214"/>
    </row>
    <row r="10" spans="1:12" x14ac:dyDescent="0.25">
      <c r="A10" s="38" t="s">
        <v>127</v>
      </c>
      <c r="B10" s="38">
        <v>127</v>
      </c>
      <c r="C10" s="38">
        <v>-70</v>
      </c>
      <c r="D10" s="38">
        <v>1</v>
      </c>
      <c r="E10" s="38">
        <v>129</v>
      </c>
      <c r="F10" s="38">
        <v>-65</v>
      </c>
      <c r="G10" s="38">
        <v>1</v>
      </c>
      <c r="H10" s="212" t="s">
        <v>128</v>
      </c>
      <c r="I10" s="212"/>
    </row>
    <row r="11" spans="1:12" x14ac:dyDescent="0.25">
      <c r="A11" s="38" t="s">
        <v>129</v>
      </c>
      <c r="B11" s="38">
        <v>0</v>
      </c>
      <c r="C11" s="38">
        <v>441</v>
      </c>
      <c r="D11" s="38">
        <v>1</v>
      </c>
      <c r="E11" s="38">
        <v>0</v>
      </c>
      <c r="F11" s="38">
        <v>424</v>
      </c>
      <c r="G11" s="38">
        <v>1</v>
      </c>
      <c r="H11" s="212" t="s">
        <v>130</v>
      </c>
      <c r="I11" s="212"/>
    </row>
    <row r="12" spans="1:12" x14ac:dyDescent="0.25">
      <c r="A12" s="38" t="s">
        <v>2</v>
      </c>
      <c r="B12" s="38">
        <v>0</v>
      </c>
      <c r="C12" s="38">
        <v>220</v>
      </c>
      <c r="D12" s="38">
        <v>1</v>
      </c>
      <c r="E12" s="38">
        <v>0</v>
      </c>
      <c r="F12" s="38">
        <v>220</v>
      </c>
      <c r="G12" s="38">
        <v>1</v>
      </c>
      <c r="H12" s="212" t="s">
        <v>131</v>
      </c>
      <c r="I12" s="212"/>
    </row>
    <row r="13" spans="1:12" x14ac:dyDescent="0.25">
      <c r="A13" s="38" t="s">
        <v>3</v>
      </c>
      <c r="B13" s="38">
        <v>50</v>
      </c>
      <c r="C13" s="38">
        <v>220</v>
      </c>
      <c r="D13" s="38">
        <v>1</v>
      </c>
      <c r="E13" s="38">
        <v>50</v>
      </c>
      <c r="F13" s="38">
        <v>220</v>
      </c>
      <c r="G13" s="38">
        <v>1</v>
      </c>
      <c r="H13" s="212" t="s">
        <v>132</v>
      </c>
      <c r="I13" s="212"/>
    </row>
    <row r="14" spans="1:12" x14ac:dyDescent="0.25">
      <c r="A14" s="38" t="s">
        <v>0</v>
      </c>
      <c r="B14" s="38">
        <v>-40</v>
      </c>
      <c r="C14" s="38">
        <v>200</v>
      </c>
      <c r="D14" s="38">
        <v>1</v>
      </c>
      <c r="E14" s="38">
        <v>-40</v>
      </c>
      <c r="F14" s="38">
        <v>200</v>
      </c>
      <c r="G14" s="38">
        <v>1</v>
      </c>
      <c r="H14" s="212" t="s">
        <v>133</v>
      </c>
      <c r="I14" s="212"/>
    </row>
    <row r="15" spans="1:12" x14ac:dyDescent="0.25">
      <c r="A15" s="38" t="s">
        <v>1</v>
      </c>
      <c r="B15" s="38">
        <v>-40</v>
      </c>
      <c r="C15" s="38">
        <v>240</v>
      </c>
      <c r="D15" s="38">
        <v>1</v>
      </c>
      <c r="E15" s="38">
        <v>-40</v>
      </c>
      <c r="F15" s="38">
        <v>240</v>
      </c>
      <c r="G15" s="38">
        <v>1</v>
      </c>
      <c r="H15" s="212" t="s">
        <v>134</v>
      </c>
      <c r="I15" s="212"/>
    </row>
    <row r="16" spans="1:12" x14ac:dyDescent="0.25">
      <c r="A16" s="38" t="s">
        <v>99</v>
      </c>
      <c r="B16" s="38">
        <v>0</v>
      </c>
      <c r="C16" s="38">
        <v>-50</v>
      </c>
      <c r="D16" s="38">
        <v>1</v>
      </c>
      <c r="E16" s="38">
        <v>0</v>
      </c>
      <c r="F16" s="38">
        <v>-50</v>
      </c>
      <c r="G16" s="38">
        <v>1</v>
      </c>
      <c r="H16" s="212" t="s">
        <v>135</v>
      </c>
      <c r="I16" s="212"/>
    </row>
    <row r="17" spans="1:9" x14ac:dyDescent="0.25">
      <c r="A17" s="38" t="s">
        <v>98</v>
      </c>
      <c r="B17" s="38">
        <v>52</v>
      </c>
      <c r="C17" s="38">
        <v>0</v>
      </c>
      <c r="D17" s="38">
        <v>1</v>
      </c>
      <c r="E17" s="38">
        <v>52</v>
      </c>
      <c r="F17" s="38">
        <v>0</v>
      </c>
      <c r="G17" s="38">
        <v>1</v>
      </c>
      <c r="H17" s="212" t="s">
        <v>136</v>
      </c>
      <c r="I17" s="212"/>
    </row>
    <row r="18" spans="1:9" x14ac:dyDescent="0.25">
      <c r="A18" s="38" t="s">
        <v>4</v>
      </c>
      <c r="B18" s="38">
        <v>-35</v>
      </c>
      <c r="C18" s="38">
        <v>-70</v>
      </c>
      <c r="D18" s="38">
        <v>1</v>
      </c>
      <c r="E18" s="38">
        <v>-35</v>
      </c>
      <c r="F18" s="38">
        <v>-65</v>
      </c>
      <c r="G18" s="38">
        <v>1</v>
      </c>
      <c r="H18" s="212" t="s">
        <v>137</v>
      </c>
      <c r="I18" s="212"/>
    </row>
    <row r="19" spans="1:9" x14ac:dyDescent="0.25">
      <c r="A19" s="38" t="s">
        <v>5</v>
      </c>
      <c r="B19" s="38">
        <v>110</v>
      </c>
      <c r="C19" s="38">
        <v>-70</v>
      </c>
      <c r="D19" s="38">
        <v>1</v>
      </c>
      <c r="E19" s="38">
        <v>110</v>
      </c>
      <c r="F19" s="38">
        <v>-65</v>
      </c>
      <c r="G19" s="38">
        <v>1</v>
      </c>
      <c r="H19" s="212" t="s">
        <v>138</v>
      </c>
      <c r="I19" s="212"/>
    </row>
  </sheetData>
  <mergeCells count="28">
    <mergeCell ref="H17:I17"/>
    <mergeCell ref="H18:I18"/>
    <mergeCell ref="H19:I19"/>
    <mergeCell ref="H10:I10"/>
    <mergeCell ref="H11:I11"/>
    <mergeCell ref="H12:I12"/>
    <mergeCell ref="H13:I13"/>
    <mergeCell ref="H14:I14"/>
    <mergeCell ref="H15:I15"/>
    <mergeCell ref="H8:I8"/>
    <mergeCell ref="K8:K9"/>
    <mergeCell ref="L8:L9"/>
    <mergeCell ref="H9:I9"/>
    <mergeCell ref="H16:I16"/>
    <mergeCell ref="H1:K2"/>
    <mergeCell ref="B4:D5"/>
    <mergeCell ref="E4:G5"/>
    <mergeCell ref="K4:L5"/>
    <mergeCell ref="A6:A7"/>
    <mergeCell ref="B6:B7"/>
    <mergeCell ref="C6:C7"/>
    <mergeCell ref="D6:D7"/>
    <mergeCell ref="E6:E7"/>
    <mergeCell ref="F6:F7"/>
    <mergeCell ref="G6:G7"/>
    <mergeCell ref="H6:I7"/>
    <mergeCell ref="K6:K7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Analysis</vt:lpstr>
      <vt:lpstr>Model-1</vt:lpstr>
      <vt:lpstr>Model-2</vt:lpstr>
      <vt:lpstr>Model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2022-08-12T09:27:06Z</dcterms:modified>
</cp:coreProperties>
</file>