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nalysis" sheetId="1" r:id="rId1"/>
    <sheet name="Model" sheetId="8" r:id="rId2"/>
    <sheet name="Simulation" sheetId="9" r:id="rId3"/>
  </sheets>
  <calcPr calcId="152511"/>
</workbook>
</file>

<file path=xl/calcChain.xml><?xml version="1.0" encoding="utf-8"?>
<calcChain xmlns="http://schemas.openxmlformats.org/spreadsheetml/2006/main">
  <c r="D19" i="9" l="1" a="1"/>
  <c r="D19" i="9" s="1"/>
  <c r="E19" i="9" a="1"/>
  <c r="E19" i="9" s="1"/>
  <c r="F19" i="9" a="1"/>
  <c r="F19" i="9" s="1"/>
  <c r="C43" i="9"/>
  <c r="B43" i="9"/>
  <c r="C42" i="9"/>
  <c r="B42" i="9"/>
  <c r="C19" i="9" s="1" a="1"/>
  <c r="C19" i="9" s="1"/>
  <c r="I43" i="9"/>
  <c r="I42" i="9"/>
  <c r="B28" i="9"/>
  <c r="C28" i="9"/>
  <c r="C27" i="9"/>
  <c r="C13" i="9" s="1" a="1"/>
  <c r="C13" i="9" s="1"/>
  <c r="B27" i="9"/>
  <c r="D13" i="9" s="1" a="1"/>
  <c r="D13" i="9" s="1"/>
  <c r="I28" i="9"/>
  <c r="I27" i="9"/>
  <c r="L27" i="9" s="1" a="1"/>
  <c r="L27" i="9" s="1"/>
  <c r="G8" i="9"/>
  <c r="G7" i="9"/>
  <c r="F21" i="9" l="1"/>
  <c r="E21" i="9"/>
  <c r="D21" i="9"/>
  <c r="F20" i="9"/>
  <c r="E20" i="9"/>
  <c r="D20" i="9"/>
  <c r="F13" i="9" a="1"/>
  <c r="F13" i="9" s="1"/>
  <c r="L42" i="9" a="1"/>
  <c r="L43" i="9" s="1"/>
  <c r="E13" i="9" a="1"/>
  <c r="E13" i="9" s="1"/>
  <c r="B19" i="9" a="1"/>
  <c r="B19" i="9" s="1"/>
  <c r="B13" i="9" a="1"/>
  <c r="B13" i="9" s="1"/>
  <c r="C21" i="9"/>
  <c r="C20" i="9"/>
  <c r="F15" i="9"/>
  <c r="E15" i="9"/>
  <c r="D15" i="9"/>
  <c r="F14" i="9"/>
  <c r="E14" i="9"/>
  <c r="D14" i="9"/>
  <c r="C15" i="9"/>
  <c r="C14" i="9"/>
  <c r="B15" i="9"/>
  <c r="B14" i="9"/>
  <c r="N29" i="9"/>
  <c r="M29" i="9"/>
  <c r="L28" i="9"/>
  <c r="L29" i="9"/>
  <c r="N27" i="9"/>
  <c r="N28" i="9"/>
  <c r="M27" i="9"/>
  <c r="M28" i="9"/>
  <c r="C3" i="8"/>
  <c r="C4" i="8"/>
  <c r="C2" i="8"/>
  <c r="B21" i="9" l="1"/>
  <c r="D34" i="9" a="1"/>
  <c r="D36" i="9" s="1"/>
  <c r="M44" i="9"/>
  <c r="L44" i="9"/>
  <c r="M42" i="9"/>
  <c r="N44" i="9"/>
  <c r="N42" i="9"/>
  <c r="N43" i="9"/>
  <c r="L42" i="9"/>
  <c r="M43" i="9"/>
  <c r="B20" i="9"/>
  <c r="C34" i="9" a="1"/>
  <c r="C36" i="9" s="1"/>
  <c r="E34" i="9" a="1"/>
  <c r="B34" i="9" a="1"/>
  <c r="D13" i="8"/>
  <c r="C12" i="8"/>
  <c r="G12" i="1"/>
  <c r="F11" i="1"/>
  <c r="D35" i="9" l="1"/>
  <c r="D34" i="9"/>
  <c r="J34" i="9" s="1" a="1"/>
  <c r="J35" i="9" s="1"/>
  <c r="E49" i="9" a="1"/>
  <c r="B49" i="9" a="1"/>
  <c r="C49" i="9" a="1"/>
  <c r="D49" i="9" a="1"/>
  <c r="C34" i="9"/>
  <c r="C35" i="9"/>
  <c r="E34" i="9"/>
  <c r="E36" i="9"/>
  <c r="E35" i="9"/>
  <c r="B34" i="9"/>
  <c r="B36" i="9"/>
  <c r="B35" i="9"/>
  <c r="C13" i="8"/>
  <c r="D12" i="8"/>
  <c r="H32" i="8" s="1" a="1"/>
  <c r="F12" i="1"/>
  <c r="G11" i="1"/>
  <c r="I34" i="9" l="1" a="1"/>
  <c r="I36" i="9" s="1"/>
  <c r="B49" i="9"/>
  <c r="B50" i="9"/>
  <c r="B51" i="9"/>
  <c r="E49" i="9"/>
  <c r="E51" i="9"/>
  <c r="E50" i="9"/>
  <c r="C49" i="9"/>
  <c r="C50" i="9"/>
  <c r="C51" i="9"/>
  <c r="D49" i="9"/>
  <c r="D50" i="9"/>
  <c r="D51" i="9"/>
  <c r="K34" i="9" a="1"/>
  <c r="K35" i="9" s="1"/>
  <c r="J34" i="9"/>
  <c r="J36" i="9"/>
  <c r="H34" i="9" a="1"/>
  <c r="H32" i="8"/>
  <c r="H34" i="8"/>
  <c r="H33" i="8"/>
  <c r="G32" i="8" a="1"/>
  <c r="I32" i="8" a="1"/>
  <c r="H7" i="8"/>
  <c r="J13" i="8"/>
  <c r="J12" i="8"/>
  <c r="M12" i="1"/>
  <c r="M11" i="1"/>
  <c r="H8" i="8"/>
  <c r="F71" i="1"/>
  <c r="C71" i="1"/>
  <c r="B71" i="1"/>
  <c r="P34" i="9" l="1" a="1"/>
  <c r="P35" i="9" s="1"/>
  <c r="I14" i="9" s="1"/>
  <c r="I34" i="9"/>
  <c r="I35" i="9"/>
  <c r="K34" i="9"/>
  <c r="K36" i="9"/>
  <c r="Q34" i="9" s="1" a="1"/>
  <c r="Q35" i="9" s="1"/>
  <c r="J14" i="9" s="1"/>
  <c r="K49" i="9" a="1"/>
  <c r="K49" i="9" s="1"/>
  <c r="I49" i="9" a="1"/>
  <c r="J49" i="9" a="1"/>
  <c r="H49" i="9" a="1"/>
  <c r="H34" i="9"/>
  <c r="H35" i="9"/>
  <c r="H36" i="9"/>
  <c r="P34" i="9"/>
  <c r="I13" i="9" s="1"/>
  <c r="O34" i="9" a="1"/>
  <c r="G34" i="8"/>
  <c r="G33" i="8"/>
  <c r="G32" i="8"/>
  <c r="I32" i="8"/>
  <c r="I33" i="8"/>
  <c r="I34" i="8"/>
  <c r="M12" i="8" a="1"/>
  <c r="M12" i="8" s="1"/>
  <c r="P11" i="1" a="1"/>
  <c r="P11" i="1" s="1"/>
  <c r="C32" i="8" a="1"/>
  <c r="C32" i="8" s="1"/>
  <c r="F32" i="8" a="1"/>
  <c r="F32" i="8" s="1"/>
  <c r="E32" i="8" a="1"/>
  <c r="E32" i="8" s="1"/>
  <c r="B32" i="8" a="1"/>
  <c r="B32" i="8" s="1"/>
  <c r="D32" i="8" a="1"/>
  <c r="D32" i="8" s="1"/>
  <c r="F47" i="1"/>
  <c r="B47" i="1"/>
  <c r="C47" i="1"/>
  <c r="P36" i="9" l="1"/>
  <c r="I15" i="9" s="1"/>
  <c r="K50" i="9"/>
  <c r="K51" i="9"/>
  <c r="I49" i="9"/>
  <c r="I50" i="9"/>
  <c r="I51" i="9"/>
  <c r="H49" i="9"/>
  <c r="H50" i="9"/>
  <c r="H51" i="9"/>
  <c r="J49" i="9"/>
  <c r="J50" i="9"/>
  <c r="J51" i="9"/>
  <c r="Q36" i="9"/>
  <c r="J15" i="9" s="1"/>
  <c r="Q34" i="9"/>
  <c r="J13" i="9" s="1"/>
  <c r="O34" i="9"/>
  <c r="H13" i="9" s="1"/>
  <c r="O35" i="9"/>
  <c r="H14" i="9" s="1"/>
  <c r="O36" i="9"/>
  <c r="H15" i="9" s="1"/>
  <c r="N34" i="9" a="1"/>
  <c r="O12" i="8"/>
  <c r="M14" i="8"/>
  <c r="N12" i="8"/>
  <c r="N13" i="8"/>
  <c r="N14" i="8"/>
  <c r="M13" i="8"/>
  <c r="O14" i="8"/>
  <c r="O13" i="8"/>
  <c r="C34" i="8"/>
  <c r="C33" i="8"/>
  <c r="F33" i="8"/>
  <c r="F34" i="8"/>
  <c r="R12" i="1"/>
  <c r="R13" i="1"/>
  <c r="R11" i="1"/>
  <c r="P12" i="1"/>
  <c r="P13" i="1"/>
  <c r="Q12" i="1"/>
  <c r="Q11" i="1"/>
  <c r="Q13" i="1"/>
  <c r="E34" i="8"/>
  <c r="D34" i="8"/>
  <c r="B33" i="8"/>
  <c r="B34" i="8"/>
  <c r="E33" i="8"/>
  <c r="D33" i="8"/>
  <c r="D71" i="1"/>
  <c r="G47" i="1"/>
  <c r="G71" i="1"/>
  <c r="D47" i="1"/>
  <c r="Q49" i="9" l="1" a="1"/>
  <c r="Q50" i="9" s="1"/>
  <c r="J20" i="9" s="1"/>
  <c r="N49" i="9" a="1"/>
  <c r="N50" i="9" s="1"/>
  <c r="G20" i="9" s="1"/>
  <c r="P49" i="9" a="1"/>
  <c r="O49" i="9" a="1"/>
  <c r="N34" i="9"/>
  <c r="G13" i="9" s="1"/>
  <c r="N35" i="9"/>
  <c r="G14" i="9" s="1"/>
  <c r="N36" i="9"/>
  <c r="G15" i="9" s="1"/>
  <c r="M20" i="8" a="1"/>
  <c r="M21" i="8" s="1"/>
  <c r="L20" i="8" a="1"/>
  <c r="L22" i="8" s="1"/>
  <c r="K20" i="8" a="1"/>
  <c r="K22" i="8" s="1"/>
  <c r="N20" i="8" a="1"/>
  <c r="N21" i="8" s="1"/>
  <c r="M18" i="1" a="1"/>
  <c r="M19" i="1" s="1"/>
  <c r="E30" i="1" a="1"/>
  <c r="E30" i="1" s="1"/>
  <c r="F30" i="1" a="1"/>
  <c r="F30" i="1" s="1"/>
  <c r="O39" i="1" s="1" a="1"/>
  <c r="O39" i="1" s="1"/>
  <c r="D30" i="1" a="1"/>
  <c r="D30" i="1" s="1"/>
  <c r="N61" i="1" s="1"/>
  <c r="C30" i="1" a="1"/>
  <c r="C30" i="1" s="1"/>
  <c r="Q49" i="9" l="1"/>
  <c r="J19" i="9" s="1"/>
  <c r="Q51" i="9"/>
  <c r="J21" i="9" s="1"/>
  <c r="N49" i="9"/>
  <c r="G19" i="9" s="1"/>
  <c r="N51" i="9"/>
  <c r="G21" i="9" s="1"/>
  <c r="P51" i="9"/>
  <c r="I21" i="9" s="1"/>
  <c r="P50" i="9"/>
  <c r="I20" i="9" s="1"/>
  <c r="P49" i="9"/>
  <c r="I19" i="9" s="1"/>
  <c r="O50" i="9"/>
  <c r="H20" i="9" s="1"/>
  <c r="O51" i="9"/>
  <c r="H21" i="9" s="1"/>
  <c r="O49" i="9"/>
  <c r="H19" i="9" s="1"/>
  <c r="L20" i="8"/>
  <c r="M22" i="8"/>
  <c r="L21" i="8"/>
  <c r="M20" i="8"/>
  <c r="N20" i="8"/>
  <c r="K21" i="8"/>
  <c r="N22" i="8"/>
  <c r="K20" i="8"/>
  <c r="D51" i="1"/>
  <c r="M20" i="1"/>
  <c r="M18" i="1"/>
  <c r="N60" i="1" a="1"/>
  <c r="N60" i="1" s="1"/>
  <c r="D31" i="1"/>
  <c r="F31" i="1"/>
  <c r="D32" i="1"/>
  <c r="E31" i="1"/>
  <c r="E32" i="1"/>
  <c r="F32" i="1"/>
  <c r="C32" i="1"/>
  <c r="C31" i="1"/>
  <c r="O60" i="1" s="1"/>
  <c r="N26" i="8" l="1" a="1"/>
  <c r="N26" i="8" s="1"/>
  <c r="M26" i="8" a="1"/>
  <c r="M28" i="8" s="1"/>
  <c r="L26" i="8" a="1"/>
  <c r="L26" i="8" s="1"/>
  <c r="K26" i="8" a="1"/>
  <c r="K28" i="8" s="1"/>
  <c r="D77" i="1"/>
  <c r="M24" i="1" a="1"/>
  <c r="M26" i="1" s="1"/>
  <c r="B66" i="1"/>
  <c r="O61" i="1"/>
  <c r="C66" i="1"/>
  <c r="L18" i="1" a="1"/>
  <c r="L20" i="1" s="1"/>
  <c r="N18" i="1" a="1"/>
  <c r="N19" i="1" s="1"/>
  <c r="K18" i="1" a="1"/>
  <c r="K18" i="1" s="1"/>
  <c r="P39" i="1" a="1"/>
  <c r="P39" i="1" s="1"/>
  <c r="N27" i="8" l="1"/>
  <c r="N28" i="8"/>
  <c r="D66" i="1"/>
  <c r="M27" i="8"/>
  <c r="L27" i="8"/>
  <c r="L28" i="8"/>
  <c r="M26" i="8"/>
  <c r="K27" i="8"/>
  <c r="K26" i="8"/>
  <c r="D78" i="1"/>
  <c r="M24" i="1"/>
  <c r="D76" i="1"/>
  <c r="E51" i="1"/>
  <c r="M25" i="1"/>
  <c r="L19" i="1"/>
  <c r="L18" i="1"/>
  <c r="N18" i="1"/>
  <c r="N20" i="1"/>
  <c r="K20" i="1"/>
  <c r="K19" i="1"/>
  <c r="N32" i="8" l="1" a="1"/>
  <c r="N32" i="8" s="1"/>
  <c r="M32" i="8" a="1"/>
  <c r="M32" i="8" s="1"/>
  <c r="L32" i="8" a="1"/>
  <c r="L34" i="8" s="1"/>
  <c r="K32" i="8" a="1"/>
  <c r="K33" i="8" s="1"/>
  <c r="M30" i="1" a="1"/>
  <c r="M30" i="1" s="1"/>
  <c r="N24" i="1" a="1"/>
  <c r="N24" i="1" s="1"/>
  <c r="L24" i="1" a="1"/>
  <c r="L25" i="1" s="1"/>
  <c r="K24" i="1" a="1"/>
  <c r="K25" i="1" s="1"/>
  <c r="N33" i="8" l="1"/>
  <c r="N34" i="8"/>
  <c r="M33" i="8"/>
  <c r="M34" i="8"/>
  <c r="L33" i="8"/>
  <c r="L32" i="8"/>
  <c r="K34" i="8"/>
  <c r="K32" i="8"/>
  <c r="M31" i="1"/>
  <c r="C41" i="1" s="1"/>
  <c r="M32" i="1"/>
  <c r="O38" i="1"/>
  <c r="N26" i="1"/>
  <c r="N25" i="1"/>
  <c r="L26" i="1"/>
  <c r="L24" i="1"/>
  <c r="K24" i="1"/>
  <c r="K26" i="1"/>
  <c r="B41" i="1" l="1"/>
  <c r="P38" i="1"/>
  <c r="N30" i="1" a="1"/>
  <c r="N30" i="1" s="1"/>
  <c r="L30" i="1" a="1"/>
  <c r="L32" i="1" s="1"/>
  <c r="K30" i="1" a="1"/>
  <c r="K31" i="1" s="1"/>
  <c r="O62" i="1" s="1"/>
  <c r="N32" i="1" l="1"/>
  <c r="N31" i="1"/>
  <c r="L31" i="1"/>
  <c r="O63" i="1" s="1"/>
  <c r="L30" i="1"/>
  <c r="N63" i="1" s="1"/>
  <c r="K32" i="1"/>
  <c r="K30" i="1"/>
  <c r="O40" i="1" a="1"/>
  <c r="O40" i="1" s="1"/>
  <c r="E75" i="1" l="1"/>
  <c r="D75" i="1"/>
  <c r="D79" i="1"/>
  <c r="D53" i="1"/>
  <c r="D41" i="1"/>
  <c r="E41" i="1"/>
  <c r="P40" i="1" a="1"/>
  <c r="P40" i="1" s="1"/>
  <c r="E66" i="1"/>
  <c r="N62" i="1"/>
  <c r="G66" i="1" s="1"/>
  <c r="F66" i="1"/>
  <c r="G78" i="1" l="1"/>
  <c r="I66" i="1" s="1"/>
  <c r="F41" i="1"/>
  <c r="G41" i="1"/>
  <c r="I71" i="1"/>
  <c r="D55" i="1"/>
  <c r="D52" i="1"/>
  <c r="D54" i="1"/>
  <c r="J66" i="1"/>
  <c r="I47" i="1" l="1"/>
  <c r="G53" i="1"/>
  <c r="H41" i="1" s="1"/>
  <c r="G77" i="1"/>
  <c r="H66" i="1" s="1"/>
  <c r="G54" i="1" l="1"/>
  <c r="I41" i="1" s="1"/>
</calcChain>
</file>

<file path=xl/sharedStrings.xml><?xml version="1.0" encoding="utf-8"?>
<sst xmlns="http://schemas.openxmlformats.org/spreadsheetml/2006/main" count="251" uniqueCount="95">
  <si>
    <t>TP1</t>
  </si>
  <si>
    <t>TP2</t>
  </si>
  <si>
    <t>SP0</t>
  </si>
  <si>
    <t>SP1</t>
  </si>
  <si>
    <t>THETA</t>
  </si>
  <si>
    <t>DELTA X</t>
  </si>
  <si>
    <t>R</t>
  </si>
  <si>
    <t>T</t>
  </si>
  <si>
    <t>INV(T)</t>
  </si>
  <si>
    <t>R_ACS</t>
  </si>
  <si>
    <t>Translation Matrix</t>
  </si>
  <si>
    <t>Inverse of Translation Matrix</t>
  </si>
  <si>
    <t>Rotation about ACS</t>
  </si>
  <si>
    <t>Transformation to OCS</t>
  </si>
  <si>
    <t>Rotation to OCS</t>
  </si>
  <si>
    <t>Backtrans to ACS</t>
  </si>
  <si>
    <t>TRTi_OCS</t>
  </si>
  <si>
    <t>Ti_OCS</t>
  </si>
  <si>
    <t>RTi_OCS</t>
  </si>
  <si>
    <t>Distance between Strap Points</t>
  </si>
  <si>
    <t>Pistoning</t>
  </si>
  <si>
    <t>x</t>
  </si>
  <si>
    <t>y</t>
  </si>
  <si>
    <t>z</t>
  </si>
  <si>
    <t>X</t>
  </si>
  <si>
    <t>Y</t>
  </si>
  <si>
    <t>Plotting</t>
  </si>
  <si>
    <t>Slope</t>
  </si>
  <si>
    <t>Distance</t>
  </si>
  <si>
    <t>Gap</t>
  </si>
  <si>
    <t>Delta X</t>
  </si>
  <si>
    <t>Delta Y</t>
  </si>
  <si>
    <t>Misalignment Type</t>
  </si>
  <si>
    <t>Theta</t>
  </si>
  <si>
    <t>Limb Motion</t>
  </si>
  <si>
    <t>Direction of Calf band travel w.r.t direction of Ankle motion</t>
  </si>
  <si>
    <t>Misalignment in X</t>
  </si>
  <si>
    <t>Dorsiflexion angle</t>
  </si>
  <si>
    <t>Misalignment in Y</t>
  </si>
  <si>
    <t>DELTA Y</t>
  </si>
  <si>
    <t>Point</t>
  </si>
  <si>
    <t>SP1_OCS</t>
  </si>
  <si>
    <t>SP1_ACS</t>
  </si>
  <si>
    <t>TP1_ACS</t>
  </si>
  <si>
    <t>TP2_ACS</t>
  </si>
  <si>
    <t>TP1_OCS</t>
  </si>
  <si>
    <t>TP2_OCS</t>
  </si>
  <si>
    <t>Relative Motion between TP Lines</t>
  </si>
  <si>
    <t>Intercept</t>
  </si>
  <si>
    <t>TP Lines relative motion</t>
  </si>
  <si>
    <t>Pressure Point</t>
  </si>
  <si>
    <t>Foot End</t>
  </si>
  <si>
    <t>Foot Tip</t>
  </si>
  <si>
    <t>Knee</t>
  </si>
  <si>
    <t>ACS</t>
  </si>
  <si>
    <t>OCS</t>
  </si>
  <si>
    <t>(-20:10:20)</t>
  </si>
  <si>
    <t>Rotation Matrix for SP &amp; TP</t>
  </si>
  <si>
    <t>ANKLE FOOT ORTHOSIS - SIMULATION MODEL</t>
  </si>
  <si>
    <t>Vertical</t>
  </si>
  <si>
    <t>Horizontal</t>
  </si>
  <si>
    <t>A</t>
  </si>
  <si>
    <t>B</t>
  </si>
  <si>
    <t>C</t>
  </si>
  <si>
    <t>AP</t>
  </si>
  <si>
    <t>SP0_OCS</t>
  </si>
  <si>
    <t>SP0_OCS &amp; SP1_ACS</t>
  </si>
  <si>
    <t>SP0_OCS &amp; SP1_OCS</t>
  </si>
  <si>
    <t>Separation Type</t>
  </si>
  <si>
    <t>Separation Distance</t>
  </si>
  <si>
    <t>PD</t>
  </si>
  <si>
    <t>Calculations</t>
  </si>
  <si>
    <t>MSP</t>
  </si>
  <si>
    <t>Moving Strap Point (SP1_ACS)</t>
  </si>
  <si>
    <t>Longitudinal Separation</t>
  </si>
  <si>
    <t>Anterior-Posterior Separation</t>
  </si>
  <si>
    <t>TP1_ACS &amp; TP2_ACS</t>
  </si>
  <si>
    <t>TP1_OCS &amp; TP2_OCS</t>
  </si>
  <si>
    <t>Separation Distance &amp; Type</t>
  </si>
  <si>
    <t>Touch Point 2 (TP2_OCS)</t>
  </si>
  <si>
    <t>Len_SP1s</t>
  </si>
  <si>
    <t>Len_TP2s</t>
  </si>
  <si>
    <t>TP</t>
  </si>
  <si>
    <t>Input</t>
  </si>
  <si>
    <t>(-20:5:20)</t>
  </si>
  <si>
    <t>OSP</t>
  </si>
  <si>
    <t>OSP1</t>
  </si>
  <si>
    <t>OSP2</t>
  </si>
  <si>
    <t>Orthosis Shell Points</t>
  </si>
  <si>
    <t>Points</t>
  </si>
  <si>
    <t>SP0_ACS</t>
  </si>
  <si>
    <t>Theta = -20</t>
  </si>
  <si>
    <t>Rotation about OCS</t>
  </si>
  <si>
    <t>Transformation to ACS</t>
  </si>
  <si>
    <t>Theta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</si>
</sst>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/>
    <xf numFmtId="0" fontId="1" fillId="4" borderId="5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2" fillId="2" borderId="4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Fill="1" applyBorder="1"/>
    <xf numFmtId="0" fontId="0" fillId="3" borderId="1" xfId="0" applyFill="1" applyBorder="1"/>
    <xf numFmtId="0" fontId="0" fillId="9" borderId="8" xfId="0" applyFill="1" applyBorder="1"/>
    <xf numFmtId="0" fontId="0" fillId="9" borderId="11" xfId="0" applyFill="1" applyBorder="1"/>
    <xf numFmtId="0" fontId="0" fillId="9" borderId="13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1" fillId="4" borderId="2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Movement of Strap Points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About Limb</c:v>
          </c:tx>
          <c:spPr>
            <a:ln w="2222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Analysis!$O$38:$O$39</c:f>
              <c:numCache>
                <c:formatCode>General</c:formatCode>
                <c:ptCount val="2"/>
                <c:pt idx="0">
                  <c:v>-86.702106333057017</c:v>
                </c:pt>
                <c:pt idx="1">
                  <c:v>-41.146367490164216</c:v>
                </c:pt>
              </c:numCache>
            </c:numRef>
          </c:xVal>
          <c:yVal>
            <c:numRef>
              <c:f>Analysis!$P$38:$P$39</c:f>
              <c:numCache>
                <c:formatCode>General</c:formatCode>
                <c:ptCount val="2"/>
                <c:pt idx="0">
                  <c:v>218.21207936922778</c:v>
                </c:pt>
                <c:pt idx="1">
                  <c:v>233.50945685852716</c:v>
                </c:pt>
              </c:numCache>
            </c:numRef>
          </c:yVal>
          <c:smooth val="1"/>
        </c:ser>
        <c:ser>
          <c:idx val="1"/>
          <c:order val="1"/>
          <c:tx>
            <c:v>About Orthosis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(Analysis!$O$38,Analysis!$O$40)</c:f>
              <c:numCache>
                <c:formatCode>General</c:formatCode>
                <c:ptCount val="2"/>
                <c:pt idx="0">
                  <c:v>-86.702106333057017</c:v>
                </c:pt>
                <c:pt idx="1">
                  <c:v>-47.986770356677589</c:v>
                </c:pt>
              </c:numCache>
            </c:numRef>
          </c:xVal>
          <c:yVal>
            <c:numRef>
              <c:f>(Analysis!$P$38,Analysis!$P$40)</c:f>
              <c:numCache>
                <c:formatCode>General</c:formatCode>
                <c:ptCount val="2"/>
                <c:pt idx="0">
                  <c:v>218.21207936922778</c:v>
                </c:pt>
                <c:pt idx="1">
                  <c:v>232.30330927424532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979424"/>
        <c:axId val="-34989216"/>
      </c:scatterChart>
      <c:valAx>
        <c:axId val="-34979424"/>
        <c:scaling>
          <c:orientation val="minMax"/>
          <c:max val="150"/>
          <c:min val="-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989216"/>
        <c:crosses val="autoZero"/>
        <c:crossBetween val="midCat"/>
        <c:majorUnit val="50"/>
      </c:valAx>
      <c:valAx>
        <c:axId val="-34989216"/>
        <c:scaling>
          <c:orientation val="minMax"/>
          <c:max val="3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979424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Movement of </a:t>
            </a:r>
            <a:r>
              <a:rPr lang="en-US" baseline="0"/>
              <a:t>Touch Points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About Limb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Analysis!$N$60:$N$61</c:f>
              <c:numCache>
                <c:formatCode>General</c:formatCode>
                <c:ptCount val="2"/>
                <c:pt idx="0">
                  <c:v>-92.215914126110818</c:v>
                </c:pt>
                <c:pt idx="1">
                  <c:v>-120.87720213680186</c:v>
                </c:pt>
              </c:numCache>
            </c:numRef>
          </c:xVal>
          <c:yVal>
            <c:numRef>
              <c:f>Analysis!$O$60:$O$61</c:f>
              <c:numCache>
                <c:formatCode>General</c:formatCode>
                <c:ptCount val="2"/>
                <c:pt idx="0">
                  <c:v>162.13844449076771</c:v>
                </c:pt>
                <c:pt idx="1">
                  <c:v>240.88468611262681</c:v>
                </c:pt>
              </c:numCache>
            </c:numRef>
          </c:yVal>
          <c:smooth val="1"/>
        </c:ser>
        <c:ser>
          <c:idx val="1"/>
          <c:order val="1"/>
          <c:tx>
            <c:v>About Orthosis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Analysis!$N$62:$N$63</c:f>
              <c:numCache>
                <c:formatCode>General</c:formatCode>
                <c:ptCount val="2"/>
                <c:pt idx="0">
                  <c:v>-99.05631699262419</c:v>
                </c:pt>
                <c:pt idx="1">
                  <c:v>-127.71760500331523</c:v>
                </c:pt>
              </c:numCache>
            </c:numRef>
          </c:xVal>
          <c:yVal>
            <c:numRef>
              <c:f>Analysis!$O$62:$O$63</c:f>
              <c:numCache>
                <c:formatCode>General</c:formatCode>
                <c:ptCount val="2"/>
                <c:pt idx="0">
                  <c:v>160.93229690648587</c:v>
                </c:pt>
                <c:pt idx="1">
                  <c:v>239.67853852834497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1055376"/>
        <c:axId val="-1971068432"/>
      </c:scatterChart>
      <c:valAx>
        <c:axId val="-1971055376"/>
        <c:scaling>
          <c:orientation val="minMax"/>
          <c:max val="150"/>
          <c:min val="-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1068432"/>
        <c:crosses val="autoZero"/>
        <c:crossBetween val="midCat"/>
      </c:valAx>
      <c:valAx>
        <c:axId val="-197106843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1055376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658008658008658E-3"/>
          <c:w val="0.79418369354548379"/>
          <c:h val="0.93650793650793651"/>
        </c:manualLayout>
      </c:layout>
      <c:scatterChart>
        <c:scatterStyle val="smoothMarker"/>
        <c:varyColors val="0"/>
        <c:ser>
          <c:idx val="0"/>
          <c:order val="0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(Model!$J$7,Model!$K$7)</c:f>
              <c:numCache>
                <c:formatCode>General</c:formatCode>
                <c:ptCount val="2"/>
                <c:pt idx="0">
                  <c:v>-61.32</c:v>
                </c:pt>
                <c:pt idx="1">
                  <c:v>186.44</c:v>
                </c:pt>
              </c:numCache>
            </c:numRef>
          </c:xVal>
          <c:yVal>
            <c:numRef>
              <c:f>(Model!$J$8,Model!$K$8)</c:f>
              <c:numCache>
                <c:formatCode>General</c:formatCode>
                <c:ptCount val="2"/>
                <c:pt idx="0">
                  <c:v>-63.57</c:v>
                </c:pt>
                <c:pt idx="1">
                  <c:v>-63.57</c:v>
                </c:pt>
              </c:numCache>
            </c:numRef>
          </c:yVal>
          <c:smooth val="1"/>
        </c:ser>
        <c:ser>
          <c:idx val="1"/>
          <c:order val="1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</c:dPt>
          <c:xVal>
            <c:numRef>
              <c:f>(Model!$I$7,Model!$J$7)</c:f>
              <c:numCache>
                <c:formatCode>General</c:formatCode>
                <c:ptCount val="2"/>
                <c:pt idx="0">
                  <c:v>0</c:v>
                </c:pt>
                <c:pt idx="1">
                  <c:v>-61.32</c:v>
                </c:pt>
              </c:numCache>
            </c:numRef>
          </c:xVal>
          <c:yVal>
            <c:numRef>
              <c:f>(Model!$I$8,Model!$J$8)</c:f>
              <c:numCache>
                <c:formatCode>General</c:formatCode>
                <c:ptCount val="2"/>
                <c:pt idx="0">
                  <c:v>0</c:v>
                </c:pt>
                <c:pt idx="1">
                  <c:v>-63.57</c:v>
                </c:pt>
              </c:numCache>
            </c:numRef>
          </c:yVal>
          <c:smooth val="1"/>
        </c:ser>
        <c:ser>
          <c:idx val="2"/>
          <c:order val="2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(Model!$I$7,Model!$K$7)</c:f>
              <c:numCache>
                <c:formatCode>General</c:formatCode>
                <c:ptCount val="2"/>
                <c:pt idx="0">
                  <c:v>0</c:v>
                </c:pt>
                <c:pt idx="1">
                  <c:v>186.44</c:v>
                </c:pt>
              </c:numCache>
            </c:numRef>
          </c:xVal>
          <c:yVal>
            <c:numRef>
              <c:f>(Model!$I$8,Model!$K$8)</c:f>
              <c:numCache>
                <c:formatCode>General</c:formatCode>
                <c:ptCount val="2"/>
                <c:pt idx="0">
                  <c:v>0</c:v>
                </c:pt>
                <c:pt idx="1">
                  <c:v>-63.57</c:v>
                </c:pt>
              </c:numCache>
            </c:numRef>
          </c:yVal>
          <c:smooth val="1"/>
        </c:ser>
        <c:ser>
          <c:idx val="3"/>
          <c:order val="3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xVal>
            <c:numRef>
              <c:f>(Model!$I$7,Model!$F$32)</c:f>
              <c:numCache>
                <c:formatCode>General</c:formatCode>
                <c:ptCount val="2"/>
                <c:pt idx="0">
                  <c:v>0</c:v>
                </c:pt>
                <c:pt idx="1">
                  <c:v>-137.14323707072666</c:v>
                </c:pt>
              </c:numCache>
            </c:numRef>
          </c:xVal>
          <c:yVal>
            <c:numRef>
              <c:f>(Model!$I$8,Model!$F$33)</c:f>
              <c:numCache>
                <c:formatCode>General</c:formatCode>
                <c:ptCount val="2"/>
                <c:pt idx="0">
                  <c:v>0</c:v>
                </c:pt>
                <c:pt idx="1">
                  <c:v>376.79794708273357</c:v>
                </c:pt>
              </c:numCache>
            </c:numRef>
          </c:yVal>
          <c:smooth val="1"/>
        </c:ser>
        <c:ser>
          <c:idx val="4"/>
          <c:order val="4"/>
          <c:tx>
            <c:v>TP_ACS</c:v>
          </c:tx>
          <c:spPr>
            <a:ln w="1905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(Model!$B$32,Model!$C$32)</c:f>
              <c:numCache>
                <c:formatCode>General</c:formatCode>
                <c:ptCount val="2"/>
                <c:pt idx="0">
                  <c:v>-92.215914126110818</c:v>
                </c:pt>
                <c:pt idx="1">
                  <c:v>-120.87720213680186</c:v>
                </c:pt>
              </c:numCache>
            </c:numRef>
          </c:xVal>
          <c:yVal>
            <c:numRef>
              <c:f>(Model!$B$33,Model!$C$33)</c:f>
              <c:numCache>
                <c:formatCode>General</c:formatCode>
                <c:ptCount val="2"/>
                <c:pt idx="0">
                  <c:v>162.13844449076771</c:v>
                </c:pt>
                <c:pt idx="1">
                  <c:v>240.88468611262681</c:v>
                </c:pt>
              </c:numCache>
            </c:numRef>
          </c:yVal>
          <c:smooth val="1"/>
        </c:ser>
        <c:ser>
          <c:idx val="5"/>
          <c:order val="5"/>
          <c:tx>
            <c:v>TP_OCS</c:v>
          </c:tx>
          <c:spPr>
            <a:ln w="63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(Model!$K$32,Model!$L$32)</c:f>
              <c:numCache>
                <c:formatCode>General</c:formatCode>
                <c:ptCount val="2"/>
                <c:pt idx="0">
                  <c:v>-99.05631699262419</c:v>
                </c:pt>
                <c:pt idx="1">
                  <c:v>-127.71760500331523</c:v>
                </c:pt>
              </c:numCache>
            </c:numRef>
          </c:xVal>
          <c:yVal>
            <c:numRef>
              <c:f>(Model!$K$33,Model!$L$33)</c:f>
              <c:numCache>
                <c:formatCode>General</c:formatCode>
                <c:ptCount val="2"/>
                <c:pt idx="0">
                  <c:v>160.93229690648587</c:v>
                </c:pt>
                <c:pt idx="1">
                  <c:v>239.67853852834497</c:v>
                </c:pt>
              </c:numCache>
            </c:numRef>
          </c:yVal>
          <c:smooth val="1"/>
        </c:ser>
        <c:ser>
          <c:idx val="6"/>
          <c:order val="6"/>
          <c:tx>
            <c:v>SP_ACS</c:v>
          </c:tx>
          <c:spPr>
            <a:ln w="158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(Model!$M$32,Model!$E$32)</c:f>
              <c:numCache>
                <c:formatCode>General</c:formatCode>
                <c:ptCount val="2"/>
                <c:pt idx="0">
                  <c:v>-86.702106333057017</c:v>
                </c:pt>
                <c:pt idx="1">
                  <c:v>-41.146367490164216</c:v>
                </c:pt>
              </c:numCache>
            </c:numRef>
          </c:xVal>
          <c:yVal>
            <c:numRef>
              <c:f>(Model!$M$33,Model!$E$33)</c:f>
              <c:numCache>
                <c:formatCode>General</c:formatCode>
                <c:ptCount val="2"/>
                <c:pt idx="0">
                  <c:v>218.21207936922778</c:v>
                </c:pt>
                <c:pt idx="1">
                  <c:v>233.50945685852716</c:v>
                </c:pt>
              </c:numCache>
            </c:numRef>
          </c:yVal>
          <c:smooth val="1"/>
        </c:ser>
        <c:ser>
          <c:idx val="7"/>
          <c:order val="7"/>
          <c:tx>
            <c:v>SP_OCS</c:v>
          </c:tx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(Model!$M$32,Model!$N$32)</c:f>
              <c:numCache>
                <c:formatCode>General</c:formatCode>
                <c:ptCount val="2"/>
                <c:pt idx="0">
                  <c:v>-86.702106333057017</c:v>
                </c:pt>
                <c:pt idx="1">
                  <c:v>-47.986770356677589</c:v>
                </c:pt>
              </c:numCache>
            </c:numRef>
          </c:xVal>
          <c:yVal>
            <c:numRef>
              <c:f>(Model!$M$33,Model!$N$33)</c:f>
              <c:numCache>
                <c:formatCode>General</c:formatCode>
                <c:ptCount val="2"/>
                <c:pt idx="0">
                  <c:v>218.21207936922778</c:v>
                </c:pt>
                <c:pt idx="1">
                  <c:v>232.30330927424532</c:v>
                </c:pt>
              </c:numCache>
            </c:numRef>
          </c:yVal>
          <c:smooth val="1"/>
        </c:ser>
        <c:ser>
          <c:idx val="10"/>
          <c:order val="8"/>
          <c:tx>
            <c:v>OCS,ACS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(Model!$H$7,Model!$I$7)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(Model!$H$8,Model!$I$8)</c:f>
              <c:numCache>
                <c:formatCode>General</c:formatCode>
                <c:ptCount val="2"/>
                <c:pt idx="0">
                  <c:v>-20</c:v>
                </c:pt>
                <c:pt idx="1">
                  <c:v>0</c:v>
                </c:pt>
              </c:numCache>
            </c:numRef>
          </c:yVal>
          <c:smooth val="1"/>
        </c:ser>
        <c:ser>
          <c:idx val="8"/>
          <c:order val="9"/>
          <c:tx>
            <c:v>Orthosis Shell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(Model!$G$32,Model!$H$32)</c:f>
              <c:numCache>
                <c:formatCode>General</c:formatCode>
                <c:ptCount val="2"/>
                <c:pt idx="0">
                  <c:v>-102.85913790376161</c:v>
                </c:pt>
                <c:pt idx="1">
                  <c:v>-141.57447388014103</c:v>
                </c:pt>
              </c:numCache>
            </c:numRef>
          </c:xVal>
          <c:yVal>
            <c:numRef>
              <c:f>(Model!$G$33,Model!$H$33)</c:f>
              <c:numCache>
                <c:formatCode>General</c:formatCode>
                <c:ptCount val="2"/>
                <c:pt idx="0">
                  <c:v>282.6031587751541</c:v>
                </c:pt>
                <c:pt idx="1">
                  <c:v>268.51192887013656</c:v>
                </c:pt>
              </c:numCache>
            </c:numRef>
          </c:yVal>
          <c:smooth val="1"/>
        </c:ser>
        <c:ser>
          <c:idx val="9"/>
          <c:order val="10"/>
          <c:tx>
            <c:v>Orthosis Shell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(Model!$H$32,Model!$I$32)</c:f>
              <c:numCache>
                <c:formatCode>General</c:formatCode>
                <c:ptCount val="2"/>
                <c:pt idx="0">
                  <c:v>-141.57447388014103</c:v>
                </c:pt>
                <c:pt idx="1">
                  <c:v>-38.715335976379428</c:v>
                </c:pt>
              </c:numCache>
            </c:numRef>
          </c:xVal>
          <c:yVal>
            <c:numRef>
              <c:f>(Model!$H$33,Model!$I$33)</c:f>
              <c:numCache>
                <c:formatCode>General</c:formatCode>
                <c:ptCount val="2"/>
                <c:pt idx="0">
                  <c:v>268.51192887013656</c:v>
                </c:pt>
                <c:pt idx="1">
                  <c:v>-14.091229905017553</c:v>
                </c:pt>
              </c:numCache>
            </c:numRef>
          </c:yVal>
          <c:smooth val="1"/>
        </c:ser>
        <c:ser>
          <c:idx val="11"/>
          <c:order val="11"/>
          <c:tx>
            <c:v>Orthosis Shell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(Model!$I$7,Model!$I$32)</c:f>
              <c:numCache>
                <c:formatCode>General</c:formatCode>
                <c:ptCount val="2"/>
                <c:pt idx="0">
                  <c:v>0</c:v>
                </c:pt>
                <c:pt idx="1">
                  <c:v>-38.715335976379428</c:v>
                </c:pt>
              </c:numCache>
            </c:numRef>
          </c:xVal>
          <c:yVal>
            <c:numRef>
              <c:f>(Model!$I$8,Model!$I$33)</c:f>
              <c:numCache>
                <c:formatCode>General</c:formatCode>
                <c:ptCount val="2"/>
                <c:pt idx="0">
                  <c:v>0</c:v>
                </c:pt>
                <c:pt idx="1">
                  <c:v>-14.091229905017553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1059728"/>
        <c:axId val="-1971066800"/>
      </c:scatterChart>
      <c:valAx>
        <c:axId val="-1971059728"/>
        <c:scaling>
          <c:orientation val="minMax"/>
          <c:max val="200"/>
          <c:min val="-200"/>
        </c:scaling>
        <c:delete val="1"/>
        <c:axPos val="b"/>
        <c:numFmt formatCode="General" sourceLinked="1"/>
        <c:majorTickMark val="out"/>
        <c:minorTickMark val="none"/>
        <c:tickLblPos val="nextTo"/>
        <c:crossAx val="-1971066800"/>
        <c:crosses val="autoZero"/>
        <c:crossBetween val="midCat"/>
      </c:valAx>
      <c:valAx>
        <c:axId val="-1971066800"/>
        <c:scaling>
          <c:orientation val="minMax"/>
          <c:max val="450"/>
          <c:min val="-75"/>
        </c:scaling>
        <c:delete val="1"/>
        <c:axPos val="l"/>
        <c:numFmt formatCode="General" sourceLinked="1"/>
        <c:majorTickMark val="out"/>
        <c:minorTickMark val="none"/>
        <c:tickLblPos val="nextTo"/>
        <c:crossAx val="-1971059728"/>
        <c:crosses val="autoZero"/>
        <c:crossBetween val="midCat"/>
        <c:majorUnit val="75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Limb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(Simulation!$H$7,Simulation!$I$7)</c:f>
              <c:numCache>
                <c:formatCode>General</c:formatCode>
                <c:ptCount val="2"/>
                <c:pt idx="0">
                  <c:v>0</c:v>
                </c:pt>
                <c:pt idx="1">
                  <c:v>-61.32</c:v>
                </c:pt>
              </c:numCache>
            </c:numRef>
          </c:xVal>
          <c:yVal>
            <c:numRef>
              <c:f>(Simulation!$H$8,Simulation!$I$8)</c:f>
              <c:numCache>
                <c:formatCode>General</c:formatCode>
                <c:ptCount val="2"/>
                <c:pt idx="0">
                  <c:v>0</c:v>
                </c:pt>
                <c:pt idx="1">
                  <c:v>-63.57</c:v>
                </c:pt>
              </c:numCache>
            </c:numRef>
          </c:yVal>
          <c:smooth val="1"/>
        </c:ser>
        <c:ser>
          <c:idx val="1"/>
          <c:order val="1"/>
          <c:tx>
            <c:v>Limb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(Simulation!$H$7,Simulation!$J$7)</c:f>
              <c:numCache>
                <c:formatCode>General</c:formatCode>
                <c:ptCount val="2"/>
                <c:pt idx="0">
                  <c:v>0</c:v>
                </c:pt>
                <c:pt idx="1">
                  <c:v>186.44</c:v>
                </c:pt>
              </c:numCache>
            </c:numRef>
          </c:xVal>
          <c:yVal>
            <c:numRef>
              <c:f>(Simulation!$H$8,Simulation!$J$8)</c:f>
              <c:numCache>
                <c:formatCode>General</c:formatCode>
                <c:ptCount val="2"/>
                <c:pt idx="0">
                  <c:v>0</c:v>
                </c:pt>
                <c:pt idx="1">
                  <c:v>-63.57</c:v>
                </c:pt>
              </c:numCache>
            </c:numRef>
          </c:yVal>
          <c:smooth val="1"/>
        </c:ser>
        <c:ser>
          <c:idx val="2"/>
          <c:order val="2"/>
          <c:tx>
            <c:v>Limb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(Simulation!$I$7,Simulation!$J$7)</c:f>
              <c:numCache>
                <c:formatCode>General</c:formatCode>
                <c:ptCount val="2"/>
                <c:pt idx="0">
                  <c:v>-61.32</c:v>
                </c:pt>
                <c:pt idx="1">
                  <c:v>186.44</c:v>
                </c:pt>
              </c:numCache>
            </c:numRef>
          </c:xVal>
          <c:yVal>
            <c:numRef>
              <c:f>(Simulation!$I$8,Simulation!$J$8)</c:f>
              <c:numCache>
                <c:formatCode>General</c:formatCode>
                <c:ptCount val="2"/>
                <c:pt idx="0">
                  <c:v>-63.57</c:v>
                </c:pt>
                <c:pt idx="1">
                  <c:v>-63.57</c:v>
                </c:pt>
              </c:numCache>
            </c:numRef>
          </c:yVal>
          <c:smooth val="1"/>
        </c:ser>
        <c:ser>
          <c:idx val="3"/>
          <c:order val="3"/>
          <c:tx>
            <c:v>Limb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(Simulation!$H$7,Simulation!$B$13)</c:f>
              <c:numCache>
                <c:formatCode>General</c:formatCode>
                <c:ptCount val="2"/>
                <c:pt idx="0">
                  <c:v>0</c:v>
                </c:pt>
                <c:pt idx="1">
                  <c:v>-137.14323707072666</c:v>
                </c:pt>
              </c:numCache>
            </c:numRef>
          </c:xVal>
          <c:yVal>
            <c:numRef>
              <c:f>(Simulation!$H$8,Simulation!$B$14)</c:f>
              <c:numCache>
                <c:formatCode>General</c:formatCode>
                <c:ptCount val="2"/>
                <c:pt idx="0">
                  <c:v>0</c:v>
                </c:pt>
                <c:pt idx="1">
                  <c:v>376.79794708273357</c:v>
                </c:pt>
              </c:numCache>
            </c:numRef>
          </c:yVal>
          <c:smooth val="1"/>
        </c:ser>
        <c:ser>
          <c:idx val="4"/>
          <c:order val="4"/>
          <c:tx>
            <c:v>Limb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(Simulation!$H$7,Simulation!$B$16)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(Simulation!$H$8,Simulation!$B$17)</c:f>
              <c:numCache>
                <c:formatCode>General</c:formatCode>
                <c:ptCount val="2"/>
                <c:pt idx="0">
                  <c:v>0</c:v>
                </c:pt>
                <c:pt idx="1">
                  <c:v>400.98</c:v>
                </c:pt>
              </c:numCache>
            </c:numRef>
          </c:yVal>
          <c:smooth val="1"/>
        </c:ser>
        <c:ser>
          <c:idx val="5"/>
          <c:order val="5"/>
          <c:tx>
            <c:v>Limb</c:v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(Simulation!$H$7,Simulation!$B$19)</c:f>
              <c:numCache>
                <c:formatCode>General</c:formatCode>
                <c:ptCount val="2"/>
                <c:pt idx="0">
                  <c:v>0</c:v>
                </c:pt>
                <c:pt idx="1">
                  <c:v>137.14323707072666</c:v>
                </c:pt>
              </c:numCache>
            </c:numRef>
          </c:xVal>
          <c:yVal>
            <c:numRef>
              <c:f>(Simulation!$H$8,Simulation!$B$20)</c:f>
              <c:numCache>
                <c:formatCode>General</c:formatCode>
                <c:ptCount val="2"/>
                <c:pt idx="0">
                  <c:v>0</c:v>
                </c:pt>
                <c:pt idx="1">
                  <c:v>376.79794708273357</c:v>
                </c:pt>
              </c:numCache>
            </c:numRef>
          </c:yVal>
          <c:smooth val="1"/>
        </c:ser>
        <c:ser>
          <c:idx val="6"/>
          <c:order val="6"/>
          <c:tx>
            <c:v>TP_ACS</c:v>
          </c:tx>
          <c:spPr>
            <a:ln w="158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(Simulation!$C$13,Simulation!$D$13)</c:f>
              <c:numCache>
                <c:formatCode>General</c:formatCode>
                <c:ptCount val="2"/>
                <c:pt idx="0">
                  <c:v>-92.215914126110818</c:v>
                </c:pt>
                <c:pt idx="1">
                  <c:v>-120.87720213680186</c:v>
                </c:pt>
              </c:numCache>
            </c:numRef>
          </c:xVal>
          <c:yVal>
            <c:numRef>
              <c:f>(Simulation!$C$14,Simulation!$D$14)</c:f>
              <c:numCache>
                <c:formatCode>General</c:formatCode>
                <c:ptCount val="2"/>
                <c:pt idx="0">
                  <c:v>162.13844449076771</c:v>
                </c:pt>
                <c:pt idx="1">
                  <c:v>240.88468611262681</c:v>
                </c:pt>
              </c:numCache>
            </c:numRef>
          </c:yVal>
          <c:smooth val="1"/>
        </c:ser>
        <c:ser>
          <c:idx val="7"/>
          <c:order val="7"/>
          <c:tx>
            <c:v>TP_OCS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(Simulation!$G$13,Simulation!$H$13)</c:f>
              <c:numCache>
                <c:formatCode>General</c:formatCode>
                <c:ptCount val="2"/>
                <c:pt idx="0">
                  <c:v>-84.169363675315623</c:v>
                </c:pt>
                <c:pt idx="1">
                  <c:v>-112.83065168600666</c:v>
                </c:pt>
              </c:numCache>
            </c:numRef>
          </c:xVal>
          <c:yVal>
            <c:numRef>
              <c:f>(Simulation!$G$14,Simulation!$H$14)</c:f>
              <c:numCache>
                <c:formatCode>General</c:formatCode>
                <c:ptCount val="2"/>
                <c:pt idx="0">
                  <c:v>156.50418920853616</c:v>
                </c:pt>
                <c:pt idx="1">
                  <c:v>235.25043083039526</c:v>
                </c:pt>
              </c:numCache>
            </c:numRef>
          </c:yVal>
          <c:smooth val="1"/>
        </c:ser>
        <c:ser>
          <c:idx val="8"/>
          <c:order val="8"/>
          <c:tx>
            <c:v>SP_ACS</c:v>
          </c:tx>
          <c:spPr>
            <a:ln w="158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(Simulation!$I$13,Simulation!$F$13)</c:f>
              <c:numCache>
                <c:formatCode>General</c:formatCode>
                <c:ptCount val="2"/>
                <c:pt idx="0">
                  <c:v>-71.81515301574845</c:v>
                </c:pt>
                <c:pt idx="1">
                  <c:v>-41.146367490164216</c:v>
                </c:pt>
              </c:numCache>
            </c:numRef>
          </c:xVal>
          <c:yVal>
            <c:numRef>
              <c:f>(Simulation!$I$14,Simulation!$F$14)</c:f>
              <c:numCache>
                <c:formatCode>General</c:formatCode>
                <c:ptCount val="2"/>
                <c:pt idx="0">
                  <c:v>213.78397167127807</c:v>
                </c:pt>
                <c:pt idx="1">
                  <c:v>233.50945685852716</c:v>
                </c:pt>
              </c:numCache>
            </c:numRef>
          </c:yVal>
          <c:smooth val="1"/>
        </c:ser>
        <c:ser>
          <c:idx val="9"/>
          <c:order val="9"/>
          <c:tx>
            <c:v>SP_OCS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(Simulation!$I$13,Simulation!$J$13)</c:f>
              <c:numCache>
                <c:formatCode>General</c:formatCode>
                <c:ptCount val="2"/>
                <c:pt idx="0">
                  <c:v>-71.81515301574845</c:v>
                </c:pt>
                <c:pt idx="1">
                  <c:v>-33.099817039369015</c:v>
                </c:pt>
              </c:numCache>
            </c:numRef>
          </c:xVal>
          <c:yVal>
            <c:numRef>
              <c:f>(Simulation!$I$14,Simulation!$J$14)</c:f>
              <c:numCache>
                <c:formatCode>General</c:formatCode>
                <c:ptCount val="2"/>
                <c:pt idx="0">
                  <c:v>213.78397167127807</c:v>
                </c:pt>
                <c:pt idx="1">
                  <c:v>227.87520157629564</c:v>
                </c:pt>
              </c:numCache>
            </c:numRef>
          </c:yVal>
          <c:smooth val="1"/>
        </c:ser>
        <c:ser>
          <c:idx val="10"/>
          <c:order val="10"/>
          <c:tx>
            <c:v>TP_ACS</c:v>
          </c:tx>
          <c:spPr>
            <a:ln w="158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(Simulation!$C$16,Simulation!$D$16)</c:f>
              <c:numCache>
                <c:formatCode>General</c:formatCode>
                <c:ptCount val="2"/>
                <c:pt idx="0">
                  <c:v>-31.2</c:v>
                </c:pt>
                <c:pt idx="1">
                  <c:v>-31.2</c:v>
                </c:pt>
              </c:numCache>
            </c:numRef>
          </c:xVal>
          <c:yVal>
            <c:numRef>
              <c:f>(Simulation!$C$17,Simulation!$D$17)</c:f>
              <c:numCache>
                <c:formatCode>General</c:formatCode>
                <c:ptCount val="2"/>
                <c:pt idx="0">
                  <c:v>183.9</c:v>
                </c:pt>
                <c:pt idx="1">
                  <c:v>267.7</c:v>
                </c:pt>
              </c:numCache>
            </c:numRef>
          </c:yVal>
          <c:smooth val="1"/>
        </c:ser>
        <c:ser>
          <c:idx val="11"/>
          <c:order val="11"/>
          <c:tx>
            <c:v>TP_OCS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(Simulation!$G$16,Simulation!$H$16)</c:f>
              <c:numCache>
                <c:formatCode>General</c:formatCode>
                <c:ptCount val="2"/>
                <c:pt idx="0">
                  <c:v>-31.2</c:v>
                </c:pt>
                <c:pt idx="1">
                  <c:v>-31.2</c:v>
                </c:pt>
              </c:numCache>
            </c:numRef>
          </c:xVal>
          <c:yVal>
            <c:numRef>
              <c:f>(Simulation!$G$17,Simulation!$H$17)</c:f>
              <c:numCache>
                <c:formatCode>General</c:formatCode>
                <c:ptCount val="2"/>
                <c:pt idx="0">
                  <c:v>183.9</c:v>
                </c:pt>
                <c:pt idx="1">
                  <c:v>267.7</c:v>
                </c:pt>
              </c:numCache>
            </c:numRef>
          </c:yVal>
          <c:smooth val="1"/>
        </c:ser>
        <c:ser>
          <c:idx val="12"/>
          <c:order val="12"/>
          <c:tx>
            <c:v>SP_ACS</c:v>
          </c:tx>
          <c:spPr>
            <a:ln w="158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(Simulation!$I$16,Simulation!$F$16)</c:f>
              <c:numCache>
                <c:formatCode>General</c:formatCode>
                <c:ptCount val="2"/>
                <c:pt idx="0">
                  <c:v>0</c:v>
                </c:pt>
                <c:pt idx="1">
                  <c:v>41.2</c:v>
                </c:pt>
              </c:numCache>
            </c:numRef>
          </c:xVal>
          <c:yVal>
            <c:numRef>
              <c:f>(Simulation!$I$17,Simulation!$F$17)</c:f>
              <c:numCache>
                <c:formatCode>General</c:formatCode>
                <c:ptCount val="2"/>
                <c:pt idx="0">
                  <c:v>233.5</c:v>
                </c:pt>
                <c:pt idx="1">
                  <c:v>233.5</c:v>
                </c:pt>
              </c:numCache>
            </c:numRef>
          </c:yVal>
          <c:smooth val="1"/>
        </c:ser>
        <c:ser>
          <c:idx val="13"/>
          <c:order val="13"/>
          <c:tx>
            <c:v>SP_OCS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(Simulation!$I$16,Simulation!$J$16)</c:f>
              <c:numCache>
                <c:formatCode>General</c:formatCode>
                <c:ptCount val="2"/>
                <c:pt idx="0">
                  <c:v>0</c:v>
                </c:pt>
                <c:pt idx="1">
                  <c:v>41.2</c:v>
                </c:pt>
              </c:numCache>
            </c:numRef>
          </c:xVal>
          <c:yVal>
            <c:numRef>
              <c:f>(Simulation!$I$17,Simulation!$J$17)</c:f>
              <c:numCache>
                <c:formatCode>General</c:formatCode>
                <c:ptCount val="2"/>
                <c:pt idx="0">
                  <c:v>233.5</c:v>
                </c:pt>
                <c:pt idx="1">
                  <c:v>233.5</c:v>
                </c:pt>
              </c:numCache>
            </c:numRef>
          </c:yVal>
          <c:smooth val="1"/>
        </c:ser>
        <c:ser>
          <c:idx val="14"/>
          <c:order val="14"/>
          <c:tx>
            <c:v>TP_ACS</c:v>
          </c:tx>
          <c:spPr>
            <a:ln w="158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(Simulation!$C$19,Simulation!$D$19)</c:f>
              <c:numCache>
                <c:formatCode>General</c:formatCode>
                <c:ptCount val="2"/>
                <c:pt idx="0">
                  <c:v>33.579094589070138</c:v>
                </c:pt>
                <c:pt idx="1">
                  <c:v>62.240382599761176</c:v>
                </c:pt>
              </c:numCache>
            </c:numRef>
          </c:xVal>
          <c:yVal>
            <c:numRef>
              <c:f>(Simulation!$C$20,Simulation!$D$20)</c:f>
              <c:numCache>
                <c:formatCode>General</c:formatCode>
                <c:ptCount val="2"/>
                <c:pt idx="0">
                  <c:v>183.48050143428941</c:v>
                </c:pt>
                <c:pt idx="1">
                  <c:v>262.22674305614856</c:v>
                </c:pt>
              </c:numCache>
            </c:numRef>
          </c:yVal>
          <c:smooth val="1"/>
        </c:ser>
        <c:ser>
          <c:idx val="15"/>
          <c:order val="15"/>
          <c:tx>
            <c:v>TP_OCS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(Simulation!$G$19,Simulation!$H$19)</c:f>
              <c:numCache>
                <c:formatCode>General</c:formatCode>
                <c:ptCount val="2"/>
                <c:pt idx="0">
                  <c:v>27.944839306838588</c:v>
                </c:pt>
                <c:pt idx="1">
                  <c:v>56.606127317529612</c:v>
                </c:pt>
              </c:numCache>
            </c:numRef>
          </c:xVal>
          <c:yVal>
            <c:numRef>
              <c:f>(Simulation!$G$20,Simulation!$H$20)</c:f>
              <c:numCache>
                <c:formatCode>General</c:formatCode>
                <c:ptCount val="2"/>
                <c:pt idx="0">
                  <c:v>191.52705188508463</c:v>
                </c:pt>
                <c:pt idx="1">
                  <c:v>270.27329350694373</c:v>
                </c:pt>
              </c:numCache>
            </c:numRef>
          </c:yVal>
          <c:smooth val="1"/>
        </c:ser>
        <c:ser>
          <c:idx val="16"/>
          <c:order val="16"/>
          <c:tx>
            <c:v>SP_ACS</c:v>
          </c:tx>
          <c:spPr>
            <a:ln w="158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(Simulation!$I$19,Simulation!$F$19)</c:f>
              <c:numCache>
                <c:formatCode>General</c:formatCode>
                <c:ptCount val="2"/>
                <c:pt idx="0">
                  <c:v>74.227448184312095</c:v>
                </c:pt>
                <c:pt idx="1">
                  <c:v>118.57703944292308</c:v>
                </c:pt>
              </c:numCache>
            </c:numRef>
          </c:xVal>
          <c:yVal>
            <c:numRef>
              <c:f>(Simulation!$I$20,Simulation!$F$20)</c:f>
              <c:numCache>
                <c:formatCode>General</c:formatCode>
                <c:ptCount val="2"/>
                <c:pt idx="0">
                  <c:v>227.46477740430484</c:v>
                </c:pt>
                <c:pt idx="1">
                  <c:v>205.32699704849207</c:v>
                </c:pt>
              </c:numCache>
            </c:numRef>
          </c:yVal>
          <c:smooth val="1"/>
        </c:ser>
        <c:ser>
          <c:idx val="17"/>
          <c:order val="17"/>
          <c:tx>
            <c:v>SP_OCS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(Simulation!$I$19,Simulation!$J$19)</c:f>
              <c:numCache>
                <c:formatCode>General</c:formatCode>
                <c:ptCount val="2"/>
                <c:pt idx="0">
                  <c:v>74.227448184312095</c:v>
                </c:pt>
                <c:pt idx="1">
                  <c:v>112.94278416069153</c:v>
                </c:pt>
              </c:numCache>
            </c:numRef>
          </c:xVal>
          <c:yVal>
            <c:numRef>
              <c:f>(Simulation!$I$20,Simulation!$J$20)</c:f>
              <c:numCache>
                <c:formatCode>General</c:formatCode>
                <c:ptCount val="2"/>
                <c:pt idx="0">
                  <c:v>227.46477740430484</c:v>
                </c:pt>
                <c:pt idx="1">
                  <c:v>213.37354749928727</c:v>
                </c:pt>
              </c:numCache>
            </c:numRef>
          </c:yVal>
          <c:smooth val="1"/>
        </c:ser>
        <c:ser>
          <c:idx val="18"/>
          <c:order val="18"/>
          <c:tx>
            <c:v>OCS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Simulation!$G$7</c:f>
              <c:numCache>
                <c:formatCode>General</c:formatCode>
                <c:ptCount val="1"/>
                <c:pt idx="0">
                  <c:v>20</c:v>
                </c:pt>
              </c:numCache>
            </c:numRef>
          </c:xVal>
          <c:yVal>
            <c:numRef>
              <c:f>Simulation!$G$8</c:f>
              <c:numCache>
                <c:formatCode>General</c:formatCode>
                <c:ptCount val="1"/>
                <c:pt idx="0">
                  <c:v>20</c:v>
                </c:pt>
              </c:numCache>
            </c:numRef>
          </c:yVal>
          <c:smooth val="1"/>
        </c:ser>
        <c:ser>
          <c:idx val="19"/>
          <c:order val="19"/>
          <c:tx>
            <c:v>ACS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Simulation!$H$7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Simulation!$H$8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1054832"/>
        <c:axId val="-1971067888"/>
      </c:scatterChart>
      <c:valAx>
        <c:axId val="-1971054832"/>
        <c:scaling>
          <c:orientation val="minMax"/>
          <c:max val="200"/>
        </c:scaling>
        <c:delete val="1"/>
        <c:axPos val="b"/>
        <c:numFmt formatCode="General" sourceLinked="1"/>
        <c:majorTickMark val="none"/>
        <c:minorTickMark val="none"/>
        <c:tickLblPos val="nextTo"/>
        <c:crossAx val="-1971067888"/>
        <c:crosses val="autoZero"/>
        <c:crossBetween val="midCat"/>
        <c:majorUnit val="100"/>
      </c:valAx>
      <c:valAx>
        <c:axId val="-1971067888"/>
        <c:scaling>
          <c:orientation val="minMax"/>
          <c:max val="450"/>
          <c:min val="-75"/>
        </c:scaling>
        <c:delete val="1"/>
        <c:axPos val="l"/>
        <c:numFmt formatCode="General" sourceLinked="1"/>
        <c:majorTickMark val="none"/>
        <c:minorTickMark val="none"/>
        <c:tickLblPos val="nextTo"/>
        <c:crossAx val="-1971054832"/>
        <c:crosses val="autoZero"/>
        <c:crossBetween val="midCat"/>
        <c:majorUnit val="75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40</xdr:row>
      <xdr:rowOff>90487</xdr:rowOff>
    </xdr:from>
    <xdr:to>
      <xdr:col>17</xdr:col>
      <xdr:colOff>457200</xdr:colOff>
      <xdr:row>55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409575</xdr:colOff>
      <xdr:row>63</xdr:row>
      <xdr:rowOff>90487</xdr:rowOff>
    </xdr:from>
    <xdr:to>
      <xdr:col>17</xdr:col>
      <xdr:colOff>428625</xdr:colOff>
      <xdr:row>78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142876</xdr:colOff>
      <xdr:row>0</xdr:row>
      <xdr:rowOff>66675</xdr:rowOff>
    </xdr:from>
    <xdr:to>
      <xdr:col>17</xdr:col>
      <xdr:colOff>276226</xdr:colOff>
      <xdr:row>23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0</xdr:row>
      <xdr:rowOff>114299</xdr:rowOff>
    </xdr:from>
    <xdr:to>
      <xdr:col>16</xdr:col>
      <xdr:colOff>371475</xdr:colOff>
      <xdr:row>22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9"/>
  <sheetViews>
    <sheetView tabSelected="1" workbookViewId="0"/>
  </sheetViews>
  <sheetFormatPr defaultRowHeight="15" x14ac:dyDescent="0.25"/>
  <cols>
    <col min="3" max="3" width="9" customWidth="1"/>
    <col min="7" max="7" width="9.5" customWidth="1"/>
    <col min="8" max="8" width="9.75" customWidth="1"/>
    <col min="10" max="10" width="10.25" customWidth="1"/>
  </cols>
  <sheetData>
    <row r="2" spans="1:18" x14ac:dyDescent="0.25">
      <c r="E2" s="108" t="s">
        <v>58</v>
      </c>
      <c r="F2" s="108"/>
      <c r="G2" s="108"/>
      <c r="H2" s="108"/>
      <c r="I2" s="108"/>
      <c r="J2" s="108"/>
    </row>
    <row r="3" spans="1:18" x14ac:dyDescent="0.25">
      <c r="E3" s="108"/>
      <c r="F3" s="108"/>
      <c r="G3" s="108"/>
      <c r="H3" s="108"/>
      <c r="I3" s="108"/>
      <c r="J3" s="108"/>
    </row>
    <row r="4" spans="1:18" x14ac:dyDescent="0.25">
      <c r="K4" s="71" t="s">
        <v>83</v>
      </c>
    </row>
    <row r="5" spans="1:18" x14ac:dyDescent="0.25">
      <c r="A5" s="80"/>
      <c r="B5" s="80"/>
      <c r="C5" s="33" t="s">
        <v>0</v>
      </c>
      <c r="D5" s="76" t="s">
        <v>1</v>
      </c>
      <c r="E5" s="33" t="s">
        <v>2</v>
      </c>
      <c r="F5" s="33" t="s">
        <v>3</v>
      </c>
      <c r="G5" s="80"/>
      <c r="H5" s="80"/>
      <c r="J5" s="28" t="s">
        <v>4</v>
      </c>
      <c r="K5" s="46">
        <v>-20</v>
      </c>
      <c r="L5" s="94" t="s">
        <v>37</v>
      </c>
      <c r="M5" s="95"/>
      <c r="N5" s="94" t="s">
        <v>56</v>
      </c>
      <c r="O5" s="95"/>
    </row>
    <row r="6" spans="1:18" x14ac:dyDescent="0.25">
      <c r="A6" s="81"/>
      <c r="B6" s="81"/>
      <c r="C6" s="63">
        <v>-31.2</v>
      </c>
      <c r="D6" s="77">
        <v>-31.2</v>
      </c>
      <c r="E6" s="62">
        <v>0</v>
      </c>
      <c r="F6" s="62">
        <v>41.2</v>
      </c>
      <c r="G6" s="81"/>
      <c r="H6" s="81"/>
      <c r="J6" s="33" t="s">
        <v>5</v>
      </c>
      <c r="K6" s="45">
        <v>0</v>
      </c>
      <c r="L6" s="94" t="s">
        <v>36</v>
      </c>
      <c r="M6" s="95"/>
      <c r="N6" s="94" t="s">
        <v>84</v>
      </c>
      <c r="O6" s="95"/>
    </row>
    <row r="7" spans="1:18" x14ac:dyDescent="0.25">
      <c r="A7" s="81"/>
      <c r="B7" s="81"/>
      <c r="C7" s="63">
        <v>183.9</v>
      </c>
      <c r="D7" s="78">
        <v>267.7</v>
      </c>
      <c r="E7" s="63">
        <v>233.5</v>
      </c>
      <c r="F7" s="63">
        <v>233.5</v>
      </c>
      <c r="G7" s="81"/>
      <c r="H7" s="81"/>
      <c r="J7" s="33" t="s">
        <v>39</v>
      </c>
      <c r="K7" s="45">
        <v>-20</v>
      </c>
      <c r="L7" s="94" t="s">
        <v>38</v>
      </c>
      <c r="M7" s="95"/>
      <c r="N7" s="94" t="s">
        <v>84</v>
      </c>
      <c r="O7" s="95"/>
    </row>
    <row r="8" spans="1:18" x14ac:dyDescent="0.25">
      <c r="A8" s="81"/>
      <c r="B8" s="81"/>
      <c r="C8" s="64">
        <v>1</v>
      </c>
      <c r="D8" s="79">
        <v>1</v>
      </c>
      <c r="E8" s="64">
        <v>1</v>
      </c>
      <c r="F8" s="64">
        <v>1</v>
      </c>
      <c r="G8" s="81"/>
      <c r="H8" s="81"/>
    </row>
    <row r="10" spans="1:18" x14ac:dyDescent="0.25">
      <c r="E10" s="105" t="s">
        <v>57</v>
      </c>
      <c r="F10" s="106"/>
      <c r="G10" s="107"/>
      <c r="J10" s="105" t="s">
        <v>10</v>
      </c>
      <c r="K10" s="106"/>
      <c r="L10" s="107"/>
      <c r="O10" s="105" t="s">
        <v>11</v>
      </c>
      <c r="P10" s="106"/>
      <c r="Q10" s="107"/>
    </row>
    <row r="11" spans="1:18" x14ac:dyDescent="0.25">
      <c r="E11" s="102" t="s">
        <v>6</v>
      </c>
      <c r="F11" s="53">
        <f>COS(RADIANS(-$K$5))</f>
        <v>0.93969262078590843</v>
      </c>
      <c r="G11" s="54">
        <f>-SIN(RADIANS(-$K$5))</f>
        <v>-0.34202014332566871</v>
      </c>
      <c r="H11" s="55">
        <v>0</v>
      </c>
      <c r="J11" s="102" t="s">
        <v>7</v>
      </c>
      <c r="K11" s="53">
        <v>1</v>
      </c>
      <c r="L11" s="54">
        <v>0</v>
      </c>
      <c r="M11" s="55">
        <f>$K$6</f>
        <v>0</v>
      </c>
      <c r="O11" s="102" t="s">
        <v>8</v>
      </c>
      <c r="P11" s="53">
        <f t="array" ref="P11:R13">MINVERSE($K$11:$M$13)</f>
        <v>1</v>
      </c>
      <c r="Q11" s="54">
        <v>0</v>
      </c>
      <c r="R11" s="55">
        <v>0</v>
      </c>
    </row>
    <row r="12" spans="1:18" x14ac:dyDescent="0.25">
      <c r="E12" s="103"/>
      <c r="F12" s="56">
        <f>SIN(RADIANS(-$K$5))</f>
        <v>0.34202014332566871</v>
      </c>
      <c r="G12" s="57">
        <f>COS(RADIANS(-$K$5))</f>
        <v>0.93969262078590843</v>
      </c>
      <c r="H12" s="58">
        <v>0</v>
      </c>
      <c r="J12" s="103"/>
      <c r="K12" s="56">
        <v>0</v>
      </c>
      <c r="L12" s="57">
        <v>1</v>
      </c>
      <c r="M12" s="58">
        <f>$K$7</f>
        <v>-20</v>
      </c>
      <c r="O12" s="103"/>
      <c r="P12" s="56">
        <v>0</v>
      </c>
      <c r="Q12" s="57">
        <v>1</v>
      </c>
      <c r="R12" s="58">
        <v>20</v>
      </c>
    </row>
    <row r="13" spans="1:18" x14ac:dyDescent="0.25">
      <c r="E13" s="104"/>
      <c r="F13" s="59">
        <v>0</v>
      </c>
      <c r="G13" s="60">
        <v>0</v>
      </c>
      <c r="H13" s="61">
        <v>1</v>
      </c>
      <c r="J13" s="104"/>
      <c r="K13" s="59">
        <v>0</v>
      </c>
      <c r="L13" s="60">
        <v>0</v>
      </c>
      <c r="M13" s="61">
        <v>1</v>
      </c>
      <c r="O13" s="104"/>
      <c r="P13" s="59">
        <v>0</v>
      </c>
      <c r="Q13" s="60">
        <v>0</v>
      </c>
      <c r="R13" s="61">
        <v>1</v>
      </c>
    </row>
    <row r="15" spans="1:18" x14ac:dyDescent="0.25">
      <c r="E15" s="81"/>
      <c r="F15" s="81"/>
      <c r="G15" s="81"/>
      <c r="H15" s="85"/>
    </row>
    <row r="16" spans="1:18" x14ac:dyDescent="0.25">
      <c r="E16" s="81"/>
      <c r="F16" s="81"/>
      <c r="G16" s="81"/>
      <c r="H16" s="81"/>
      <c r="K16" s="105" t="s">
        <v>13</v>
      </c>
      <c r="L16" s="106"/>
      <c r="M16" s="107"/>
    </row>
    <row r="17" spans="1:18" x14ac:dyDescent="0.25">
      <c r="E17" s="81"/>
      <c r="F17" s="81"/>
      <c r="G17" s="81"/>
      <c r="H17" s="81"/>
      <c r="K17" s="10" t="s">
        <v>0</v>
      </c>
      <c r="L17" s="10" t="s">
        <v>1</v>
      </c>
      <c r="M17" s="73" t="s">
        <v>2</v>
      </c>
      <c r="N17" s="10" t="s">
        <v>3</v>
      </c>
      <c r="O17" s="80"/>
      <c r="P17" s="80"/>
      <c r="Q17" s="80"/>
      <c r="R17" s="80"/>
    </row>
    <row r="18" spans="1:18" x14ac:dyDescent="0.25">
      <c r="E18" s="81"/>
      <c r="F18" s="81"/>
      <c r="G18" s="81"/>
      <c r="H18" s="81"/>
      <c r="J18" s="102" t="s">
        <v>17</v>
      </c>
      <c r="K18" s="65">
        <f t="array" ref="K18:K20">MMULT($P$11:$R$13,C6:C8)</f>
        <v>-31.2</v>
      </c>
      <c r="L18" s="65">
        <f t="array" ref="L18:L20">MMULT($P$11:$R$13,D6:D8)</f>
        <v>-31.2</v>
      </c>
      <c r="M18" s="53">
        <f t="array" ref="M18:M20">MMULT($P$11:$R$13,E6:E8)</f>
        <v>0</v>
      </c>
      <c r="N18" s="65">
        <f t="array" ref="N18:N20">MMULT($P$11:$R$13,F6:F8)</f>
        <v>41.2</v>
      </c>
      <c r="O18" s="81"/>
      <c r="P18" s="81"/>
      <c r="Q18" s="81"/>
      <c r="R18" s="81"/>
    </row>
    <row r="19" spans="1:18" x14ac:dyDescent="0.25">
      <c r="J19" s="103"/>
      <c r="K19" s="66">
        <v>203.9</v>
      </c>
      <c r="L19" s="66">
        <v>287.7</v>
      </c>
      <c r="M19" s="66">
        <v>253.5</v>
      </c>
      <c r="N19" s="58">
        <v>253.5</v>
      </c>
      <c r="O19" s="81"/>
      <c r="P19" s="81"/>
      <c r="Q19" s="81"/>
      <c r="R19" s="81"/>
    </row>
    <row r="20" spans="1:18" x14ac:dyDescent="0.25">
      <c r="J20" s="104"/>
      <c r="K20" s="67">
        <v>1</v>
      </c>
      <c r="L20" s="67">
        <v>1</v>
      </c>
      <c r="M20" s="59">
        <v>1</v>
      </c>
      <c r="N20" s="67">
        <v>1</v>
      </c>
      <c r="O20" s="81"/>
      <c r="P20" s="81"/>
      <c r="Q20" s="81"/>
      <c r="R20" s="81"/>
    </row>
    <row r="21" spans="1:18" x14ac:dyDescent="0.25">
      <c r="N21" s="5"/>
      <c r="O21" s="85"/>
      <c r="P21" s="85"/>
      <c r="Q21" s="85"/>
      <c r="R21" s="85"/>
    </row>
    <row r="22" spans="1:18" x14ac:dyDescent="0.25">
      <c r="K22" s="105" t="s">
        <v>14</v>
      </c>
      <c r="L22" s="106"/>
      <c r="M22" s="107"/>
      <c r="N22" s="5"/>
      <c r="O22" s="85"/>
      <c r="P22" s="85"/>
      <c r="Q22" s="85"/>
      <c r="R22" s="85"/>
    </row>
    <row r="23" spans="1:18" x14ac:dyDescent="0.25">
      <c r="K23" s="10" t="s">
        <v>0</v>
      </c>
      <c r="L23" s="10" t="s">
        <v>1</v>
      </c>
      <c r="M23" s="73" t="s">
        <v>2</v>
      </c>
      <c r="N23" s="10" t="s">
        <v>3</v>
      </c>
      <c r="O23" s="80"/>
      <c r="P23" s="80"/>
      <c r="Q23" s="80"/>
      <c r="R23" s="80"/>
    </row>
    <row r="24" spans="1:18" x14ac:dyDescent="0.25">
      <c r="G24" s="80"/>
      <c r="H24" s="80"/>
      <c r="J24" s="102" t="s">
        <v>18</v>
      </c>
      <c r="K24" s="65">
        <f t="array" ref="K24:K26">MMULT($F$11:$H$13,K18:K20)</f>
        <v>-99.05631699262419</v>
      </c>
      <c r="L24" s="65">
        <f t="array" ref="L24:L26">MMULT($F$11:$H$13,L18:L20)</f>
        <v>-127.71760500331523</v>
      </c>
      <c r="M24" s="53">
        <f t="array" ref="M24:M26">MMULT($F$11:$H$13,M18:M20)</f>
        <v>-86.702106333057017</v>
      </c>
      <c r="N24" s="65">
        <f t="array" ref="N24:N26">MMULT($F$11:$H$13,N18:N20)</f>
        <v>-47.986770356677589</v>
      </c>
      <c r="O24" s="81"/>
      <c r="P24" s="81"/>
      <c r="Q24" s="81"/>
      <c r="R24" s="81"/>
    </row>
    <row r="25" spans="1:18" x14ac:dyDescent="0.25">
      <c r="G25" s="81"/>
      <c r="H25" s="81"/>
      <c r="J25" s="103"/>
      <c r="K25" s="66">
        <v>180.93229690648587</v>
      </c>
      <c r="L25" s="66">
        <v>259.67853852834497</v>
      </c>
      <c r="M25" s="56">
        <v>238.21207936922778</v>
      </c>
      <c r="N25" s="66">
        <v>252.30330927424532</v>
      </c>
      <c r="O25" s="81"/>
      <c r="P25" s="81"/>
      <c r="Q25" s="81"/>
      <c r="R25" s="81"/>
    </row>
    <row r="26" spans="1:18" x14ac:dyDescent="0.25">
      <c r="G26" s="81"/>
      <c r="H26" s="81"/>
      <c r="J26" s="104"/>
      <c r="K26" s="67">
        <v>1</v>
      </c>
      <c r="L26" s="67">
        <v>1</v>
      </c>
      <c r="M26" s="59">
        <v>1</v>
      </c>
      <c r="N26" s="67">
        <v>1</v>
      </c>
      <c r="O26" s="81"/>
      <c r="P26" s="81"/>
      <c r="Q26" s="81"/>
      <c r="R26" s="81"/>
    </row>
    <row r="27" spans="1:18" s="15" customFormat="1" x14ac:dyDescent="0.25">
      <c r="G27" s="81"/>
      <c r="H27" s="81"/>
      <c r="N27" s="85"/>
      <c r="O27" s="85"/>
      <c r="P27" s="85"/>
      <c r="Q27" s="85"/>
      <c r="R27" s="85"/>
    </row>
    <row r="28" spans="1:18" x14ac:dyDescent="0.25">
      <c r="B28" s="16"/>
      <c r="C28" s="114" t="s">
        <v>12</v>
      </c>
      <c r="D28" s="115"/>
      <c r="E28" s="116"/>
      <c r="F28" s="17"/>
      <c r="G28" s="85"/>
      <c r="H28" s="85"/>
      <c r="J28" s="16"/>
      <c r="K28" s="114" t="s">
        <v>15</v>
      </c>
      <c r="L28" s="115"/>
      <c r="M28" s="116"/>
      <c r="N28" s="86"/>
      <c r="O28" s="85"/>
      <c r="P28" s="85"/>
      <c r="Q28" s="85"/>
      <c r="R28" s="85"/>
    </row>
    <row r="29" spans="1:18" x14ac:dyDescent="0.25">
      <c r="B29" s="16"/>
      <c r="C29" s="20" t="s">
        <v>0</v>
      </c>
      <c r="D29" s="20" t="s">
        <v>1</v>
      </c>
      <c r="E29" s="20" t="s">
        <v>2</v>
      </c>
      <c r="F29" s="20" t="s">
        <v>3</v>
      </c>
      <c r="G29" s="80"/>
      <c r="H29" s="80"/>
      <c r="J29" s="16"/>
      <c r="K29" s="20" t="s">
        <v>0</v>
      </c>
      <c r="L29" s="20" t="s">
        <v>1</v>
      </c>
      <c r="M29" s="74" t="s">
        <v>2</v>
      </c>
      <c r="N29" s="75" t="s">
        <v>3</v>
      </c>
      <c r="O29" s="80"/>
      <c r="P29" s="80"/>
      <c r="Q29" s="80"/>
      <c r="R29" s="80"/>
    </row>
    <row r="30" spans="1:18" x14ac:dyDescent="0.25">
      <c r="A30" s="21" t="s">
        <v>21</v>
      </c>
      <c r="B30" s="111" t="s">
        <v>9</v>
      </c>
      <c r="C30" s="68">
        <f t="array" ref="C30:C32">MMULT(F11:H13,C6:C8)</f>
        <v>-92.215914126110818</v>
      </c>
      <c r="D30" s="68">
        <f t="array" ref="D30:D32">MMULT(F11:H13,D6:D8)</f>
        <v>-120.87720213680186</v>
      </c>
      <c r="E30" s="68">
        <f t="array" ref="E30:E32">MMULT(F11:H13,E6:E8)</f>
        <v>-79.861703466543645</v>
      </c>
      <c r="F30" s="68">
        <f t="array" ref="F30:F32">MMULT(F11:H13,F6:F8)</f>
        <v>-41.146367490164216</v>
      </c>
      <c r="G30" s="81"/>
      <c r="H30" s="81"/>
      <c r="J30" s="111" t="s">
        <v>16</v>
      </c>
      <c r="K30" s="68">
        <f t="array" ref="K30:K32">MMULT($K$11:$M$13,K24:K26)</f>
        <v>-99.05631699262419</v>
      </c>
      <c r="L30" s="68">
        <f t="array" ref="L30:L32">MMULT($K$11:$M$13,L24:L26)</f>
        <v>-127.71760500331523</v>
      </c>
      <c r="M30" s="82">
        <f t="array" ref="M30:M32">MMULT($K$11:$M$13,M24:M26)</f>
        <v>-86.702106333057017</v>
      </c>
      <c r="N30" s="68">
        <f t="array" ref="N30:N32">MMULT($K$11:$M$13,N24:N26)</f>
        <v>-47.986770356677589</v>
      </c>
      <c r="O30" s="81"/>
      <c r="P30" s="81"/>
      <c r="Q30" s="81"/>
      <c r="R30" s="81"/>
    </row>
    <row r="31" spans="1:18" x14ac:dyDescent="0.25">
      <c r="A31" s="22" t="s">
        <v>22</v>
      </c>
      <c r="B31" s="112"/>
      <c r="C31" s="69">
        <v>162.13844449076771</v>
      </c>
      <c r="D31" s="69">
        <v>240.88468611262681</v>
      </c>
      <c r="E31" s="69">
        <v>219.41822695350962</v>
      </c>
      <c r="F31" s="69">
        <v>233.50945685852716</v>
      </c>
      <c r="G31" s="81"/>
      <c r="H31" s="81"/>
      <c r="J31" s="112"/>
      <c r="K31" s="69">
        <v>160.93229690648587</v>
      </c>
      <c r="L31" s="69">
        <v>239.67853852834497</v>
      </c>
      <c r="M31" s="83">
        <v>218.21207936922778</v>
      </c>
      <c r="N31" s="69">
        <v>232.30330927424532</v>
      </c>
      <c r="O31" s="81"/>
      <c r="P31" s="81"/>
      <c r="Q31" s="81"/>
      <c r="R31" s="81"/>
    </row>
    <row r="32" spans="1:18" x14ac:dyDescent="0.25">
      <c r="A32" s="23" t="s">
        <v>23</v>
      </c>
      <c r="B32" s="113"/>
      <c r="C32" s="70">
        <v>1</v>
      </c>
      <c r="D32" s="70">
        <v>1</v>
      </c>
      <c r="E32" s="70">
        <v>1</v>
      </c>
      <c r="F32" s="70">
        <v>1</v>
      </c>
      <c r="G32" s="81"/>
      <c r="H32" s="81"/>
      <c r="J32" s="113"/>
      <c r="K32" s="70">
        <v>1</v>
      </c>
      <c r="L32" s="70">
        <v>1</v>
      </c>
      <c r="M32" s="84">
        <v>1</v>
      </c>
      <c r="N32" s="70">
        <v>1</v>
      </c>
      <c r="O32" s="81"/>
      <c r="P32" s="81"/>
      <c r="Q32" s="81"/>
      <c r="R32" s="81"/>
    </row>
    <row r="34" spans="2:17" s="14" customFormat="1" x14ac:dyDescent="0.25"/>
    <row r="36" spans="2:17" ht="15" customHeight="1" x14ac:dyDescent="0.25">
      <c r="B36" s="120" t="s">
        <v>19</v>
      </c>
      <c r="C36" s="121"/>
      <c r="D36" s="121"/>
      <c r="E36" s="121"/>
      <c r="F36" s="121"/>
      <c r="G36" s="121"/>
      <c r="H36" s="121"/>
      <c r="I36" s="122"/>
    </row>
    <row r="37" spans="2:17" ht="15" customHeight="1" x14ac:dyDescent="0.25">
      <c r="B37" s="123"/>
      <c r="C37" s="124"/>
      <c r="D37" s="124"/>
      <c r="E37" s="124"/>
      <c r="F37" s="124"/>
      <c r="G37" s="124"/>
      <c r="H37" s="124"/>
      <c r="I37" s="125"/>
      <c r="M37" s="96" t="s">
        <v>26</v>
      </c>
      <c r="N37" s="97"/>
      <c r="O37" s="10" t="s">
        <v>24</v>
      </c>
      <c r="P37" s="10" t="s">
        <v>25</v>
      </c>
      <c r="Q37" s="10" t="s">
        <v>40</v>
      </c>
    </row>
    <row r="38" spans="2:17" x14ac:dyDescent="0.25">
      <c r="B38" s="109" t="s">
        <v>66</v>
      </c>
      <c r="C38" s="110"/>
      <c r="D38" s="109" t="s">
        <v>67</v>
      </c>
      <c r="E38" s="110"/>
      <c r="F38" s="126" t="s">
        <v>20</v>
      </c>
      <c r="G38" s="127"/>
      <c r="H38" s="127"/>
      <c r="I38" s="128"/>
      <c r="M38" s="98"/>
      <c r="N38" s="99"/>
      <c r="O38" s="11">
        <f>INDEX($M$30:$M$32,1,1)</f>
        <v>-86.702106333057017</v>
      </c>
      <c r="P38" s="11">
        <f>INDEX($M$30:$M$32,2,1)</f>
        <v>218.21207936922778</v>
      </c>
      <c r="Q38" s="34" t="s">
        <v>65</v>
      </c>
    </row>
    <row r="39" spans="2:17" x14ac:dyDescent="0.25">
      <c r="B39" s="109"/>
      <c r="C39" s="110"/>
      <c r="D39" s="109"/>
      <c r="E39" s="110"/>
      <c r="F39" s="117" t="s">
        <v>68</v>
      </c>
      <c r="G39" s="118"/>
      <c r="H39" s="117" t="s">
        <v>69</v>
      </c>
      <c r="I39" s="119"/>
      <c r="M39" s="98"/>
      <c r="N39" s="99"/>
      <c r="O39" s="12">
        <f t="array" ref="O39">INDEX($F$30:$F$32,1,1)</f>
        <v>-41.146367490164216</v>
      </c>
      <c r="P39" s="12">
        <f t="array" ref="P39">INDEX($F$30:$F$32,2,1)</f>
        <v>233.50945685852716</v>
      </c>
      <c r="Q39" s="34" t="s">
        <v>42</v>
      </c>
    </row>
    <row r="40" spans="2:17" ht="15" customHeight="1" x14ac:dyDescent="0.25">
      <c r="B40" s="25" t="s">
        <v>28</v>
      </c>
      <c r="C40" s="25" t="s">
        <v>27</v>
      </c>
      <c r="D40" s="25" t="s">
        <v>28</v>
      </c>
      <c r="E40" s="25" t="s">
        <v>27</v>
      </c>
      <c r="F40" s="44" t="s">
        <v>59</v>
      </c>
      <c r="G40" s="44" t="s">
        <v>60</v>
      </c>
      <c r="H40" s="44" t="s">
        <v>70</v>
      </c>
      <c r="I40" s="44" t="s">
        <v>64</v>
      </c>
      <c r="M40" s="100"/>
      <c r="N40" s="101"/>
      <c r="O40" s="13">
        <f t="array" ref="O40">INDEX($N$30:$N$32,1,1)</f>
        <v>-47.986770356677589</v>
      </c>
      <c r="P40" s="13">
        <f t="array" ref="P40">INDEX($N$30:$N$32,2,1)</f>
        <v>232.30330927424532</v>
      </c>
      <c r="Q40" s="34" t="s">
        <v>41</v>
      </c>
    </row>
    <row r="41" spans="2:17" ht="15" customHeight="1" x14ac:dyDescent="0.25">
      <c r="B41" s="26">
        <f>SQRT((($M$30-$F$30)^2)+(($M$31-$F$31)^2)+(($M$32-$F$32)^2))</f>
        <v>48.05554181956515</v>
      </c>
      <c r="C41" s="26">
        <f>($F$31-$M$31)/($F$30-$M$30)</f>
        <v>0.33579474019848848</v>
      </c>
      <c r="D41" s="26">
        <f>SQRT((($M$30-$N$30)^2)+(($M$31-$N$31)^2)+(($M$32-$N$32)^2))</f>
        <v>41.2</v>
      </c>
      <c r="E41" s="26">
        <f>($N$31-$M$31)/($N$30-$M$30)</f>
        <v>0.36397023426620206</v>
      </c>
      <c r="F41" s="37" t="str">
        <f>IF($E$41&gt;$C$41,"Proximal",IF($E$41&lt;$C$41,"Distal","Coincident"))</f>
        <v>Proximal</v>
      </c>
      <c r="G41" s="37" t="str">
        <f>IF($D$41&gt;$B$41,"Anterior",IF($D$41&lt;$B$41,"Posterior","Coincident"))</f>
        <v>Posterior</v>
      </c>
      <c r="H41" s="37">
        <f>IF($E$41&gt;$C$41,$G$53,IF($E$41&lt;$C$41,-$G$53,$G$53))</f>
        <v>1.2061475842818219</v>
      </c>
      <c r="I41" s="37">
        <f>IF($D$41&gt;$B$41,$G$54,IF($D$41&lt;$B$41,-$G$54,$G$54))</f>
        <v>-6.8404028665133749</v>
      </c>
    </row>
    <row r="45" spans="2:17" ht="15" customHeight="1" x14ac:dyDescent="0.25">
      <c r="B45" s="154" t="s">
        <v>30</v>
      </c>
      <c r="C45" s="154" t="s">
        <v>31</v>
      </c>
      <c r="D45" s="142" t="s">
        <v>32</v>
      </c>
      <c r="E45" s="143"/>
      <c r="F45" s="150" t="s">
        <v>33</v>
      </c>
      <c r="G45" s="138" t="s">
        <v>34</v>
      </c>
      <c r="H45" s="139"/>
      <c r="I45" s="126" t="s">
        <v>35</v>
      </c>
      <c r="J45" s="127"/>
      <c r="K45" s="128"/>
    </row>
    <row r="46" spans="2:17" x14ac:dyDescent="0.25">
      <c r="B46" s="155"/>
      <c r="C46" s="155"/>
      <c r="D46" s="144"/>
      <c r="E46" s="145"/>
      <c r="F46" s="151"/>
      <c r="G46" s="140"/>
      <c r="H46" s="141"/>
      <c r="I46" s="135"/>
      <c r="J46" s="136"/>
      <c r="K46" s="137"/>
    </row>
    <row r="47" spans="2:17" x14ac:dyDescent="0.25">
      <c r="B47" s="170">
        <f t="shared" ref="B47" si="0">$K$6</f>
        <v>0</v>
      </c>
      <c r="C47" s="170">
        <f t="shared" ref="C47" si="1">$K$7</f>
        <v>-20</v>
      </c>
      <c r="D47" s="146" t="str">
        <f>IF(AND($B$47&gt;0,$C$47=0),"Anterior",IF(AND($B$47&gt;0,$C$47&gt;0),"Anterior-Proximal",IF(AND($B$47&gt;0,$C$47&lt;0),"Anterior-Distal",IF(AND($B$47&lt;0,$C$47=0),"Posterior",IF(AND($B$47&lt;0,$C$47&gt;0),"Posterior-Proximal",IF(AND($B$47&lt;0,$C$47&lt;0),"Posterior-Distal",IF(AND($B$47=0,$C$47&gt;0),"Proximal",IF(AND($B$47=0,$C$47&lt;0),"Distal","None"))))))))</f>
        <v>Distal</v>
      </c>
      <c r="E47" s="147"/>
      <c r="F47" s="152">
        <f t="shared" ref="F47" si="2">$K$5</f>
        <v>-20</v>
      </c>
      <c r="G47" s="166" t="str">
        <f>IF($F$47&gt;0,"Dorsiflexion",IF($F$47&lt;0,"Plantarflexion","Neutral"))</f>
        <v>Plantarflexion</v>
      </c>
      <c r="H47" s="167"/>
      <c r="I47" s="160" t="str">
        <f t="shared" ref="I47" si="3">CONCATENATE($G$41," ",$F$41)</f>
        <v>Posterior Proximal</v>
      </c>
      <c r="J47" s="161"/>
      <c r="K47" s="162"/>
    </row>
    <row r="48" spans="2:17" x14ac:dyDescent="0.25">
      <c r="B48" s="171"/>
      <c r="C48" s="171"/>
      <c r="D48" s="148"/>
      <c r="E48" s="149"/>
      <c r="F48" s="153"/>
      <c r="G48" s="168"/>
      <c r="H48" s="169"/>
      <c r="I48" s="163"/>
      <c r="J48" s="164"/>
      <c r="K48" s="165"/>
    </row>
    <row r="49" spans="1:16" x14ac:dyDescent="0.25">
      <c r="B49" s="27"/>
      <c r="C49" s="27"/>
    </row>
    <row r="50" spans="1:16" x14ac:dyDescent="0.25">
      <c r="B50" s="24"/>
      <c r="C50" s="24"/>
    </row>
    <row r="51" spans="1:16" ht="15" customHeight="1" x14ac:dyDescent="0.25">
      <c r="A51" s="156" t="s">
        <v>71</v>
      </c>
      <c r="B51" s="157"/>
      <c r="C51" s="49" t="s">
        <v>72</v>
      </c>
      <c r="D51" s="47">
        <f>$O$39</f>
        <v>-41.146367490164216</v>
      </c>
      <c r="E51" s="47">
        <f>$P$39</f>
        <v>233.50945685852716</v>
      </c>
      <c r="F51" s="132" t="s">
        <v>73</v>
      </c>
      <c r="G51" s="133"/>
      <c r="H51" s="134"/>
    </row>
    <row r="52" spans="1:16" x14ac:dyDescent="0.25">
      <c r="A52" s="158"/>
      <c r="B52" s="159"/>
      <c r="C52" s="49" t="s">
        <v>61</v>
      </c>
      <c r="D52" s="48">
        <f>($P$38-$P$40)</f>
        <v>-14.091229905017542</v>
      </c>
    </row>
    <row r="53" spans="1:16" x14ac:dyDescent="0.25">
      <c r="C53" s="49" t="s">
        <v>62</v>
      </c>
      <c r="D53" s="48">
        <f>($O$40-$O$38)</f>
        <v>38.715335976379428</v>
      </c>
      <c r="F53" s="72" t="s">
        <v>70</v>
      </c>
      <c r="G53" s="72">
        <f>ABS(($D$52*$D$51+$D$53*$E$51+$D$54)/SQRT($D$52^2+$D$53^2))</f>
        <v>1.2061475842818219</v>
      </c>
      <c r="H53" s="129" t="s">
        <v>74</v>
      </c>
      <c r="I53" s="130"/>
      <c r="J53" s="131"/>
    </row>
    <row r="54" spans="1:16" x14ac:dyDescent="0.25">
      <c r="C54" s="49" t="s">
        <v>63</v>
      </c>
      <c r="D54" s="48">
        <f>($O$38*$P$40-$P$38*$O$40)</f>
        <v>-9669.8932804724118</v>
      </c>
      <c r="F54" s="72" t="s">
        <v>64</v>
      </c>
      <c r="G54" s="72">
        <f>SQRT($D$55^2-$G$53^2)</f>
        <v>6.8404028665133749</v>
      </c>
      <c r="H54" s="129" t="s">
        <v>75</v>
      </c>
      <c r="I54" s="130"/>
      <c r="J54" s="131"/>
    </row>
    <row r="55" spans="1:16" x14ac:dyDescent="0.25">
      <c r="C55" s="49" t="s">
        <v>80</v>
      </c>
      <c r="D55" s="48">
        <f>SQRT(($O$39-$O$40)^2+($P$39-$P$40)^2)</f>
        <v>6.9459271066772121</v>
      </c>
    </row>
    <row r="57" spans="1:16" s="14" customFormat="1" x14ac:dyDescent="0.25"/>
    <row r="59" spans="1:16" x14ac:dyDescent="0.25">
      <c r="L59" s="176" t="s">
        <v>26</v>
      </c>
      <c r="M59" s="177"/>
      <c r="N59" s="10" t="s">
        <v>24</v>
      </c>
      <c r="O59" s="10" t="s">
        <v>25</v>
      </c>
      <c r="P59" s="10" t="s">
        <v>40</v>
      </c>
    </row>
    <row r="60" spans="1:16" ht="15" customHeight="1" x14ac:dyDescent="0.25">
      <c r="B60" s="35"/>
      <c r="C60" s="35"/>
      <c r="D60" s="35"/>
      <c r="E60" s="35"/>
      <c r="F60" s="35"/>
      <c r="G60" s="35"/>
      <c r="L60" s="178"/>
      <c r="M60" s="179"/>
      <c r="N60" s="34">
        <f t="array" ref="N60">INDEX($C$30:$C$32,1,1)</f>
        <v>-92.215914126110818</v>
      </c>
      <c r="O60" s="34">
        <f>INDEX($C$30:$C$32,2,1)</f>
        <v>162.13844449076771</v>
      </c>
      <c r="P60" s="34" t="s">
        <v>43</v>
      </c>
    </row>
    <row r="61" spans="1:16" ht="15" customHeight="1" x14ac:dyDescent="0.25">
      <c r="B61" s="176" t="s">
        <v>47</v>
      </c>
      <c r="C61" s="182"/>
      <c r="D61" s="182"/>
      <c r="E61" s="182"/>
      <c r="F61" s="182"/>
      <c r="G61" s="182"/>
      <c r="H61" s="182"/>
      <c r="I61" s="182"/>
      <c r="J61" s="177"/>
      <c r="L61" s="178"/>
      <c r="M61" s="179"/>
      <c r="N61" s="34">
        <f t="shared" ref="N61" si="4">INDEX($D$30:$D$32,1,1)</f>
        <v>-120.87720213680186</v>
      </c>
      <c r="O61" s="34">
        <f>INDEX($D$30:$D$32,2,1)</f>
        <v>240.88468611262681</v>
      </c>
      <c r="P61" s="34" t="s">
        <v>44</v>
      </c>
    </row>
    <row r="62" spans="1:16" ht="15" customHeight="1" x14ac:dyDescent="0.25">
      <c r="B62" s="180"/>
      <c r="C62" s="183"/>
      <c r="D62" s="183"/>
      <c r="E62" s="183"/>
      <c r="F62" s="183"/>
      <c r="G62" s="183"/>
      <c r="H62" s="183"/>
      <c r="I62" s="183"/>
      <c r="J62" s="181"/>
      <c r="L62" s="178"/>
      <c r="M62" s="179"/>
      <c r="N62" s="34">
        <f>INDEX($K$30:$K$32,1,1)</f>
        <v>-99.05631699262419</v>
      </c>
      <c r="O62" s="34">
        <f>INDEX($K$30:$K$32,2,1)</f>
        <v>160.93229690648587</v>
      </c>
      <c r="P62" s="34" t="s">
        <v>45</v>
      </c>
    </row>
    <row r="63" spans="1:16" x14ac:dyDescent="0.25">
      <c r="B63" s="156" t="s">
        <v>76</v>
      </c>
      <c r="C63" s="184"/>
      <c r="D63" s="157"/>
      <c r="E63" s="156" t="s">
        <v>77</v>
      </c>
      <c r="F63" s="184"/>
      <c r="G63" s="157"/>
      <c r="H63" s="117" t="s">
        <v>49</v>
      </c>
      <c r="I63" s="118"/>
      <c r="J63" s="119"/>
      <c r="L63" s="180"/>
      <c r="M63" s="181"/>
      <c r="N63" s="34">
        <f>INDEX($L$30:$L$32,1,1)</f>
        <v>-127.71760500331523</v>
      </c>
      <c r="O63" s="34">
        <f>INDEX($L$30:$L$32,2,1)</f>
        <v>239.67853852834497</v>
      </c>
      <c r="P63" s="34" t="s">
        <v>46</v>
      </c>
    </row>
    <row r="64" spans="1:16" x14ac:dyDescent="0.25">
      <c r="B64" s="158"/>
      <c r="C64" s="185"/>
      <c r="D64" s="159"/>
      <c r="E64" s="158"/>
      <c r="F64" s="185"/>
      <c r="G64" s="159"/>
      <c r="H64" s="135" t="s">
        <v>78</v>
      </c>
      <c r="I64" s="136"/>
      <c r="J64" s="137"/>
    </row>
    <row r="65" spans="1:10" ht="15.75" x14ac:dyDescent="0.25">
      <c r="B65" s="25" t="s">
        <v>28</v>
      </c>
      <c r="C65" s="25" t="s">
        <v>27</v>
      </c>
      <c r="D65" s="25" t="s">
        <v>48</v>
      </c>
      <c r="E65" s="25" t="s">
        <v>28</v>
      </c>
      <c r="F65" s="25" t="s">
        <v>27</v>
      </c>
      <c r="G65" s="25" t="s">
        <v>48</v>
      </c>
      <c r="H65" s="51" t="s">
        <v>70</v>
      </c>
      <c r="I65" s="51" t="s">
        <v>64</v>
      </c>
      <c r="J65" s="36" t="s">
        <v>29</v>
      </c>
    </row>
    <row r="66" spans="1:10" x14ac:dyDescent="0.25">
      <c r="B66" s="34">
        <f>SQRT((($C$30-$D$30)^2)+(($C$31-$D$31)^2)+(($C$32-$D$32)^2))</f>
        <v>83.799999999999983</v>
      </c>
      <c r="C66" s="34">
        <f>($D$31-$C$31)/($D$30-$C$30)</f>
        <v>-2.7474774194546216</v>
      </c>
      <c r="D66" s="34">
        <f>INTERCEPT($O$60:$O$61,$N$60:$N$61)</f>
        <v>-91.222697285088202</v>
      </c>
      <c r="E66" s="34">
        <f>SQRT((($K$30-$L$30)^2)+(($K$31-$L$31)^2)+(($K$32-$L$32)^2))</f>
        <v>83.799999999999983</v>
      </c>
      <c r="F66" s="34">
        <f>($L$31-$K$31)/($L$30-$K$30)</f>
        <v>-2.7474774194546216</v>
      </c>
      <c r="G66" s="34">
        <f>INTERCEPT($O$62:$O$63,$N$62:$N$63)</f>
        <v>-111.2226972850882</v>
      </c>
      <c r="H66" s="50">
        <f>IF($O$61&gt;$O$63,-$G$77,IF($O$61&lt;$O$63,$G$77,$G$77))</f>
        <v>-1.2061475842818243</v>
      </c>
      <c r="I66" s="38">
        <f>IF($F$71&lt;0,IF($D$66&lt;$G$66,$G$78,IF($D$66&gt;$G$66,-$G$78,$G$78)),IF($F$71&gt;0,IF($D$66&lt;$G$66,-$G$78,IF($D$66&gt;$G$66,$G$78,$G$78)),$G$78))</f>
        <v>-6.840402866513374</v>
      </c>
      <c r="J66" s="38" t="str">
        <f>IF($D$66&gt;$G$66,"Clearance",IF($D$66&lt;$G$66,"Interference","Coincident"))</f>
        <v>Clearance</v>
      </c>
    </row>
    <row r="69" spans="1:10" ht="15" customHeight="1" x14ac:dyDescent="0.25">
      <c r="B69" s="190" t="s">
        <v>30</v>
      </c>
      <c r="C69" s="190" t="s">
        <v>31</v>
      </c>
      <c r="D69" s="142" t="s">
        <v>32</v>
      </c>
      <c r="E69" s="143"/>
      <c r="F69" s="192" t="s">
        <v>33</v>
      </c>
      <c r="G69" s="138" t="s">
        <v>34</v>
      </c>
      <c r="H69" s="139"/>
      <c r="I69" s="126" t="s">
        <v>50</v>
      </c>
      <c r="J69" s="128"/>
    </row>
    <row r="70" spans="1:10" x14ac:dyDescent="0.25">
      <c r="B70" s="191"/>
      <c r="C70" s="191"/>
      <c r="D70" s="144"/>
      <c r="E70" s="145"/>
      <c r="F70" s="193"/>
      <c r="G70" s="140"/>
      <c r="H70" s="141"/>
      <c r="I70" s="135"/>
      <c r="J70" s="137"/>
    </row>
    <row r="71" spans="1:10" ht="15" customHeight="1" x14ac:dyDescent="0.25">
      <c r="B71" s="194">
        <f t="shared" ref="B71" si="5">$K$6</f>
        <v>0</v>
      </c>
      <c r="C71" s="194">
        <f t="shared" ref="C71" si="6">$K$7</f>
        <v>-20</v>
      </c>
      <c r="D71" s="196" t="str">
        <f>IF(AND($B$47&gt;0,$C$47=0),"Anterior",IF(AND($B$47&gt;0,$C$47&gt;0),"Anterior-Proximal",IF(AND($B$47&gt;0,$C$47&lt;0),"Anterior-Distal",IF(AND($B$47&lt;0,$C$47=0),"Posterior",IF(AND($B$47&lt;0,$C$47&gt;0),"Posterior-Proximal",IF(AND($B$47&lt;0,$C$47&lt;0),"Posterior-Distal",IF(AND($B$47=0,$C$47&gt;0),"Proximal",IF(AND($B$47=0,$C$47&lt;0),"Distal","None"))))))))</f>
        <v>Distal</v>
      </c>
      <c r="E71" s="197"/>
      <c r="F71" s="200">
        <f t="shared" ref="F71" si="7">$K$5</f>
        <v>-20</v>
      </c>
      <c r="G71" s="172" t="str">
        <f>IF($F$47&gt;0,"Dorsiflexion",IF($F$47&lt;0,"Plantarflexion","Neutral"))</f>
        <v>Plantarflexion</v>
      </c>
      <c r="H71" s="173"/>
      <c r="I71" s="186" t="str">
        <f>IF($F$71&lt;0,IF($D$66&lt;$G$66,"Posterior",IF($D$66&gt;$G$66,"Anterior","None")),IF($F$71&gt;0,IF($D$66&lt;$G$66,"Anterior",IF($D$66&gt;$G$66,"Posterior","None")),"None"))</f>
        <v>Anterior</v>
      </c>
      <c r="J71" s="187"/>
    </row>
    <row r="72" spans="1:10" x14ac:dyDescent="0.25">
      <c r="B72" s="195"/>
      <c r="C72" s="195"/>
      <c r="D72" s="198"/>
      <c r="E72" s="199"/>
      <c r="F72" s="201"/>
      <c r="G72" s="174"/>
      <c r="H72" s="175"/>
      <c r="I72" s="188"/>
      <c r="J72" s="189"/>
    </row>
    <row r="74" spans="1:10" x14ac:dyDescent="0.25">
      <c r="B74" s="24"/>
      <c r="C74" s="24"/>
    </row>
    <row r="75" spans="1:10" x14ac:dyDescent="0.25">
      <c r="A75" s="156" t="s">
        <v>71</v>
      </c>
      <c r="B75" s="157"/>
      <c r="C75" s="49" t="s">
        <v>82</v>
      </c>
      <c r="D75" s="52">
        <f>$N$63</f>
        <v>-127.71760500331523</v>
      </c>
      <c r="E75" s="52">
        <f>$O$63</f>
        <v>239.67853852834497</v>
      </c>
      <c r="F75" s="132" t="s">
        <v>79</v>
      </c>
      <c r="G75" s="133"/>
      <c r="H75" s="134"/>
    </row>
    <row r="76" spans="1:10" x14ac:dyDescent="0.25">
      <c r="A76" s="158"/>
      <c r="B76" s="159"/>
      <c r="C76" s="49" t="s">
        <v>61</v>
      </c>
      <c r="D76" s="48">
        <f>($O$60-$O$61)</f>
        <v>-78.746241621859099</v>
      </c>
    </row>
    <row r="77" spans="1:10" x14ac:dyDescent="0.25">
      <c r="C77" s="49" t="s">
        <v>62</v>
      </c>
      <c r="D77" s="48">
        <f>($N$61-$N$60)</f>
        <v>-28.661288010691038</v>
      </c>
      <c r="F77" s="72" t="s">
        <v>70</v>
      </c>
      <c r="G77" s="72">
        <f>SQRT($D$79^2-$G$78^2)</f>
        <v>1.2061475842818243</v>
      </c>
      <c r="H77" s="129" t="s">
        <v>74</v>
      </c>
      <c r="I77" s="130"/>
      <c r="J77" s="131"/>
    </row>
    <row r="78" spans="1:10" x14ac:dyDescent="0.25">
      <c r="C78" s="49" t="s">
        <v>63</v>
      </c>
      <c r="D78" s="48">
        <f>($N$60*$O$61-$N$61*$O$60)</f>
        <v>-2614.5599999999977</v>
      </c>
      <c r="F78" s="72" t="s">
        <v>64</v>
      </c>
      <c r="G78" s="72">
        <f>ABS(($D$76*$D$75+$D$77*$E$75+$D$78)/SQRT($D$76^2+$D$77^2))</f>
        <v>6.840402866513374</v>
      </c>
      <c r="H78" s="129" t="s">
        <v>75</v>
      </c>
      <c r="I78" s="130"/>
      <c r="J78" s="131"/>
    </row>
    <row r="79" spans="1:10" x14ac:dyDescent="0.25">
      <c r="C79" s="49" t="s">
        <v>81</v>
      </c>
      <c r="D79" s="48">
        <f>SQRT(($N$61-$N$63)^2+($O$61-$O$63)^2)</f>
        <v>6.9459271066772121</v>
      </c>
    </row>
    <row r="80" spans="1:10" x14ac:dyDescent="0.25">
      <c r="C80" s="24"/>
      <c r="D80" s="5"/>
    </row>
    <row r="81" s="14" customFormat="1" x14ac:dyDescent="0.25"/>
    <row r="86" s="15" customFormat="1" x14ac:dyDescent="0.25"/>
    <row r="88" ht="15" customHeight="1" x14ac:dyDescent="0.25"/>
    <row r="89" ht="15" customHeight="1" x14ac:dyDescent="0.25"/>
    <row r="109" s="15" customFormat="1" x14ac:dyDescent="0.25"/>
  </sheetData>
  <mergeCells count="66">
    <mergeCell ref="H78:J78"/>
    <mergeCell ref="L59:M63"/>
    <mergeCell ref="B61:J62"/>
    <mergeCell ref="B63:D64"/>
    <mergeCell ref="E63:G64"/>
    <mergeCell ref="I71:J72"/>
    <mergeCell ref="B69:B70"/>
    <mergeCell ref="C69:C70"/>
    <mergeCell ref="D69:E70"/>
    <mergeCell ref="F69:F70"/>
    <mergeCell ref="G69:H70"/>
    <mergeCell ref="I69:J70"/>
    <mergeCell ref="B71:B72"/>
    <mergeCell ref="C71:C72"/>
    <mergeCell ref="D71:E72"/>
    <mergeCell ref="F71:F72"/>
    <mergeCell ref="G71:H72"/>
    <mergeCell ref="A75:B76"/>
    <mergeCell ref="F75:H75"/>
    <mergeCell ref="H77:J77"/>
    <mergeCell ref="H64:J64"/>
    <mergeCell ref="B45:B46"/>
    <mergeCell ref="C45:C46"/>
    <mergeCell ref="A51:B52"/>
    <mergeCell ref="I47:K48"/>
    <mergeCell ref="G47:H48"/>
    <mergeCell ref="B47:B48"/>
    <mergeCell ref="C47:C48"/>
    <mergeCell ref="J24:J26"/>
    <mergeCell ref="K28:M28"/>
    <mergeCell ref="J18:J20"/>
    <mergeCell ref="D45:E46"/>
    <mergeCell ref="D47:E48"/>
    <mergeCell ref="F45:F46"/>
    <mergeCell ref="F47:F48"/>
    <mergeCell ref="H53:J53"/>
    <mergeCell ref="H54:J54"/>
    <mergeCell ref="H63:J63"/>
    <mergeCell ref="F51:H51"/>
    <mergeCell ref="I45:K46"/>
    <mergeCell ref="G45:H46"/>
    <mergeCell ref="E2:J3"/>
    <mergeCell ref="B38:C39"/>
    <mergeCell ref="D38:E39"/>
    <mergeCell ref="E11:E13"/>
    <mergeCell ref="J11:J13"/>
    <mergeCell ref="B30:B32"/>
    <mergeCell ref="E10:G10"/>
    <mergeCell ref="J10:L10"/>
    <mergeCell ref="J30:J32"/>
    <mergeCell ref="C28:E28"/>
    <mergeCell ref="K16:M16"/>
    <mergeCell ref="L5:M5"/>
    <mergeCell ref="F39:G39"/>
    <mergeCell ref="H39:I39"/>
    <mergeCell ref="B36:I37"/>
    <mergeCell ref="F38:I38"/>
    <mergeCell ref="L6:M6"/>
    <mergeCell ref="L7:M7"/>
    <mergeCell ref="M37:N40"/>
    <mergeCell ref="N5:O5"/>
    <mergeCell ref="N6:O6"/>
    <mergeCell ref="N7:O7"/>
    <mergeCell ref="O11:O13"/>
    <mergeCell ref="O10:Q10"/>
    <mergeCell ref="K22:M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workbookViewId="0"/>
  </sheetViews>
  <sheetFormatPr defaultRowHeight="15" x14ac:dyDescent="0.25"/>
  <sheetData>
    <row r="2" spans="1:15" x14ac:dyDescent="0.25">
      <c r="B2" s="28" t="s">
        <v>4</v>
      </c>
      <c r="C2" s="32">
        <f>Analysis!K5</f>
        <v>-20</v>
      </c>
      <c r="D2" s="94" t="s">
        <v>37</v>
      </c>
      <c r="E2" s="95"/>
    </row>
    <row r="3" spans="1:15" x14ac:dyDescent="0.25">
      <c r="B3" s="33" t="s">
        <v>5</v>
      </c>
      <c r="C3" s="32">
        <f>Analysis!K6</f>
        <v>0</v>
      </c>
      <c r="D3" s="94" t="s">
        <v>36</v>
      </c>
      <c r="E3" s="95"/>
    </row>
    <row r="4" spans="1:15" x14ac:dyDescent="0.25">
      <c r="B4" s="33" t="s">
        <v>39</v>
      </c>
      <c r="C4" s="32">
        <f>Analysis!K7</f>
        <v>-20</v>
      </c>
      <c r="D4" s="94" t="s">
        <v>38</v>
      </c>
      <c r="E4" s="95"/>
    </row>
    <row r="6" spans="1:15" x14ac:dyDescent="0.25">
      <c r="A6" s="80"/>
      <c r="B6" s="80"/>
      <c r="C6" s="33" t="s">
        <v>0</v>
      </c>
      <c r="D6" s="33" t="s">
        <v>1</v>
      </c>
      <c r="E6" s="33" t="s">
        <v>2</v>
      </c>
      <c r="F6" s="33" t="s">
        <v>3</v>
      </c>
      <c r="G6" s="33" t="s">
        <v>53</v>
      </c>
      <c r="H6" s="33" t="s">
        <v>55</v>
      </c>
      <c r="I6" s="33" t="s">
        <v>54</v>
      </c>
      <c r="J6" s="33" t="s">
        <v>51</v>
      </c>
      <c r="K6" s="33" t="s">
        <v>52</v>
      </c>
      <c r="L6" s="33" t="s">
        <v>85</v>
      </c>
      <c r="M6" s="33" t="s">
        <v>86</v>
      </c>
      <c r="N6" s="33" t="s">
        <v>87</v>
      </c>
    </row>
    <row r="7" spans="1:15" x14ac:dyDescent="0.25">
      <c r="A7" s="81"/>
      <c r="B7" s="81"/>
      <c r="C7" s="29">
        <v>-31.2</v>
      </c>
      <c r="D7" s="29">
        <v>-31.2</v>
      </c>
      <c r="E7" s="29">
        <v>0</v>
      </c>
      <c r="F7" s="29">
        <v>41.2</v>
      </c>
      <c r="G7" s="29">
        <v>0</v>
      </c>
      <c r="H7" s="29">
        <f>$C$3</f>
        <v>0</v>
      </c>
      <c r="I7" s="29">
        <v>0</v>
      </c>
      <c r="J7" s="29">
        <v>-61.32</v>
      </c>
      <c r="K7" s="29">
        <v>186.44</v>
      </c>
      <c r="L7" s="29">
        <v>0</v>
      </c>
      <c r="M7" s="29">
        <v>-41.2</v>
      </c>
      <c r="N7" s="29">
        <v>-41.2</v>
      </c>
    </row>
    <row r="8" spans="1:15" x14ac:dyDescent="0.25">
      <c r="A8" s="81"/>
      <c r="B8" s="81"/>
      <c r="C8" s="30">
        <v>183.9</v>
      </c>
      <c r="D8" s="30">
        <v>267.7</v>
      </c>
      <c r="E8" s="30">
        <v>233.5</v>
      </c>
      <c r="F8" s="30">
        <v>233.5</v>
      </c>
      <c r="G8" s="30">
        <v>400.98</v>
      </c>
      <c r="H8" s="30">
        <f>$C$4</f>
        <v>-20</v>
      </c>
      <c r="I8" s="30">
        <v>0</v>
      </c>
      <c r="J8" s="30">
        <v>-63.57</v>
      </c>
      <c r="K8" s="30">
        <v>-63.57</v>
      </c>
      <c r="L8" s="30">
        <v>300.74</v>
      </c>
      <c r="M8" s="30">
        <v>300.74</v>
      </c>
      <c r="N8" s="30">
        <v>0</v>
      </c>
    </row>
    <row r="9" spans="1:15" x14ac:dyDescent="0.25">
      <c r="A9" s="81"/>
      <c r="B9" s="81"/>
      <c r="C9" s="31">
        <v>1</v>
      </c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  <c r="K9" s="31">
        <v>1</v>
      </c>
      <c r="L9" s="31">
        <v>1</v>
      </c>
      <c r="M9" s="31">
        <v>1</v>
      </c>
      <c r="N9" s="31">
        <v>1</v>
      </c>
    </row>
    <row r="11" spans="1:15" x14ac:dyDescent="0.25">
      <c r="B11" s="105" t="s">
        <v>57</v>
      </c>
      <c r="C11" s="106"/>
      <c r="D11" s="107"/>
      <c r="G11" s="105" t="s">
        <v>10</v>
      </c>
      <c r="H11" s="106"/>
      <c r="I11" s="107"/>
      <c r="L11" s="105" t="s">
        <v>11</v>
      </c>
      <c r="M11" s="106"/>
      <c r="N11" s="107"/>
    </row>
    <row r="12" spans="1:15" x14ac:dyDescent="0.25">
      <c r="B12" s="102" t="s">
        <v>6</v>
      </c>
      <c r="C12" s="1">
        <f>COS(RADIANS(-$C$2))</f>
        <v>0.93969262078590843</v>
      </c>
      <c r="D12" s="2">
        <f>-SIN(RADIANS(-$C$2))</f>
        <v>-0.34202014332566871</v>
      </c>
      <c r="E12" s="3">
        <v>0</v>
      </c>
      <c r="G12" s="102" t="s">
        <v>7</v>
      </c>
      <c r="H12" s="1">
        <v>1</v>
      </c>
      <c r="I12" s="2">
        <v>0</v>
      </c>
      <c r="J12" s="3">
        <f>$C$3</f>
        <v>0</v>
      </c>
      <c r="L12" s="102" t="s">
        <v>8</v>
      </c>
      <c r="M12" s="1">
        <f t="array" ref="M12:O14">MINVERSE($H$12:$J$14)</f>
        <v>1</v>
      </c>
      <c r="N12" s="2">
        <v>0</v>
      </c>
      <c r="O12" s="3">
        <v>0</v>
      </c>
    </row>
    <row r="13" spans="1:15" x14ac:dyDescent="0.25">
      <c r="B13" s="103"/>
      <c r="C13" s="4">
        <f>SIN(RADIANS(-$C$2))</f>
        <v>0.34202014332566871</v>
      </c>
      <c r="D13" s="5">
        <f>COS(RADIANS(-$C$2))</f>
        <v>0.93969262078590843</v>
      </c>
      <c r="E13" s="6">
        <v>0</v>
      </c>
      <c r="G13" s="103"/>
      <c r="H13" s="4">
        <v>0</v>
      </c>
      <c r="I13" s="5">
        <v>1</v>
      </c>
      <c r="J13" s="6">
        <f>$C$4</f>
        <v>-20</v>
      </c>
      <c r="L13" s="103"/>
      <c r="M13" s="4">
        <v>0</v>
      </c>
      <c r="N13" s="5">
        <v>1</v>
      </c>
      <c r="O13" s="6">
        <v>20</v>
      </c>
    </row>
    <row r="14" spans="1:15" x14ac:dyDescent="0.25">
      <c r="B14" s="104"/>
      <c r="C14" s="7">
        <v>0</v>
      </c>
      <c r="D14" s="8">
        <v>0</v>
      </c>
      <c r="E14" s="9">
        <v>1</v>
      </c>
      <c r="G14" s="104"/>
      <c r="H14" s="7">
        <v>0</v>
      </c>
      <c r="I14" s="8">
        <v>0</v>
      </c>
      <c r="J14" s="9">
        <v>1</v>
      </c>
      <c r="L14" s="104"/>
      <c r="M14" s="7">
        <v>0</v>
      </c>
      <c r="N14" s="8">
        <v>0</v>
      </c>
      <c r="O14" s="9">
        <v>1</v>
      </c>
    </row>
    <row r="16" spans="1:15" x14ac:dyDescent="0.25">
      <c r="B16" s="85"/>
      <c r="C16" s="85"/>
      <c r="D16" s="85"/>
      <c r="E16" s="85"/>
    </row>
    <row r="17" spans="1:18" x14ac:dyDescent="0.25">
      <c r="B17" s="85"/>
      <c r="C17" s="85"/>
      <c r="D17" s="85"/>
      <c r="E17" s="85"/>
    </row>
    <row r="18" spans="1:18" x14ac:dyDescent="0.25">
      <c r="B18" s="85"/>
      <c r="C18" s="85"/>
      <c r="D18" s="85"/>
      <c r="E18" s="85"/>
      <c r="K18" s="105" t="s">
        <v>13</v>
      </c>
      <c r="L18" s="106"/>
      <c r="M18" s="107"/>
    </row>
    <row r="19" spans="1:18" x14ac:dyDescent="0.25">
      <c r="B19" s="85"/>
      <c r="C19" s="85"/>
      <c r="D19" s="85"/>
      <c r="E19" s="85"/>
      <c r="K19" s="10" t="s">
        <v>0</v>
      </c>
      <c r="L19" s="10" t="s">
        <v>1</v>
      </c>
      <c r="M19" s="10" t="s">
        <v>2</v>
      </c>
      <c r="N19" s="10" t="s">
        <v>3</v>
      </c>
      <c r="O19" s="80"/>
      <c r="P19" s="80"/>
      <c r="Q19" s="80"/>
      <c r="R19" s="80"/>
    </row>
    <row r="20" spans="1:18" x14ac:dyDescent="0.25">
      <c r="J20" s="102" t="s">
        <v>17</v>
      </c>
      <c r="K20" s="11">
        <f t="array" ref="K20:K22">MMULT($M$12:$O$14,$C$7:$C$9)</f>
        <v>-31.2</v>
      </c>
      <c r="L20" s="11">
        <f t="array" ref="L20:L22">MMULT($M$12:$O$14,$D$7:$D$9)</f>
        <v>-31.2</v>
      </c>
      <c r="M20" s="11">
        <f t="array" ref="M20:M22">MMULT($M$12:$O$14,$E$7:$E$9)</f>
        <v>0</v>
      </c>
      <c r="N20" s="11">
        <f t="array" ref="N20:N22">MMULT($M$12:$O$14,$F$7:$F$9)</f>
        <v>41.2</v>
      </c>
      <c r="O20" s="85"/>
      <c r="P20" s="85"/>
      <c r="Q20" s="81"/>
      <c r="R20" s="81"/>
    </row>
    <row r="21" spans="1:18" x14ac:dyDescent="0.25">
      <c r="J21" s="103"/>
      <c r="K21" s="12">
        <v>203.9</v>
      </c>
      <c r="L21" s="12">
        <v>287.7</v>
      </c>
      <c r="M21" s="12">
        <v>253.5</v>
      </c>
      <c r="N21" s="12">
        <v>253.5</v>
      </c>
      <c r="O21" s="85"/>
      <c r="P21" s="85"/>
      <c r="Q21" s="81"/>
      <c r="R21" s="81"/>
    </row>
    <row r="22" spans="1:18" x14ac:dyDescent="0.25">
      <c r="J22" s="104"/>
      <c r="K22" s="13">
        <v>1</v>
      </c>
      <c r="L22" s="13">
        <v>1</v>
      </c>
      <c r="M22" s="13">
        <v>1</v>
      </c>
      <c r="N22" s="13">
        <v>1</v>
      </c>
      <c r="O22" s="85"/>
      <c r="P22" s="85"/>
      <c r="Q22" s="81"/>
      <c r="R22" s="81"/>
    </row>
    <row r="24" spans="1:18" x14ac:dyDescent="0.25">
      <c r="K24" s="105" t="s">
        <v>14</v>
      </c>
      <c r="L24" s="106"/>
      <c r="M24" s="107"/>
    </row>
    <row r="25" spans="1:18" x14ac:dyDescent="0.25">
      <c r="K25" s="10" t="s">
        <v>0</v>
      </c>
      <c r="L25" s="10" t="s">
        <v>1</v>
      </c>
      <c r="M25" s="10" t="s">
        <v>2</v>
      </c>
      <c r="N25" s="10" t="s">
        <v>3</v>
      </c>
      <c r="O25" s="80"/>
      <c r="P25" s="80"/>
      <c r="Q25" s="80"/>
      <c r="R25" s="80"/>
    </row>
    <row r="26" spans="1:18" x14ac:dyDescent="0.25">
      <c r="F26" s="80"/>
      <c r="G26" s="80"/>
      <c r="J26" s="102" t="s">
        <v>18</v>
      </c>
      <c r="K26" s="11">
        <f t="array" ref="K26:K28">MMULT($C$12:$E$14,K20:K22)</f>
        <v>-99.05631699262419</v>
      </c>
      <c r="L26" s="11">
        <f t="array" ref="L26:L28">MMULT($C$12:$E$14,L20:L22)</f>
        <v>-127.71760500331523</v>
      </c>
      <c r="M26" s="11">
        <f t="array" ref="M26:M28">MMULT($C$12:$E$14,M20:M22)</f>
        <v>-86.702106333057017</v>
      </c>
      <c r="N26" s="11">
        <f t="array" ref="N26:N28">MMULT($C$12:$E$14,N20:N22)</f>
        <v>-47.986770356677589</v>
      </c>
      <c r="O26" s="85"/>
      <c r="P26" s="85"/>
      <c r="Q26" s="81"/>
      <c r="R26" s="81"/>
    </row>
    <row r="27" spans="1:18" x14ac:dyDescent="0.25">
      <c r="F27" s="81"/>
      <c r="G27" s="81"/>
      <c r="J27" s="103"/>
      <c r="K27" s="12">
        <v>180.93229690648587</v>
      </c>
      <c r="L27" s="12">
        <v>259.67853852834497</v>
      </c>
      <c r="M27" s="12">
        <v>238.21207936922778</v>
      </c>
      <c r="N27" s="12">
        <v>252.30330927424532</v>
      </c>
      <c r="O27" s="85"/>
      <c r="P27" s="85"/>
      <c r="Q27" s="81"/>
      <c r="R27" s="81"/>
    </row>
    <row r="28" spans="1:18" x14ac:dyDescent="0.25">
      <c r="F28" s="81"/>
      <c r="G28" s="81"/>
      <c r="J28" s="104"/>
      <c r="K28" s="13">
        <v>1</v>
      </c>
      <c r="L28" s="13">
        <v>1</v>
      </c>
      <c r="M28" s="13">
        <v>1</v>
      </c>
      <c r="N28" s="13">
        <v>1</v>
      </c>
      <c r="O28" s="85"/>
      <c r="P28" s="85"/>
      <c r="Q28" s="81"/>
      <c r="R28" s="81"/>
    </row>
    <row r="29" spans="1:18" x14ac:dyDescent="0.25">
      <c r="F29" s="81"/>
      <c r="G29" s="81"/>
    </row>
    <row r="30" spans="1:18" x14ac:dyDescent="0.25">
      <c r="A30" s="16"/>
      <c r="B30" s="114" t="s">
        <v>12</v>
      </c>
      <c r="C30" s="115"/>
      <c r="D30" s="116"/>
      <c r="E30" s="16"/>
      <c r="F30" s="16"/>
      <c r="G30" s="129" t="s">
        <v>88</v>
      </c>
      <c r="H30" s="130"/>
      <c r="I30" s="131"/>
      <c r="J30" s="39"/>
      <c r="K30" s="208" t="s">
        <v>15</v>
      </c>
      <c r="L30" s="209"/>
      <c r="M30" s="210"/>
      <c r="N30" s="39"/>
      <c r="O30" s="85"/>
      <c r="P30" s="85"/>
      <c r="Q30" s="85"/>
      <c r="R30" s="85"/>
    </row>
    <row r="31" spans="1:18" x14ac:dyDescent="0.25">
      <c r="A31" s="16"/>
      <c r="B31" s="20" t="s">
        <v>0</v>
      </c>
      <c r="C31" s="20" t="s">
        <v>1</v>
      </c>
      <c r="D31" s="20" t="s">
        <v>2</v>
      </c>
      <c r="E31" s="20" t="s">
        <v>3</v>
      </c>
      <c r="F31" s="20" t="s">
        <v>53</v>
      </c>
      <c r="G31" s="33" t="s">
        <v>85</v>
      </c>
      <c r="H31" s="33" t="s">
        <v>86</v>
      </c>
      <c r="I31" s="33" t="s">
        <v>87</v>
      </c>
      <c r="J31" s="39"/>
      <c r="K31" s="40" t="s">
        <v>0</v>
      </c>
      <c r="L31" s="40" t="s">
        <v>1</v>
      </c>
      <c r="M31" s="40" t="s">
        <v>2</v>
      </c>
      <c r="N31" s="40" t="s">
        <v>3</v>
      </c>
      <c r="O31" s="80"/>
      <c r="P31" s="80"/>
      <c r="Q31" s="80"/>
      <c r="R31" s="80"/>
    </row>
    <row r="32" spans="1:18" x14ac:dyDescent="0.25">
      <c r="A32" s="202" t="s">
        <v>9</v>
      </c>
      <c r="B32" s="17">
        <f t="array" ref="B32:B34">MMULT($C$12:$E$14,C7:C9)</f>
        <v>-92.215914126110818</v>
      </c>
      <c r="C32" s="17">
        <f t="array" ref="C32:C34">MMULT($C$12:$E$14,D7:D9)</f>
        <v>-120.87720213680186</v>
      </c>
      <c r="D32" s="17">
        <f t="array" ref="D32:D34">MMULT($C$12:$E$14,E7:E9)</f>
        <v>-79.861703466543645</v>
      </c>
      <c r="E32" s="17">
        <f t="array" ref="E32:E34">MMULT($C$12:$E$14,F7:F9)</f>
        <v>-41.146367490164216</v>
      </c>
      <c r="F32" s="17">
        <f t="array" ref="F32:F34">MMULT($C$12:$E$14,$G$7:$G$9)</f>
        <v>-137.14323707072666</v>
      </c>
      <c r="G32" s="29">
        <f t="array" ref="G32:G34">MMULT($C$12:$E$14,$L$7:$L$9)</f>
        <v>-102.85913790376161</v>
      </c>
      <c r="H32" s="29">
        <f t="array" ref="H32:H34">MMULT($C$12:$E$14,$M$7:$M$9)</f>
        <v>-141.57447388014103</v>
      </c>
      <c r="I32" s="29">
        <f t="array" ref="I32:I34">MMULT($C$12:$E$14,$N$7:$N$9)</f>
        <v>-38.715335976379428</v>
      </c>
      <c r="J32" s="205" t="s">
        <v>16</v>
      </c>
      <c r="K32" s="41">
        <f t="array" ref="K32:K34">MMULT($H$12:$J$14,K26:K28)</f>
        <v>-99.05631699262419</v>
      </c>
      <c r="L32" s="41">
        <f t="array" ref="L32:L34">MMULT($H$12:$J$14,L26:L28)</f>
        <v>-127.71760500331523</v>
      </c>
      <c r="M32" s="41">
        <f t="array" ref="M32:M34">MMULT($H$12:$J$14,M26:M28)</f>
        <v>-86.702106333057017</v>
      </c>
      <c r="N32" s="41">
        <f t="array" ref="N32:N34">MMULT($H$12:$J$14,N26:N28)</f>
        <v>-47.986770356677589</v>
      </c>
      <c r="O32" s="85"/>
      <c r="P32" s="85"/>
      <c r="Q32" s="81"/>
      <c r="R32" s="81"/>
    </row>
    <row r="33" spans="1:18" x14ac:dyDescent="0.25">
      <c r="A33" s="203"/>
      <c r="B33" s="18">
        <v>162.13844449076771</v>
      </c>
      <c r="C33" s="18">
        <v>240.88468611262681</v>
      </c>
      <c r="D33" s="18">
        <v>219.41822695350962</v>
      </c>
      <c r="E33" s="18">
        <v>233.50945685852716</v>
      </c>
      <c r="F33" s="18">
        <v>376.79794708273357</v>
      </c>
      <c r="G33" s="30">
        <v>282.6031587751541</v>
      </c>
      <c r="H33" s="30">
        <v>268.51192887013656</v>
      </c>
      <c r="I33" s="30">
        <v>-14.091229905017553</v>
      </c>
      <c r="J33" s="206"/>
      <c r="K33" s="42">
        <v>160.93229690648587</v>
      </c>
      <c r="L33" s="42">
        <v>239.67853852834497</v>
      </c>
      <c r="M33" s="42">
        <v>218.21207936922778</v>
      </c>
      <c r="N33" s="42">
        <v>232.30330927424532</v>
      </c>
      <c r="O33" s="85"/>
      <c r="P33" s="85"/>
      <c r="Q33" s="81"/>
      <c r="R33" s="81"/>
    </row>
    <row r="34" spans="1:18" x14ac:dyDescent="0.25">
      <c r="A34" s="204"/>
      <c r="B34" s="19">
        <v>1</v>
      </c>
      <c r="C34" s="19">
        <v>1</v>
      </c>
      <c r="D34" s="19">
        <v>1</v>
      </c>
      <c r="E34" s="19">
        <v>1</v>
      </c>
      <c r="F34" s="19">
        <v>1</v>
      </c>
      <c r="G34" s="31">
        <v>1</v>
      </c>
      <c r="H34" s="31">
        <v>1</v>
      </c>
      <c r="I34" s="31">
        <v>1</v>
      </c>
      <c r="J34" s="207"/>
      <c r="K34" s="43">
        <v>1</v>
      </c>
      <c r="L34" s="43">
        <v>1</v>
      </c>
      <c r="M34" s="43">
        <v>1</v>
      </c>
      <c r="N34" s="43">
        <v>1</v>
      </c>
      <c r="O34" s="85"/>
      <c r="P34" s="85"/>
      <c r="Q34" s="81"/>
      <c r="R34" s="81"/>
    </row>
    <row r="36" spans="1:18" s="14" customFormat="1" x14ac:dyDescent="0.25"/>
  </sheetData>
  <mergeCells count="18">
    <mergeCell ref="J32:J34"/>
    <mergeCell ref="B30:D30"/>
    <mergeCell ref="J20:J22"/>
    <mergeCell ref="G30:I30"/>
    <mergeCell ref="K24:M24"/>
    <mergeCell ref="J26:J28"/>
    <mergeCell ref="K30:M30"/>
    <mergeCell ref="G11:I11"/>
    <mergeCell ref="G12:G14"/>
    <mergeCell ref="L11:N11"/>
    <mergeCell ref="L12:L14"/>
    <mergeCell ref="K18:M18"/>
    <mergeCell ref="D2:E2"/>
    <mergeCell ref="D3:E3"/>
    <mergeCell ref="D4:E4"/>
    <mergeCell ref="B11:D11"/>
    <mergeCell ref="A32:A34"/>
    <mergeCell ref="B12:B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51"/>
  <sheetViews>
    <sheetView workbookViewId="0"/>
  </sheetViews>
  <sheetFormatPr defaultRowHeight="15" x14ac:dyDescent="0.25"/>
  <sheetData>
    <row r="3" spans="1:10" x14ac:dyDescent="0.25">
      <c r="B3" s="33" t="s">
        <v>5</v>
      </c>
      <c r="C3" s="32">
        <v>20</v>
      </c>
      <c r="D3" s="94" t="s">
        <v>36</v>
      </c>
      <c r="E3" s="95"/>
    </row>
    <row r="4" spans="1:10" x14ac:dyDescent="0.25">
      <c r="B4" s="33" t="s">
        <v>39</v>
      </c>
      <c r="C4" s="32">
        <v>20</v>
      </c>
      <c r="D4" s="94" t="s">
        <v>38</v>
      </c>
      <c r="E4" s="95"/>
    </row>
    <row r="6" spans="1:10" x14ac:dyDescent="0.25">
      <c r="B6" s="33" t="s">
        <v>0</v>
      </c>
      <c r="C6" s="33" t="s">
        <v>1</v>
      </c>
      <c r="D6" s="33" t="s">
        <v>2</v>
      </c>
      <c r="E6" s="33" t="s">
        <v>3</v>
      </c>
      <c r="F6" s="33" t="s">
        <v>53</v>
      </c>
      <c r="G6" s="33" t="s">
        <v>55</v>
      </c>
      <c r="H6" s="33" t="s">
        <v>54</v>
      </c>
      <c r="I6" s="33" t="s">
        <v>51</v>
      </c>
      <c r="J6" s="33" t="s">
        <v>52</v>
      </c>
    </row>
    <row r="7" spans="1:10" x14ac:dyDescent="0.25">
      <c r="B7" s="29">
        <v>-31.2</v>
      </c>
      <c r="C7" s="29">
        <v>-31.2</v>
      </c>
      <c r="D7" s="29">
        <v>0</v>
      </c>
      <c r="E7" s="29">
        <v>41.2</v>
      </c>
      <c r="F7" s="29">
        <v>0</v>
      </c>
      <c r="G7" s="29">
        <f>$C$3</f>
        <v>20</v>
      </c>
      <c r="H7" s="29">
        <v>0</v>
      </c>
      <c r="I7" s="29">
        <v>-61.32</v>
      </c>
      <c r="J7" s="29">
        <v>186.44</v>
      </c>
    </row>
    <row r="8" spans="1:10" x14ac:dyDescent="0.25">
      <c r="B8" s="30">
        <v>183.9</v>
      </c>
      <c r="C8" s="30">
        <v>267.7</v>
      </c>
      <c r="D8" s="30">
        <v>233.5</v>
      </c>
      <c r="E8" s="30">
        <v>233.5</v>
      </c>
      <c r="F8" s="30">
        <v>400.98</v>
      </c>
      <c r="G8" s="30">
        <f>$C$4</f>
        <v>20</v>
      </c>
      <c r="H8" s="30">
        <v>0</v>
      </c>
      <c r="I8" s="30">
        <v>-63.57</v>
      </c>
      <c r="J8" s="30">
        <v>-63.57</v>
      </c>
    </row>
    <row r="9" spans="1:10" x14ac:dyDescent="0.25">
      <c r="B9" s="31">
        <v>1</v>
      </c>
      <c r="C9" s="31">
        <v>1</v>
      </c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</row>
    <row r="12" spans="1:10" x14ac:dyDescent="0.25">
      <c r="A12" s="33" t="s">
        <v>89</v>
      </c>
      <c r="B12" s="33" t="s">
        <v>53</v>
      </c>
      <c r="C12" s="33" t="s">
        <v>43</v>
      </c>
      <c r="D12" s="33" t="s">
        <v>44</v>
      </c>
      <c r="E12" s="33" t="s">
        <v>90</v>
      </c>
      <c r="F12" s="33" t="s">
        <v>42</v>
      </c>
      <c r="G12" s="93" t="s">
        <v>45</v>
      </c>
      <c r="H12" s="93" t="s">
        <v>46</v>
      </c>
      <c r="I12" s="93" t="s">
        <v>65</v>
      </c>
      <c r="J12" s="93" t="s">
        <v>41</v>
      </c>
    </row>
    <row r="13" spans="1:10" x14ac:dyDescent="0.25">
      <c r="A13" s="213">
        <v>-20</v>
      </c>
      <c r="B13" s="90">
        <f t="array" ref="B13:B15">MMULT($B$27:$D$29,$F$7:$F$9)</f>
        <v>-137.14323707072666</v>
      </c>
      <c r="C13" s="90">
        <f t="array" ref="C13:C15">MMULT($B$27:$D$29,B7:B9)</f>
        <v>-92.215914126110818</v>
      </c>
      <c r="D13" s="90">
        <f t="array" ref="D13:D15">MMULT($B$27:$D$29,C7:C9)</f>
        <v>-120.87720213680186</v>
      </c>
      <c r="E13" s="90">
        <f t="array" ref="E13:E15">MMULT($B$27:$D$29,D7:D9)</f>
        <v>-79.861703466543645</v>
      </c>
      <c r="F13" s="87">
        <f t="array" ref="F13:F15">MMULT($B$27:$D$29,E7:E9)</f>
        <v>-41.146367490164216</v>
      </c>
      <c r="G13" s="87">
        <f>N34</f>
        <v>-84.169363675315623</v>
      </c>
      <c r="H13" s="87">
        <f>O34</f>
        <v>-112.83065168600666</v>
      </c>
      <c r="I13" s="87">
        <f>P34</f>
        <v>-71.81515301574845</v>
      </c>
      <c r="J13" s="90">
        <f>Q34</f>
        <v>-33.099817039369015</v>
      </c>
    </row>
    <row r="14" spans="1:10" x14ac:dyDescent="0.25">
      <c r="A14" s="214"/>
      <c r="B14" s="91">
        <v>376.79794708273357</v>
      </c>
      <c r="C14" s="91">
        <v>162.13844449076771</v>
      </c>
      <c r="D14" s="91">
        <v>240.88468611262681</v>
      </c>
      <c r="E14" s="91">
        <v>219.41822695350962</v>
      </c>
      <c r="F14" s="88">
        <v>233.50945685852716</v>
      </c>
      <c r="G14" s="88">
        <f t="shared" ref="G14:G15" si="0">N35</f>
        <v>156.50418920853616</v>
      </c>
      <c r="H14" s="88">
        <f t="shared" ref="H14:H15" si="1">O35</f>
        <v>235.25043083039526</v>
      </c>
      <c r="I14" s="88">
        <f t="shared" ref="I14:I15" si="2">P35</f>
        <v>213.78397167127807</v>
      </c>
      <c r="J14" s="91">
        <f t="shared" ref="J14:J15" si="3">Q35</f>
        <v>227.87520157629564</v>
      </c>
    </row>
    <row r="15" spans="1:10" x14ac:dyDescent="0.25">
      <c r="A15" s="215"/>
      <c r="B15" s="92">
        <v>1</v>
      </c>
      <c r="C15" s="92">
        <v>1</v>
      </c>
      <c r="D15" s="92">
        <v>1</v>
      </c>
      <c r="E15" s="92">
        <v>1</v>
      </c>
      <c r="F15" s="89">
        <v>1</v>
      </c>
      <c r="G15" s="89">
        <f t="shared" si="0"/>
        <v>1</v>
      </c>
      <c r="H15" s="89">
        <f t="shared" si="1"/>
        <v>1</v>
      </c>
      <c r="I15" s="89">
        <f t="shared" si="2"/>
        <v>1</v>
      </c>
      <c r="J15" s="92">
        <f t="shared" si="3"/>
        <v>1</v>
      </c>
    </row>
    <row r="16" spans="1:10" x14ac:dyDescent="0.25">
      <c r="A16" s="213">
        <v>0</v>
      </c>
      <c r="B16" s="29">
        <v>0</v>
      </c>
      <c r="C16" s="29">
        <v>-31.2</v>
      </c>
      <c r="D16" s="29">
        <v>-31.2</v>
      </c>
      <c r="E16" s="29">
        <v>0</v>
      </c>
      <c r="F16" s="29">
        <v>41.2</v>
      </c>
      <c r="G16" s="30">
        <v>-31.2</v>
      </c>
      <c r="H16" s="30">
        <v>-31.2</v>
      </c>
      <c r="I16" s="30">
        <v>0</v>
      </c>
      <c r="J16" s="30">
        <v>41.2</v>
      </c>
    </row>
    <row r="17" spans="1:16" x14ac:dyDescent="0.25">
      <c r="A17" s="214"/>
      <c r="B17" s="30">
        <v>400.98</v>
      </c>
      <c r="C17" s="30">
        <v>183.9</v>
      </c>
      <c r="D17" s="30">
        <v>267.7</v>
      </c>
      <c r="E17" s="30">
        <v>233.5</v>
      </c>
      <c r="F17" s="30">
        <v>233.5</v>
      </c>
      <c r="G17" s="30">
        <v>183.9</v>
      </c>
      <c r="H17" s="30">
        <v>267.7</v>
      </c>
      <c r="I17" s="30">
        <v>233.5</v>
      </c>
      <c r="J17" s="30">
        <v>233.5</v>
      </c>
    </row>
    <row r="18" spans="1:16" x14ac:dyDescent="0.25">
      <c r="A18" s="215"/>
      <c r="B18" s="31">
        <v>1</v>
      </c>
      <c r="C18" s="31">
        <v>1</v>
      </c>
      <c r="D18" s="31">
        <v>1</v>
      </c>
      <c r="E18" s="31">
        <v>1</v>
      </c>
      <c r="F18" s="31">
        <v>1</v>
      </c>
      <c r="G18" s="30">
        <v>1</v>
      </c>
      <c r="H18" s="30">
        <v>1</v>
      </c>
      <c r="I18" s="30">
        <v>1</v>
      </c>
      <c r="J18" s="30">
        <v>1</v>
      </c>
    </row>
    <row r="19" spans="1:16" x14ac:dyDescent="0.25">
      <c r="A19" s="213">
        <v>20</v>
      </c>
      <c r="B19" s="90">
        <f t="array" ref="B19:B21">MMULT($B$42:$D$44,F7:F9)</f>
        <v>137.14323707072666</v>
      </c>
      <c r="C19" s="90">
        <f t="array" ref="C19:C21">MMULT($B$42:$D$44,B7:B9)</f>
        <v>33.579094589070138</v>
      </c>
      <c r="D19" s="90">
        <f t="array" ref="D19:D21">MMULT($B$42:$D$44,C7:C9)</f>
        <v>62.240382599761176</v>
      </c>
      <c r="E19" s="90">
        <f t="array" ref="E19:E21">MMULT($B$42:$D$44,D7:D9)</f>
        <v>79.861703466543645</v>
      </c>
      <c r="F19" s="87">
        <f t="array" ref="F19:F21">MMULT($B$42:$D$44,E7:E9)</f>
        <v>118.57703944292308</v>
      </c>
      <c r="G19" s="87">
        <f>N49</f>
        <v>27.944839306838588</v>
      </c>
      <c r="H19" s="90">
        <f>O49</f>
        <v>56.606127317529612</v>
      </c>
      <c r="I19" s="90">
        <f>P49</f>
        <v>74.227448184312095</v>
      </c>
      <c r="J19" s="90">
        <f>Q49</f>
        <v>112.94278416069153</v>
      </c>
    </row>
    <row r="20" spans="1:16" x14ac:dyDescent="0.25">
      <c r="A20" s="214"/>
      <c r="B20" s="91">
        <v>376.79794708273357</v>
      </c>
      <c r="C20" s="91">
        <v>183.48050143428941</v>
      </c>
      <c r="D20" s="91">
        <v>262.22674305614856</v>
      </c>
      <c r="E20" s="91">
        <v>219.41822695350962</v>
      </c>
      <c r="F20" s="88">
        <v>205.32699704849207</v>
      </c>
      <c r="G20" s="88">
        <f t="shared" ref="G20:G21" si="4">N50</f>
        <v>191.52705188508463</v>
      </c>
      <c r="H20" s="91">
        <f t="shared" ref="H20:H21" si="5">O50</f>
        <v>270.27329350694373</v>
      </c>
      <c r="I20" s="91">
        <f t="shared" ref="I20:I21" si="6">P50</f>
        <v>227.46477740430484</v>
      </c>
      <c r="J20" s="91">
        <f t="shared" ref="J20:J21" si="7">Q50</f>
        <v>213.37354749928727</v>
      </c>
    </row>
    <row r="21" spans="1:16" x14ac:dyDescent="0.25">
      <c r="A21" s="215"/>
      <c r="B21" s="92">
        <v>1</v>
      </c>
      <c r="C21" s="92">
        <v>1</v>
      </c>
      <c r="D21" s="92">
        <v>1</v>
      </c>
      <c r="E21" s="92">
        <v>1</v>
      </c>
      <c r="F21" s="89">
        <v>1</v>
      </c>
      <c r="G21" s="89">
        <f t="shared" si="4"/>
        <v>1</v>
      </c>
      <c r="H21" s="92">
        <f t="shared" si="5"/>
        <v>1</v>
      </c>
      <c r="I21" s="92">
        <f t="shared" si="6"/>
        <v>1</v>
      </c>
      <c r="J21" s="92">
        <f t="shared" si="7"/>
        <v>1</v>
      </c>
    </row>
    <row r="23" spans="1:16" s="14" customFormat="1" x14ac:dyDescent="0.25"/>
    <row r="24" spans="1:16" x14ac:dyDescent="0.25">
      <c r="B24" s="211" t="s">
        <v>91</v>
      </c>
      <c r="C24" s="212"/>
    </row>
    <row r="26" spans="1:16" x14ac:dyDescent="0.25">
      <c r="A26" s="105" t="s">
        <v>57</v>
      </c>
      <c r="B26" s="106"/>
      <c r="C26" s="107"/>
      <c r="F26" s="105" t="s">
        <v>10</v>
      </c>
      <c r="G26" s="106"/>
      <c r="H26" s="107"/>
      <c r="K26" s="105" t="s">
        <v>11</v>
      </c>
      <c r="L26" s="106"/>
      <c r="M26" s="107"/>
    </row>
    <row r="27" spans="1:16" x14ac:dyDescent="0.25">
      <c r="A27" s="102" t="s">
        <v>6</v>
      </c>
      <c r="B27" s="1">
        <f>COS(RADIANS(-$A$13))</f>
        <v>0.93969262078590843</v>
      </c>
      <c r="C27" s="2">
        <f>-SIN(RADIANS(-$A$13))</f>
        <v>-0.34202014332566871</v>
      </c>
      <c r="D27" s="3">
        <v>0</v>
      </c>
      <c r="F27" s="102" t="s">
        <v>7</v>
      </c>
      <c r="G27" s="1">
        <v>1</v>
      </c>
      <c r="H27" s="2">
        <v>0</v>
      </c>
      <c r="I27" s="3">
        <f>$C$3</f>
        <v>20</v>
      </c>
      <c r="K27" s="102" t="s">
        <v>8</v>
      </c>
      <c r="L27" s="1">
        <f t="array" ref="L27:N29">MINVERSE($G$27:$I$29)</f>
        <v>1</v>
      </c>
      <c r="M27" s="2">
        <v>0</v>
      </c>
      <c r="N27" s="3">
        <v>-20</v>
      </c>
    </row>
    <row r="28" spans="1:16" x14ac:dyDescent="0.25">
      <c r="A28" s="103"/>
      <c r="B28" s="2">
        <f>SIN(RADIANS(-$A$13))</f>
        <v>0.34202014332566871</v>
      </c>
      <c r="C28" s="1">
        <f>COS(RADIANS(-$A$13))</f>
        <v>0.93969262078590843</v>
      </c>
      <c r="D28" s="6">
        <v>0</v>
      </c>
      <c r="F28" s="103"/>
      <c r="G28" s="4">
        <v>0</v>
      </c>
      <c r="H28" s="5">
        <v>1</v>
      </c>
      <c r="I28" s="6">
        <f>$C$4</f>
        <v>20</v>
      </c>
      <c r="K28" s="103"/>
      <c r="L28" s="4">
        <v>0</v>
      </c>
      <c r="M28" s="5">
        <v>1</v>
      </c>
      <c r="N28" s="6">
        <v>-20</v>
      </c>
    </row>
    <row r="29" spans="1:16" x14ac:dyDescent="0.25">
      <c r="A29" s="104"/>
      <c r="B29" s="7">
        <v>0</v>
      </c>
      <c r="C29" s="8">
        <v>0</v>
      </c>
      <c r="D29" s="9">
        <v>1</v>
      </c>
      <c r="F29" s="104"/>
      <c r="G29" s="7">
        <v>0</v>
      </c>
      <c r="H29" s="8">
        <v>0</v>
      </c>
      <c r="I29" s="9">
        <v>1</v>
      </c>
      <c r="K29" s="104"/>
      <c r="L29" s="7">
        <v>0</v>
      </c>
      <c r="M29" s="8">
        <v>0</v>
      </c>
      <c r="N29" s="9">
        <v>1</v>
      </c>
    </row>
    <row r="32" spans="1:16" x14ac:dyDescent="0.25">
      <c r="B32" s="105" t="s">
        <v>13</v>
      </c>
      <c r="C32" s="106"/>
      <c r="D32" s="107"/>
      <c r="H32" s="105" t="s">
        <v>92</v>
      </c>
      <c r="I32" s="106"/>
      <c r="J32" s="107"/>
      <c r="N32" s="105" t="s">
        <v>93</v>
      </c>
      <c r="O32" s="106"/>
      <c r="P32" s="107"/>
    </row>
    <row r="33" spans="1:17" x14ac:dyDescent="0.25">
      <c r="B33" s="10" t="s">
        <v>0</v>
      </c>
      <c r="C33" s="10" t="s">
        <v>1</v>
      </c>
      <c r="D33" s="10" t="s">
        <v>2</v>
      </c>
      <c r="E33" s="10" t="s">
        <v>3</v>
      </c>
      <c r="H33" s="10" t="s">
        <v>0</v>
      </c>
      <c r="I33" s="10" t="s">
        <v>1</v>
      </c>
      <c r="J33" s="10" t="s">
        <v>2</v>
      </c>
      <c r="K33" s="10" t="s">
        <v>3</v>
      </c>
      <c r="N33" s="10" t="s">
        <v>0</v>
      </c>
      <c r="O33" s="10" t="s">
        <v>1</v>
      </c>
      <c r="P33" s="10" t="s">
        <v>2</v>
      </c>
      <c r="Q33" s="10" t="s">
        <v>3</v>
      </c>
    </row>
    <row r="34" spans="1:17" x14ac:dyDescent="0.25">
      <c r="A34" s="102" t="s">
        <v>17</v>
      </c>
      <c r="B34" s="11">
        <f t="array" ref="B34:B36">MMULT($L$27:$N$29,B7:B9)</f>
        <v>-51.2</v>
      </c>
      <c r="C34" s="11">
        <f t="array" ref="C34:C36">MMULT($L$27:$N$29,C7:C9)</f>
        <v>-51.2</v>
      </c>
      <c r="D34" s="11">
        <f t="array" ref="D34:D36">MMULT($L$27:$N$29,D7:D9)</f>
        <v>-20</v>
      </c>
      <c r="E34" s="11">
        <f t="array" ref="E34:E36">MMULT($L$27:$N$29,E7:E9)</f>
        <v>21.200000000000003</v>
      </c>
      <c r="G34" s="102" t="s">
        <v>17</v>
      </c>
      <c r="H34" s="11">
        <f t="array" ref="H34:H36">MMULT($B$27:$D$29,B34:B36)</f>
        <v>-104.16936367531562</v>
      </c>
      <c r="I34" s="11">
        <f t="array" ref="I34:I36">MMULT($B$27:$D$29,C34:C36)</f>
        <v>-132.83065168600666</v>
      </c>
      <c r="J34" s="11">
        <f t="array" ref="J34:J36">MMULT($B$27:$D$29,D34:D36)</f>
        <v>-91.81515301574845</v>
      </c>
      <c r="K34" s="11">
        <f t="array" ref="K34:K36">MMULT($B$27:$D$29,E34:E36)</f>
        <v>-53.099817039369015</v>
      </c>
      <c r="M34" s="102" t="s">
        <v>17</v>
      </c>
      <c r="N34" s="11">
        <f t="array" ref="N34:N36">MMULT($G$27:$I$29,H34:H36)</f>
        <v>-84.169363675315623</v>
      </c>
      <c r="O34" s="11">
        <f t="array" ref="O34:O36">MMULT($G$27:$I$29,I34:I36)</f>
        <v>-112.83065168600666</v>
      </c>
      <c r="P34" s="11">
        <f t="array" ref="P34:P36">MMULT($G$27:$I$29,J34:J36)</f>
        <v>-71.81515301574845</v>
      </c>
      <c r="Q34" s="11">
        <f t="array" ref="Q34:Q36">MMULT($G$27:$I$29,K34:K36)</f>
        <v>-33.099817039369015</v>
      </c>
    </row>
    <row r="35" spans="1:17" x14ac:dyDescent="0.25">
      <c r="A35" s="103"/>
      <c r="B35" s="12">
        <v>163.9</v>
      </c>
      <c r="C35" s="12">
        <v>247.7</v>
      </c>
      <c r="D35" s="12">
        <v>213.5</v>
      </c>
      <c r="E35" s="12">
        <v>213.5</v>
      </c>
      <c r="G35" s="103"/>
      <c r="H35" s="12">
        <v>136.50418920853616</v>
      </c>
      <c r="I35" s="12">
        <v>215.25043083039526</v>
      </c>
      <c r="J35" s="12">
        <v>193.78397167127807</v>
      </c>
      <c r="K35" s="12">
        <v>207.87520157629564</v>
      </c>
      <c r="M35" s="103"/>
      <c r="N35" s="12">
        <v>156.50418920853616</v>
      </c>
      <c r="O35" s="12">
        <v>235.25043083039526</v>
      </c>
      <c r="P35" s="12">
        <v>213.78397167127807</v>
      </c>
      <c r="Q35" s="12">
        <v>227.87520157629564</v>
      </c>
    </row>
    <row r="36" spans="1:17" x14ac:dyDescent="0.25">
      <c r="A36" s="104"/>
      <c r="B36" s="13">
        <v>1</v>
      </c>
      <c r="C36" s="13">
        <v>1</v>
      </c>
      <c r="D36" s="13">
        <v>1</v>
      </c>
      <c r="E36" s="13">
        <v>1</v>
      </c>
      <c r="G36" s="104"/>
      <c r="H36" s="13">
        <v>1</v>
      </c>
      <c r="I36" s="13">
        <v>1</v>
      </c>
      <c r="J36" s="13">
        <v>1</v>
      </c>
      <c r="K36" s="13">
        <v>1</v>
      </c>
      <c r="M36" s="104"/>
      <c r="N36" s="13">
        <v>1</v>
      </c>
      <c r="O36" s="13">
        <v>1</v>
      </c>
      <c r="P36" s="13">
        <v>1</v>
      </c>
      <c r="Q36" s="13">
        <v>1</v>
      </c>
    </row>
    <row r="38" spans="1:17" s="14" customFormat="1" x14ac:dyDescent="0.25"/>
    <row r="39" spans="1:17" x14ac:dyDescent="0.25">
      <c r="B39" s="211" t="s">
        <v>94</v>
      </c>
      <c r="C39" s="212"/>
    </row>
    <row r="41" spans="1:17" x14ac:dyDescent="0.25">
      <c r="A41" s="105" t="s">
        <v>57</v>
      </c>
      <c r="B41" s="106"/>
      <c r="C41" s="107"/>
      <c r="F41" s="105" t="s">
        <v>10</v>
      </c>
      <c r="G41" s="106"/>
      <c r="H41" s="107"/>
      <c r="K41" s="105" t="s">
        <v>11</v>
      </c>
      <c r="L41" s="106"/>
      <c r="M41" s="107"/>
    </row>
    <row r="42" spans="1:17" x14ac:dyDescent="0.25">
      <c r="A42" s="102" t="s">
        <v>6</v>
      </c>
      <c r="B42" s="1">
        <f>COS(RADIANS(-$A$19))</f>
        <v>0.93969262078590843</v>
      </c>
      <c r="C42" s="2">
        <f>-SIN(RADIANS(-$A$19))</f>
        <v>0.34202014332566871</v>
      </c>
      <c r="D42" s="3">
        <v>0</v>
      </c>
      <c r="F42" s="102" t="s">
        <v>7</v>
      </c>
      <c r="G42" s="1">
        <v>1</v>
      </c>
      <c r="H42" s="2">
        <v>0</v>
      </c>
      <c r="I42" s="3">
        <f>$C$3</f>
        <v>20</v>
      </c>
      <c r="K42" s="102" t="s">
        <v>8</v>
      </c>
      <c r="L42" s="1">
        <f t="array" ref="L42:N44">MINVERSE($G$27:$I$29)</f>
        <v>1</v>
      </c>
      <c r="M42" s="2">
        <v>0</v>
      </c>
      <c r="N42" s="3">
        <v>-20</v>
      </c>
    </row>
    <row r="43" spans="1:17" x14ac:dyDescent="0.25">
      <c r="A43" s="103"/>
      <c r="B43" s="2">
        <f>SIN(RADIANS(-$A$19))</f>
        <v>-0.34202014332566871</v>
      </c>
      <c r="C43" s="1">
        <f>COS(RADIANS(-$A$19))</f>
        <v>0.93969262078590843</v>
      </c>
      <c r="D43" s="6">
        <v>0</v>
      </c>
      <c r="F43" s="103"/>
      <c r="G43" s="4">
        <v>0</v>
      </c>
      <c r="H43" s="5">
        <v>1</v>
      </c>
      <c r="I43" s="6">
        <f>$C$4</f>
        <v>20</v>
      </c>
      <c r="K43" s="103"/>
      <c r="L43" s="4">
        <v>0</v>
      </c>
      <c r="M43" s="5">
        <v>1</v>
      </c>
      <c r="N43" s="6">
        <v>-20</v>
      </c>
    </row>
    <row r="44" spans="1:17" x14ac:dyDescent="0.25">
      <c r="A44" s="104"/>
      <c r="B44" s="7">
        <v>0</v>
      </c>
      <c r="C44" s="8">
        <v>0</v>
      </c>
      <c r="D44" s="9">
        <v>1</v>
      </c>
      <c r="F44" s="104"/>
      <c r="G44" s="7">
        <v>0</v>
      </c>
      <c r="H44" s="8">
        <v>0</v>
      </c>
      <c r="I44" s="9">
        <v>1</v>
      </c>
      <c r="K44" s="104"/>
      <c r="L44" s="7">
        <v>0</v>
      </c>
      <c r="M44" s="8">
        <v>0</v>
      </c>
      <c r="N44" s="9">
        <v>1</v>
      </c>
    </row>
    <row r="47" spans="1:17" x14ac:dyDescent="0.25">
      <c r="B47" s="105" t="s">
        <v>13</v>
      </c>
      <c r="C47" s="106"/>
      <c r="D47" s="107"/>
      <c r="H47" s="105" t="s">
        <v>92</v>
      </c>
      <c r="I47" s="106"/>
      <c r="J47" s="107"/>
      <c r="N47" s="105" t="s">
        <v>93</v>
      </c>
      <c r="O47" s="106"/>
      <c r="P47" s="107"/>
    </row>
    <row r="48" spans="1:17" x14ac:dyDescent="0.25">
      <c r="B48" s="10" t="s">
        <v>0</v>
      </c>
      <c r="C48" s="10" t="s">
        <v>1</v>
      </c>
      <c r="D48" s="10" t="s">
        <v>2</v>
      </c>
      <c r="E48" s="10" t="s">
        <v>3</v>
      </c>
      <c r="H48" s="10" t="s">
        <v>0</v>
      </c>
      <c r="I48" s="10" t="s">
        <v>1</v>
      </c>
      <c r="J48" s="10" t="s">
        <v>2</v>
      </c>
      <c r="K48" s="10" t="s">
        <v>3</v>
      </c>
      <c r="N48" s="10" t="s">
        <v>0</v>
      </c>
      <c r="O48" s="10" t="s">
        <v>1</v>
      </c>
      <c r="P48" s="10" t="s">
        <v>2</v>
      </c>
      <c r="Q48" s="10" t="s">
        <v>3</v>
      </c>
    </row>
    <row r="49" spans="1:17" x14ac:dyDescent="0.25">
      <c r="A49" s="102" t="s">
        <v>17</v>
      </c>
      <c r="B49" s="11">
        <f t="array" ref="B49:B51">MMULT($L$42:$N$44,B7:B9)</f>
        <v>-51.2</v>
      </c>
      <c r="C49" s="11">
        <f t="array" ref="C49:C51">MMULT($L$42:$N$44,C7:C9)</f>
        <v>-51.2</v>
      </c>
      <c r="D49" s="11">
        <f t="array" ref="D49:D51">MMULT($L$42:$N$44,D7:D9)</f>
        <v>-20</v>
      </c>
      <c r="E49" s="11">
        <f t="array" ref="E49:E51">MMULT($L$42:$N$44,E7:E9)</f>
        <v>21.200000000000003</v>
      </c>
      <c r="G49" s="102" t="s">
        <v>17</v>
      </c>
      <c r="H49" s="11">
        <f t="array" ref="H49:H51">MMULT($B$42:$D$44,B49:B51)</f>
        <v>7.9448393068385883</v>
      </c>
      <c r="I49" s="11">
        <f t="array" ref="I49:I51">MMULT($B$42:$D$44,C49:C51)</f>
        <v>36.606127317529612</v>
      </c>
      <c r="J49" s="11">
        <f t="array" ref="J49:J51">MMULT($B$42:$D$44,D49:D51)</f>
        <v>54.227448184312102</v>
      </c>
      <c r="K49" s="11">
        <f t="array" ref="K49:K51">MMULT($B$42:$D$44,E49:E51)</f>
        <v>92.942784160691531</v>
      </c>
      <c r="M49" s="102" t="s">
        <v>17</v>
      </c>
      <c r="N49" s="11">
        <f t="array" ref="N49:N51">MMULT($G$27:$I$29,H49:H51)</f>
        <v>27.944839306838588</v>
      </c>
      <c r="O49" s="11">
        <f t="array" ref="O49:O51">MMULT($G$27:$I$29,I49:I51)</f>
        <v>56.606127317529612</v>
      </c>
      <c r="P49" s="11">
        <f t="array" ref="P49:P51">MMULT($G$27:$I$29,J49:J51)</f>
        <v>74.227448184312095</v>
      </c>
      <c r="Q49" s="11">
        <f t="array" ref="Q49:Q51">MMULT($G$27:$I$29,K49:K51)</f>
        <v>112.94278416069153</v>
      </c>
    </row>
    <row r="50" spans="1:17" x14ac:dyDescent="0.25">
      <c r="A50" s="103"/>
      <c r="B50" s="12">
        <v>163.9</v>
      </c>
      <c r="C50" s="12">
        <v>247.7</v>
      </c>
      <c r="D50" s="12">
        <v>213.5</v>
      </c>
      <c r="E50" s="12">
        <v>213.5</v>
      </c>
      <c r="G50" s="103"/>
      <c r="H50" s="12">
        <v>171.52705188508463</v>
      </c>
      <c r="I50" s="12">
        <v>250.27329350694373</v>
      </c>
      <c r="J50" s="12">
        <v>207.46477740430484</v>
      </c>
      <c r="K50" s="12">
        <v>193.37354749928727</v>
      </c>
      <c r="M50" s="103"/>
      <c r="N50" s="12">
        <v>191.52705188508463</v>
      </c>
      <c r="O50" s="12">
        <v>270.27329350694373</v>
      </c>
      <c r="P50" s="12">
        <v>227.46477740430484</v>
      </c>
      <c r="Q50" s="12">
        <v>213.37354749928727</v>
      </c>
    </row>
    <row r="51" spans="1:17" x14ac:dyDescent="0.25">
      <c r="A51" s="104"/>
      <c r="B51" s="13">
        <v>1</v>
      </c>
      <c r="C51" s="13">
        <v>1</v>
      </c>
      <c r="D51" s="13">
        <v>1</v>
      </c>
      <c r="E51" s="13">
        <v>1</v>
      </c>
      <c r="G51" s="104"/>
      <c r="H51" s="13">
        <v>1</v>
      </c>
      <c r="I51" s="13">
        <v>1</v>
      </c>
      <c r="J51" s="13">
        <v>1</v>
      </c>
      <c r="K51" s="13">
        <v>1</v>
      </c>
      <c r="M51" s="104"/>
      <c r="N51" s="13">
        <v>1</v>
      </c>
      <c r="O51" s="13">
        <v>1</v>
      </c>
      <c r="P51" s="13">
        <v>1</v>
      </c>
      <c r="Q51" s="13">
        <v>1</v>
      </c>
    </row>
  </sheetData>
  <mergeCells count="31">
    <mergeCell ref="B24:C24"/>
    <mergeCell ref="D3:E3"/>
    <mergeCell ref="D4:E4"/>
    <mergeCell ref="A13:A15"/>
    <mergeCell ref="A16:A18"/>
    <mergeCell ref="A19:A21"/>
    <mergeCell ref="A27:A29"/>
    <mergeCell ref="F26:H26"/>
    <mergeCell ref="F27:F29"/>
    <mergeCell ref="K26:M26"/>
    <mergeCell ref="K27:K29"/>
    <mergeCell ref="A26:C26"/>
    <mergeCell ref="B32:D32"/>
    <mergeCell ref="A34:A36"/>
    <mergeCell ref="H32:J32"/>
    <mergeCell ref="G34:G36"/>
    <mergeCell ref="N32:P32"/>
    <mergeCell ref="M34:M36"/>
    <mergeCell ref="B39:C39"/>
    <mergeCell ref="A41:C41"/>
    <mergeCell ref="F41:H41"/>
    <mergeCell ref="K41:M41"/>
    <mergeCell ref="A42:A44"/>
    <mergeCell ref="F42:F44"/>
    <mergeCell ref="K42:K44"/>
    <mergeCell ref="B47:D47"/>
    <mergeCell ref="H47:J47"/>
    <mergeCell ref="N47:P47"/>
    <mergeCell ref="A49:A51"/>
    <mergeCell ref="G49:G51"/>
    <mergeCell ref="M49:M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Model</vt:lpstr>
      <vt:lpstr>Simulation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2022-04-28T18:53:44Z</dcterms:modified>
</cp:coreProperties>
</file>