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cal Stock Prices" sheetId="1" r:id="rId3"/>
    <sheet state="visible" name="Company Financials" sheetId="2" r:id="rId4"/>
    <sheet state="visible" name="Insider Transaction" sheetId="3" r:id="rId5"/>
    <sheet state="visible" name="Stock News Analytics" sheetId="4" r:id="rId6"/>
    <sheet state="visible" name="Realtime Stock Prices" sheetId="5" r:id="rId7"/>
  </sheets>
  <definedNames>
    <definedName hidden="1" localSheetId="1" name="Z_7DBA61DE_4D9A_4B07_A1B9_E67B85AF1E9D_.wvu.FilterData">'Company Financials'!$J$1:$J$1003</definedName>
    <definedName hidden="1" localSheetId="1" name="Z_5AEB2F1F_C703_44F0_A127_48E388BA0A28_.wvu.FilterData">'Company Financials'!$A$10:$T$35</definedName>
  </definedNames>
  <calcPr/>
  <customWorkbookViews>
    <customWorkbookView activeSheetId="0" maximized="1" windowHeight="0" windowWidth="0" guid="{7DBA61DE-4D9A-4B07-A1B9-E67B85AF1E9D}" name="Filter 2"/>
    <customWorkbookView activeSheetId="0" maximized="1" windowHeight="0" windowWidth="0" guid="{5AEB2F1F-C703-44F0-A127-48E388BA0A28}" name="Filter 1"/>
  </customWorkbookViews>
</workbook>
</file>

<file path=xl/sharedStrings.xml><?xml version="1.0" encoding="utf-8"?>
<sst xmlns="http://schemas.openxmlformats.org/spreadsheetml/2006/main" count="23" uniqueCount="22">
  <si>
    <t>Historical Stock Prices</t>
  </si>
  <si>
    <t>https://unibit.ai/docs/V2.0/historical_stock_price</t>
  </si>
  <si>
    <t xml:space="preserve"> =importdata("https://api.unibit.ai/v2/stock/historical/?tickers=aapl&amp;interval=1&amp;startDate=2020-12-01&amp;endDate=2021-06-30&amp;dataType=json&amp;accessKey=demo")</t>
  </si>
  <si>
    <t>Company Financials</t>
  </si>
  <si>
    <t>https://unibit.ai/docs/V2.0/company_financials</t>
  </si>
  <si>
    <t xml:space="preserve">Apple Inc. vs. Slack Technologies, Inc. Financial Statement </t>
  </si>
  <si>
    <t>(in thousands)</t>
  </si>
  <si>
    <t xml:space="preserve">  = IMPORTDATA("https://api.unibit.ai/v2/company/financials?tickers=AAPL,WORK&amp;statement=all&amp;selectedFields=all&amp;startDate=2020-01-01&amp;endDate=2021-10-30&amp;interval=quarterly&amp;dataType=csv&amp;accessKey=Demo")</t>
  </si>
  <si>
    <t>Insider Transaction Dataset</t>
  </si>
  <si>
    <t>https://unibit.ai/docs/V2.0/insider_transaction</t>
  </si>
  <si>
    <t xml:space="preserve">Apple Inc. Insider Transaction </t>
  </si>
  <si>
    <t xml:space="preserve">  = IMPORTDATA("https://api.unibit.ai/v2/company/insiderTransaction/?tickers=aapl&amp;startDate=2019-09-01&amp;endDate=2019-10-31&amp;size=20&amp;dataType=csv&amp;accessKey=demo")                                                        </t>
  </si>
  <si>
    <t>Stock news Analytics</t>
  </si>
  <si>
    <t>1. Please visit the link below for more detailed documentation for these data feeds</t>
  </si>
  <si>
    <t>https://unibit.ai/docs/V2.0/stock_news</t>
  </si>
  <si>
    <t>2. See the example API endpoint below for requesting this API in Google sheet</t>
  </si>
  <si>
    <t xml:space="preserve">  = IMPORTDATA("https://api.unibit.ai/v2/company/news?tickers=AAPL&amp;startDate=2019-08-25&amp;endDate=2019-08-30&amp;startMinute=10:00:00&amp;endMinute=11:00:00&amp;genre=partnership&amp;sector=technology&amp;selectedFields=all&amp;dataType=csv&amp;accessKey=Demo")</t>
  </si>
  <si>
    <t xml:space="preserve">3. Enter the API endpoint below in the yellow box, then you should have all the data points in your spreadsheet. Please beware that dates may need to be reformatted in your spreadsheet. </t>
  </si>
  <si>
    <t>Realtime Stock Prices</t>
  </si>
  <si>
    <t>https://unibit.ai/docs/V2.0/realtime_stock_price</t>
  </si>
  <si>
    <t>Realtime Stock Prices for Apple</t>
  </si>
  <si>
    <t xml:space="preserve"> =importdata("https://api.unibit.ai/v2/stock/realtime/?tickers=aapl&amp;startDate=2020-01-30&amp;endDate=2020-01-30&amp;startMinute=09:30:00&amp;endMinute=12:30:00&amp;size=500&amp;dataType=csv&amp;accessKey=demo")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</si>
</sst>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quot;$&quot;#,##0.00"/>
    <numFmt numFmtId="166" formatCode="h:mm:ss am/pm"/>
  </numFmts>
  <fonts count="7">
    <font>
      <sz val="10.0"/>
      <color rgb="FF000000"/>
      <name val="Arial"/>
    </font>
    <font>
      <b/>
      <sz val="14.0"/>
    </font>
    <font>
      <u/>
      <color rgb="FF0000FF"/>
    </font>
    <font>
      <i/>
    </font>
    <font/>
    <font>
      <b/>
      <u/>
      <color rgb="FF0000FF"/>
    </font>
    <font>
      <u/>
      <color rgb="FF0000FF"/>
    </font>
  </fonts>
  <fills count="4">
    <fill>
      <patternFill patternType="none"/>
    </fill>
    <fill>
      <patternFill patternType="lightGray"/>
    </fill>
    <fill>
      <patternFill patternType="solid">
        <fgColor rgb="FFF3F3F3"/>
        <bgColor rgb="FFF3F3F3"/>
      </patternFill>
    </fill>
    <fill>
      <patternFill patternType="solid">
        <fgColor rgb="FFFFFF00"/>
        <bgColor rgb="FFFFFF00"/>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2" fontId="4" numFmtId="0" xfId="0" applyAlignment="1" applyFill="1" applyFont="1">
      <alignment readingOrder="0"/>
    </xf>
    <xf borderId="0" fillId="2" fontId="4" numFmtId="0" xfId="0" applyFont="1"/>
    <xf borderId="0" fillId="0" fontId="4" numFmtId="0" xfId="0" applyAlignment="1" applyFont="1">
      <alignment horizontal="right"/>
    </xf>
    <xf borderId="0" fillId="0" fontId="4" numFmtId="164" xfId="0" applyAlignment="1" applyFont="1" applyNumberFormat="1">
      <alignment horizontal="right"/>
    </xf>
    <xf borderId="0" fillId="0" fontId="4" numFmtId="164" xfId="0" applyFont="1" applyNumberFormat="1"/>
    <xf borderId="0" fillId="0" fontId="4" numFmtId="0" xfId="0" applyAlignment="1" applyFont="1">
      <alignment readingOrder="0"/>
    </xf>
    <xf borderId="0" fillId="0" fontId="4" numFmtId="0" xfId="0" applyAlignment="1" applyFont="1">
      <alignment horizontal="right" readingOrder="0"/>
    </xf>
    <xf borderId="0" fillId="0" fontId="4" numFmtId="164" xfId="0" applyAlignment="1" applyFont="1" applyNumberFormat="1">
      <alignment horizontal="right" readingOrder="0"/>
    </xf>
    <xf borderId="0" fillId="3" fontId="4" numFmtId="0" xfId="0" applyFill="1" applyFont="1"/>
    <xf borderId="0" fillId="0" fontId="4" numFmtId="165" xfId="0" applyFont="1" applyNumberFormat="1"/>
    <xf borderId="0" fillId="0" fontId="4" numFmtId="165" xfId="0" applyAlignment="1" applyFont="1" applyNumberFormat="1">
      <alignment horizontal="right"/>
    </xf>
    <xf borderId="0" fillId="0" fontId="5" numFmtId="0" xfId="0" applyAlignment="1" applyFont="1">
      <alignment readingOrder="0"/>
    </xf>
    <xf borderId="0" fillId="0" fontId="6" numFmtId="0" xfId="0" applyFont="1"/>
    <xf borderId="0" fillId="2" fontId="4" numFmtId="0" xfId="0" applyAlignment="1" applyFont="1">
      <alignment horizontal="right"/>
    </xf>
    <xf borderId="0" fillId="0" fontId="4" numFmtId="166" xfId="0" applyAlignment="1" applyFont="1" applyNumberFormat="1">
      <alignment horizontal="right"/>
    </xf>
    <xf borderId="0" fillId="0" fontId="4" numFmtId="166"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9057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9057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9057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9057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790575" cy="20002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s://unibit.ai/docs/V2.0/historical_stock_price"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unibit.ai/docs/V2.0/company_financial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unibit.ai/docs/V2.0/insider_transaction"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ndtv.com" TargetMode="External"/><Relationship Id="rId42" Type="http://schemas.openxmlformats.org/officeDocument/2006/relationships/hyperlink" Target="http://designtaxi.com" TargetMode="External"/><Relationship Id="rId41" Type="http://schemas.openxmlformats.org/officeDocument/2006/relationships/hyperlink" Target="https://designtaxi.com/news/406010/What-Apple-s-Vibrant-September-Event-Invite-Might-Hint-About-Upcoming-iPhones/?utm_source=feedburner&amp;utm_medium=feed&amp;utm_campaign=Feed%3A+designtaxi_news+%28TAXI+Daily+News%29" TargetMode="External"/><Relationship Id="rId44" Type="http://schemas.openxmlformats.org/officeDocument/2006/relationships/hyperlink" Target="http://luxurydaily.com" TargetMode="External"/><Relationship Id="rId43" Type="http://schemas.openxmlformats.org/officeDocument/2006/relationships/hyperlink" Target="https://www.luxurydaily.com/apple-piaget-ritz-carlton-christies-forrester-ibm-to-speak-at-luxecx-sept-25/" TargetMode="External"/><Relationship Id="rId46" Type="http://schemas.openxmlformats.org/officeDocument/2006/relationships/hyperlink" Target="https://www.businesstoday.in/sectors/it/apple-to-invest-rs-1000-crore-in-online-and-offline-retail-stores-in-india-iphone-ipads-mac-computers/story/376234.html" TargetMode="External"/><Relationship Id="rId45" Type="http://schemas.openxmlformats.org/officeDocument/2006/relationships/hyperlink" Target="http://businesstoday.in" TargetMode="External"/><Relationship Id="rId48" Type="http://schemas.openxmlformats.org/officeDocument/2006/relationships/hyperlink" Target="https://www.itworldcanada.com/article/hashtag-trending-apple-reverses-stance-on-repairs-coffee-shop-etiquette-facebook-addiction/421402" TargetMode="External"/><Relationship Id="rId47" Type="http://schemas.openxmlformats.org/officeDocument/2006/relationships/hyperlink" Target="http://businesstoday.in" TargetMode="External"/><Relationship Id="rId49" Type="http://schemas.openxmlformats.org/officeDocument/2006/relationships/hyperlink" Target="http://itworldcanada.com" TargetMode="External"/><Relationship Id="rId31" Type="http://schemas.openxmlformats.org/officeDocument/2006/relationships/hyperlink" Target="https://www.geeky-gadgets.com/apple-announces-independent-repair-program-for-iphone-and-more-30-08-2019/" TargetMode="External"/><Relationship Id="rId30" Type="http://schemas.openxmlformats.org/officeDocument/2006/relationships/hyperlink" Target="http://techfortravel.co.uk" TargetMode="External"/><Relationship Id="rId33" Type="http://schemas.openxmlformats.org/officeDocument/2006/relationships/hyperlink" Target="https://www.ubergizmo.com/2019/08/iphones-hit-15-percent-tariffs-december/" TargetMode="External"/><Relationship Id="rId32" Type="http://schemas.openxmlformats.org/officeDocument/2006/relationships/hyperlink" Target="http://geeky-gadgets.com" TargetMode="External"/><Relationship Id="rId35" Type="http://schemas.openxmlformats.org/officeDocument/2006/relationships/hyperlink" Target="https://www.ubergizmo.com/2019/08/apple-pay-adoption-lagging-us/" TargetMode="External"/><Relationship Id="rId34" Type="http://schemas.openxmlformats.org/officeDocument/2006/relationships/hyperlink" Target="http://ubergizmo.com" TargetMode="External"/><Relationship Id="rId37" Type="http://schemas.openxmlformats.org/officeDocument/2006/relationships/hyperlink" Target="http://www.madshrimps.be/news/item/189531?utm_source=feedburner&amp;utm_medium=feed&amp;utm_campaign=Feed%3A+madshrimps+%28Madshrimps+News+RSS+Feed%29" TargetMode="External"/><Relationship Id="rId36" Type="http://schemas.openxmlformats.org/officeDocument/2006/relationships/hyperlink" Target="http://ubergizmo.com" TargetMode="External"/><Relationship Id="rId39" Type="http://schemas.openxmlformats.org/officeDocument/2006/relationships/hyperlink" Target="https://gadgets.ndtv.com/mobiles/news/iphone-hack-google-project-zero-day-websites-imessage-whatsapp-live-location-files-2092914" TargetMode="External"/><Relationship Id="rId38" Type="http://schemas.openxmlformats.org/officeDocument/2006/relationships/hyperlink" Target="http://madshrimps.be" TargetMode="External"/><Relationship Id="rId20" Type="http://schemas.openxmlformats.org/officeDocument/2006/relationships/hyperlink" Target="http://geeky-gadgets.com" TargetMode="External"/><Relationship Id="rId22" Type="http://schemas.openxmlformats.org/officeDocument/2006/relationships/hyperlink" Target="http://hypebeast.com" TargetMode="External"/><Relationship Id="rId21" Type="http://schemas.openxmlformats.org/officeDocument/2006/relationships/hyperlink" Target="https://hypebeast.com/2019/8/apple-independent-repair-shops-iphone-real-parts-information" TargetMode="External"/><Relationship Id="rId24" Type="http://schemas.openxmlformats.org/officeDocument/2006/relationships/hyperlink" Target="http://speckyboy.com" TargetMode="External"/><Relationship Id="rId23" Type="http://schemas.openxmlformats.org/officeDocument/2006/relationships/hyperlink" Target="https://speckyboy.com/apple-keynote-tutorials/" TargetMode="External"/><Relationship Id="rId26" Type="http://schemas.openxmlformats.org/officeDocument/2006/relationships/hyperlink" Target="http://notebookcheck.net" TargetMode="External"/><Relationship Id="rId25" Type="http://schemas.openxmlformats.org/officeDocument/2006/relationships/hyperlink" Target="https://www.notebookcheck.net/Apple-issues-invites-for-a-September-10-iPhone-event.433519.0.html" TargetMode="External"/><Relationship Id="rId28" Type="http://schemas.openxmlformats.org/officeDocument/2006/relationships/hyperlink" Target="http://thehackernews.com" TargetMode="External"/><Relationship Id="rId27" Type="http://schemas.openxmlformats.org/officeDocument/2006/relationships/hyperlink" Target="https://thehackernews.com/2019/08/hacking-iphone-ios-exploits.html" TargetMode="External"/><Relationship Id="rId29" Type="http://schemas.openxmlformats.org/officeDocument/2006/relationships/hyperlink" Target="https://techfortravel.co.uk/event-apple-fall-2019/" TargetMode="External"/><Relationship Id="rId95" Type="http://schemas.openxmlformats.org/officeDocument/2006/relationships/hyperlink" Target="https://hip2save.com/2019/08/29/best-buy-student-deals-over-20-off-apple-ipads-macbooks/" TargetMode="External"/><Relationship Id="rId94" Type="http://schemas.openxmlformats.org/officeDocument/2006/relationships/hyperlink" Target="http://slashdot.org" TargetMode="External"/><Relationship Id="rId97" Type="http://schemas.openxmlformats.org/officeDocument/2006/relationships/hyperlink" Target="https://www.theverge.com/2019/8/29/20831410/disney-plus-apple-hulu-netflix-binge-episodes-full-season-drop-vs-weekly-release-streaming-model" TargetMode="External"/><Relationship Id="rId96" Type="http://schemas.openxmlformats.org/officeDocument/2006/relationships/hyperlink" Target="http://hip2save.com" TargetMode="External"/><Relationship Id="rId11" Type="http://schemas.openxmlformats.org/officeDocument/2006/relationships/hyperlink" Target="http://forbes.com" TargetMode="External"/><Relationship Id="rId10" Type="http://schemas.openxmlformats.org/officeDocument/2006/relationships/hyperlink" Target="https://www.forbes.com/sites/zakdoffman/2019/08/30/google-shocks-1-billion-iphone-users-with-malicious-hack-warning/" TargetMode="External"/><Relationship Id="rId98" Type="http://schemas.openxmlformats.org/officeDocument/2006/relationships/drawing" Target="../drawings/drawing4.xml"/><Relationship Id="rId13" Type="http://schemas.openxmlformats.org/officeDocument/2006/relationships/hyperlink" Target="https://www.indiatimes.com/technology/news/it-s-official-apple-s-2019-iphone-lineup-will-finally-be-revealed-on-september-10_-374679.html" TargetMode="External"/><Relationship Id="rId12" Type="http://schemas.openxmlformats.org/officeDocument/2006/relationships/hyperlink" Target="https://thenextweb.com/apple/2019/08/30/apple-will-allow-basic-iphone-repairs-from-third-party-shops/" TargetMode="External"/><Relationship Id="rId91" Type="http://schemas.openxmlformats.org/officeDocument/2006/relationships/hyperlink" Target="https://www.theregister.co.uk/2019/08/29/apple_iphone_repair/" TargetMode="External"/><Relationship Id="rId90" Type="http://schemas.openxmlformats.org/officeDocument/2006/relationships/hyperlink" Target="http://fool.com" TargetMode="External"/><Relationship Id="rId93" Type="http://schemas.openxmlformats.org/officeDocument/2006/relationships/hyperlink" Target="https://slashdot.org/firehose.pl?op=view&amp;amp;id=114724832" TargetMode="External"/><Relationship Id="rId92" Type="http://schemas.openxmlformats.org/officeDocument/2006/relationships/hyperlink" Target="http://theregister.co.uk" TargetMode="External"/><Relationship Id="rId15" Type="http://schemas.openxmlformats.org/officeDocument/2006/relationships/hyperlink" Target="https://www.rappler.com/technology/news/238917-new-apple-iphone-2019-event-september-10" TargetMode="External"/><Relationship Id="rId14" Type="http://schemas.openxmlformats.org/officeDocument/2006/relationships/hyperlink" Target="http://rappler.com" TargetMode="External"/><Relationship Id="rId17" Type="http://schemas.openxmlformats.org/officeDocument/2006/relationships/hyperlink" Target="https://www.medianama.com/2019/08/223-india-is-encouraging-foreign-firms-to-shift-biz-from-china/" TargetMode="External"/><Relationship Id="rId16" Type="http://schemas.openxmlformats.org/officeDocument/2006/relationships/hyperlink" Target="http://rappler.com" TargetMode="External"/><Relationship Id="rId19" Type="http://schemas.openxmlformats.org/officeDocument/2006/relationships/hyperlink" Target="https://www.geeky-gadgets.com/apple-iphone-11-event-takes-place-10th-of-september-30-08-2019/" TargetMode="External"/><Relationship Id="rId18" Type="http://schemas.openxmlformats.org/officeDocument/2006/relationships/hyperlink" Target="http://medianama.com" TargetMode="External"/><Relationship Id="rId84" Type="http://schemas.openxmlformats.org/officeDocument/2006/relationships/hyperlink" Target="https://www.appleworld.today/blog/2019/8/30/apple-wants-to-help-you-lose-weight-with-methods-beyond-diet-and-exercise" TargetMode="External"/><Relationship Id="rId83" Type="http://schemas.openxmlformats.org/officeDocument/2006/relationships/hyperlink" Target="http://luxurylaunches.com" TargetMode="External"/><Relationship Id="rId86" Type="http://schemas.openxmlformats.org/officeDocument/2006/relationships/hyperlink" Target="http://thedailybeast.com" TargetMode="External"/><Relationship Id="rId85" Type="http://schemas.openxmlformats.org/officeDocument/2006/relationships/hyperlink" Target="https://www.thedailybeast.com/apples-new-repair-policy-makes-fixing-your-iphone-less-of-a-nightmare" TargetMode="External"/><Relationship Id="rId88" Type="http://schemas.openxmlformats.org/officeDocument/2006/relationships/hyperlink" Target="http://theblaze.com" TargetMode="External"/><Relationship Id="rId87" Type="http://schemas.openxmlformats.org/officeDocument/2006/relationships/hyperlink" Target="https://www.theblaze.com/unleashed/apple-admits-to-listening-in-on-couples-having-sex-in-the-bedroom" TargetMode="External"/><Relationship Id="rId89" Type="http://schemas.openxmlformats.org/officeDocument/2006/relationships/hyperlink" Target="https://www.fool.com/investing/2019/08/29/apple-prepares-for-the-holidays-with-a-new-lineup.aspx" TargetMode="External"/><Relationship Id="rId80" Type="http://schemas.openxmlformats.org/officeDocument/2006/relationships/hyperlink" Target="https://designtaxi.com/news/406018/Apple-Reveals-Most-Creative-Ways-AirPod-Owners-Have-Personalized-Their-Cases/?utm_source=feedburner&amp;utm_medium=feed&amp;utm_campaign=Feed%3A+designtaxi_news+%28TAXI+Daily+News%29" TargetMode="External"/><Relationship Id="rId82" Type="http://schemas.openxmlformats.org/officeDocument/2006/relationships/hyperlink" Target="https://luxurylaunches.com/other_stuff/apples-feral-cleaning-instructions-for-apple-card-are-funnier-than-the-memes-theyve-inspired.php" TargetMode="External"/><Relationship Id="rId81" Type="http://schemas.openxmlformats.org/officeDocument/2006/relationships/hyperlink" Target="http://designtaxi.com" TargetMode="External"/><Relationship Id="rId1" Type="http://schemas.openxmlformats.org/officeDocument/2006/relationships/hyperlink" Target="https://unibit.ai/docs/V2.0/stock_news" TargetMode="External"/><Relationship Id="rId2" Type="http://schemas.openxmlformats.org/officeDocument/2006/relationships/hyperlink" Target="https://www.freemalaysiatoday.com/category/leisure/2019/08/30/apple-expected-to-unveil-new-iphone-at-sept-10-event/" TargetMode="External"/><Relationship Id="rId3" Type="http://schemas.openxmlformats.org/officeDocument/2006/relationships/hyperlink" Target="http://freemalaysiatoday.com" TargetMode="External"/><Relationship Id="rId4" Type="http://schemas.openxmlformats.org/officeDocument/2006/relationships/hyperlink" Target="https://pocketnow.com/pocketnow-daily-apples-iphone-xi-event-claims-bold-movesvideo" TargetMode="External"/><Relationship Id="rId9" Type="http://schemas.openxmlformats.org/officeDocument/2006/relationships/hyperlink" Target="http://indianexpress.com" TargetMode="External"/><Relationship Id="rId5" Type="http://schemas.openxmlformats.org/officeDocument/2006/relationships/hyperlink" Target="http://pocketnow.com" TargetMode="External"/><Relationship Id="rId6" Type="http://schemas.openxmlformats.org/officeDocument/2006/relationships/hyperlink" Target="https://gadgets.ndtv.com/mobiles/news/india-said-to-woo-firms-like-apple-to-capitalise-on-us-china-trade-war-2092753" TargetMode="External"/><Relationship Id="rId7" Type="http://schemas.openxmlformats.org/officeDocument/2006/relationships/hyperlink" Target="http://ndtv.com" TargetMode="External"/><Relationship Id="rId8" Type="http://schemas.openxmlformats.org/officeDocument/2006/relationships/hyperlink" Target="https://indianexpress.com/article/technology/tech-news-technology/apple-september-10-event-apple-iphone-11-apple-watch-series-5-and-everything-else-to-expect-5950129/" TargetMode="External"/><Relationship Id="rId73" Type="http://schemas.openxmlformats.org/officeDocument/2006/relationships/hyperlink" Target="http://cnet.com" TargetMode="External"/><Relationship Id="rId72" Type="http://schemas.openxmlformats.org/officeDocument/2006/relationships/hyperlink" Target="https://www.cnet.com/news/iphone-xr-vs-iphone-8-plus-what-iphone-should-you-buy-price-colors-specs-comparison-camera-refurbished-features-review/" TargetMode="External"/><Relationship Id="rId75" Type="http://schemas.openxmlformats.org/officeDocument/2006/relationships/hyperlink" Target="http://npr.org" TargetMode="External"/><Relationship Id="rId74" Type="http://schemas.openxmlformats.org/officeDocument/2006/relationships/hyperlink" Target="https://www.npr.org/2019/08/30/755386306/npr-musics-top-16-songs-of-august" TargetMode="External"/><Relationship Id="rId77" Type="http://schemas.openxmlformats.org/officeDocument/2006/relationships/hyperlink" Target="http://foodgawker.com" TargetMode="External"/><Relationship Id="rId76" Type="http://schemas.openxmlformats.org/officeDocument/2006/relationships/hyperlink" Target="https://foodgawker.com/post/2019/08/30/838390/" TargetMode="External"/><Relationship Id="rId79" Type="http://schemas.openxmlformats.org/officeDocument/2006/relationships/hyperlink" Target="http://sophos.com" TargetMode="External"/><Relationship Id="rId78" Type="http://schemas.openxmlformats.org/officeDocument/2006/relationships/hyperlink" Target="http://nakedsecurity.sophos.com/2019/08/30/apple-apologizes-for-humans-listening-to-siri-clips-changes-policy/" TargetMode="External"/><Relationship Id="rId71" Type="http://schemas.openxmlformats.org/officeDocument/2006/relationships/hyperlink" Target="http://firstpost.com" TargetMode="External"/><Relationship Id="rId70" Type="http://schemas.openxmlformats.org/officeDocument/2006/relationships/hyperlink" Target="https://www.firstpost.com/tech/news-analysis/apple-oppo-and-others-committed-to-long-term-investment-in-india-after-fdi-relaxation-7254181.html" TargetMode="External"/><Relationship Id="rId62" Type="http://schemas.openxmlformats.org/officeDocument/2006/relationships/hyperlink" Target="https://slashdot.org/firehose.pl?op=view&amp;amp;id=114740200" TargetMode="External"/><Relationship Id="rId61" Type="http://schemas.openxmlformats.org/officeDocument/2006/relationships/hyperlink" Target="http://geeky-gadgets.com" TargetMode="External"/><Relationship Id="rId64" Type="http://schemas.openxmlformats.org/officeDocument/2006/relationships/hyperlink" Target="https://www.techradar.com/news/apple-is-now-making-it-easier-to-get-an-iphone-repair" TargetMode="External"/><Relationship Id="rId63" Type="http://schemas.openxmlformats.org/officeDocument/2006/relationships/hyperlink" Target="http://slashdot.org" TargetMode="External"/><Relationship Id="rId66" Type="http://schemas.openxmlformats.org/officeDocument/2006/relationships/hyperlink" Target="http://macworld.com" TargetMode="External"/><Relationship Id="rId65" Type="http://schemas.openxmlformats.org/officeDocument/2006/relationships/hyperlink" Target="https://www.macworld.com/article/3434626/three-big-questions-about-apples-september-event.html" TargetMode="External"/><Relationship Id="rId68" Type="http://schemas.openxmlformats.org/officeDocument/2006/relationships/hyperlink" Target="https://www.ehackingnews.com/2019/08/apple-apologises-to-siri-users-for-not.html" TargetMode="External"/><Relationship Id="rId67" Type="http://schemas.openxmlformats.org/officeDocument/2006/relationships/hyperlink" Target="https://mashable.com/uk/shopping/best-deal-laptops-tv-speakers-headphones-aug-30/" TargetMode="External"/><Relationship Id="rId60" Type="http://schemas.openxmlformats.org/officeDocument/2006/relationships/hyperlink" Target="https://www.geeky-gadgets.com/everything-you-wanted-to-know-about-the-apple-card-video-30-08-2019/" TargetMode="External"/><Relationship Id="rId69" Type="http://schemas.openxmlformats.org/officeDocument/2006/relationships/hyperlink" Target="http://ehackingnews.com" TargetMode="External"/><Relationship Id="rId51" Type="http://schemas.openxmlformats.org/officeDocument/2006/relationships/hyperlink" Target="http://techmeme.com" TargetMode="External"/><Relationship Id="rId50" Type="http://schemas.openxmlformats.org/officeDocument/2006/relationships/hyperlink" Target="https://www.techmeme.com/190830/p1" TargetMode="External"/><Relationship Id="rId53" Type="http://schemas.openxmlformats.org/officeDocument/2006/relationships/hyperlink" Target="http://mspoweruser.com" TargetMode="External"/><Relationship Id="rId52" Type="http://schemas.openxmlformats.org/officeDocument/2006/relationships/hyperlink" Target="https://mspoweruser.com/apple-will-finally-give-independent-repair-shops-tools-to-fix-broken-iphones/" TargetMode="External"/><Relationship Id="rId55" Type="http://schemas.openxmlformats.org/officeDocument/2006/relationships/hyperlink" Target="http://madshrimps.be" TargetMode="External"/><Relationship Id="rId54" Type="http://schemas.openxmlformats.org/officeDocument/2006/relationships/hyperlink" Target="http://www.madshrimps.be/news/item/189556" TargetMode="External"/><Relationship Id="rId57" Type="http://schemas.openxmlformats.org/officeDocument/2006/relationships/hyperlink" Target="http://madshrimps.be" TargetMode="External"/><Relationship Id="rId56" Type="http://schemas.openxmlformats.org/officeDocument/2006/relationships/hyperlink" Target="http://www.madshrimps.be/news/item/189558" TargetMode="External"/><Relationship Id="rId59" Type="http://schemas.openxmlformats.org/officeDocument/2006/relationships/hyperlink" Target="http://standard.co.uk" TargetMode="External"/><Relationship Id="rId58" Type="http://schemas.openxmlformats.org/officeDocument/2006/relationships/hyperlink" Target="https://www.standard.co.uk/tech/disney-plus-release-date-uk-price-movies-online-streaming-service-a4224776.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unibit.ai/docs/V2.0/realtime_stock_price" TargetMode="External"/><Relationship Id="rId2"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A4" s="1" t="s">
        <v>0</v>
      </c>
    </row>
    <row r="5">
      <c r="A5" s="2" t="s">
        <v>1</v>
      </c>
    </row>
    <row r="7">
      <c r="A7" s="3" t="s">
        <v>0</v>
      </c>
    </row>
    <row r="8">
      <c r="A8" s="4" t="s">
        <v>2</v>
      </c>
      <c r="B8" s="5"/>
      <c r="C8" s="5"/>
      <c r="D8" s="5"/>
      <c r="E8" s="5"/>
      <c r="F8" s="5"/>
      <c r="G8" s="5"/>
      <c r="H8" s="5"/>
      <c r="I8" s="5"/>
      <c r="J8" s="5"/>
    </row>
    <row r="10">
      <c r="A10" s="6" t="str">
        <f>IFERROR(__xludf.DUMMYFUNCTION("importdata(""https://api.unibit.ai/v2/stock/historical/?tickers=aapl&amp;interval=1&amp;startDate=2020-12-01&amp;endDate=2021-06-30&amp;dataType=csv&amp;accessKey=demo"")"),"ticker")</f>
        <v>ticker</v>
      </c>
      <c r="B10" s="7" t="str">
        <f>IFERROR(__xludf.DUMMYFUNCTION("""COMPUTED_VALUE"""),"date")</f>
        <v>date</v>
      </c>
      <c r="C10" s="6" t="str">
        <f>IFERROR(__xludf.DUMMYFUNCTION("""COMPUTED_VALUE"""),"open")</f>
        <v>open</v>
      </c>
      <c r="D10" s="6" t="str">
        <f>IFERROR(__xludf.DUMMYFUNCTION("""COMPUTED_VALUE"""),"high")</f>
        <v>high</v>
      </c>
      <c r="E10" s="6" t="str">
        <f>IFERROR(__xludf.DUMMYFUNCTION("""COMPUTED_VALUE"""),"low")</f>
        <v>low</v>
      </c>
      <c r="F10" s="6" t="str">
        <f>IFERROR(__xludf.DUMMYFUNCTION("""COMPUTED_VALUE"""),"close")</f>
        <v>close</v>
      </c>
      <c r="G10" s="6" t="str">
        <f>IFERROR(__xludf.DUMMYFUNCTION("""COMPUTED_VALUE"""),"adj close")</f>
        <v>adj close</v>
      </c>
      <c r="H10" s="6" t="str">
        <f>IFERROR(__xludf.DUMMYFUNCTION("""COMPUTED_VALUE"""),"volume")</f>
        <v>volume</v>
      </c>
      <c r="I10" s="6"/>
      <c r="J10" s="6"/>
      <c r="K10" s="6"/>
      <c r="L10" s="6"/>
      <c r="M10" s="6"/>
      <c r="N10" s="6"/>
      <c r="O10" s="6"/>
      <c r="P10" s="6"/>
      <c r="Q10" s="6"/>
      <c r="R10" s="6"/>
      <c r="S10" s="6"/>
      <c r="T10" s="6"/>
      <c r="U10" s="6"/>
      <c r="V10" s="6"/>
      <c r="W10" s="6"/>
      <c r="X10" s="6"/>
      <c r="Y10" s="6"/>
      <c r="Z10" s="6"/>
    </row>
    <row r="11">
      <c r="A11" t="str">
        <f>IFERROR(__xludf.DUMMYFUNCTION("""COMPUTED_VALUE"""),"AAPL")</f>
        <v>AAPL</v>
      </c>
      <c r="B11" s="8">
        <f>IFERROR(__xludf.DUMMYFUNCTION("""COMPUTED_VALUE"""),44378.0)</f>
        <v>44378</v>
      </c>
      <c r="C11">
        <f>IFERROR(__xludf.DUMMYFUNCTION("""COMPUTED_VALUE"""),136.6)</f>
        <v>136.6</v>
      </c>
      <c r="D11">
        <f>IFERROR(__xludf.DUMMYFUNCTION("""COMPUTED_VALUE"""),137.33)</f>
        <v>137.33</v>
      </c>
      <c r="E11">
        <f>IFERROR(__xludf.DUMMYFUNCTION("""COMPUTED_VALUE"""),135.76)</f>
        <v>135.76</v>
      </c>
      <c r="F11">
        <f>IFERROR(__xludf.DUMMYFUNCTION("""COMPUTED_VALUE"""),137.27)</f>
        <v>137.27</v>
      </c>
      <c r="G11">
        <f>IFERROR(__xludf.DUMMYFUNCTION("""COMPUTED_VALUE"""),137.27)</f>
        <v>137.27</v>
      </c>
      <c r="H11">
        <f>IFERROR(__xludf.DUMMYFUNCTION("""COMPUTED_VALUE"""),5.0374488E7)</f>
        <v>50374488</v>
      </c>
    </row>
    <row r="12">
      <c r="A12" t="str">
        <f>IFERROR(__xludf.DUMMYFUNCTION("""COMPUTED_VALUE"""),"AAPL")</f>
        <v>AAPL</v>
      </c>
      <c r="B12" s="8">
        <f>IFERROR(__xludf.DUMMYFUNCTION("""COMPUTED_VALUE"""),44377.0)</f>
        <v>44377</v>
      </c>
      <c r="C12">
        <f>IFERROR(__xludf.DUMMYFUNCTION("""COMPUTED_VALUE"""),136.17)</f>
        <v>136.17</v>
      </c>
      <c r="D12">
        <f>IFERROR(__xludf.DUMMYFUNCTION("""COMPUTED_VALUE"""),137.4)</f>
        <v>137.4</v>
      </c>
      <c r="E12">
        <f>IFERROR(__xludf.DUMMYFUNCTION("""COMPUTED_VALUE"""),135.87)</f>
        <v>135.87</v>
      </c>
      <c r="F12">
        <f>IFERROR(__xludf.DUMMYFUNCTION("""COMPUTED_VALUE"""),136.96)</f>
        <v>136.96</v>
      </c>
      <c r="G12">
        <f>IFERROR(__xludf.DUMMYFUNCTION("""COMPUTED_VALUE"""),136.96)</f>
        <v>136.96</v>
      </c>
      <c r="H12">
        <f>IFERROR(__xludf.DUMMYFUNCTION("""COMPUTED_VALUE"""),6.2906278E7)</f>
        <v>62906278</v>
      </c>
    </row>
    <row r="13">
      <c r="A13" t="str">
        <f>IFERROR(__xludf.DUMMYFUNCTION("""COMPUTED_VALUE"""),"AAPL")</f>
        <v>AAPL</v>
      </c>
      <c r="B13" s="8">
        <f>IFERROR(__xludf.DUMMYFUNCTION("""COMPUTED_VALUE"""),44376.0)</f>
        <v>44376</v>
      </c>
      <c r="C13">
        <f>IFERROR(__xludf.DUMMYFUNCTION("""COMPUTED_VALUE"""),134.8)</f>
        <v>134.8</v>
      </c>
      <c r="D13">
        <f>IFERROR(__xludf.DUMMYFUNCTION("""COMPUTED_VALUE"""),136.49)</f>
        <v>136.49</v>
      </c>
      <c r="E13">
        <f>IFERROR(__xludf.DUMMYFUNCTION("""COMPUTED_VALUE"""),134.36)</f>
        <v>134.36</v>
      </c>
      <c r="F13">
        <f>IFERROR(__xludf.DUMMYFUNCTION("""COMPUTED_VALUE"""),136.33)</f>
        <v>136.33</v>
      </c>
      <c r="G13">
        <f>IFERROR(__xludf.DUMMYFUNCTION("""COMPUTED_VALUE"""),136.33)</f>
        <v>136.33</v>
      </c>
      <c r="H13">
        <f>IFERROR(__xludf.DUMMYFUNCTION("""COMPUTED_VALUE"""),5.8641116E7)</f>
        <v>58641116</v>
      </c>
    </row>
    <row r="14">
      <c r="A14" t="str">
        <f>IFERROR(__xludf.DUMMYFUNCTION("""COMPUTED_VALUE"""),"AAPL")</f>
        <v>AAPL</v>
      </c>
      <c r="B14" s="8">
        <f>IFERROR(__xludf.DUMMYFUNCTION("""COMPUTED_VALUE"""),44375.0)</f>
        <v>44375</v>
      </c>
      <c r="C14">
        <f>IFERROR(__xludf.DUMMYFUNCTION("""COMPUTED_VALUE"""),133.41)</f>
        <v>133.41</v>
      </c>
      <c r="D14">
        <f>IFERROR(__xludf.DUMMYFUNCTION("""COMPUTED_VALUE"""),135.245)</f>
        <v>135.245</v>
      </c>
      <c r="E14">
        <f>IFERROR(__xludf.DUMMYFUNCTION("""COMPUTED_VALUE"""),133.386)</f>
        <v>133.386</v>
      </c>
      <c r="F14">
        <f>IFERROR(__xludf.DUMMYFUNCTION("""COMPUTED_VALUE"""),134.78)</f>
        <v>134.78</v>
      </c>
      <c r="G14">
        <f>IFERROR(__xludf.DUMMYFUNCTION("""COMPUTED_VALUE"""),134.78)</f>
        <v>134.78</v>
      </c>
      <c r="H14">
        <f>IFERROR(__xludf.DUMMYFUNCTION("""COMPUTED_VALUE"""),5.9959031E7)</f>
        <v>59959031</v>
      </c>
    </row>
    <row r="15">
      <c r="A15" t="str">
        <f>IFERROR(__xludf.DUMMYFUNCTION("""COMPUTED_VALUE"""),"AAPL")</f>
        <v>AAPL</v>
      </c>
      <c r="B15" s="8">
        <f>IFERROR(__xludf.DUMMYFUNCTION("""COMPUTED_VALUE"""),44372.0)</f>
        <v>44372</v>
      </c>
      <c r="C15">
        <f>IFERROR(__xludf.DUMMYFUNCTION("""COMPUTED_VALUE"""),133.46)</f>
        <v>133.46</v>
      </c>
      <c r="D15">
        <f>IFERROR(__xludf.DUMMYFUNCTION("""COMPUTED_VALUE"""),133.89)</f>
        <v>133.89</v>
      </c>
      <c r="E15">
        <f>IFERROR(__xludf.DUMMYFUNCTION("""COMPUTED_VALUE"""),132.81)</f>
        <v>132.81</v>
      </c>
      <c r="F15">
        <f>IFERROR(__xludf.DUMMYFUNCTION("""COMPUTED_VALUE"""),133.11)</f>
        <v>133.11</v>
      </c>
      <c r="G15">
        <f>IFERROR(__xludf.DUMMYFUNCTION("""COMPUTED_VALUE"""),133.11)</f>
        <v>133.11</v>
      </c>
      <c r="H15">
        <f>IFERROR(__xludf.DUMMYFUNCTION("""COMPUTED_VALUE"""),6.3990889E7)</f>
        <v>63990889</v>
      </c>
    </row>
    <row r="16">
      <c r="A16" t="str">
        <f>IFERROR(__xludf.DUMMYFUNCTION("""COMPUTED_VALUE"""),"AAPL")</f>
        <v>AAPL</v>
      </c>
      <c r="B16" s="8">
        <f>IFERROR(__xludf.DUMMYFUNCTION("""COMPUTED_VALUE"""),44371.0)</f>
        <v>44371</v>
      </c>
      <c r="C16">
        <f>IFERROR(__xludf.DUMMYFUNCTION("""COMPUTED_VALUE"""),134.45)</f>
        <v>134.45</v>
      </c>
      <c r="D16">
        <f>IFERROR(__xludf.DUMMYFUNCTION("""COMPUTED_VALUE"""),134.64)</f>
        <v>134.64</v>
      </c>
      <c r="E16">
        <f>IFERROR(__xludf.DUMMYFUNCTION("""COMPUTED_VALUE"""),132.93)</f>
        <v>132.93</v>
      </c>
      <c r="F16">
        <f>IFERROR(__xludf.DUMMYFUNCTION("""COMPUTED_VALUE"""),133.41)</f>
        <v>133.41</v>
      </c>
      <c r="G16">
        <f>IFERROR(__xludf.DUMMYFUNCTION("""COMPUTED_VALUE"""),133.41)</f>
        <v>133.41</v>
      </c>
      <c r="H16">
        <f>IFERROR(__xludf.DUMMYFUNCTION("""COMPUTED_VALUE"""),6.4767059E7)</f>
        <v>64767059</v>
      </c>
    </row>
    <row r="17">
      <c r="A17" t="str">
        <f>IFERROR(__xludf.DUMMYFUNCTION("""COMPUTED_VALUE"""),"AAPL")</f>
        <v>AAPL</v>
      </c>
      <c r="B17" s="8">
        <f>IFERROR(__xludf.DUMMYFUNCTION("""COMPUTED_VALUE"""),44370.0)</f>
        <v>44370</v>
      </c>
      <c r="C17">
        <f>IFERROR(__xludf.DUMMYFUNCTION("""COMPUTED_VALUE"""),133.77)</f>
        <v>133.77</v>
      </c>
      <c r="D17">
        <f>IFERROR(__xludf.DUMMYFUNCTION("""COMPUTED_VALUE"""),134.32)</f>
        <v>134.32</v>
      </c>
      <c r="E17">
        <f>IFERROR(__xludf.DUMMYFUNCTION("""COMPUTED_VALUE"""),133.23)</f>
        <v>133.23</v>
      </c>
      <c r="F17">
        <f>IFERROR(__xludf.DUMMYFUNCTION("""COMPUTED_VALUE"""),133.7)</f>
        <v>133.7</v>
      </c>
      <c r="G17">
        <f>IFERROR(__xludf.DUMMYFUNCTION("""COMPUTED_VALUE"""),133.7)</f>
        <v>133.7</v>
      </c>
      <c r="H17">
        <f>IFERROR(__xludf.DUMMYFUNCTION("""COMPUTED_VALUE"""),5.8833203E7)</f>
        <v>58833203</v>
      </c>
    </row>
    <row r="18">
      <c r="A18" t="str">
        <f>IFERROR(__xludf.DUMMYFUNCTION("""COMPUTED_VALUE"""),"AAPL")</f>
        <v>AAPL</v>
      </c>
      <c r="B18" s="8">
        <f>IFERROR(__xludf.DUMMYFUNCTION("""COMPUTED_VALUE"""),44369.0)</f>
        <v>44369</v>
      </c>
      <c r="C18">
        <f>IFERROR(__xludf.DUMMYFUNCTION("""COMPUTED_VALUE"""),132.13)</f>
        <v>132.13</v>
      </c>
      <c r="D18">
        <f>IFERROR(__xludf.DUMMYFUNCTION("""COMPUTED_VALUE"""),134.08)</f>
        <v>134.08</v>
      </c>
      <c r="E18">
        <f>IFERROR(__xludf.DUMMYFUNCTION("""COMPUTED_VALUE"""),131.62)</f>
        <v>131.62</v>
      </c>
      <c r="F18">
        <f>IFERROR(__xludf.DUMMYFUNCTION("""COMPUTED_VALUE"""),133.98)</f>
        <v>133.98</v>
      </c>
      <c r="G18">
        <f>IFERROR(__xludf.DUMMYFUNCTION("""COMPUTED_VALUE"""),133.98)</f>
        <v>133.98</v>
      </c>
      <c r="H18">
        <f>IFERROR(__xludf.DUMMYFUNCTION("""COMPUTED_VALUE"""),7.1729155E7)</f>
        <v>71729155</v>
      </c>
    </row>
    <row r="19">
      <c r="A19" t="str">
        <f>IFERROR(__xludf.DUMMYFUNCTION("""COMPUTED_VALUE"""),"AAPL")</f>
        <v>AAPL</v>
      </c>
      <c r="B19" s="8">
        <f>IFERROR(__xludf.DUMMYFUNCTION("""COMPUTED_VALUE"""),44368.0)</f>
        <v>44368</v>
      </c>
      <c r="C19">
        <f>IFERROR(__xludf.DUMMYFUNCTION("""COMPUTED_VALUE"""),130.3)</f>
        <v>130.3</v>
      </c>
      <c r="D19">
        <f>IFERROR(__xludf.DUMMYFUNCTION("""COMPUTED_VALUE"""),132.41)</f>
        <v>132.41</v>
      </c>
      <c r="E19">
        <f>IFERROR(__xludf.DUMMYFUNCTION("""COMPUTED_VALUE"""),129.212)</f>
        <v>129.212</v>
      </c>
      <c r="F19">
        <f>IFERROR(__xludf.DUMMYFUNCTION("""COMPUTED_VALUE"""),132.3)</f>
        <v>132.3</v>
      </c>
      <c r="G19">
        <f>IFERROR(__xludf.DUMMYFUNCTION("""COMPUTED_VALUE"""),132.3)</f>
        <v>132.3</v>
      </c>
      <c r="H19">
        <f>IFERROR(__xludf.DUMMYFUNCTION("""COMPUTED_VALUE"""),7.4317158E7)</f>
        <v>74317158</v>
      </c>
    </row>
    <row r="20">
      <c r="A20" t="str">
        <f>IFERROR(__xludf.DUMMYFUNCTION("""COMPUTED_VALUE"""),"AAPL")</f>
        <v>AAPL</v>
      </c>
      <c r="B20" s="8">
        <f>IFERROR(__xludf.DUMMYFUNCTION("""COMPUTED_VALUE"""),44365.0)</f>
        <v>44365</v>
      </c>
      <c r="C20">
        <f>IFERROR(__xludf.DUMMYFUNCTION("""COMPUTED_VALUE"""),130.71)</f>
        <v>130.71</v>
      </c>
      <c r="D20">
        <f>IFERROR(__xludf.DUMMYFUNCTION("""COMPUTED_VALUE"""),131.51)</f>
        <v>131.51</v>
      </c>
      <c r="E20">
        <f>IFERROR(__xludf.DUMMYFUNCTION("""COMPUTED_VALUE"""),130.59)</f>
        <v>130.59</v>
      </c>
      <c r="F20">
        <f>IFERROR(__xludf.DUMMYFUNCTION("""COMPUTED_VALUE"""),130.97)</f>
        <v>130.97</v>
      </c>
      <c r="G20">
        <f>IFERROR(__xludf.DUMMYFUNCTION("""COMPUTED_VALUE"""),130.46)</f>
        <v>130.46</v>
      </c>
      <c r="H20">
        <f>IFERROR(__xludf.DUMMYFUNCTION("""COMPUTED_VALUE"""),3.1496894E7)</f>
        <v>31496894</v>
      </c>
    </row>
    <row r="21">
      <c r="A21" t="str">
        <f>IFERROR(__xludf.DUMMYFUNCTION("""COMPUTED_VALUE"""),"AAPL")</f>
        <v>AAPL</v>
      </c>
      <c r="B21" s="8">
        <f>IFERROR(__xludf.DUMMYFUNCTION("""COMPUTED_VALUE"""),44364.0)</f>
        <v>44364</v>
      </c>
      <c r="C21">
        <f>IFERROR(__xludf.DUMMYFUNCTION("""COMPUTED_VALUE"""),130.37)</f>
        <v>130.37</v>
      </c>
      <c r="D21">
        <f>IFERROR(__xludf.DUMMYFUNCTION("""COMPUTED_VALUE"""),132.55)</f>
        <v>132.55</v>
      </c>
      <c r="E21">
        <f>IFERROR(__xludf.DUMMYFUNCTION("""COMPUTED_VALUE"""),129.65)</f>
        <v>129.65</v>
      </c>
      <c r="F21">
        <f>IFERROR(__xludf.DUMMYFUNCTION("""COMPUTED_VALUE"""),131.79)</f>
        <v>131.79</v>
      </c>
      <c r="G21">
        <f>IFERROR(__xludf.DUMMYFUNCTION("""COMPUTED_VALUE"""),131.79)</f>
        <v>131.79</v>
      </c>
      <c r="H21">
        <f>IFERROR(__xludf.DUMMYFUNCTION("""COMPUTED_VALUE"""),9.6230975E7)</f>
        <v>96230975</v>
      </c>
    </row>
    <row r="22">
      <c r="A22" t="str">
        <f>IFERROR(__xludf.DUMMYFUNCTION("""COMPUTED_VALUE"""),"AAPL")</f>
        <v>AAPL</v>
      </c>
      <c r="B22" s="8">
        <f>IFERROR(__xludf.DUMMYFUNCTION("""COMPUTED_VALUE"""),44363.0)</f>
        <v>44363</v>
      </c>
      <c r="C22">
        <f>IFERROR(__xludf.DUMMYFUNCTION("""COMPUTED_VALUE"""),130.37)</f>
        <v>130.37</v>
      </c>
      <c r="D22">
        <f>IFERROR(__xludf.DUMMYFUNCTION("""COMPUTED_VALUE"""),130.89)</f>
        <v>130.89</v>
      </c>
      <c r="E22">
        <f>IFERROR(__xludf.DUMMYFUNCTION("""COMPUTED_VALUE"""),128.461)</f>
        <v>128.461</v>
      </c>
      <c r="F22">
        <f>IFERROR(__xludf.DUMMYFUNCTION("""COMPUTED_VALUE"""),130.15)</f>
        <v>130.15</v>
      </c>
      <c r="G22">
        <f>IFERROR(__xludf.DUMMYFUNCTION("""COMPUTED_VALUE"""),130.15)</f>
        <v>130.15</v>
      </c>
      <c r="H22">
        <f>IFERROR(__xludf.DUMMYFUNCTION("""COMPUTED_VALUE"""),9.1265152E7)</f>
        <v>91265152</v>
      </c>
    </row>
    <row r="23">
      <c r="A23" t="str">
        <f>IFERROR(__xludf.DUMMYFUNCTION("""COMPUTED_VALUE"""),"AAPL")</f>
        <v>AAPL</v>
      </c>
      <c r="B23" s="8">
        <f>IFERROR(__xludf.DUMMYFUNCTION("""COMPUTED_VALUE"""),44362.0)</f>
        <v>44362</v>
      </c>
      <c r="C23">
        <f>IFERROR(__xludf.DUMMYFUNCTION("""COMPUTED_VALUE"""),129.94)</f>
        <v>129.94</v>
      </c>
      <c r="D23">
        <f>IFERROR(__xludf.DUMMYFUNCTION("""COMPUTED_VALUE"""),130.59)</f>
        <v>130.59</v>
      </c>
      <c r="E23">
        <f>IFERROR(__xludf.DUMMYFUNCTION("""COMPUTED_VALUE"""),129.39)</f>
        <v>129.39</v>
      </c>
      <c r="F23">
        <f>IFERROR(__xludf.DUMMYFUNCTION("""COMPUTED_VALUE"""),129.64)</f>
        <v>129.64</v>
      </c>
      <c r="G23">
        <f>IFERROR(__xludf.DUMMYFUNCTION("""COMPUTED_VALUE"""),129.64)</f>
        <v>129.64</v>
      </c>
      <c r="H23">
        <f>IFERROR(__xludf.DUMMYFUNCTION("""COMPUTED_VALUE"""),6.2194042E7)</f>
        <v>62194042</v>
      </c>
    </row>
    <row r="24">
      <c r="A24" t="str">
        <f>IFERROR(__xludf.DUMMYFUNCTION("""COMPUTED_VALUE"""),"AAPL")</f>
        <v>AAPL</v>
      </c>
      <c r="B24" s="8">
        <f>IFERROR(__xludf.DUMMYFUNCTION("""COMPUTED_VALUE"""),44361.0)</f>
        <v>44361</v>
      </c>
      <c r="C24">
        <f>IFERROR(__xludf.DUMMYFUNCTION("""COMPUTED_VALUE"""),127.82)</f>
        <v>127.82</v>
      </c>
      <c r="D24">
        <f>IFERROR(__xludf.DUMMYFUNCTION("""COMPUTED_VALUE"""),130.49)</f>
        <v>130.49</v>
      </c>
      <c r="E24">
        <f>IFERROR(__xludf.DUMMYFUNCTION("""COMPUTED_VALUE"""),127.07)</f>
        <v>127.07</v>
      </c>
      <c r="F24">
        <f>IFERROR(__xludf.DUMMYFUNCTION("""COMPUTED_VALUE"""),130.48)</f>
        <v>130.48</v>
      </c>
      <c r="G24">
        <f>IFERROR(__xludf.DUMMYFUNCTION("""COMPUTED_VALUE"""),130.48)</f>
        <v>130.48</v>
      </c>
      <c r="H24">
        <f>IFERROR(__xludf.DUMMYFUNCTION("""COMPUTED_VALUE"""),8.7631565E7)</f>
        <v>87631565</v>
      </c>
    </row>
    <row r="25">
      <c r="A25" t="str">
        <f>IFERROR(__xludf.DUMMYFUNCTION("""COMPUTED_VALUE"""),"AAPL")</f>
        <v>AAPL</v>
      </c>
      <c r="B25" s="8">
        <f>IFERROR(__xludf.DUMMYFUNCTION("""COMPUTED_VALUE"""),44358.0)</f>
        <v>44358</v>
      </c>
      <c r="C25">
        <f>IFERROR(__xludf.DUMMYFUNCTION("""COMPUTED_VALUE"""),126.53)</f>
        <v>126.53</v>
      </c>
      <c r="D25">
        <f>IFERROR(__xludf.DUMMYFUNCTION("""COMPUTED_VALUE"""),127.275)</f>
        <v>127.275</v>
      </c>
      <c r="E25">
        <f>IFERROR(__xludf.DUMMYFUNCTION("""COMPUTED_VALUE"""),126.1)</f>
        <v>126.1</v>
      </c>
      <c r="F25">
        <f>IFERROR(__xludf.DUMMYFUNCTION("""COMPUTED_VALUE"""),126.992)</f>
        <v>126.992</v>
      </c>
      <c r="G25">
        <f>IFERROR(__xludf.DUMMYFUNCTION("""COMPUTED_VALUE"""),127.35)</f>
        <v>127.35</v>
      </c>
      <c r="H25">
        <f>IFERROR(__xludf.DUMMYFUNCTION("""COMPUTED_VALUE"""),3.0903917E7)</f>
        <v>30903917</v>
      </c>
    </row>
    <row r="26">
      <c r="A26" t="str">
        <f>IFERROR(__xludf.DUMMYFUNCTION("""COMPUTED_VALUE"""),"AAPL")</f>
        <v>AAPL</v>
      </c>
      <c r="B26" s="8">
        <f>IFERROR(__xludf.DUMMYFUNCTION("""COMPUTED_VALUE"""),44357.0)</f>
        <v>44357</v>
      </c>
      <c r="C26">
        <f>IFERROR(__xludf.DUMMYFUNCTION("""COMPUTED_VALUE"""),127.02)</f>
        <v>127.02</v>
      </c>
      <c r="D26">
        <f>IFERROR(__xludf.DUMMYFUNCTION("""COMPUTED_VALUE"""),128.19)</f>
        <v>128.19</v>
      </c>
      <c r="E26">
        <f>IFERROR(__xludf.DUMMYFUNCTION("""COMPUTED_VALUE"""),125.94)</f>
        <v>125.94</v>
      </c>
      <c r="F26">
        <f>IFERROR(__xludf.DUMMYFUNCTION("""COMPUTED_VALUE"""),126.11)</f>
        <v>126.11</v>
      </c>
      <c r="G26">
        <f>IFERROR(__xludf.DUMMYFUNCTION("""COMPUTED_VALUE"""),126.11)</f>
        <v>126.11</v>
      </c>
      <c r="H26">
        <f>IFERROR(__xludf.DUMMYFUNCTION("""COMPUTED_VALUE"""),6.9880286E7)</f>
        <v>69880286</v>
      </c>
    </row>
    <row r="27">
      <c r="A27" t="str">
        <f>IFERROR(__xludf.DUMMYFUNCTION("""COMPUTED_VALUE"""),"AAPL")</f>
        <v>AAPL</v>
      </c>
      <c r="B27" s="8">
        <f>IFERROR(__xludf.DUMMYFUNCTION("""COMPUTED_VALUE"""),44356.0)</f>
        <v>44356</v>
      </c>
      <c r="C27">
        <f>IFERROR(__xludf.DUMMYFUNCTION("""COMPUTED_VALUE"""),127.21)</f>
        <v>127.21</v>
      </c>
      <c r="D27">
        <f>IFERROR(__xludf.DUMMYFUNCTION("""COMPUTED_VALUE"""),127.75)</f>
        <v>127.75</v>
      </c>
      <c r="E27">
        <f>IFERROR(__xludf.DUMMYFUNCTION("""COMPUTED_VALUE"""),126.52)</f>
        <v>126.52</v>
      </c>
      <c r="F27">
        <f>IFERROR(__xludf.DUMMYFUNCTION("""COMPUTED_VALUE"""),127.13)</f>
        <v>127.13</v>
      </c>
      <c r="G27">
        <f>IFERROR(__xludf.DUMMYFUNCTION("""COMPUTED_VALUE"""),127.13)</f>
        <v>127.13</v>
      </c>
      <c r="H27">
        <f>IFERROR(__xludf.DUMMYFUNCTION("""COMPUTED_VALUE"""),5.4895704E7)</f>
        <v>54895704</v>
      </c>
    </row>
    <row r="28">
      <c r="A28" t="str">
        <f>IFERROR(__xludf.DUMMYFUNCTION("""COMPUTED_VALUE"""),"AAPL")</f>
        <v>AAPL</v>
      </c>
      <c r="B28" s="8">
        <f>IFERROR(__xludf.DUMMYFUNCTION("""COMPUTED_VALUE"""),44355.0)</f>
        <v>44355</v>
      </c>
      <c r="C28">
        <f>IFERROR(__xludf.DUMMYFUNCTION("""COMPUTED_VALUE"""),126.6)</f>
        <v>126.6</v>
      </c>
      <c r="D28">
        <f>IFERROR(__xludf.DUMMYFUNCTION("""COMPUTED_VALUE"""),128.46)</f>
        <v>128.46</v>
      </c>
      <c r="E28">
        <f>IFERROR(__xludf.DUMMYFUNCTION("""COMPUTED_VALUE"""),126.21)</f>
        <v>126.21</v>
      </c>
      <c r="F28">
        <f>IFERROR(__xludf.DUMMYFUNCTION("""COMPUTED_VALUE"""),126.74)</f>
        <v>126.74</v>
      </c>
      <c r="G28">
        <f>IFERROR(__xludf.DUMMYFUNCTION("""COMPUTED_VALUE"""),126.74)</f>
        <v>126.74</v>
      </c>
      <c r="H28">
        <f>IFERROR(__xludf.DUMMYFUNCTION("""COMPUTED_VALUE"""),7.2497627E7)</f>
        <v>72497627</v>
      </c>
    </row>
    <row r="29">
      <c r="A29" t="str">
        <f>IFERROR(__xludf.DUMMYFUNCTION("""COMPUTED_VALUE"""),"AAPL")</f>
        <v>AAPL</v>
      </c>
      <c r="B29" s="8">
        <f>IFERROR(__xludf.DUMMYFUNCTION("""COMPUTED_VALUE"""),44354.0)</f>
        <v>44354</v>
      </c>
      <c r="C29">
        <f>IFERROR(__xludf.DUMMYFUNCTION("""COMPUTED_VALUE"""),126.17)</f>
        <v>126.17</v>
      </c>
      <c r="D29">
        <f>IFERROR(__xludf.DUMMYFUNCTION("""COMPUTED_VALUE"""),126.31)</f>
        <v>126.31</v>
      </c>
      <c r="E29">
        <f>IFERROR(__xludf.DUMMYFUNCTION("""COMPUTED_VALUE"""),124.832)</f>
        <v>124.832</v>
      </c>
      <c r="F29">
        <f>IFERROR(__xludf.DUMMYFUNCTION("""COMPUTED_VALUE"""),125.9)</f>
        <v>125.9</v>
      </c>
      <c r="G29">
        <f>IFERROR(__xludf.DUMMYFUNCTION("""COMPUTED_VALUE"""),125.9)</f>
        <v>125.9</v>
      </c>
      <c r="H29">
        <f>IFERROR(__xludf.DUMMYFUNCTION("""COMPUTED_VALUE"""),6.8205494E7)</f>
        <v>68205494</v>
      </c>
    </row>
    <row r="30">
      <c r="A30" t="str">
        <f>IFERROR(__xludf.DUMMYFUNCTION("""COMPUTED_VALUE"""),"AAPL")</f>
        <v>AAPL</v>
      </c>
      <c r="B30" s="8">
        <f>IFERROR(__xludf.DUMMYFUNCTION("""COMPUTED_VALUE"""),44351.0)</f>
        <v>44351</v>
      </c>
      <c r="C30">
        <f>IFERROR(__xludf.DUMMYFUNCTION("""COMPUTED_VALUE"""),124.07)</f>
        <v>124.07</v>
      </c>
      <c r="D30">
        <f>IFERROR(__xludf.DUMMYFUNCTION("""COMPUTED_VALUE"""),126.16)</f>
        <v>126.16</v>
      </c>
      <c r="E30">
        <f>IFERROR(__xludf.DUMMYFUNCTION("""COMPUTED_VALUE"""),123.85)</f>
        <v>123.85</v>
      </c>
      <c r="F30">
        <f>IFERROR(__xludf.DUMMYFUNCTION("""COMPUTED_VALUE"""),125.89)</f>
        <v>125.89</v>
      </c>
      <c r="G30">
        <f>IFERROR(__xludf.DUMMYFUNCTION("""COMPUTED_VALUE"""),125.89)</f>
        <v>125.89</v>
      </c>
      <c r="H30">
        <f>IFERROR(__xludf.DUMMYFUNCTION("""COMPUTED_VALUE"""),7.088237E7)</f>
        <v>70882370</v>
      </c>
    </row>
    <row r="31">
      <c r="A31" t="str">
        <f>IFERROR(__xludf.DUMMYFUNCTION("""COMPUTED_VALUE"""),"AAPL")</f>
        <v>AAPL</v>
      </c>
      <c r="B31" s="8">
        <f>IFERROR(__xludf.DUMMYFUNCTION("""COMPUTED_VALUE"""),44350.0)</f>
        <v>44350</v>
      </c>
      <c r="C31">
        <f>IFERROR(__xludf.DUMMYFUNCTION("""COMPUTED_VALUE"""),124.68)</f>
        <v>124.68</v>
      </c>
      <c r="D31">
        <f>IFERROR(__xludf.DUMMYFUNCTION("""COMPUTED_VALUE"""),124.85)</f>
        <v>124.85</v>
      </c>
      <c r="E31">
        <f>IFERROR(__xludf.DUMMYFUNCTION("""COMPUTED_VALUE"""),123.13)</f>
        <v>123.13</v>
      </c>
      <c r="F31">
        <f>IFERROR(__xludf.DUMMYFUNCTION("""COMPUTED_VALUE"""),123.54)</f>
        <v>123.54</v>
      </c>
      <c r="G31">
        <f>IFERROR(__xludf.DUMMYFUNCTION("""COMPUTED_VALUE"""),123.54)</f>
        <v>123.54</v>
      </c>
      <c r="H31">
        <f>IFERROR(__xludf.DUMMYFUNCTION("""COMPUTED_VALUE"""),7.4123095E7)</f>
        <v>74123095</v>
      </c>
    </row>
    <row r="32">
      <c r="A32" t="str">
        <f>IFERROR(__xludf.DUMMYFUNCTION("""COMPUTED_VALUE"""),"AAPL")</f>
        <v>AAPL</v>
      </c>
      <c r="B32" s="8">
        <f>IFERROR(__xludf.DUMMYFUNCTION("""COMPUTED_VALUE"""),44349.0)</f>
        <v>44349</v>
      </c>
      <c r="C32">
        <f>IFERROR(__xludf.DUMMYFUNCTION("""COMPUTED_VALUE"""),124.28)</f>
        <v>124.28</v>
      </c>
      <c r="D32">
        <f>IFERROR(__xludf.DUMMYFUNCTION("""COMPUTED_VALUE"""),125.24)</f>
        <v>125.24</v>
      </c>
      <c r="E32">
        <f>IFERROR(__xludf.DUMMYFUNCTION("""COMPUTED_VALUE"""),124.05)</f>
        <v>124.05</v>
      </c>
      <c r="F32">
        <f>IFERROR(__xludf.DUMMYFUNCTION("""COMPUTED_VALUE"""),125.06)</f>
        <v>125.06</v>
      </c>
      <c r="G32">
        <f>IFERROR(__xludf.DUMMYFUNCTION("""COMPUTED_VALUE"""),125.06)</f>
        <v>125.06</v>
      </c>
      <c r="H32">
        <f>IFERROR(__xludf.DUMMYFUNCTION("""COMPUTED_VALUE"""),5.84181E7)</f>
        <v>58418100</v>
      </c>
    </row>
    <row r="33">
      <c r="A33" t="str">
        <f>IFERROR(__xludf.DUMMYFUNCTION("""COMPUTED_VALUE"""),"AAPL")</f>
        <v>AAPL</v>
      </c>
      <c r="B33" s="8">
        <f>IFERROR(__xludf.DUMMYFUNCTION("""COMPUTED_VALUE"""),44348.0)</f>
        <v>44348</v>
      </c>
      <c r="C33">
        <f>IFERROR(__xludf.DUMMYFUNCTION("""COMPUTED_VALUE"""),125.08)</f>
        <v>125.08</v>
      </c>
      <c r="D33">
        <f>IFERROR(__xludf.DUMMYFUNCTION("""COMPUTED_VALUE"""),125.35)</f>
        <v>125.35</v>
      </c>
      <c r="E33">
        <f>IFERROR(__xludf.DUMMYFUNCTION("""COMPUTED_VALUE"""),123.945)</f>
        <v>123.945</v>
      </c>
      <c r="F33">
        <f>IFERROR(__xludf.DUMMYFUNCTION("""COMPUTED_VALUE"""),124.28)</f>
        <v>124.28</v>
      </c>
      <c r="G33">
        <f>IFERROR(__xludf.DUMMYFUNCTION("""COMPUTED_VALUE"""),124.28)</f>
        <v>124.28</v>
      </c>
      <c r="H33">
        <f>IFERROR(__xludf.DUMMYFUNCTION("""COMPUTED_VALUE"""),6.3460425E7)</f>
        <v>63460425</v>
      </c>
    </row>
    <row r="34">
      <c r="A34" t="str">
        <f>IFERROR(__xludf.DUMMYFUNCTION("""COMPUTED_VALUE"""),"AAPL")</f>
        <v>AAPL</v>
      </c>
      <c r="B34" s="8">
        <f>IFERROR(__xludf.DUMMYFUNCTION("""COMPUTED_VALUE"""),44344.0)</f>
        <v>44344</v>
      </c>
      <c r="C34">
        <f>IFERROR(__xludf.DUMMYFUNCTION("""COMPUTED_VALUE"""),125.57)</f>
        <v>125.57</v>
      </c>
      <c r="D34">
        <f>IFERROR(__xludf.DUMMYFUNCTION("""COMPUTED_VALUE"""),125.79)</f>
        <v>125.79</v>
      </c>
      <c r="E34">
        <f>IFERROR(__xludf.DUMMYFUNCTION("""COMPUTED_VALUE"""),124.55)</f>
        <v>124.55</v>
      </c>
      <c r="F34">
        <f>IFERROR(__xludf.DUMMYFUNCTION("""COMPUTED_VALUE"""),124.61)</f>
        <v>124.61</v>
      </c>
      <c r="G34">
        <f>IFERROR(__xludf.DUMMYFUNCTION("""COMPUTED_VALUE"""),124.61)</f>
        <v>124.61</v>
      </c>
      <c r="H34">
        <f>IFERROR(__xludf.DUMMYFUNCTION("""COMPUTED_VALUE"""),6.9849251E7)</f>
        <v>69849251</v>
      </c>
    </row>
    <row r="35">
      <c r="A35" t="str">
        <f>IFERROR(__xludf.DUMMYFUNCTION("""COMPUTED_VALUE"""),"AAPL")</f>
        <v>AAPL</v>
      </c>
      <c r="B35" s="8">
        <f>IFERROR(__xludf.DUMMYFUNCTION("""COMPUTED_VALUE"""),44343.0)</f>
        <v>44343</v>
      </c>
      <c r="C35">
        <f>IFERROR(__xludf.DUMMYFUNCTION("""COMPUTED_VALUE"""),126.44)</f>
        <v>126.44</v>
      </c>
      <c r="D35">
        <f>IFERROR(__xludf.DUMMYFUNCTION("""COMPUTED_VALUE"""),127.64)</f>
        <v>127.64</v>
      </c>
      <c r="E35">
        <f>IFERROR(__xludf.DUMMYFUNCTION("""COMPUTED_VALUE"""),125.28)</f>
        <v>125.28</v>
      </c>
      <c r="F35">
        <f>IFERROR(__xludf.DUMMYFUNCTION("""COMPUTED_VALUE"""),125.28)</f>
        <v>125.28</v>
      </c>
      <c r="G35">
        <f>IFERROR(__xludf.DUMMYFUNCTION("""COMPUTED_VALUE"""),125.28)</f>
        <v>125.28</v>
      </c>
      <c r="H35">
        <f>IFERROR(__xludf.DUMMYFUNCTION("""COMPUTED_VALUE"""),8.6473226E7)</f>
        <v>86473226</v>
      </c>
    </row>
    <row r="36">
      <c r="A36" t="str">
        <f>IFERROR(__xludf.DUMMYFUNCTION("""COMPUTED_VALUE"""),"AAPL")</f>
        <v>AAPL</v>
      </c>
      <c r="B36" s="8">
        <f>IFERROR(__xludf.DUMMYFUNCTION("""COMPUTED_VALUE"""),44342.0)</f>
        <v>44342</v>
      </c>
      <c r="C36">
        <f>IFERROR(__xludf.DUMMYFUNCTION("""COMPUTED_VALUE"""),126.955)</f>
        <v>126.955</v>
      </c>
      <c r="D36">
        <f>IFERROR(__xludf.DUMMYFUNCTION("""COMPUTED_VALUE"""),127.39)</f>
        <v>127.39</v>
      </c>
      <c r="E36">
        <f>IFERROR(__xludf.DUMMYFUNCTION("""COMPUTED_VALUE"""),126.42)</f>
        <v>126.42</v>
      </c>
      <c r="F36">
        <f>IFERROR(__xludf.DUMMYFUNCTION("""COMPUTED_VALUE"""),126.85)</f>
        <v>126.85</v>
      </c>
      <c r="G36">
        <f>IFERROR(__xludf.DUMMYFUNCTION("""COMPUTED_VALUE"""),126.85)</f>
        <v>126.85</v>
      </c>
      <c r="H36">
        <f>IFERROR(__xludf.DUMMYFUNCTION("""COMPUTED_VALUE"""),5.317562E7)</f>
        <v>53175620</v>
      </c>
    </row>
    <row r="37">
      <c r="A37" t="str">
        <f>IFERROR(__xludf.DUMMYFUNCTION("""COMPUTED_VALUE"""),"AAPL")</f>
        <v>AAPL</v>
      </c>
      <c r="B37" s="8">
        <f>IFERROR(__xludf.DUMMYFUNCTION("""COMPUTED_VALUE"""),44341.0)</f>
        <v>44341</v>
      </c>
      <c r="C37">
        <f>IFERROR(__xludf.DUMMYFUNCTION("""COMPUTED_VALUE"""),127.82)</f>
        <v>127.82</v>
      </c>
      <c r="D37">
        <f>IFERROR(__xludf.DUMMYFUNCTION("""COMPUTED_VALUE"""),128.317)</f>
        <v>128.317</v>
      </c>
      <c r="E37">
        <f>IFERROR(__xludf.DUMMYFUNCTION("""COMPUTED_VALUE"""),126.32)</f>
        <v>126.32</v>
      </c>
      <c r="F37">
        <f>IFERROR(__xludf.DUMMYFUNCTION("""COMPUTED_VALUE"""),126.9)</f>
        <v>126.9</v>
      </c>
      <c r="G37">
        <f>IFERROR(__xludf.DUMMYFUNCTION("""COMPUTED_VALUE"""),126.9)</f>
        <v>126.9</v>
      </c>
      <c r="H37">
        <f>IFERROR(__xludf.DUMMYFUNCTION("""COMPUTED_VALUE"""),7.0119179E7)</f>
        <v>70119179</v>
      </c>
    </row>
    <row r="38">
      <c r="A38" t="str">
        <f>IFERROR(__xludf.DUMMYFUNCTION("""COMPUTED_VALUE"""),"AAPL")</f>
        <v>AAPL</v>
      </c>
      <c r="B38" s="8">
        <f>IFERROR(__xludf.DUMMYFUNCTION("""COMPUTED_VALUE"""),44340.0)</f>
        <v>44340</v>
      </c>
      <c r="C38">
        <f>IFERROR(__xludf.DUMMYFUNCTION("""COMPUTED_VALUE"""),126.01)</f>
        <v>126.01</v>
      </c>
      <c r="D38">
        <f>IFERROR(__xludf.DUMMYFUNCTION("""COMPUTED_VALUE"""),127.935)</f>
        <v>127.935</v>
      </c>
      <c r="E38">
        <f>IFERROR(__xludf.DUMMYFUNCTION("""COMPUTED_VALUE"""),125.94)</f>
        <v>125.94</v>
      </c>
      <c r="F38">
        <f>IFERROR(__xludf.DUMMYFUNCTION("""COMPUTED_VALUE"""),127.1)</f>
        <v>127.1</v>
      </c>
      <c r="G38">
        <f>IFERROR(__xludf.DUMMYFUNCTION("""COMPUTED_VALUE"""),127.1)</f>
        <v>127.1</v>
      </c>
      <c r="H38">
        <f>IFERROR(__xludf.DUMMYFUNCTION("""COMPUTED_VALUE"""),6.1144792E7)</f>
        <v>61144792</v>
      </c>
    </row>
    <row r="39">
      <c r="A39" t="str">
        <f>IFERROR(__xludf.DUMMYFUNCTION("""COMPUTED_VALUE"""),"AAPL")</f>
        <v>AAPL</v>
      </c>
      <c r="B39" s="8">
        <f>IFERROR(__xludf.DUMMYFUNCTION("""COMPUTED_VALUE"""),44337.0)</f>
        <v>44337</v>
      </c>
      <c r="C39">
        <f>IFERROR(__xludf.DUMMYFUNCTION("""COMPUTED_VALUE"""),127.82)</f>
        <v>127.82</v>
      </c>
      <c r="D39">
        <f>IFERROR(__xludf.DUMMYFUNCTION("""COMPUTED_VALUE"""),128.0)</f>
        <v>128</v>
      </c>
      <c r="E39">
        <f>IFERROR(__xludf.DUMMYFUNCTION("""COMPUTED_VALUE"""),125.85)</f>
        <v>125.85</v>
      </c>
      <c r="F39">
        <f>IFERROR(__xludf.DUMMYFUNCTION("""COMPUTED_VALUE"""),126.018)</f>
        <v>126.018</v>
      </c>
      <c r="G39">
        <f>IFERROR(__xludf.DUMMYFUNCTION("""COMPUTED_VALUE"""),125.43)</f>
        <v>125.43</v>
      </c>
      <c r="H39">
        <f>IFERROR(__xludf.DUMMYFUNCTION("""COMPUTED_VALUE"""),3.3015519E7)</f>
        <v>33015519</v>
      </c>
    </row>
    <row r="40">
      <c r="A40" t="str">
        <f>IFERROR(__xludf.DUMMYFUNCTION("""COMPUTED_VALUE"""),"AAPL")</f>
        <v>AAPL</v>
      </c>
      <c r="B40" s="8">
        <f>IFERROR(__xludf.DUMMYFUNCTION("""COMPUTED_VALUE"""),44336.0)</f>
        <v>44336</v>
      </c>
      <c r="C40">
        <f>IFERROR(__xludf.DUMMYFUNCTION("""COMPUTED_VALUE"""),125.23)</f>
        <v>125.23</v>
      </c>
      <c r="D40">
        <f>IFERROR(__xludf.DUMMYFUNCTION("""COMPUTED_VALUE"""),126.52)</f>
        <v>126.52</v>
      </c>
      <c r="E40">
        <f>IFERROR(__xludf.DUMMYFUNCTION("""COMPUTED_VALUE"""),125.1)</f>
        <v>125.1</v>
      </c>
      <c r="F40">
        <f>IFERROR(__xludf.DUMMYFUNCTION("""COMPUTED_VALUE"""),126.49)</f>
        <v>126.49</v>
      </c>
      <c r="G40">
        <f>IFERROR(__xludf.DUMMYFUNCTION("""COMPUTED_VALUE"""),127.31)</f>
        <v>127.31</v>
      </c>
      <c r="H40">
        <f>IFERROR(__xludf.DUMMYFUNCTION("""COMPUTED_VALUE"""),2.1086994E7)</f>
        <v>21086994</v>
      </c>
    </row>
    <row r="41">
      <c r="A41" t="str">
        <f>IFERROR(__xludf.DUMMYFUNCTION("""COMPUTED_VALUE"""),"AAPL")</f>
        <v>AAPL</v>
      </c>
      <c r="B41" s="8">
        <f>IFERROR(__xludf.DUMMYFUNCTION("""COMPUTED_VALUE"""),44335.0)</f>
        <v>44335</v>
      </c>
      <c r="C41">
        <f>IFERROR(__xludf.DUMMYFUNCTION("""COMPUTED_VALUE"""),123.16)</f>
        <v>123.16</v>
      </c>
      <c r="D41">
        <f>IFERROR(__xludf.DUMMYFUNCTION("""COMPUTED_VALUE"""),124.5)</f>
        <v>124.5</v>
      </c>
      <c r="E41">
        <f>IFERROR(__xludf.DUMMYFUNCTION("""COMPUTED_VALUE"""),122.88)</f>
        <v>122.88</v>
      </c>
      <c r="F41">
        <f>IFERROR(__xludf.DUMMYFUNCTION("""COMPUTED_VALUE"""),123.97)</f>
        <v>123.97</v>
      </c>
      <c r="G41">
        <f>IFERROR(__xludf.DUMMYFUNCTION("""COMPUTED_VALUE"""),124.69)</f>
        <v>124.69</v>
      </c>
      <c r="H41">
        <f>IFERROR(__xludf.DUMMYFUNCTION("""COMPUTED_VALUE"""),5.3530787E7)</f>
        <v>53530787</v>
      </c>
    </row>
    <row r="42">
      <c r="A42" t="str">
        <f>IFERROR(__xludf.DUMMYFUNCTION("""COMPUTED_VALUE"""),"AAPL")</f>
        <v>AAPL</v>
      </c>
      <c r="B42" s="8">
        <f>IFERROR(__xludf.DUMMYFUNCTION("""COMPUTED_VALUE"""),44334.0)</f>
        <v>44334</v>
      </c>
      <c r="C42">
        <f>IFERROR(__xludf.DUMMYFUNCTION("""COMPUTED_VALUE"""),126.56)</f>
        <v>126.56</v>
      </c>
      <c r="D42">
        <f>IFERROR(__xludf.DUMMYFUNCTION("""COMPUTED_VALUE"""),126.988)</f>
        <v>126.988</v>
      </c>
      <c r="E42">
        <f>IFERROR(__xludf.DUMMYFUNCTION("""COMPUTED_VALUE"""),124.78)</f>
        <v>124.78</v>
      </c>
      <c r="F42">
        <f>IFERROR(__xludf.DUMMYFUNCTION("""COMPUTED_VALUE"""),124.85)</f>
        <v>124.85</v>
      </c>
      <c r="G42">
        <f>IFERROR(__xludf.DUMMYFUNCTION("""COMPUTED_VALUE"""),124.85)</f>
        <v>124.85</v>
      </c>
      <c r="H42">
        <f>IFERROR(__xludf.DUMMYFUNCTION("""COMPUTED_VALUE"""),5.9794196E7)</f>
        <v>59794196</v>
      </c>
    </row>
    <row r="43">
      <c r="A43" t="str">
        <f>IFERROR(__xludf.DUMMYFUNCTION("""COMPUTED_VALUE"""),"AAPL")</f>
        <v>AAPL</v>
      </c>
      <c r="B43" s="8">
        <f>IFERROR(__xludf.DUMMYFUNCTION("""COMPUTED_VALUE"""),44333.0)</f>
        <v>44333</v>
      </c>
      <c r="C43">
        <f>IFERROR(__xludf.DUMMYFUNCTION("""COMPUTED_VALUE"""),126.82)</f>
        <v>126.82</v>
      </c>
      <c r="D43">
        <f>IFERROR(__xludf.DUMMYFUNCTION("""COMPUTED_VALUE"""),126.92)</f>
        <v>126.92</v>
      </c>
      <c r="E43">
        <f>IFERROR(__xludf.DUMMYFUNCTION("""COMPUTED_VALUE"""),125.17)</f>
        <v>125.17</v>
      </c>
      <c r="F43">
        <f>IFERROR(__xludf.DUMMYFUNCTION("""COMPUTED_VALUE"""),126.27)</f>
        <v>126.27</v>
      </c>
      <c r="G43">
        <f>IFERROR(__xludf.DUMMYFUNCTION("""COMPUTED_VALUE"""),126.27)</f>
        <v>126.27</v>
      </c>
      <c r="H43">
        <f>IFERROR(__xludf.DUMMYFUNCTION("""COMPUTED_VALUE"""),6.7867172E7)</f>
        <v>67867172</v>
      </c>
    </row>
    <row r="44">
      <c r="A44" t="str">
        <f>IFERROR(__xludf.DUMMYFUNCTION("""COMPUTED_VALUE"""),"AAPL")</f>
        <v>AAPL</v>
      </c>
      <c r="B44" s="8">
        <f>IFERROR(__xludf.DUMMYFUNCTION("""COMPUTED_VALUE"""),44330.0)</f>
        <v>44330</v>
      </c>
      <c r="C44">
        <f>IFERROR(__xludf.DUMMYFUNCTION("""COMPUTED_VALUE"""),126.25)</f>
        <v>126.25</v>
      </c>
      <c r="D44">
        <f>IFERROR(__xludf.DUMMYFUNCTION("""COMPUTED_VALUE"""),127.88)</f>
        <v>127.88</v>
      </c>
      <c r="E44">
        <f>IFERROR(__xludf.DUMMYFUNCTION("""COMPUTED_VALUE"""),125.85)</f>
        <v>125.85</v>
      </c>
      <c r="F44">
        <f>IFERROR(__xludf.DUMMYFUNCTION("""COMPUTED_VALUE"""),127.45)</f>
        <v>127.45</v>
      </c>
      <c r="G44">
        <f>IFERROR(__xludf.DUMMYFUNCTION("""COMPUTED_VALUE"""),127.45)</f>
        <v>127.45</v>
      </c>
      <c r="H44">
        <f>IFERROR(__xludf.DUMMYFUNCTION("""COMPUTED_VALUE"""),7.7970942E7)</f>
        <v>77970942</v>
      </c>
    </row>
    <row r="45">
      <c r="A45" t="str">
        <f>IFERROR(__xludf.DUMMYFUNCTION("""COMPUTED_VALUE"""),"AAPL")</f>
        <v>AAPL</v>
      </c>
      <c r="B45" s="8">
        <f>IFERROR(__xludf.DUMMYFUNCTION("""COMPUTED_VALUE"""),44329.0)</f>
        <v>44329</v>
      </c>
      <c r="C45">
        <f>IFERROR(__xludf.DUMMYFUNCTION("""COMPUTED_VALUE"""),124.58)</f>
        <v>124.58</v>
      </c>
      <c r="D45">
        <f>IFERROR(__xludf.DUMMYFUNCTION("""COMPUTED_VALUE"""),126.15)</f>
        <v>126.15</v>
      </c>
      <c r="E45">
        <f>IFERROR(__xludf.DUMMYFUNCTION("""COMPUTED_VALUE"""),124.41)</f>
        <v>124.41</v>
      </c>
      <c r="F45">
        <f>IFERROR(__xludf.DUMMYFUNCTION("""COMPUTED_VALUE"""),125.145)</f>
        <v>125.145</v>
      </c>
      <c r="G45">
        <f>IFERROR(__xludf.DUMMYFUNCTION("""COMPUTED_VALUE"""),124.97)</f>
        <v>124.97</v>
      </c>
      <c r="H45">
        <f>IFERROR(__xludf.DUMMYFUNCTION("""COMPUTED_VALUE"""),5.3272115E7)</f>
        <v>53272115</v>
      </c>
    </row>
    <row r="46">
      <c r="A46" t="str">
        <f>IFERROR(__xludf.DUMMYFUNCTION("""COMPUTED_VALUE"""),"AAPL")</f>
        <v>AAPL</v>
      </c>
      <c r="B46" s="8">
        <f>IFERROR(__xludf.DUMMYFUNCTION("""COMPUTED_VALUE"""),44328.0)</f>
        <v>44328</v>
      </c>
      <c r="C46">
        <f>IFERROR(__xludf.DUMMYFUNCTION("""COMPUTED_VALUE"""),123.4)</f>
        <v>123.4</v>
      </c>
      <c r="D46">
        <f>IFERROR(__xludf.DUMMYFUNCTION("""COMPUTED_VALUE"""),124.64)</f>
        <v>124.64</v>
      </c>
      <c r="E46">
        <f>IFERROR(__xludf.DUMMYFUNCTION("""COMPUTED_VALUE"""),122.25)</f>
        <v>122.25</v>
      </c>
      <c r="F46">
        <f>IFERROR(__xludf.DUMMYFUNCTION("""COMPUTED_VALUE"""),122.77)</f>
        <v>122.77</v>
      </c>
      <c r="G46">
        <f>IFERROR(__xludf.DUMMYFUNCTION("""COMPUTED_VALUE"""),122.77)</f>
        <v>122.77</v>
      </c>
      <c r="H46">
        <f>IFERROR(__xludf.DUMMYFUNCTION("""COMPUTED_VALUE"""),1.07046695E8)</f>
        <v>107046695</v>
      </c>
    </row>
    <row r="47">
      <c r="A47" t="str">
        <f>IFERROR(__xludf.DUMMYFUNCTION("""COMPUTED_VALUE"""),"AAPL")</f>
        <v>AAPL</v>
      </c>
      <c r="B47" s="8">
        <f>IFERROR(__xludf.DUMMYFUNCTION("""COMPUTED_VALUE"""),44327.0)</f>
        <v>44327</v>
      </c>
      <c r="C47">
        <f>IFERROR(__xludf.DUMMYFUNCTION("""COMPUTED_VALUE"""),123.5)</f>
        <v>123.5</v>
      </c>
      <c r="D47">
        <f>IFERROR(__xludf.DUMMYFUNCTION("""COMPUTED_VALUE"""),124.807)</f>
        <v>124.807</v>
      </c>
      <c r="E47">
        <f>IFERROR(__xludf.DUMMYFUNCTION("""COMPUTED_VALUE"""),122.78)</f>
        <v>122.78</v>
      </c>
      <c r="F47">
        <f>IFERROR(__xludf.DUMMYFUNCTION("""COMPUTED_VALUE"""),124.12)</f>
        <v>124.12</v>
      </c>
      <c r="G47">
        <f>IFERROR(__xludf.DUMMYFUNCTION("""COMPUTED_VALUE"""),125.91)</f>
        <v>125.91</v>
      </c>
      <c r="H47">
        <f>IFERROR(__xludf.DUMMYFUNCTION("""COMPUTED_VALUE"""),6.1051208E7)</f>
        <v>61051208</v>
      </c>
    </row>
    <row r="48">
      <c r="A48" t="str">
        <f>IFERROR(__xludf.DUMMYFUNCTION("""COMPUTED_VALUE"""),"AAPL")</f>
        <v>AAPL</v>
      </c>
      <c r="B48" s="8">
        <f>IFERROR(__xludf.DUMMYFUNCTION("""COMPUTED_VALUE"""),44326.0)</f>
        <v>44326</v>
      </c>
      <c r="C48">
        <f>IFERROR(__xludf.DUMMYFUNCTION("""COMPUTED_VALUE"""),129.41)</f>
        <v>129.41</v>
      </c>
      <c r="D48">
        <f>IFERROR(__xludf.DUMMYFUNCTION("""COMPUTED_VALUE"""),129.54)</f>
        <v>129.54</v>
      </c>
      <c r="E48">
        <f>IFERROR(__xludf.DUMMYFUNCTION("""COMPUTED_VALUE"""),126.81)</f>
        <v>126.81</v>
      </c>
      <c r="F48">
        <f>IFERROR(__xludf.DUMMYFUNCTION("""COMPUTED_VALUE"""),126.85)</f>
        <v>126.85</v>
      </c>
      <c r="G48">
        <f>IFERROR(__xludf.DUMMYFUNCTION("""COMPUTED_VALUE"""),126.85)</f>
        <v>126.85</v>
      </c>
      <c r="H48">
        <f>IFERROR(__xludf.DUMMYFUNCTION("""COMPUTED_VALUE"""),8.5152395E7)</f>
        <v>85152395</v>
      </c>
    </row>
    <row r="49">
      <c r="A49" t="str">
        <f>IFERROR(__xludf.DUMMYFUNCTION("""COMPUTED_VALUE"""),"AAPL")</f>
        <v>AAPL</v>
      </c>
      <c r="B49" s="8">
        <f>IFERROR(__xludf.DUMMYFUNCTION("""COMPUTED_VALUE"""),44323.0)</f>
        <v>44323</v>
      </c>
      <c r="C49">
        <f>IFERROR(__xludf.DUMMYFUNCTION("""COMPUTED_VALUE"""),130.85)</f>
        <v>130.85</v>
      </c>
      <c r="D49">
        <f>IFERROR(__xludf.DUMMYFUNCTION("""COMPUTED_VALUE"""),131.258)</f>
        <v>131.258</v>
      </c>
      <c r="E49">
        <f>IFERROR(__xludf.DUMMYFUNCTION("""COMPUTED_VALUE"""),129.475)</f>
        <v>129.475</v>
      </c>
      <c r="F49">
        <f>IFERROR(__xludf.DUMMYFUNCTION("""COMPUTED_VALUE"""),130.21)</f>
        <v>130.21</v>
      </c>
      <c r="G49">
        <f>IFERROR(__xludf.DUMMYFUNCTION("""COMPUTED_VALUE"""),130.21)</f>
        <v>130.21</v>
      </c>
      <c r="H49">
        <f>IFERROR(__xludf.DUMMYFUNCTION("""COMPUTED_VALUE"""),7.4667644E7)</f>
        <v>74667644</v>
      </c>
    </row>
    <row r="50">
      <c r="A50" t="str">
        <f>IFERROR(__xludf.DUMMYFUNCTION("""COMPUTED_VALUE"""),"AAPL")</f>
        <v>AAPL</v>
      </c>
      <c r="B50" s="8">
        <f>IFERROR(__xludf.DUMMYFUNCTION("""COMPUTED_VALUE"""),44322.0)</f>
        <v>44322</v>
      </c>
      <c r="C50">
        <f>IFERROR(__xludf.DUMMYFUNCTION("""COMPUTED_VALUE"""),127.89)</f>
        <v>127.89</v>
      </c>
      <c r="D50">
        <f>IFERROR(__xludf.DUMMYFUNCTION("""COMPUTED_VALUE"""),129.75)</f>
        <v>129.75</v>
      </c>
      <c r="E50">
        <f>IFERROR(__xludf.DUMMYFUNCTION("""COMPUTED_VALUE"""),127.131)</f>
        <v>127.131</v>
      </c>
      <c r="F50">
        <f>IFERROR(__xludf.DUMMYFUNCTION("""COMPUTED_VALUE"""),129.74)</f>
        <v>129.74</v>
      </c>
      <c r="G50">
        <f>IFERROR(__xludf.DUMMYFUNCTION("""COMPUTED_VALUE"""),129.52)</f>
        <v>129.52</v>
      </c>
      <c r="H50">
        <f>IFERROR(__xludf.DUMMYFUNCTION("""COMPUTED_VALUE"""),7.5870303E7)</f>
        <v>75870303</v>
      </c>
    </row>
    <row r="51">
      <c r="A51" t="str">
        <f>IFERROR(__xludf.DUMMYFUNCTION("""COMPUTED_VALUE"""),"AAPL")</f>
        <v>AAPL</v>
      </c>
      <c r="B51" s="8">
        <f>IFERROR(__xludf.DUMMYFUNCTION("""COMPUTED_VALUE"""),44321.0)</f>
        <v>44321</v>
      </c>
      <c r="C51">
        <f>IFERROR(__xludf.DUMMYFUNCTION("""COMPUTED_VALUE"""),129.2)</f>
        <v>129.2</v>
      </c>
      <c r="D51">
        <f>IFERROR(__xludf.DUMMYFUNCTION("""COMPUTED_VALUE"""),130.44)</f>
        <v>130.44</v>
      </c>
      <c r="E51">
        <f>IFERROR(__xludf.DUMMYFUNCTION("""COMPUTED_VALUE"""),127.974)</f>
        <v>127.974</v>
      </c>
      <c r="F51">
        <f>IFERROR(__xludf.DUMMYFUNCTION("""COMPUTED_VALUE"""),128.1)</f>
        <v>128.1</v>
      </c>
      <c r="G51">
        <f>IFERROR(__xludf.DUMMYFUNCTION("""COMPUTED_VALUE"""),127.883)</f>
        <v>127.883</v>
      </c>
      <c r="H51">
        <f>IFERROR(__xludf.DUMMYFUNCTION("""COMPUTED_VALUE"""),8.1207034E7)</f>
        <v>81207034</v>
      </c>
    </row>
    <row r="52">
      <c r="A52" t="str">
        <f>IFERROR(__xludf.DUMMYFUNCTION("""COMPUTED_VALUE"""),"AAPL")</f>
        <v>AAPL</v>
      </c>
      <c r="B52" s="8">
        <f>IFERROR(__xludf.DUMMYFUNCTION("""COMPUTED_VALUE"""),44320.0)</f>
        <v>44320</v>
      </c>
      <c r="C52">
        <f>IFERROR(__xludf.DUMMYFUNCTION("""COMPUTED_VALUE"""),131.19)</f>
        <v>131.19</v>
      </c>
      <c r="D52">
        <f>IFERROR(__xludf.DUMMYFUNCTION("""COMPUTED_VALUE"""),131.49)</f>
        <v>131.49</v>
      </c>
      <c r="E52">
        <f>IFERROR(__xludf.DUMMYFUNCTION("""COMPUTED_VALUE"""),126.7)</f>
        <v>126.7</v>
      </c>
      <c r="F52">
        <f>IFERROR(__xludf.DUMMYFUNCTION("""COMPUTED_VALUE"""),127.85)</f>
        <v>127.85</v>
      </c>
      <c r="G52">
        <f>IFERROR(__xludf.DUMMYFUNCTION("""COMPUTED_VALUE"""),127.633)</f>
        <v>127.633</v>
      </c>
      <c r="H52">
        <f>IFERROR(__xludf.DUMMYFUNCTION("""COMPUTED_VALUE"""),1.32893955E8)</f>
        <v>132893955</v>
      </c>
    </row>
    <row r="53">
      <c r="A53" t="str">
        <f>IFERROR(__xludf.DUMMYFUNCTION("""COMPUTED_VALUE"""),"AAPL")</f>
        <v>AAPL</v>
      </c>
      <c r="B53" s="8">
        <f>IFERROR(__xludf.DUMMYFUNCTION("""COMPUTED_VALUE"""),44319.0)</f>
        <v>44319</v>
      </c>
      <c r="C53">
        <f>IFERROR(__xludf.DUMMYFUNCTION("""COMPUTED_VALUE"""),132.04)</f>
        <v>132.04</v>
      </c>
      <c r="D53">
        <f>IFERROR(__xludf.DUMMYFUNCTION("""COMPUTED_VALUE"""),134.07)</f>
        <v>134.07</v>
      </c>
      <c r="E53">
        <f>IFERROR(__xludf.DUMMYFUNCTION("""COMPUTED_VALUE"""),131.83)</f>
        <v>131.83</v>
      </c>
      <c r="F53">
        <f>IFERROR(__xludf.DUMMYFUNCTION("""COMPUTED_VALUE"""),133.722)</f>
        <v>133.722</v>
      </c>
      <c r="G53">
        <f>IFERROR(__xludf.DUMMYFUNCTION("""COMPUTED_VALUE"""),132.315)</f>
        <v>132.315</v>
      </c>
      <c r="H53">
        <f>IFERROR(__xludf.DUMMYFUNCTION("""COMPUTED_VALUE"""),2.0151888E7)</f>
        <v>20151888</v>
      </c>
    </row>
    <row r="54">
      <c r="A54" t="str">
        <f>IFERROR(__xludf.DUMMYFUNCTION("""COMPUTED_VALUE"""),"AAPL")</f>
        <v>AAPL</v>
      </c>
      <c r="B54" s="8">
        <f>IFERROR(__xludf.DUMMYFUNCTION("""COMPUTED_VALUE"""),44316.0)</f>
        <v>44316</v>
      </c>
      <c r="C54">
        <f>IFERROR(__xludf.DUMMYFUNCTION("""COMPUTED_VALUE"""),131.78)</f>
        <v>131.78</v>
      </c>
      <c r="D54">
        <f>IFERROR(__xludf.DUMMYFUNCTION("""COMPUTED_VALUE"""),133.56)</f>
        <v>133.56</v>
      </c>
      <c r="E54">
        <f>IFERROR(__xludf.DUMMYFUNCTION("""COMPUTED_VALUE"""),131.37)</f>
        <v>131.37</v>
      </c>
      <c r="F54">
        <f>IFERROR(__xludf.DUMMYFUNCTION("""COMPUTED_VALUE"""),131.912)</f>
        <v>131.912</v>
      </c>
      <c r="G54">
        <f>IFERROR(__xludf.DUMMYFUNCTION("""COMPUTED_VALUE"""),131.237)</f>
        <v>131.237</v>
      </c>
      <c r="H54">
        <f>IFERROR(__xludf.DUMMYFUNCTION("""COMPUTED_VALUE"""),6.8139092E7)</f>
        <v>68139092</v>
      </c>
    </row>
    <row r="55">
      <c r="A55" t="str">
        <f>IFERROR(__xludf.DUMMYFUNCTION("""COMPUTED_VALUE"""),"AAPL")</f>
        <v>AAPL</v>
      </c>
      <c r="B55" s="8">
        <f>IFERROR(__xludf.DUMMYFUNCTION("""COMPUTED_VALUE"""),44315.0)</f>
        <v>44315</v>
      </c>
      <c r="C55">
        <f>IFERROR(__xludf.DUMMYFUNCTION("""COMPUTED_VALUE"""),136.47)</f>
        <v>136.47</v>
      </c>
      <c r="D55">
        <f>IFERROR(__xludf.DUMMYFUNCTION("""COMPUTED_VALUE"""),137.07)</f>
        <v>137.07</v>
      </c>
      <c r="E55">
        <f>IFERROR(__xludf.DUMMYFUNCTION("""COMPUTED_VALUE"""),132.45)</f>
        <v>132.45</v>
      </c>
      <c r="F55">
        <f>IFERROR(__xludf.DUMMYFUNCTION("""COMPUTED_VALUE"""),133.48)</f>
        <v>133.48</v>
      </c>
      <c r="G55">
        <f>IFERROR(__xludf.DUMMYFUNCTION("""COMPUTED_VALUE"""),133.254)</f>
        <v>133.254</v>
      </c>
      <c r="H55">
        <f>IFERROR(__xludf.DUMMYFUNCTION("""COMPUTED_VALUE"""),1.49258361E8)</f>
        <v>149258361</v>
      </c>
    </row>
    <row r="56">
      <c r="A56" t="str">
        <f>IFERROR(__xludf.DUMMYFUNCTION("""COMPUTED_VALUE"""),"AAPL")</f>
        <v>AAPL</v>
      </c>
      <c r="B56" s="8">
        <f>IFERROR(__xludf.DUMMYFUNCTION("""COMPUTED_VALUE"""),44314.0)</f>
        <v>44314</v>
      </c>
      <c r="C56">
        <f>IFERROR(__xludf.DUMMYFUNCTION("""COMPUTED_VALUE"""),134.31)</f>
        <v>134.31</v>
      </c>
      <c r="D56">
        <f>IFERROR(__xludf.DUMMYFUNCTION("""COMPUTED_VALUE"""),135.02)</f>
        <v>135.02</v>
      </c>
      <c r="E56">
        <f>IFERROR(__xludf.DUMMYFUNCTION("""COMPUTED_VALUE"""),133.09)</f>
        <v>133.09</v>
      </c>
      <c r="F56">
        <f>IFERROR(__xludf.DUMMYFUNCTION("""COMPUTED_VALUE"""),133.58)</f>
        <v>133.58</v>
      </c>
      <c r="G56">
        <f>IFERROR(__xludf.DUMMYFUNCTION("""COMPUTED_VALUE"""),133.353)</f>
        <v>133.353</v>
      </c>
      <c r="H56">
        <f>IFERROR(__xludf.DUMMYFUNCTION("""COMPUTED_VALUE"""),8.5993932E7)</f>
        <v>85993932</v>
      </c>
    </row>
    <row r="57">
      <c r="A57" t="str">
        <f>IFERROR(__xludf.DUMMYFUNCTION("""COMPUTED_VALUE"""),"AAPL")</f>
        <v>AAPL</v>
      </c>
      <c r="B57" s="8">
        <f>IFERROR(__xludf.DUMMYFUNCTION("""COMPUTED_VALUE"""),44313.0)</f>
        <v>44313</v>
      </c>
      <c r="C57">
        <f>IFERROR(__xludf.DUMMYFUNCTION("""COMPUTED_VALUE"""),135.01)</f>
        <v>135.01</v>
      </c>
      <c r="D57">
        <f>IFERROR(__xludf.DUMMYFUNCTION("""COMPUTED_VALUE"""),135.4)</f>
        <v>135.4</v>
      </c>
      <c r="E57">
        <f>IFERROR(__xludf.DUMMYFUNCTION("""COMPUTED_VALUE"""),134.11)</f>
        <v>134.11</v>
      </c>
      <c r="F57">
        <f>IFERROR(__xludf.DUMMYFUNCTION("""COMPUTED_VALUE"""),134.39)</f>
        <v>134.39</v>
      </c>
      <c r="G57">
        <f>IFERROR(__xludf.DUMMYFUNCTION("""COMPUTED_VALUE"""),134.162)</f>
        <v>134.162</v>
      </c>
      <c r="H57">
        <f>IFERROR(__xludf.DUMMYFUNCTION("""COMPUTED_VALUE"""),6.38194E7)</f>
        <v>63819400</v>
      </c>
    </row>
    <row r="58">
      <c r="A58" t="str">
        <f>IFERROR(__xludf.DUMMYFUNCTION("""COMPUTED_VALUE"""),"AAPL")</f>
        <v>AAPL</v>
      </c>
      <c r="B58" s="8">
        <f>IFERROR(__xludf.DUMMYFUNCTION("""COMPUTED_VALUE"""),44312.0)</f>
        <v>44312</v>
      </c>
      <c r="C58">
        <f>IFERROR(__xludf.DUMMYFUNCTION("""COMPUTED_VALUE"""),134.83)</f>
        <v>134.83</v>
      </c>
      <c r="D58">
        <f>IFERROR(__xludf.DUMMYFUNCTION("""COMPUTED_VALUE"""),135.06)</f>
        <v>135.06</v>
      </c>
      <c r="E58">
        <f>IFERROR(__xludf.DUMMYFUNCTION("""COMPUTED_VALUE"""),133.57)</f>
        <v>133.57</v>
      </c>
      <c r="F58">
        <f>IFERROR(__xludf.DUMMYFUNCTION("""COMPUTED_VALUE"""),134.72)</f>
        <v>134.72</v>
      </c>
      <c r="G58">
        <f>IFERROR(__xludf.DUMMYFUNCTION("""COMPUTED_VALUE"""),134.492)</f>
        <v>134.492</v>
      </c>
      <c r="H58">
        <f>IFERROR(__xludf.DUMMYFUNCTION("""COMPUTED_VALUE"""),6.3123294E7)</f>
        <v>63123294</v>
      </c>
    </row>
    <row r="59">
      <c r="A59" t="str">
        <f>IFERROR(__xludf.DUMMYFUNCTION("""COMPUTED_VALUE"""),"AAPL")</f>
        <v>AAPL</v>
      </c>
      <c r="B59" s="8">
        <f>IFERROR(__xludf.DUMMYFUNCTION("""COMPUTED_VALUE"""),44309.0)</f>
        <v>44309</v>
      </c>
      <c r="C59">
        <f>IFERROR(__xludf.DUMMYFUNCTION("""COMPUTED_VALUE"""),132.16)</f>
        <v>132.16</v>
      </c>
      <c r="D59">
        <f>IFERROR(__xludf.DUMMYFUNCTION("""COMPUTED_VALUE"""),135.12)</f>
        <v>135.12</v>
      </c>
      <c r="E59">
        <f>IFERROR(__xludf.DUMMYFUNCTION("""COMPUTED_VALUE"""),132.17)</f>
        <v>132.17</v>
      </c>
      <c r="F59">
        <f>IFERROR(__xludf.DUMMYFUNCTION("""COMPUTED_VALUE"""),134.768)</f>
        <v>134.768</v>
      </c>
      <c r="G59">
        <f>IFERROR(__xludf.DUMMYFUNCTION("""COMPUTED_VALUE"""),134.092)</f>
        <v>134.092</v>
      </c>
      <c r="H59">
        <f>IFERROR(__xludf.DUMMYFUNCTION("""COMPUTED_VALUE"""),5.1847949E7)</f>
        <v>51847949</v>
      </c>
    </row>
    <row r="60">
      <c r="A60" t="str">
        <f>IFERROR(__xludf.DUMMYFUNCTION("""COMPUTED_VALUE"""),"AAPL")</f>
        <v>AAPL</v>
      </c>
      <c r="B60" s="8">
        <f>IFERROR(__xludf.DUMMYFUNCTION("""COMPUTED_VALUE"""),44308.0)</f>
        <v>44308</v>
      </c>
      <c r="C60">
        <f>IFERROR(__xludf.DUMMYFUNCTION("""COMPUTED_VALUE"""),133.04)</f>
        <v>133.04</v>
      </c>
      <c r="D60">
        <f>IFERROR(__xludf.DUMMYFUNCTION("""COMPUTED_VALUE"""),134.15)</f>
        <v>134.15</v>
      </c>
      <c r="E60">
        <f>IFERROR(__xludf.DUMMYFUNCTION("""COMPUTED_VALUE"""),131.414)</f>
        <v>131.414</v>
      </c>
      <c r="F60">
        <f>IFERROR(__xludf.DUMMYFUNCTION("""COMPUTED_VALUE"""),131.94)</f>
        <v>131.94</v>
      </c>
      <c r="G60">
        <f>IFERROR(__xludf.DUMMYFUNCTION("""COMPUTED_VALUE"""),131.716)</f>
        <v>131.716</v>
      </c>
      <c r="H60">
        <f>IFERROR(__xludf.DUMMYFUNCTION("""COMPUTED_VALUE"""),8.1136914E7)</f>
        <v>81136914</v>
      </c>
    </row>
    <row r="61">
      <c r="A61" t="str">
        <f>IFERROR(__xludf.DUMMYFUNCTION("""COMPUTED_VALUE"""),"AAPL")</f>
        <v>AAPL</v>
      </c>
      <c r="B61" s="8">
        <f>IFERROR(__xludf.DUMMYFUNCTION("""COMPUTED_VALUE"""),44307.0)</f>
        <v>44307</v>
      </c>
      <c r="C61">
        <f>IFERROR(__xludf.DUMMYFUNCTION("""COMPUTED_VALUE"""),132.36)</f>
        <v>132.36</v>
      </c>
      <c r="D61">
        <f>IFERROR(__xludf.DUMMYFUNCTION("""COMPUTED_VALUE"""),133.75)</f>
        <v>133.75</v>
      </c>
      <c r="E61">
        <f>IFERROR(__xludf.DUMMYFUNCTION("""COMPUTED_VALUE"""),131.31)</f>
        <v>131.31</v>
      </c>
      <c r="F61">
        <f>IFERROR(__xludf.DUMMYFUNCTION("""COMPUTED_VALUE"""),133.5)</f>
        <v>133.5</v>
      </c>
      <c r="G61">
        <f>IFERROR(__xludf.DUMMYFUNCTION("""COMPUTED_VALUE"""),133.274)</f>
        <v>133.274</v>
      </c>
      <c r="H61">
        <f>IFERROR(__xludf.DUMMYFUNCTION("""COMPUTED_VALUE"""),6.7380653E7)</f>
        <v>67380653</v>
      </c>
    </row>
    <row r="62">
      <c r="A62" t="str">
        <f>IFERROR(__xludf.DUMMYFUNCTION("""COMPUTED_VALUE"""),"AAPL")</f>
        <v>AAPL</v>
      </c>
      <c r="B62" s="8">
        <f>IFERROR(__xludf.DUMMYFUNCTION("""COMPUTED_VALUE"""),44306.0)</f>
        <v>44306</v>
      </c>
      <c r="C62">
        <f>IFERROR(__xludf.DUMMYFUNCTION("""COMPUTED_VALUE"""),135.02)</f>
        <v>135.02</v>
      </c>
      <c r="D62">
        <f>IFERROR(__xludf.DUMMYFUNCTION("""COMPUTED_VALUE"""),135.53)</f>
        <v>135.53</v>
      </c>
      <c r="E62">
        <f>IFERROR(__xludf.DUMMYFUNCTION("""COMPUTED_VALUE"""),131.811)</f>
        <v>131.811</v>
      </c>
      <c r="F62">
        <f>IFERROR(__xludf.DUMMYFUNCTION("""COMPUTED_VALUE"""),133.11)</f>
        <v>133.11</v>
      </c>
      <c r="G62">
        <f>IFERROR(__xludf.DUMMYFUNCTION("""COMPUTED_VALUE"""),132.884)</f>
        <v>132.884</v>
      </c>
      <c r="H62">
        <f>IFERROR(__xludf.DUMMYFUNCTION("""COMPUTED_VALUE"""),9.3002207E7)</f>
        <v>93002207</v>
      </c>
    </row>
    <row r="63">
      <c r="A63" t="str">
        <f>IFERROR(__xludf.DUMMYFUNCTION("""COMPUTED_VALUE"""),"AAPL")</f>
        <v>AAPL</v>
      </c>
      <c r="B63" s="8">
        <f>IFERROR(__xludf.DUMMYFUNCTION("""COMPUTED_VALUE"""),44305.0)</f>
        <v>44305</v>
      </c>
      <c r="C63">
        <f>IFERROR(__xludf.DUMMYFUNCTION("""COMPUTED_VALUE"""),133.51)</f>
        <v>133.51</v>
      </c>
      <c r="D63">
        <f>IFERROR(__xludf.DUMMYFUNCTION("""COMPUTED_VALUE"""),135.47)</f>
        <v>135.47</v>
      </c>
      <c r="E63">
        <f>IFERROR(__xludf.DUMMYFUNCTION("""COMPUTED_VALUE"""),133.34)</f>
        <v>133.34</v>
      </c>
      <c r="F63">
        <f>IFERROR(__xludf.DUMMYFUNCTION("""COMPUTED_VALUE"""),134.84)</f>
        <v>134.84</v>
      </c>
      <c r="G63">
        <f>IFERROR(__xludf.DUMMYFUNCTION("""COMPUTED_VALUE"""),134.611)</f>
        <v>134.611</v>
      </c>
      <c r="H63">
        <f>IFERROR(__xludf.DUMMYFUNCTION("""COMPUTED_VALUE"""),8.1081923E7)</f>
        <v>81081923</v>
      </c>
    </row>
    <row r="64">
      <c r="A64" t="str">
        <f>IFERROR(__xludf.DUMMYFUNCTION("""COMPUTED_VALUE"""),"AAPL")</f>
        <v>AAPL</v>
      </c>
      <c r="B64" s="8">
        <f>IFERROR(__xludf.DUMMYFUNCTION("""COMPUTED_VALUE"""),44302.0)</f>
        <v>44302</v>
      </c>
      <c r="C64">
        <f>IFERROR(__xludf.DUMMYFUNCTION("""COMPUTED_VALUE"""),134.3)</f>
        <v>134.3</v>
      </c>
      <c r="D64">
        <f>IFERROR(__xludf.DUMMYFUNCTION("""COMPUTED_VALUE"""),134.67)</f>
        <v>134.67</v>
      </c>
      <c r="E64">
        <f>IFERROR(__xludf.DUMMYFUNCTION("""COMPUTED_VALUE"""),133.28)</f>
        <v>133.28</v>
      </c>
      <c r="F64">
        <f>IFERROR(__xludf.DUMMYFUNCTION("""COMPUTED_VALUE"""),134.16)</f>
        <v>134.16</v>
      </c>
      <c r="G64">
        <f>IFERROR(__xludf.DUMMYFUNCTION("""COMPUTED_VALUE"""),133.933)</f>
        <v>133.933</v>
      </c>
      <c r="H64">
        <f>IFERROR(__xludf.DUMMYFUNCTION("""COMPUTED_VALUE"""),8.48185E7)</f>
        <v>84818500</v>
      </c>
    </row>
    <row r="65">
      <c r="A65" t="str">
        <f>IFERROR(__xludf.DUMMYFUNCTION("""COMPUTED_VALUE"""),"AAPL")</f>
        <v>AAPL</v>
      </c>
      <c r="B65" s="8">
        <f>IFERROR(__xludf.DUMMYFUNCTION("""COMPUTED_VALUE"""),44301.0)</f>
        <v>44301</v>
      </c>
      <c r="C65">
        <f>IFERROR(__xludf.DUMMYFUNCTION("""COMPUTED_VALUE"""),133.82)</f>
        <v>133.82</v>
      </c>
      <c r="D65">
        <f>IFERROR(__xludf.DUMMYFUNCTION("""COMPUTED_VALUE"""),135.0)</f>
        <v>135</v>
      </c>
      <c r="E65">
        <f>IFERROR(__xludf.DUMMYFUNCTION("""COMPUTED_VALUE"""),133.64)</f>
        <v>133.64</v>
      </c>
      <c r="F65">
        <f>IFERROR(__xludf.DUMMYFUNCTION("""COMPUTED_VALUE"""),134.5)</f>
        <v>134.5</v>
      </c>
      <c r="G65">
        <f>IFERROR(__xludf.DUMMYFUNCTION("""COMPUTED_VALUE"""),134.272)</f>
        <v>134.272</v>
      </c>
      <c r="H65">
        <f>IFERROR(__xludf.DUMMYFUNCTION("""COMPUTED_VALUE"""),8.5846307E7)</f>
        <v>85846307</v>
      </c>
    </row>
    <row r="66">
      <c r="A66" t="str">
        <f>IFERROR(__xludf.DUMMYFUNCTION("""COMPUTED_VALUE"""),"AAPL")</f>
        <v>AAPL</v>
      </c>
      <c r="B66" s="8">
        <f>IFERROR(__xludf.DUMMYFUNCTION("""COMPUTED_VALUE"""),44300.0)</f>
        <v>44300</v>
      </c>
      <c r="C66">
        <f>IFERROR(__xludf.DUMMYFUNCTION("""COMPUTED_VALUE"""),134.94)</f>
        <v>134.94</v>
      </c>
      <c r="D66">
        <f>IFERROR(__xludf.DUMMYFUNCTION("""COMPUTED_VALUE"""),135.0)</f>
        <v>135</v>
      </c>
      <c r="E66">
        <f>IFERROR(__xludf.DUMMYFUNCTION("""COMPUTED_VALUE"""),131.655)</f>
        <v>131.655</v>
      </c>
      <c r="F66">
        <f>IFERROR(__xludf.DUMMYFUNCTION("""COMPUTED_VALUE"""),132.03)</f>
        <v>132.03</v>
      </c>
      <c r="G66">
        <f>IFERROR(__xludf.DUMMYFUNCTION("""COMPUTED_VALUE"""),131.806)</f>
        <v>131.806</v>
      </c>
      <c r="H66">
        <f>IFERROR(__xludf.DUMMYFUNCTION("""COMPUTED_VALUE"""),8.3184339E7)</f>
        <v>83184339</v>
      </c>
    </row>
    <row r="67">
      <c r="A67" t="str">
        <f>IFERROR(__xludf.DUMMYFUNCTION("""COMPUTED_VALUE"""),"AAPL")</f>
        <v>AAPL</v>
      </c>
      <c r="B67" s="8">
        <f>IFERROR(__xludf.DUMMYFUNCTION("""COMPUTED_VALUE"""),44299.0)</f>
        <v>44299</v>
      </c>
      <c r="C67">
        <f>IFERROR(__xludf.DUMMYFUNCTION("""COMPUTED_VALUE"""),132.44)</f>
        <v>132.44</v>
      </c>
      <c r="D67">
        <f>IFERROR(__xludf.DUMMYFUNCTION("""COMPUTED_VALUE"""),134.66)</f>
        <v>134.66</v>
      </c>
      <c r="E67">
        <f>IFERROR(__xludf.DUMMYFUNCTION("""COMPUTED_VALUE"""),131.94)</f>
        <v>131.94</v>
      </c>
      <c r="F67">
        <f>IFERROR(__xludf.DUMMYFUNCTION("""COMPUTED_VALUE"""),134.43)</f>
        <v>134.43</v>
      </c>
      <c r="G67">
        <f>IFERROR(__xludf.DUMMYFUNCTION("""COMPUTED_VALUE"""),134.202)</f>
        <v>134.202</v>
      </c>
      <c r="H67">
        <f>IFERROR(__xludf.DUMMYFUNCTION("""COMPUTED_VALUE"""),8.7964051E7)</f>
        <v>87964051</v>
      </c>
    </row>
    <row r="68">
      <c r="A68" t="str">
        <f>IFERROR(__xludf.DUMMYFUNCTION("""COMPUTED_VALUE"""),"AAPL")</f>
        <v>AAPL</v>
      </c>
      <c r="B68" s="8">
        <f>IFERROR(__xludf.DUMMYFUNCTION("""COMPUTED_VALUE"""),44298.0)</f>
        <v>44298</v>
      </c>
      <c r="C68">
        <f>IFERROR(__xludf.DUMMYFUNCTION("""COMPUTED_VALUE"""),132.52)</f>
        <v>132.52</v>
      </c>
      <c r="D68">
        <f>IFERROR(__xludf.DUMMYFUNCTION("""COMPUTED_VALUE"""),132.85)</f>
        <v>132.85</v>
      </c>
      <c r="E68">
        <f>IFERROR(__xludf.DUMMYFUNCTION("""COMPUTED_VALUE"""),130.63)</f>
        <v>130.63</v>
      </c>
      <c r="F68">
        <f>IFERROR(__xludf.DUMMYFUNCTION("""COMPUTED_VALUE"""),131.24)</f>
        <v>131.24</v>
      </c>
      <c r="G68">
        <f>IFERROR(__xludf.DUMMYFUNCTION("""COMPUTED_VALUE"""),131.017)</f>
        <v>131.017</v>
      </c>
      <c r="H68">
        <f>IFERROR(__xludf.DUMMYFUNCTION("""COMPUTED_VALUE"""),8.5546001E7)</f>
        <v>85546001</v>
      </c>
    </row>
    <row r="69">
      <c r="A69" t="str">
        <f>IFERROR(__xludf.DUMMYFUNCTION("""COMPUTED_VALUE"""),"AAPL")</f>
        <v>AAPL</v>
      </c>
      <c r="B69" s="8">
        <f>IFERROR(__xludf.DUMMYFUNCTION("""COMPUTED_VALUE"""),44295.0)</f>
        <v>44295</v>
      </c>
      <c r="C69">
        <f>IFERROR(__xludf.DUMMYFUNCTION("""COMPUTED_VALUE"""),129.8)</f>
        <v>129.8</v>
      </c>
      <c r="D69">
        <f>IFERROR(__xludf.DUMMYFUNCTION("""COMPUTED_VALUE"""),133.0)</f>
        <v>133</v>
      </c>
      <c r="E69">
        <f>IFERROR(__xludf.DUMMYFUNCTION("""COMPUTED_VALUE"""),129.47)</f>
        <v>129.47</v>
      </c>
      <c r="F69">
        <f>IFERROR(__xludf.DUMMYFUNCTION("""COMPUTED_VALUE"""),132.995)</f>
        <v>132.995</v>
      </c>
      <c r="G69">
        <f>IFERROR(__xludf.DUMMYFUNCTION("""COMPUTED_VALUE"""),132.774)</f>
        <v>132.774</v>
      </c>
      <c r="H69">
        <f>IFERROR(__xludf.DUMMYFUNCTION("""COMPUTED_VALUE"""),1.0197945E8)</f>
        <v>101979450</v>
      </c>
    </row>
    <row r="70">
      <c r="A70" t="str">
        <f>IFERROR(__xludf.DUMMYFUNCTION("""COMPUTED_VALUE"""),"AAPL")</f>
        <v>AAPL</v>
      </c>
      <c r="B70" s="8">
        <f>IFERROR(__xludf.DUMMYFUNCTION("""COMPUTED_VALUE"""),44294.0)</f>
        <v>44294</v>
      </c>
      <c r="C70">
        <f>IFERROR(__xludf.DUMMYFUNCTION("""COMPUTED_VALUE"""),128.95)</f>
        <v>128.95</v>
      </c>
      <c r="D70">
        <f>IFERROR(__xludf.DUMMYFUNCTION("""COMPUTED_VALUE"""),130.39)</f>
        <v>130.39</v>
      </c>
      <c r="E70">
        <f>IFERROR(__xludf.DUMMYFUNCTION("""COMPUTED_VALUE"""),128.52)</f>
        <v>128.52</v>
      </c>
      <c r="F70">
        <f>IFERROR(__xludf.DUMMYFUNCTION("""COMPUTED_VALUE"""),130.36)</f>
        <v>130.36</v>
      </c>
      <c r="G70">
        <f>IFERROR(__xludf.DUMMYFUNCTION("""COMPUTED_VALUE"""),130.139)</f>
        <v>130.139</v>
      </c>
      <c r="H70">
        <f>IFERROR(__xludf.DUMMYFUNCTION("""COMPUTED_VALUE"""),8.739444E7)</f>
        <v>87394440</v>
      </c>
    </row>
    <row r="71">
      <c r="A71" t="str">
        <f>IFERROR(__xludf.DUMMYFUNCTION("""COMPUTED_VALUE"""),"AAPL")</f>
        <v>AAPL</v>
      </c>
      <c r="B71" s="8">
        <f>IFERROR(__xludf.DUMMYFUNCTION("""COMPUTED_VALUE"""),44293.0)</f>
        <v>44293</v>
      </c>
      <c r="C71">
        <f>IFERROR(__xludf.DUMMYFUNCTION("""COMPUTED_VALUE"""),125.83)</f>
        <v>125.83</v>
      </c>
      <c r="D71">
        <f>IFERROR(__xludf.DUMMYFUNCTION("""COMPUTED_VALUE"""),127.92)</f>
        <v>127.92</v>
      </c>
      <c r="E71">
        <f>IFERROR(__xludf.DUMMYFUNCTION("""COMPUTED_VALUE"""),125.14)</f>
        <v>125.14</v>
      </c>
      <c r="F71">
        <f>IFERROR(__xludf.DUMMYFUNCTION("""COMPUTED_VALUE"""),127.9)</f>
        <v>127.9</v>
      </c>
      <c r="G71">
        <f>IFERROR(__xludf.DUMMYFUNCTION("""COMPUTED_VALUE"""),127.683)</f>
        <v>127.683</v>
      </c>
      <c r="H71">
        <f>IFERROR(__xludf.DUMMYFUNCTION("""COMPUTED_VALUE"""),8.0915788E7)</f>
        <v>80915788</v>
      </c>
    </row>
    <row r="72">
      <c r="A72" t="str">
        <f>IFERROR(__xludf.DUMMYFUNCTION("""COMPUTED_VALUE"""),"AAPL")</f>
        <v>AAPL</v>
      </c>
      <c r="B72" s="8">
        <f>IFERROR(__xludf.DUMMYFUNCTION("""COMPUTED_VALUE"""),44292.0)</f>
        <v>44292</v>
      </c>
      <c r="C72">
        <f>IFERROR(__xludf.DUMMYFUNCTION("""COMPUTED_VALUE"""),126.5)</f>
        <v>126.5</v>
      </c>
      <c r="D72">
        <f>IFERROR(__xludf.DUMMYFUNCTION("""COMPUTED_VALUE"""),127.13)</f>
        <v>127.13</v>
      </c>
      <c r="E72">
        <f>IFERROR(__xludf.DUMMYFUNCTION("""COMPUTED_VALUE"""),125.65)</f>
        <v>125.65</v>
      </c>
      <c r="F72">
        <f>IFERROR(__xludf.DUMMYFUNCTION("""COMPUTED_VALUE"""),126.21)</f>
        <v>126.21</v>
      </c>
      <c r="G72">
        <f>IFERROR(__xludf.DUMMYFUNCTION("""COMPUTED_VALUE"""),125.996)</f>
        <v>125.996</v>
      </c>
      <c r="H72">
        <f>IFERROR(__xludf.DUMMYFUNCTION("""COMPUTED_VALUE"""),7.6847649E7)</f>
        <v>76847649</v>
      </c>
    </row>
    <row r="73">
      <c r="A73" t="str">
        <f>IFERROR(__xludf.DUMMYFUNCTION("""COMPUTED_VALUE"""),"AAPL")</f>
        <v>AAPL</v>
      </c>
      <c r="B73" s="8">
        <f>IFERROR(__xludf.DUMMYFUNCTION("""COMPUTED_VALUE"""),44291.0)</f>
        <v>44291</v>
      </c>
      <c r="C73">
        <f>IFERROR(__xludf.DUMMYFUNCTION("""COMPUTED_VALUE"""),123.87)</f>
        <v>123.87</v>
      </c>
      <c r="D73">
        <f>IFERROR(__xludf.DUMMYFUNCTION("""COMPUTED_VALUE"""),126.16)</f>
        <v>126.16</v>
      </c>
      <c r="E73">
        <f>IFERROR(__xludf.DUMMYFUNCTION("""COMPUTED_VALUE"""),123.07)</f>
        <v>123.07</v>
      </c>
      <c r="F73">
        <f>IFERROR(__xludf.DUMMYFUNCTION("""COMPUTED_VALUE"""),125.9)</f>
        <v>125.9</v>
      </c>
      <c r="G73">
        <f>IFERROR(__xludf.DUMMYFUNCTION("""COMPUTED_VALUE"""),125.687)</f>
        <v>125.687</v>
      </c>
      <c r="H73">
        <f>IFERROR(__xludf.DUMMYFUNCTION("""COMPUTED_VALUE"""),8.6139134E7)</f>
        <v>86139134</v>
      </c>
    </row>
    <row r="74">
      <c r="A74" t="str">
        <f>IFERROR(__xludf.DUMMYFUNCTION("""COMPUTED_VALUE"""),"AAPL")</f>
        <v>AAPL</v>
      </c>
      <c r="B74" s="8">
        <f>IFERROR(__xludf.DUMMYFUNCTION("""COMPUTED_VALUE"""),44287.0)</f>
        <v>44287</v>
      </c>
      <c r="C74">
        <f>IFERROR(__xludf.DUMMYFUNCTION("""COMPUTED_VALUE"""),123.66)</f>
        <v>123.66</v>
      </c>
      <c r="D74">
        <f>IFERROR(__xludf.DUMMYFUNCTION("""COMPUTED_VALUE"""),124.18)</f>
        <v>124.18</v>
      </c>
      <c r="E74">
        <f>IFERROR(__xludf.DUMMYFUNCTION("""COMPUTED_VALUE"""),122.49)</f>
        <v>122.49</v>
      </c>
      <c r="F74">
        <f>IFERROR(__xludf.DUMMYFUNCTION("""COMPUTED_VALUE"""),123.0)</f>
        <v>123</v>
      </c>
      <c r="G74">
        <f>IFERROR(__xludf.DUMMYFUNCTION("""COMPUTED_VALUE"""),122.791)</f>
        <v>122.791</v>
      </c>
      <c r="H74">
        <f>IFERROR(__xludf.DUMMYFUNCTION("""COMPUTED_VALUE"""),7.1488801E7)</f>
        <v>71488801</v>
      </c>
    </row>
    <row r="75">
      <c r="A75" t="str">
        <f>IFERROR(__xludf.DUMMYFUNCTION("""COMPUTED_VALUE"""),"AAPL")</f>
        <v>AAPL</v>
      </c>
      <c r="B75" s="8">
        <f>IFERROR(__xludf.DUMMYFUNCTION("""COMPUTED_VALUE"""),44286.0)</f>
        <v>44286</v>
      </c>
      <c r="C75">
        <f>IFERROR(__xludf.DUMMYFUNCTION("""COMPUTED_VALUE"""),121.65)</f>
        <v>121.65</v>
      </c>
      <c r="D75">
        <f>IFERROR(__xludf.DUMMYFUNCTION("""COMPUTED_VALUE"""),123.52)</f>
        <v>123.52</v>
      </c>
      <c r="E75">
        <f>IFERROR(__xludf.DUMMYFUNCTION("""COMPUTED_VALUE"""),121.15)</f>
        <v>121.15</v>
      </c>
      <c r="F75">
        <f>IFERROR(__xludf.DUMMYFUNCTION("""COMPUTED_VALUE"""),122.15)</f>
        <v>122.15</v>
      </c>
      <c r="G75">
        <f>IFERROR(__xludf.DUMMYFUNCTION("""COMPUTED_VALUE"""),121.943)</f>
        <v>121.943</v>
      </c>
      <c r="H75">
        <f>IFERROR(__xludf.DUMMYFUNCTION("""COMPUTED_VALUE"""),1.10940463E8)</f>
        <v>110940463</v>
      </c>
    </row>
    <row r="76">
      <c r="A76" t="str">
        <f>IFERROR(__xludf.DUMMYFUNCTION("""COMPUTED_VALUE"""),"AAPL")</f>
        <v>AAPL</v>
      </c>
      <c r="B76" s="8">
        <f>IFERROR(__xludf.DUMMYFUNCTION("""COMPUTED_VALUE"""),44285.0)</f>
        <v>44285</v>
      </c>
      <c r="C76">
        <f>IFERROR(__xludf.DUMMYFUNCTION("""COMPUTED_VALUE"""),120.11)</f>
        <v>120.11</v>
      </c>
      <c r="D76">
        <f>IFERROR(__xludf.DUMMYFUNCTION("""COMPUTED_VALUE"""),120.403)</f>
        <v>120.403</v>
      </c>
      <c r="E76">
        <f>IFERROR(__xludf.DUMMYFUNCTION("""COMPUTED_VALUE"""),118.86)</f>
        <v>118.86</v>
      </c>
      <c r="F76">
        <f>IFERROR(__xludf.DUMMYFUNCTION("""COMPUTED_VALUE"""),119.9)</f>
        <v>119.9</v>
      </c>
      <c r="G76">
        <f>IFERROR(__xludf.DUMMYFUNCTION("""COMPUTED_VALUE"""),119.697)</f>
        <v>119.697</v>
      </c>
      <c r="H76">
        <f>IFERROR(__xludf.DUMMYFUNCTION("""COMPUTED_VALUE"""),8.348408E7)</f>
        <v>83484080</v>
      </c>
    </row>
    <row r="77">
      <c r="A77" t="str">
        <f>IFERROR(__xludf.DUMMYFUNCTION("""COMPUTED_VALUE"""),"AAPL")</f>
        <v>AAPL</v>
      </c>
      <c r="B77" s="8">
        <f>IFERROR(__xludf.DUMMYFUNCTION("""COMPUTED_VALUE"""),44284.0)</f>
        <v>44284</v>
      </c>
      <c r="C77">
        <f>IFERROR(__xludf.DUMMYFUNCTION("""COMPUTED_VALUE"""),121.65)</f>
        <v>121.65</v>
      </c>
      <c r="D77">
        <f>IFERROR(__xludf.DUMMYFUNCTION("""COMPUTED_VALUE"""),122.58)</f>
        <v>122.58</v>
      </c>
      <c r="E77">
        <f>IFERROR(__xludf.DUMMYFUNCTION("""COMPUTED_VALUE"""),120.73)</f>
        <v>120.73</v>
      </c>
      <c r="F77">
        <f>IFERROR(__xludf.DUMMYFUNCTION("""COMPUTED_VALUE"""),121.39)</f>
        <v>121.39</v>
      </c>
      <c r="G77">
        <f>IFERROR(__xludf.DUMMYFUNCTION("""COMPUTED_VALUE"""),121.184)</f>
        <v>121.184</v>
      </c>
      <c r="H77">
        <f>IFERROR(__xludf.DUMMYFUNCTION("""COMPUTED_VALUE"""),7.6387644E7)</f>
        <v>76387644</v>
      </c>
    </row>
    <row r="78">
      <c r="A78" t="str">
        <f>IFERROR(__xludf.DUMMYFUNCTION("""COMPUTED_VALUE"""),"AAPL")</f>
        <v>AAPL</v>
      </c>
      <c r="B78" s="8">
        <f>IFERROR(__xludf.DUMMYFUNCTION("""COMPUTED_VALUE"""),44281.0)</f>
        <v>44281</v>
      </c>
      <c r="C78">
        <f>IFERROR(__xludf.DUMMYFUNCTION("""COMPUTED_VALUE"""),120.35)</f>
        <v>120.35</v>
      </c>
      <c r="D78">
        <f>IFERROR(__xludf.DUMMYFUNCTION("""COMPUTED_VALUE"""),121.48)</f>
        <v>121.48</v>
      </c>
      <c r="E78">
        <f>IFERROR(__xludf.DUMMYFUNCTION("""COMPUTED_VALUE"""),118.93)</f>
        <v>118.93</v>
      </c>
      <c r="F78">
        <f>IFERROR(__xludf.DUMMYFUNCTION("""COMPUTED_VALUE"""),121.21)</f>
        <v>121.21</v>
      </c>
      <c r="G78">
        <f>IFERROR(__xludf.DUMMYFUNCTION("""COMPUTED_VALUE"""),121.004)</f>
        <v>121.004</v>
      </c>
      <c r="H78">
        <f>IFERROR(__xludf.DUMMYFUNCTION("""COMPUTED_VALUE"""),9.1907102E7)</f>
        <v>91907102</v>
      </c>
    </row>
    <row r="79">
      <c r="A79" t="str">
        <f>IFERROR(__xludf.DUMMYFUNCTION("""COMPUTED_VALUE"""),"AAPL")</f>
        <v>AAPL</v>
      </c>
      <c r="B79" s="8">
        <f>IFERROR(__xludf.DUMMYFUNCTION("""COMPUTED_VALUE"""),44280.0)</f>
        <v>44280</v>
      </c>
      <c r="C79">
        <f>IFERROR(__xludf.DUMMYFUNCTION("""COMPUTED_VALUE"""),119.54)</f>
        <v>119.54</v>
      </c>
      <c r="D79">
        <f>IFERROR(__xludf.DUMMYFUNCTION("""COMPUTED_VALUE"""),121.66)</f>
        <v>121.66</v>
      </c>
      <c r="E79">
        <f>IFERROR(__xludf.DUMMYFUNCTION("""COMPUTED_VALUE"""),119.0)</f>
        <v>119</v>
      </c>
      <c r="F79">
        <f>IFERROR(__xludf.DUMMYFUNCTION("""COMPUTED_VALUE"""),120.59)</f>
        <v>120.59</v>
      </c>
      <c r="G79">
        <f>IFERROR(__xludf.DUMMYFUNCTION("""COMPUTED_VALUE"""),120.386)</f>
        <v>120.386</v>
      </c>
      <c r="H79">
        <f>IFERROR(__xludf.DUMMYFUNCTION("""COMPUTED_VALUE"""),9.7103382E7)</f>
        <v>97103382</v>
      </c>
    </row>
    <row r="80">
      <c r="A80" t="str">
        <f>IFERROR(__xludf.DUMMYFUNCTION("""COMPUTED_VALUE"""),"AAPL")</f>
        <v>AAPL</v>
      </c>
      <c r="B80" s="8">
        <f>IFERROR(__xludf.DUMMYFUNCTION("""COMPUTED_VALUE"""),44279.0)</f>
        <v>44279</v>
      </c>
      <c r="C80">
        <f>IFERROR(__xludf.DUMMYFUNCTION("""COMPUTED_VALUE"""),122.82)</f>
        <v>122.82</v>
      </c>
      <c r="D80">
        <f>IFERROR(__xludf.DUMMYFUNCTION("""COMPUTED_VALUE"""),122.9)</f>
        <v>122.9</v>
      </c>
      <c r="E80">
        <f>IFERROR(__xludf.DUMMYFUNCTION("""COMPUTED_VALUE"""),120.065)</f>
        <v>120.065</v>
      </c>
      <c r="F80">
        <f>IFERROR(__xludf.DUMMYFUNCTION("""COMPUTED_VALUE"""),120.09)</f>
        <v>120.09</v>
      </c>
      <c r="G80">
        <f>IFERROR(__xludf.DUMMYFUNCTION("""COMPUTED_VALUE"""),119.886)</f>
        <v>119.886</v>
      </c>
      <c r="H80">
        <f>IFERROR(__xludf.DUMMYFUNCTION("""COMPUTED_VALUE"""),8.6548367E7)</f>
        <v>86548367</v>
      </c>
    </row>
    <row r="81">
      <c r="A81" t="str">
        <f>IFERROR(__xludf.DUMMYFUNCTION("""COMPUTED_VALUE"""),"AAPL")</f>
        <v>AAPL</v>
      </c>
      <c r="B81" s="8">
        <f>IFERROR(__xludf.DUMMYFUNCTION("""COMPUTED_VALUE"""),44278.0)</f>
        <v>44278</v>
      </c>
      <c r="C81">
        <f>IFERROR(__xludf.DUMMYFUNCTION("""COMPUTED_VALUE"""),123.33)</f>
        <v>123.33</v>
      </c>
      <c r="D81">
        <f>IFERROR(__xludf.DUMMYFUNCTION("""COMPUTED_VALUE"""),124.24)</f>
        <v>124.24</v>
      </c>
      <c r="E81">
        <f>IFERROR(__xludf.DUMMYFUNCTION("""COMPUTED_VALUE"""),122.14)</f>
        <v>122.14</v>
      </c>
      <c r="F81">
        <f>IFERROR(__xludf.DUMMYFUNCTION("""COMPUTED_VALUE"""),122.54)</f>
        <v>122.54</v>
      </c>
      <c r="G81">
        <f>IFERROR(__xludf.DUMMYFUNCTION("""COMPUTED_VALUE"""),122.332)</f>
        <v>122.332</v>
      </c>
      <c r="H81">
        <f>IFERROR(__xludf.DUMMYFUNCTION("""COMPUTED_VALUE"""),9.3726645E7)</f>
        <v>93726645</v>
      </c>
    </row>
    <row r="82">
      <c r="A82" t="str">
        <f>IFERROR(__xludf.DUMMYFUNCTION("""COMPUTED_VALUE"""),"AAPL")</f>
        <v>AAPL</v>
      </c>
      <c r="B82" s="8">
        <f>IFERROR(__xludf.DUMMYFUNCTION("""COMPUTED_VALUE"""),44277.0)</f>
        <v>44277</v>
      </c>
      <c r="C82">
        <f>IFERROR(__xludf.DUMMYFUNCTION("""COMPUTED_VALUE"""),120.33)</f>
        <v>120.33</v>
      </c>
      <c r="D82">
        <f>IFERROR(__xludf.DUMMYFUNCTION("""COMPUTED_VALUE"""),123.87)</f>
        <v>123.87</v>
      </c>
      <c r="E82">
        <f>IFERROR(__xludf.DUMMYFUNCTION("""COMPUTED_VALUE"""),120.26)</f>
        <v>120.26</v>
      </c>
      <c r="F82">
        <f>IFERROR(__xludf.DUMMYFUNCTION("""COMPUTED_VALUE"""),123.39)</f>
        <v>123.39</v>
      </c>
      <c r="G82">
        <f>IFERROR(__xludf.DUMMYFUNCTION("""COMPUTED_VALUE"""),123.181)</f>
        <v>123.181</v>
      </c>
      <c r="H82">
        <f>IFERROR(__xludf.DUMMYFUNCTION("""COMPUTED_VALUE"""),1.02495379E8)</f>
        <v>102495379</v>
      </c>
    </row>
    <row r="83">
      <c r="A83" t="str">
        <f>IFERROR(__xludf.DUMMYFUNCTION("""COMPUTED_VALUE"""),"AAPL")</f>
        <v>AAPL</v>
      </c>
      <c r="B83" s="8">
        <f>IFERROR(__xludf.DUMMYFUNCTION("""COMPUTED_VALUE"""),44274.0)</f>
        <v>44274</v>
      </c>
      <c r="C83">
        <f>IFERROR(__xludf.DUMMYFUNCTION("""COMPUTED_VALUE"""),119.9)</f>
        <v>119.9</v>
      </c>
      <c r="D83">
        <f>IFERROR(__xludf.DUMMYFUNCTION("""COMPUTED_VALUE"""),121.43)</f>
        <v>121.43</v>
      </c>
      <c r="E83">
        <f>IFERROR(__xludf.DUMMYFUNCTION("""COMPUTED_VALUE"""),119.675)</f>
        <v>119.675</v>
      </c>
      <c r="F83">
        <f>IFERROR(__xludf.DUMMYFUNCTION("""COMPUTED_VALUE"""),119.99)</f>
        <v>119.99</v>
      </c>
      <c r="G83">
        <f>IFERROR(__xludf.DUMMYFUNCTION("""COMPUTED_VALUE"""),119.787)</f>
        <v>119.787</v>
      </c>
      <c r="H83">
        <f>IFERROR(__xludf.DUMMYFUNCTION("""COMPUTED_VALUE"""),1.70293777E8)</f>
        <v>170293777</v>
      </c>
    </row>
    <row r="84">
      <c r="A84" t="str">
        <f>IFERROR(__xludf.DUMMYFUNCTION("""COMPUTED_VALUE"""),"AAPL")</f>
        <v>AAPL</v>
      </c>
      <c r="B84" s="8">
        <f>IFERROR(__xludf.DUMMYFUNCTION("""COMPUTED_VALUE"""),44273.0)</f>
        <v>44273</v>
      </c>
      <c r="C84">
        <f>IFERROR(__xludf.DUMMYFUNCTION("""COMPUTED_VALUE"""),122.88)</f>
        <v>122.88</v>
      </c>
      <c r="D84">
        <f>IFERROR(__xludf.DUMMYFUNCTION("""COMPUTED_VALUE"""),123.18)</f>
        <v>123.18</v>
      </c>
      <c r="E84">
        <f>IFERROR(__xludf.DUMMYFUNCTION("""COMPUTED_VALUE"""),120.33)</f>
        <v>120.33</v>
      </c>
      <c r="F84">
        <f>IFERROR(__xludf.DUMMYFUNCTION("""COMPUTED_VALUE"""),120.53)</f>
        <v>120.53</v>
      </c>
      <c r="G84">
        <f>IFERROR(__xludf.DUMMYFUNCTION("""COMPUTED_VALUE"""),120.326)</f>
        <v>120.326</v>
      </c>
      <c r="H84">
        <f>IFERROR(__xludf.DUMMYFUNCTION("""COMPUTED_VALUE"""),1.18907153E8)</f>
        <v>118907153</v>
      </c>
    </row>
    <row r="85">
      <c r="A85" t="str">
        <f>IFERROR(__xludf.DUMMYFUNCTION("""COMPUTED_VALUE"""),"AAPL")</f>
        <v>AAPL</v>
      </c>
      <c r="B85" s="8">
        <f>IFERROR(__xludf.DUMMYFUNCTION("""COMPUTED_VALUE"""),44272.0)</f>
        <v>44272</v>
      </c>
      <c r="C85">
        <f>IFERROR(__xludf.DUMMYFUNCTION("""COMPUTED_VALUE"""),124.05)</f>
        <v>124.05</v>
      </c>
      <c r="D85">
        <f>IFERROR(__xludf.DUMMYFUNCTION("""COMPUTED_VALUE"""),125.86)</f>
        <v>125.86</v>
      </c>
      <c r="E85">
        <f>IFERROR(__xludf.DUMMYFUNCTION("""COMPUTED_VALUE"""),122.34)</f>
        <v>122.34</v>
      </c>
      <c r="F85">
        <f>IFERROR(__xludf.DUMMYFUNCTION("""COMPUTED_VALUE"""),124.76)</f>
        <v>124.76</v>
      </c>
      <c r="G85">
        <f>IFERROR(__xludf.DUMMYFUNCTION("""COMPUTED_VALUE"""),124.548)</f>
        <v>124.548</v>
      </c>
      <c r="H85">
        <f>IFERROR(__xludf.DUMMYFUNCTION("""COMPUTED_VALUE"""),1.092444E8)</f>
        <v>109244400</v>
      </c>
    </row>
    <row r="86">
      <c r="A86" t="str">
        <f>IFERROR(__xludf.DUMMYFUNCTION("""COMPUTED_VALUE"""),"AAPL")</f>
        <v>AAPL</v>
      </c>
      <c r="B86" s="8">
        <f>IFERROR(__xludf.DUMMYFUNCTION("""COMPUTED_VALUE"""),44271.0)</f>
        <v>44271</v>
      </c>
      <c r="C86">
        <f>IFERROR(__xludf.DUMMYFUNCTION("""COMPUTED_VALUE"""),125.7)</f>
        <v>125.7</v>
      </c>
      <c r="D86">
        <f>IFERROR(__xludf.DUMMYFUNCTION("""COMPUTED_VALUE"""),127.22)</f>
        <v>127.22</v>
      </c>
      <c r="E86">
        <f>IFERROR(__xludf.DUMMYFUNCTION("""COMPUTED_VALUE"""),124.715)</f>
        <v>124.715</v>
      </c>
      <c r="F86">
        <f>IFERROR(__xludf.DUMMYFUNCTION("""COMPUTED_VALUE"""),125.57)</f>
        <v>125.57</v>
      </c>
      <c r="G86">
        <f>IFERROR(__xludf.DUMMYFUNCTION("""COMPUTED_VALUE"""),125.357)</f>
        <v>125.357</v>
      </c>
      <c r="H86">
        <f>IFERROR(__xludf.DUMMYFUNCTION("""COMPUTED_VALUE"""),1.12568895E8)</f>
        <v>112568895</v>
      </c>
    </row>
    <row r="87">
      <c r="A87" t="str">
        <f>IFERROR(__xludf.DUMMYFUNCTION("""COMPUTED_VALUE"""),"AAPL")</f>
        <v>AAPL</v>
      </c>
      <c r="B87" s="8">
        <f>IFERROR(__xludf.DUMMYFUNCTION("""COMPUTED_VALUE"""),44270.0)</f>
        <v>44270</v>
      </c>
      <c r="C87">
        <f>IFERROR(__xludf.DUMMYFUNCTION("""COMPUTED_VALUE"""),121.41)</f>
        <v>121.41</v>
      </c>
      <c r="D87">
        <f>IFERROR(__xludf.DUMMYFUNCTION("""COMPUTED_VALUE"""),124.0)</f>
        <v>124</v>
      </c>
      <c r="E87">
        <f>IFERROR(__xludf.DUMMYFUNCTION("""COMPUTED_VALUE"""),120.43)</f>
        <v>120.43</v>
      </c>
      <c r="F87">
        <f>IFERROR(__xludf.DUMMYFUNCTION("""COMPUTED_VALUE"""),123.99)</f>
        <v>123.99</v>
      </c>
      <c r="G87">
        <f>IFERROR(__xludf.DUMMYFUNCTION("""COMPUTED_VALUE"""),123.78)</f>
        <v>123.78</v>
      </c>
      <c r="H87">
        <f>IFERROR(__xludf.DUMMYFUNCTION("""COMPUTED_VALUE"""),9.1641945E7)</f>
        <v>91641945</v>
      </c>
    </row>
    <row r="88">
      <c r="A88" t="str">
        <f>IFERROR(__xludf.DUMMYFUNCTION("""COMPUTED_VALUE"""),"AAPL")</f>
        <v>AAPL</v>
      </c>
      <c r="B88" s="8">
        <f>IFERROR(__xludf.DUMMYFUNCTION("""COMPUTED_VALUE"""),44267.0)</f>
        <v>44267</v>
      </c>
      <c r="C88">
        <f>IFERROR(__xludf.DUMMYFUNCTION("""COMPUTED_VALUE"""),120.4)</f>
        <v>120.4</v>
      </c>
      <c r="D88">
        <f>IFERROR(__xludf.DUMMYFUNCTION("""COMPUTED_VALUE"""),121.17)</f>
        <v>121.17</v>
      </c>
      <c r="E88">
        <f>IFERROR(__xludf.DUMMYFUNCTION("""COMPUTED_VALUE"""),119.16)</f>
        <v>119.16</v>
      </c>
      <c r="F88">
        <f>IFERROR(__xludf.DUMMYFUNCTION("""COMPUTED_VALUE"""),121.03)</f>
        <v>121.03</v>
      </c>
      <c r="G88">
        <f>IFERROR(__xludf.DUMMYFUNCTION("""COMPUTED_VALUE"""),120.825)</f>
        <v>120.825</v>
      </c>
      <c r="H88">
        <f>IFERROR(__xludf.DUMMYFUNCTION("""COMPUTED_VALUE"""),8.624411E7)</f>
        <v>86244110</v>
      </c>
    </row>
    <row r="89">
      <c r="A89" t="str">
        <f>IFERROR(__xludf.DUMMYFUNCTION("""COMPUTED_VALUE"""),"AAPL")</f>
        <v>AAPL</v>
      </c>
      <c r="B89" s="8">
        <f>IFERROR(__xludf.DUMMYFUNCTION("""COMPUTED_VALUE"""),44266.0)</f>
        <v>44266</v>
      </c>
      <c r="C89">
        <f>IFERROR(__xludf.DUMMYFUNCTION("""COMPUTED_VALUE"""),122.54)</f>
        <v>122.54</v>
      </c>
      <c r="D89">
        <f>IFERROR(__xludf.DUMMYFUNCTION("""COMPUTED_VALUE"""),123.21)</f>
        <v>123.21</v>
      </c>
      <c r="E89">
        <f>IFERROR(__xludf.DUMMYFUNCTION("""COMPUTED_VALUE"""),121.26)</f>
        <v>121.26</v>
      </c>
      <c r="F89">
        <f>IFERROR(__xludf.DUMMYFUNCTION("""COMPUTED_VALUE"""),121.96)</f>
        <v>121.96</v>
      </c>
      <c r="G89">
        <f>IFERROR(__xludf.DUMMYFUNCTION("""COMPUTED_VALUE"""),121.753)</f>
        <v>121.753</v>
      </c>
      <c r="H89">
        <f>IFERROR(__xludf.DUMMYFUNCTION("""COMPUTED_VALUE"""),9.9598709E7)</f>
        <v>99598709</v>
      </c>
    </row>
    <row r="90">
      <c r="A90" t="str">
        <f>IFERROR(__xludf.DUMMYFUNCTION("""COMPUTED_VALUE"""),"AAPL")</f>
        <v>AAPL</v>
      </c>
      <c r="B90" s="8">
        <f>IFERROR(__xludf.DUMMYFUNCTION("""COMPUTED_VALUE"""),44265.0)</f>
        <v>44265</v>
      </c>
      <c r="C90">
        <f>IFERROR(__xludf.DUMMYFUNCTION("""COMPUTED_VALUE"""),121.69)</f>
        <v>121.69</v>
      </c>
      <c r="D90">
        <f>IFERROR(__xludf.DUMMYFUNCTION("""COMPUTED_VALUE"""),122.17)</f>
        <v>122.17</v>
      </c>
      <c r="E90">
        <f>IFERROR(__xludf.DUMMYFUNCTION("""COMPUTED_VALUE"""),119.45)</f>
        <v>119.45</v>
      </c>
      <c r="F90">
        <f>IFERROR(__xludf.DUMMYFUNCTION("""COMPUTED_VALUE"""),119.98)</f>
        <v>119.98</v>
      </c>
      <c r="G90">
        <f>IFERROR(__xludf.DUMMYFUNCTION("""COMPUTED_VALUE"""),119.777)</f>
        <v>119.777</v>
      </c>
      <c r="H90">
        <f>IFERROR(__xludf.DUMMYFUNCTION("""COMPUTED_VALUE"""),1.09755847E8)</f>
        <v>109755847</v>
      </c>
    </row>
    <row r="91">
      <c r="A91" t="str">
        <f>IFERROR(__xludf.DUMMYFUNCTION("""COMPUTED_VALUE"""),"AAPL")</f>
        <v>AAPL</v>
      </c>
      <c r="B91" s="8">
        <f>IFERROR(__xludf.DUMMYFUNCTION("""COMPUTED_VALUE"""),44264.0)</f>
        <v>44264</v>
      </c>
      <c r="C91">
        <f>IFERROR(__xludf.DUMMYFUNCTION("""COMPUTED_VALUE"""),119.03)</f>
        <v>119.03</v>
      </c>
      <c r="D91">
        <f>IFERROR(__xludf.DUMMYFUNCTION("""COMPUTED_VALUE"""),122.06)</f>
        <v>122.06</v>
      </c>
      <c r="E91">
        <f>IFERROR(__xludf.DUMMYFUNCTION("""COMPUTED_VALUE"""),118.79)</f>
        <v>118.79</v>
      </c>
      <c r="F91">
        <f>IFERROR(__xludf.DUMMYFUNCTION("""COMPUTED_VALUE"""),121.085)</f>
        <v>121.085</v>
      </c>
      <c r="G91">
        <f>IFERROR(__xludf.DUMMYFUNCTION("""COMPUTED_VALUE"""),120.885)</f>
        <v>120.885</v>
      </c>
      <c r="H91">
        <f>IFERROR(__xludf.DUMMYFUNCTION("""COMPUTED_VALUE"""),1.23844281E8)</f>
        <v>123844281</v>
      </c>
    </row>
    <row r="92">
      <c r="A92" t="str">
        <f>IFERROR(__xludf.DUMMYFUNCTION("""COMPUTED_VALUE"""),"AAPL")</f>
        <v>AAPL</v>
      </c>
      <c r="B92" s="8">
        <f>IFERROR(__xludf.DUMMYFUNCTION("""COMPUTED_VALUE"""),44263.0)</f>
        <v>44263</v>
      </c>
      <c r="C92">
        <f>IFERROR(__xludf.DUMMYFUNCTION("""COMPUTED_VALUE"""),120.93)</f>
        <v>120.93</v>
      </c>
      <c r="D92">
        <f>IFERROR(__xludf.DUMMYFUNCTION("""COMPUTED_VALUE"""),121.0)</f>
        <v>121</v>
      </c>
      <c r="E92">
        <f>IFERROR(__xludf.DUMMYFUNCTION("""COMPUTED_VALUE"""),116.21)</f>
        <v>116.21</v>
      </c>
      <c r="F92">
        <f>IFERROR(__xludf.DUMMYFUNCTION("""COMPUTED_VALUE"""),116.36)</f>
        <v>116.36</v>
      </c>
      <c r="G92">
        <f>IFERROR(__xludf.DUMMYFUNCTION("""COMPUTED_VALUE"""),116.163)</f>
        <v>116.163</v>
      </c>
      <c r="H92">
        <f>IFERROR(__xludf.DUMMYFUNCTION("""COMPUTED_VALUE"""),1.48913253E8)</f>
        <v>148913253</v>
      </c>
    </row>
    <row r="93">
      <c r="A93" t="str">
        <f>IFERROR(__xludf.DUMMYFUNCTION("""COMPUTED_VALUE"""),"AAPL")</f>
        <v>AAPL</v>
      </c>
      <c r="B93" s="8">
        <f>IFERROR(__xludf.DUMMYFUNCTION("""COMPUTED_VALUE"""),44260.0)</f>
        <v>44260</v>
      </c>
      <c r="C93">
        <f>IFERROR(__xludf.DUMMYFUNCTION("""COMPUTED_VALUE"""),120.98)</f>
        <v>120.98</v>
      </c>
      <c r="D93">
        <f>IFERROR(__xludf.DUMMYFUNCTION("""COMPUTED_VALUE"""),121.935)</f>
        <v>121.935</v>
      </c>
      <c r="E93">
        <f>IFERROR(__xludf.DUMMYFUNCTION("""COMPUTED_VALUE"""),117.57)</f>
        <v>117.57</v>
      </c>
      <c r="F93">
        <f>IFERROR(__xludf.DUMMYFUNCTION("""COMPUTED_VALUE"""),121.42)</f>
        <v>121.42</v>
      </c>
      <c r="G93">
        <f>IFERROR(__xludf.DUMMYFUNCTION("""COMPUTED_VALUE"""),121.214)</f>
        <v>121.214</v>
      </c>
      <c r="H93">
        <f>IFERROR(__xludf.DUMMYFUNCTION("""COMPUTED_VALUE"""),1.50621101E8)</f>
        <v>150621101</v>
      </c>
    </row>
    <row r="94">
      <c r="A94" t="str">
        <f>IFERROR(__xludf.DUMMYFUNCTION("""COMPUTED_VALUE"""),"AAPL")</f>
        <v>AAPL</v>
      </c>
      <c r="B94" s="8">
        <f>IFERROR(__xludf.DUMMYFUNCTION("""COMPUTED_VALUE"""),44259.0)</f>
        <v>44259</v>
      </c>
      <c r="C94">
        <f>IFERROR(__xludf.DUMMYFUNCTION("""COMPUTED_VALUE"""),121.75)</f>
        <v>121.75</v>
      </c>
      <c r="D94">
        <f>IFERROR(__xludf.DUMMYFUNCTION("""COMPUTED_VALUE"""),123.6)</f>
        <v>123.6</v>
      </c>
      <c r="E94">
        <f>IFERROR(__xludf.DUMMYFUNCTION("""COMPUTED_VALUE"""),118.62)</f>
        <v>118.62</v>
      </c>
      <c r="F94">
        <f>IFERROR(__xludf.DUMMYFUNCTION("""COMPUTED_VALUE"""),120.13)</f>
        <v>120.13</v>
      </c>
      <c r="G94">
        <f>IFERROR(__xludf.DUMMYFUNCTION("""COMPUTED_VALUE"""),119.926)</f>
        <v>119.926</v>
      </c>
      <c r="H94">
        <f>IFERROR(__xludf.DUMMYFUNCTION("""COMPUTED_VALUE"""),1.64527934E8)</f>
        <v>164527934</v>
      </c>
    </row>
    <row r="95">
      <c r="A95" t="str">
        <f>IFERROR(__xludf.DUMMYFUNCTION("""COMPUTED_VALUE"""),"AAPL")</f>
        <v>AAPL</v>
      </c>
      <c r="B95" s="8">
        <f>IFERROR(__xludf.DUMMYFUNCTION("""COMPUTED_VALUE"""),44258.0)</f>
        <v>44258</v>
      </c>
      <c r="C95">
        <f>IFERROR(__xludf.DUMMYFUNCTION("""COMPUTED_VALUE"""),124.81)</f>
        <v>124.81</v>
      </c>
      <c r="D95">
        <f>IFERROR(__xludf.DUMMYFUNCTION("""COMPUTED_VALUE"""),125.71)</f>
        <v>125.71</v>
      </c>
      <c r="E95">
        <f>IFERROR(__xludf.DUMMYFUNCTION("""COMPUTED_VALUE"""),121.84)</f>
        <v>121.84</v>
      </c>
      <c r="F95">
        <f>IFERROR(__xludf.DUMMYFUNCTION("""COMPUTED_VALUE"""),122.06)</f>
        <v>122.06</v>
      </c>
      <c r="G95">
        <f>IFERROR(__xludf.DUMMYFUNCTION("""COMPUTED_VALUE"""),121.853)</f>
        <v>121.853</v>
      </c>
      <c r="H95">
        <f>IFERROR(__xludf.DUMMYFUNCTION("""COMPUTED_VALUE"""),1.07071259E8)</f>
        <v>107071259</v>
      </c>
    </row>
    <row r="96">
      <c r="A96" t="str">
        <f>IFERROR(__xludf.DUMMYFUNCTION("""COMPUTED_VALUE"""),"AAPL")</f>
        <v>AAPL</v>
      </c>
      <c r="B96" s="8">
        <f>IFERROR(__xludf.DUMMYFUNCTION("""COMPUTED_VALUE"""),44257.0)</f>
        <v>44257</v>
      </c>
      <c r="C96">
        <f>IFERROR(__xludf.DUMMYFUNCTION("""COMPUTED_VALUE"""),128.41)</f>
        <v>128.41</v>
      </c>
      <c r="D96">
        <f>IFERROR(__xludf.DUMMYFUNCTION("""COMPUTED_VALUE"""),128.72)</f>
        <v>128.72</v>
      </c>
      <c r="E96">
        <f>IFERROR(__xludf.DUMMYFUNCTION("""COMPUTED_VALUE"""),125.015)</f>
        <v>125.015</v>
      </c>
      <c r="F96">
        <f>IFERROR(__xludf.DUMMYFUNCTION("""COMPUTED_VALUE"""),125.12)</f>
        <v>125.12</v>
      </c>
      <c r="G96">
        <f>IFERROR(__xludf.DUMMYFUNCTION("""COMPUTED_VALUE"""),124.908)</f>
        <v>124.908</v>
      </c>
      <c r="H96">
        <f>IFERROR(__xludf.DUMMYFUNCTION("""COMPUTED_VALUE"""),9.7447283E7)</f>
        <v>97447283</v>
      </c>
    </row>
    <row r="97">
      <c r="A97" t="str">
        <f>IFERROR(__xludf.DUMMYFUNCTION("""COMPUTED_VALUE"""),"AAPL")</f>
        <v>AAPL</v>
      </c>
      <c r="B97" s="8">
        <f>IFERROR(__xludf.DUMMYFUNCTION("""COMPUTED_VALUE"""),44256.0)</f>
        <v>44256</v>
      </c>
      <c r="C97">
        <f>IFERROR(__xludf.DUMMYFUNCTION("""COMPUTED_VALUE"""),123.75)</f>
        <v>123.75</v>
      </c>
      <c r="D97">
        <f>IFERROR(__xludf.DUMMYFUNCTION("""COMPUTED_VALUE"""),127.93)</f>
        <v>127.93</v>
      </c>
      <c r="E97">
        <f>IFERROR(__xludf.DUMMYFUNCTION("""COMPUTED_VALUE"""),122.79)</f>
        <v>122.79</v>
      </c>
      <c r="F97">
        <f>IFERROR(__xludf.DUMMYFUNCTION("""COMPUTED_VALUE"""),127.79)</f>
        <v>127.79</v>
      </c>
      <c r="G97">
        <f>IFERROR(__xludf.DUMMYFUNCTION("""COMPUTED_VALUE"""),127.573)</f>
        <v>127.573</v>
      </c>
      <c r="H97">
        <f>IFERROR(__xludf.DUMMYFUNCTION("""COMPUTED_VALUE"""),1.12259384E8)</f>
        <v>112259384</v>
      </c>
    </row>
    <row r="98">
      <c r="A98" t="str">
        <f>IFERROR(__xludf.DUMMYFUNCTION("""COMPUTED_VALUE"""),"AAPL")</f>
        <v>AAPL</v>
      </c>
      <c r="B98" s="8">
        <f>IFERROR(__xludf.DUMMYFUNCTION("""COMPUTED_VALUE"""),44253.0)</f>
        <v>44253</v>
      </c>
      <c r="C98">
        <f>IFERROR(__xludf.DUMMYFUNCTION("""COMPUTED_VALUE"""),122.59)</f>
        <v>122.59</v>
      </c>
      <c r="D98">
        <f>IFERROR(__xludf.DUMMYFUNCTION("""COMPUTED_VALUE"""),124.85)</f>
        <v>124.85</v>
      </c>
      <c r="E98">
        <f>IFERROR(__xludf.DUMMYFUNCTION("""COMPUTED_VALUE"""),121.2)</f>
        <v>121.2</v>
      </c>
      <c r="F98">
        <f>IFERROR(__xludf.DUMMYFUNCTION("""COMPUTED_VALUE"""),121.26)</f>
        <v>121.26</v>
      </c>
      <c r="G98">
        <f>IFERROR(__xludf.DUMMYFUNCTION("""COMPUTED_VALUE"""),121.054)</f>
        <v>121.054</v>
      </c>
      <c r="H98">
        <f>IFERROR(__xludf.DUMMYFUNCTION("""COMPUTED_VALUE"""),1.53051429E8)</f>
        <v>153051429</v>
      </c>
    </row>
    <row r="99">
      <c r="A99" t="str">
        <f>IFERROR(__xludf.DUMMYFUNCTION("""COMPUTED_VALUE"""),"AAPL")</f>
        <v>AAPL</v>
      </c>
      <c r="B99" s="8">
        <f>IFERROR(__xludf.DUMMYFUNCTION("""COMPUTED_VALUE"""),44252.0)</f>
        <v>44252</v>
      </c>
      <c r="C99">
        <f>IFERROR(__xludf.DUMMYFUNCTION("""COMPUTED_VALUE"""),124.68)</f>
        <v>124.68</v>
      </c>
      <c r="D99">
        <f>IFERROR(__xludf.DUMMYFUNCTION("""COMPUTED_VALUE"""),126.459)</f>
        <v>126.459</v>
      </c>
      <c r="E99">
        <f>IFERROR(__xludf.DUMMYFUNCTION("""COMPUTED_VALUE"""),120.54)</f>
        <v>120.54</v>
      </c>
      <c r="F99">
        <f>IFERROR(__xludf.DUMMYFUNCTION("""COMPUTED_VALUE"""),120.99)</f>
        <v>120.99</v>
      </c>
      <c r="G99">
        <f>IFERROR(__xludf.DUMMYFUNCTION("""COMPUTED_VALUE"""),120.785)</f>
        <v>120.785</v>
      </c>
      <c r="H99">
        <f>IFERROR(__xludf.DUMMYFUNCTION("""COMPUTED_VALUE"""),1.40936825E8)</f>
        <v>140936825</v>
      </c>
    </row>
    <row r="100">
      <c r="A100" t="str">
        <f>IFERROR(__xludf.DUMMYFUNCTION("""COMPUTED_VALUE"""),"AAPL")</f>
        <v>AAPL</v>
      </c>
      <c r="B100" s="8">
        <f>IFERROR(__xludf.DUMMYFUNCTION("""COMPUTED_VALUE"""),44251.0)</f>
        <v>44251</v>
      </c>
      <c r="C100">
        <f>IFERROR(__xludf.DUMMYFUNCTION("""COMPUTED_VALUE"""),124.94)</f>
        <v>124.94</v>
      </c>
      <c r="D100">
        <f>IFERROR(__xludf.DUMMYFUNCTION("""COMPUTED_VALUE"""),125.56)</f>
        <v>125.56</v>
      </c>
      <c r="E100">
        <f>IFERROR(__xludf.DUMMYFUNCTION("""COMPUTED_VALUE"""),122.23)</f>
        <v>122.23</v>
      </c>
      <c r="F100">
        <f>IFERROR(__xludf.DUMMYFUNCTION("""COMPUTED_VALUE"""),125.35)</f>
        <v>125.35</v>
      </c>
      <c r="G100">
        <f>IFERROR(__xludf.DUMMYFUNCTION("""COMPUTED_VALUE"""),125.137)</f>
        <v>125.137</v>
      </c>
      <c r="H100">
        <f>IFERROR(__xludf.DUMMYFUNCTION("""COMPUTED_VALUE"""),1.07661341E8)</f>
        <v>107661341</v>
      </c>
    </row>
    <row r="101">
      <c r="A101" t="str">
        <f>IFERROR(__xludf.DUMMYFUNCTION("""COMPUTED_VALUE"""),"AAPL")</f>
        <v>AAPL</v>
      </c>
      <c r="B101" s="8">
        <f>IFERROR(__xludf.DUMMYFUNCTION("""COMPUTED_VALUE"""),44250.0)</f>
        <v>44250</v>
      </c>
      <c r="C101">
        <f>IFERROR(__xludf.DUMMYFUNCTION("""COMPUTED_VALUE"""),123.76)</f>
        <v>123.76</v>
      </c>
      <c r="D101">
        <f>IFERROR(__xludf.DUMMYFUNCTION("""COMPUTED_VALUE"""),126.705)</f>
        <v>126.705</v>
      </c>
      <c r="E101">
        <f>IFERROR(__xludf.DUMMYFUNCTION("""COMPUTED_VALUE"""),118.39)</f>
        <v>118.39</v>
      </c>
      <c r="F101">
        <f>IFERROR(__xludf.DUMMYFUNCTION("""COMPUTED_VALUE"""),125.86)</f>
        <v>125.86</v>
      </c>
      <c r="G101">
        <f>IFERROR(__xludf.DUMMYFUNCTION("""COMPUTED_VALUE"""),125.647)</f>
        <v>125.647</v>
      </c>
      <c r="H101">
        <f>IFERROR(__xludf.DUMMYFUNCTION("""COMPUTED_VALUE"""),1.54886075E8)</f>
        <v>154886075</v>
      </c>
    </row>
    <row r="102">
      <c r="A102" t="str">
        <f>IFERROR(__xludf.DUMMYFUNCTION("""COMPUTED_VALUE"""),"AAPL")</f>
        <v>AAPL</v>
      </c>
      <c r="B102" s="8">
        <f>IFERROR(__xludf.DUMMYFUNCTION("""COMPUTED_VALUE"""),44249.0)</f>
        <v>44249</v>
      </c>
      <c r="C102">
        <f>IFERROR(__xludf.DUMMYFUNCTION("""COMPUTED_VALUE"""),128.01)</f>
        <v>128.01</v>
      </c>
      <c r="D102">
        <f>IFERROR(__xludf.DUMMYFUNCTION("""COMPUTED_VALUE"""),129.72)</f>
        <v>129.72</v>
      </c>
      <c r="E102">
        <f>IFERROR(__xludf.DUMMYFUNCTION("""COMPUTED_VALUE"""),125.6)</f>
        <v>125.6</v>
      </c>
      <c r="F102">
        <f>IFERROR(__xludf.DUMMYFUNCTION("""COMPUTED_VALUE"""),126.0)</f>
        <v>126</v>
      </c>
      <c r="G102">
        <f>IFERROR(__xludf.DUMMYFUNCTION("""COMPUTED_VALUE"""),125.786)</f>
        <v>125.786</v>
      </c>
      <c r="H102">
        <f>IFERROR(__xludf.DUMMYFUNCTION("""COMPUTED_VALUE"""),1.00925374E8)</f>
        <v>100925374</v>
      </c>
    </row>
    <row r="103">
      <c r="A103" t="str">
        <f>IFERROR(__xludf.DUMMYFUNCTION("""COMPUTED_VALUE"""),"AAPL")</f>
        <v>AAPL</v>
      </c>
      <c r="B103" s="8">
        <f>IFERROR(__xludf.DUMMYFUNCTION("""COMPUTED_VALUE"""),44246.0)</f>
        <v>44246</v>
      </c>
      <c r="C103">
        <f>IFERROR(__xludf.DUMMYFUNCTION("""COMPUTED_VALUE"""),130.24)</f>
        <v>130.24</v>
      </c>
      <c r="D103">
        <f>IFERROR(__xludf.DUMMYFUNCTION("""COMPUTED_VALUE"""),130.71)</f>
        <v>130.71</v>
      </c>
      <c r="E103">
        <f>IFERROR(__xludf.DUMMYFUNCTION("""COMPUTED_VALUE"""),128.8)</f>
        <v>128.8</v>
      </c>
      <c r="F103">
        <f>IFERROR(__xludf.DUMMYFUNCTION("""COMPUTED_VALUE"""),129.87)</f>
        <v>129.87</v>
      </c>
      <c r="G103">
        <f>IFERROR(__xludf.DUMMYFUNCTION("""COMPUTED_VALUE"""),129.65)</f>
        <v>129.65</v>
      </c>
      <c r="H103">
        <f>IFERROR(__xludf.DUMMYFUNCTION("""COMPUTED_VALUE"""),8.4158803E7)</f>
        <v>84158803</v>
      </c>
    </row>
    <row r="104">
      <c r="A104" t="str">
        <f>IFERROR(__xludf.DUMMYFUNCTION("""COMPUTED_VALUE"""),"AAPL")</f>
        <v>AAPL</v>
      </c>
      <c r="B104" s="8">
        <f>IFERROR(__xludf.DUMMYFUNCTION("""COMPUTED_VALUE"""),44245.0)</f>
        <v>44245</v>
      </c>
      <c r="C104">
        <f>IFERROR(__xludf.DUMMYFUNCTION("""COMPUTED_VALUE"""),129.2)</f>
        <v>129.2</v>
      </c>
      <c r="D104">
        <f>IFERROR(__xludf.DUMMYFUNCTION("""COMPUTED_VALUE"""),129.97)</f>
        <v>129.97</v>
      </c>
      <c r="E104">
        <f>IFERROR(__xludf.DUMMYFUNCTION("""COMPUTED_VALUE"""),127.41)</f>
        <v>127.41</v>
      </c>
      <c r="F104">
        <f>IFERROR(__xludf.DUMMYFUNCTION("""COMPUTED_VALUE"""),129.71)</f>
        <v>129.71</v>
      </c>
      <c r="G104">
        <f>IFERROR(__xludf.DUMMYFUNCTION("""COMPUTED_VALUE"""),129.49)</f>
        <v>129.49</v>
      </c>
      <c r="H104">
        <f>IFERROR(__xludf.DUMMYFUNCTION("""COMPUTED_VALUE"""),9.464868E7)</f>
        <v>94648680</v>
      </c>
    </row>
    <row r="105">
      <c r="A105" t="str">
        <f>IFERROR(__xludf.DUMMYFUNCTION("""COMPUTED_VALUE"""),"AAPL")</f>
        <v>AAPL</v>
      </c>
      <c r="B105" s="8">
        <f>IFERROR(__xludf.DUMMYFUNCTION("""COMPUTED_VALUE"""),44244.0)</f>
        <v>44244</v>
      </c>
      <c r="C105">
        <f>IFERROR(__xludf.DUMMYFUNCTION("""COMPUTED_VALUE"""),131.25)</f>
        <v>131.25</v>
      </c>
      <c r="D105">
        <f>IFERROR(__xludf.DUMMYFUNCTION("""COMPUTED_VALUE"""),132.22)</f>
        <v>132.22</v>
      </c>
      <c r="E105">
        <f>IFERROR(__xludf.DUMMYFUNCTION("""COMPUTED_VALUE"""),129.47)</f>
        <v>129.47</v>
      </c>
      <c r="F105">
        <f>IFERROR(__xludf.DUMMYFUNCTION("""COMPUTED_VALUE"""),130.84)</f>
        <v>130.84</v>
      </c>
      <c r="G105">
        <f>IFERROR(__xludf.DUMMYFUNCTION("""COMPUTED_VALUE"""),130.618)</f>
        <v>130.618</v>
      </c>
      <c r="H105">
        <f>IFERROR(__xludf.DUMMYFUNCTION("""COMPUTED_VALUE"""),9.5934652E7)</f>
        <v>95934652</v>
      </c>
    </row>
    <row r="106">
      <c r="A106" t="str">
        <f>IFERROR(__xludf.DUMMYFUNCTION("""COMPUTED_VALUE"""),"AAPL")</f>
        <v>AAPL</v>
      </c>
      <c r="B106" s="8">
        <f>IFERROR(__xludf.DUMMYFUNCTION("""COMPUTED_VALUE"""),44243.0)</f>
        <v>44243</v>
      </c>
      <c r="C106">
        <f>IFERROR(__xludf.DUMMYFUNCTION("""COMPUTED_VALUE"""),135.49)</f>
        <v>135.49</v>
      </c>
      <c r="D106">
        <f>IFERROR(__xludf.DUMMYFUNCTION("""COMPUTED_VALUE"""),136.0)</f>
        <v>136</v>
      </c>
      <c r="E106">
        <f>IFERROR(__xludf.DUMMYFUNCTION("""COMPUTED_VALUE"""),132.81)</f>
        <v>132.81</v>
      </c>
      <c r="F106">
        <f>IFERROR(__xludf.DUMMYFUNCTION("""COMPUTED_VALUE"""),133.19)</f>
        <v>133.19</v>
      </c>
      <c r="G106">
        <f>IFERROR(__xludf.DUMMYFUNCTION("""COMPUTED_VALUE"""),132.964)</f>
        <v>132.964</v>
      </c>
      <c r="H106">
        <f>IFERROR(__xludf.DUMMYFUNCTION("""COMPUTED_VALUE"""),7.6304493E7)</f>
        <v>76304493</v>
      </c>
    </row>
    <row r="107">
      <c r="A107" t="str">
        <f>IFERROR(__xludf.DUMMYFUNCTION("""COMPUTED_VALUE"""),"AAPL")</f>
        <v>AAPL</v>
      </c>
      <c r="B107" s="8">
        <f>IFERROR(__xludf.DUMMYFUNCTION("""COMPUTED_VALUE"""),44239.0)</f>
        <v>44239</v>
      </c>
      <c r="C107">
        <f>IFERROR(__xludf.DUMMYFUNCTION("""COMPUTED_VALUE"""),134.35)</f>
        <v>134.35</v>
      </c>
      <c r="D107">
        <f>IFERROR(__xludf.DUMMYFUNCTION("""COMPUTED_VALUE"""),135.51)</f>
        <v>135.51</v>
      </c>
      <c r="E107">
        <f>IFERROR(__xludf.DUMMYFUNCTION("""COMPUTED_VALUE"""),133.692)</f>
        <v>133.692</v>
      </c>
      <c r="F107">
        <f>IFERROR(__xludf.DUMMYFUNCTION("""COMPUTED_VALUE"""),135.37)</f>
        <v>135.37</v>
      </c>
      <c r="G107">
        <f>IFERROR(__xludf.DUMMYFUNCTION("""COMPUTED_VALUE"""),135.14)</f>
        <v>135.14</v>
      </c>
      <c r="H107">
        <f>IFERROR(__xludf.DUMMYFUNCTION("""COMPUTED_VALUE"""),5.8587161E7)</f>
        <v>58587161</v>
      </c>
    </row>
    <row r="108">
      <c r="A108" t="str">
        <f>IFERROR(__xludf.DUMMYFUNCTION("""COMPUTED_VALUE"""),"AAPL")</f>
        <v>AAPL</v>
      </c>
      <c r="B108" s="8">
        <f>IFERROR(__xludf.DUMMYFUNCTION("""COMPUTED_VALUE"""),44238.0)</f>
        <v>44238</v>
      </c>
      <c r="C108">
        <f>IFERROR(__xludf.DUMMYFUNCTION("""COMPUTED_VALUE"""),135.9)</f>
        <v>135.9</v>
      </c>
      <c r="D108">
        <f>IFERROR(__xludf.DUMMYFUNCTION("""COMPUTED_VALUE"""),136.39)</f>
        <v>136.39</v>
      </c>
      <c r="E108">
        <f>IFERROR(__xludf.DUMMYFUNCTION("""COMPUTED_VALUE"""),133.772)</f>
        <v>133.772</v>
      </c>
      <c r="F108">
        <f>IFERROR(__xludf.DUMMYFUNCTION("""COMPUTED_VALUE"""),135.13)</f>
        <v>135.13</v>
      </c>
      <c r="G108">
        <f>IFERROR(__xludf.DUMMYFUNCTION("""COMPUTED_VALUE"""),134.901)</f>
        <v>134.901</v>
      </c>
      <c r="H108">
        <f>IFERROR(__xludf.DUMMYFUNCTION("""COMPUTED_VALUE"""),6.2058379E7)</f>
        <v>62058379</v>
      </c>
    </row>
    <row r="109">
      <c r="A109" t="str">
        <f>IFERROR(__xludf.DUMMYFUNCTION("""COMPUTED_VALUE"""),"AAPL")</f>
        <v>AAPL</v>
      </c>
      <c r="B109" s="8">
        <f>IFERROR(__xludf.DUMMYFUNCTION("""COMPUTED_VALUE"""),44237.0)</f>
        <v>44237</v>
      </c>
      <c r="C109">
        <f>IFERROR(__xludf.DUMMYFUNCTION("""COMPUTED_VALUE"""),136.48)</f>
        <v>136.48</v>
      </c>
      <c r="D109">
        <f>IFERROR(__xludf.DUMMYFUNCTION("""COMPUTED_VALUE"""),136.99)</f>
        <v>136.99</v>
      </c>
      <c r="E109">
        <f>IFERROR(__xludf.DUMMYFUNCTION("""COMPUTED_VALUE"""),134.4)</f>
        <v>134.4</v>
      </c>
      <c r="F109">
        <f>IFERROR(__xludf.DUMMYFUNCTION("""COMPUTED_VALUE"""),135.39)</f>
        <v>135.39</v>
      </c>
      <c r="G109">
        <f>IFERROR(__xludf.DUMMYFUNCTION("""COMPUTED_VALUE"""),135.16)</f>
        <v>135.16</v>
      </c>
      <c r="H109">
        <f>IFERROR(__xludf.DUMMYFUNCTION("""COMPUTED_VALUE"""),7.0527203E7)</f>
        <v>70527203</v>
      </c>
    </row>
    <row r="110">
      <c r="A110" t="str">
        <f>IFERROR(__xludf.DUMMYFUNCTION("""COMPUTED_VALUE"""),"AAPL")</f>
        <v>AAPL</v>
      </c>
      <c r="B110" s="8">
        <f>IFERROR(__xludf.DUMMYFUNCTION("""COMPUTED_VALUE"""),44236.0)</f>
        <v>44236</v>
      </c>
      <c r="C110">
        <f>IFERROR(__xludf.DUMMYFUNCTION("""COMPUTED_VALUE"""),136.62)</f>
        <v>136.62</v>
      </c>
      <c r="D110">
        <f>IFERROR(__xludf.DUMMYFUNCTION("""COMPUTED_VALUE"""),137.877)</f>
        <v>137.877</v>
      </c>
      <c r="E110">
        <f>IFERROR(__xludf.DUMMYFUNCTION("""COMPUTED_VALUE"""),135.85)</f>
        <v>135.85</v>
      </c>
      <c r="F110">
        <f>IFERROR(__xludf.DUMMYFUNCTION("""COMPUTED_VALUE"""),136.01)</f>
        <v>136.01</v>
      </c>
      <c r="G110">
        <f>IFERROR(__xludf.DUMMYFUNCTION("""COMPUTED_VALUE"""),135.779)</f>
        <v>135.779</v>
      </c>
      <c r="H110">
        <f>IFERROR(__xludf.DUMMYFUNCTION("""COMPUTED_VALUE"""),7.3445499E7)</f>
        <v>73445499</v>
      </c>
    </row>
    <row r="111">
      <c r="A111" t="str">
        <f>IFERROR(__xludf.DUMMYFUNCTION("""COMPUTED_VALUE"""),"AAPL")</f>
        <v>AAPL</v>
      </c>
      <c r="B111" s="8">
        <f>IFERROR(__xludf.DUMMYFUNCTION("""COMPUTED_VALUE"""),44235.0)</f>
        <v>44235</v>
      </c>
      <c r="C111">
        <f>IFERROR(__xludf.DUMMYFUNCTION("""COMPUTED_VALUE"""),136.03)</f>
        <v>136.03</v>
      </c>
      <c r="D111">
        <f>IFERROR(__xludf.DUMMYFUNCTION("""COMPUTED_VALUE"""),136.95)</f>
        <v>136.95</v>
      </c>
      <c r="E111">
        <f>IFERROR(__xludf.DUMMYFUNCTION("""COMPUTED_VALUE"""),134.93)</f>
        <v>134.93</v>
      </c>
      <c r="F111">
        <f>IFERROR(__xludf.DUMMYFUNCTION("""COMPUTED_VALUE"""),136.91)</f>
        <v>136.91</v>
      </c>
      <c r="G111">
        <f>IFERROR(__xludf.DUMMYFUNCTION("""COMPUTED_VALUE"""),136.678)</f>
        <v>136.678</v>
      </c>
      <c r="H111">
        <f>IFERROR(__xludf.DUMMYFUNCTION("""COMPUTED_VALUE"""),6.8005611E7)</f>
        <v>68005611</v>
      </c>
    </row>
    <row r="112">
      <c r="A112" t="str">
        <f>IFERROR(__xludf.DUMMYFUNCTION("""COMPUTED_VALUE"""),"AAPL")</f>
        <v>AAPL</v>
      </c>
      <c r="B112" s="8">
        <f>IFERROR(__xludf.DUMMYFUNCTION("""COMPUTED_VALUE"""),44232.0)</f>
        <v>44232</v>
      </c>
      <c r="C112">
        <f>IFERROR(__xludf.DUMMYFUNCTION("""COMPUTED_VALUE"""),137.35)</f>
        <v>137.35</v>
      </c>
      <c r="D112">
        <f>IFERROR(__xludf.DUMMYFUNCTION("""COMPUTED_VALUE"""),137.41)</f>
        <v>137.41</v>
      </c>
      <c r="E112">
        <f>IFERROR(__xludf.DUMMYFUNCTION("""COMPUTED_VALUE"""),135.86)</f>
        <v>135.86</v>
      </c>
      <c r="F112">
        <f>IFERROR(__xludf.DUMMYFUNCTION("""COMPUTED_VALUE"""),136.76)</f>
        <v>136.76</v>
      </c>
      <c r="G112">
        <f>IFERROR(__xludf.DUMMYFUNCTION("""COMPUTED_VALUE"""),136.528)</f>
        <v>136.528</v>
      </c>
      <c r="H112">
        <f>IFERROR(__xludf.DUMMYFUNCTION("""COMPUTED_VALUE"""),7.2317009E7)</f>
        <v>72317009</v>
      </c>
    </row>
    <row r="113">
      <c r="A113" t="str">
        <f>IFERROR(__xludf.DUMMYFUNCTION("""COMPUTED_VALUE"""),"AAPL")</f>
        <v>AAPL</v>
      </c>
      <c r="B113" s="8">
        <f>IFERROR(__xludf.DUMMYFUNCTION("""COMPUTED_VALUE"""),44231.0)</f>
        <v>44231</v>
      </c>
      <c r="C113">
        <f>IFERROR(__xludf.DUMMYFUNCTION("""COMPUTED_VALUE"""),136.3)</f>
        <v>136.3</v>
      </c>
      <c r="D113">
        <f>IFERROR(__xludf.DUMMYFUNCTION("""COMPUTED_VALUE"""),137.4)</f>
        <v>137.4</v>
      </c>
      <c r="E113">
        <f>IFERROR(__xludf.DUMMYFUNCTION("""COMPUTED_VALUE"""),134.6)</f>
        <v>134.6</v>
      </c>
      <c r="F113">
        <f>IFERROR(__xludf.DUMMYFUNCTION("""COMPUTED_VALUE"""),137.39)</f>
        <v>137.39</v>
      </c>
      <c r="G113">
        <f>IFERROR(__xludf.DUMMYFUNCTION("""COMPUTED_VALUE"""),136.952)</f>
        <v>136.952</v>
      </c>
      <c r="H113">
        <f>IFERROR(__xludf.DUMMYFUNCTION("""COMPUTED_VALUE"""),7.7881383E7)</f>
        <v>77881383</v>
      </c>
    </row>
    <row r="114">
      <c r="A114" t="str">
        <f>IFERROR(__xludf.DUMMYFUNCTION("""COMPUTED_VALUE"""),"AAPL")</f>
        <v>AAPL</v>
      </c>
      <c r="B114" s="8">
        <f>IFERROR(__xludf.DUMMYFUNCTION("""COMPUTED_VALUE"""),44230.0)</f>
        <v>44230</v>
      </c>
      <c r="C114">
        <f>IFERROR(__xludf.DUMMYFUNCTION("""COMPUTED_VALUE"""),135.76)</f>
        <v>135.76</v>
      </c>
      <c r="D114">
        <f>IFERROR(__xludf.DUMMYFUNCTION("""COMPUTED_VALUE"""),135.74)</f>
        <v>135.74</v>
      </c>
      <c r="E114">
        <f>IFERROR(__xludf.DUMMYFUNCTION("""COMPUTED_VALUE"""),133.61)</f>
        <v>133.61</v>
      </c>
      <c r="F114">
        <f>IFERROR(__xludf.DUMMYFUNCTION("""COMPUTED_VALUE"""),133.94)</f>
        <v>133.94</v>
      </c>
      <c r="G114">
        <f>IFERROR(__xludf.DUMMYFUNCTION("""COMPUTED_VALUE"""),133.513)</f>
        <v>133.513</v>
      </c>
      <c r="H114">
        <f>IFERROR(__xludf.DUMMYFUNCTION("""COMPUTED_VALUE"""),8.2762729E7)</f>
        <v>82762729</v>
      </c>
    </row>
    <row r="115">
      <c r="A115" t="str">
        <f>IFERROR(__xludf.DUMMYFUNCTION("""COMPUTED_VALUE"""),"AAPL")</f>
        <v>AAPL</v>
      </c>
      <c r="B115" s="8">
        <f>IFERROR(__xludf.DUMMYFUNCTION("""COMPUTED_VALUE"""),44229.0)</f>
        <v>44229</v>
      </c>
      <c r="C115">
        <f>IFERROR(__xludf.DUMMYFUNCTION("""COMPUTED_VALUE"""),135.73)</f>
        <v>135.73</v>
      </c>
      <c r="D115">
        <f>IFERROR(__xludf.DUMMYFUNCTION("""COMPUTED_VALUE"""),136.3)</f>
        <v>136.3</v>
      </c>
      <c r="E115">
        <f>IFERROR(__xludf.DUMMYFUNCTION("""COMPUTED_VALUE"""),134.61)</f>
        <v>134.61</v>
      </c>
      <c r="F115">
        <f>IFERROR(__xludf.DUMMYFUNCTION("""COMPUTED_VALUE"""),134.99)</f>
        <v>134.99</v>
      </c>
      <c r="G115">
        <f>IFERROR(__xludf.DUMMYFUNCTION("""COMPUTED_VALUE"""),134.56)</f>
        <v>134.56</v>
      </c>
      <c r="H115">
        <f>IFERROR(__xludf.DUMMYFUNCTION("""COMPUTED_VALUE"""),7.9426446E7)</f>
        <v>79426446</v>
      </c>
    </row>
    <row r="116">
      <c r="A116" t="str">
        <f>IFERROR(__xludf.DUMMYFUNCTION("""COMPUTED_VALUE"""),"AAPL")</f>
        <v>AAPL</v>
      </c>
      <c r="B116" s="8">
        <f>IFERROR(__xludf.DUMMYFUNCTION("""COMPUTED_VALUE"""),44228.0)</f>
        <v>44228</v>
      </c>
      <c r="C116">
        <f>IFERROR(__xludf.DUMMYFUNCTION("""COMPUTED_VALUE"""),133.75)</f>
        <v>133.75</v>
      </c>
      <c r="D116">
        <f>IFERROR(__xludf.DUMMYFUNCTION("""COMPUTED_VALUE"""),135.38)</f>
        <v>135.38</v>
      </c>
      <c r="E116">
        <f>IFERROR(__xludf.DUMMYFUNCTION("""COMPUTED_VALUE"""),130.932)</f>
        <v>130.932</v>
      </c>
      <c r="F116">
        <f>IFERROR(__xludf.DUMMYFUNCTION("""COMPUTED_VALUE"""),134.14)</f>
        <v>134.14</v>
      </c>
      <c r="G116">
        <f>IFERROR(__xludf.DUMMYFUNCTION("""COMPUTED_VALUE"""),133.713)</f>
        <v>133.713</v>
      </c>
      <c r="H116">
        <f>IFERROR(__xludf.DUMMYFUNCTION("""COMPUTED_VALUE"""),1.04212352E8)</f>
        <v>104212352</v>
      </c>
    </row>
    <row r="117">
      <c r="A117" t="str">
        <f>IFERROR(__xludf.DUMMYFUNCTION("""COMPUTED_VALUE"""),"AAPL")</f>
        <v>AAPL</v>
      </c>
      <c r="B117" s="8">
        <f>IFERROR(__xludf.DUMMYFUNCTION("""COMPUTED_VALUE"""),44225.0)</f>
        <v>44225</v>
      </c>
      <c r="C117">
        <f>IFERROR(__xludf.DUMMYFUNCTION("""COMPUTED_VALUE"""),135.83)</f>
        <v>135.83</v>
      </c>
      <c r="D117">
        <f>IFERROR(__xludf.DUMMYFUNCTION("""COMPUTED_VALUE"""),136.74)</f>
        <v>136.74</v>
      </c>
      <c r="E117">
        <f>IFERROR(__xludf.DUMMYFUNCTION("""COMPUTED_VALUE"""),130.21)</f>
        <v>130.21</v>
      </c>
      <c r="F117">
        <f>IFERROR(__xludf.DUMMYFUNCTION("""COMPUTED_VALUE"""),131.96)</f>
        <v>131.96</v>
      </c>
      <c r="G117">
        <f>IFERROR(__xludf.DUMMYFUNCTION("""COMPUTED_VALUE"""),131.54)</f>
        <v>131.54</v>
      </c>
      <c r="H117">
        <f>IFERROR(__xludf.DUMMYFUNCTION("""COMPUTED_VALUE"""),1.7220991E8)</f>
        <v>172209910</v>
      </c>
    </row>
    <row r="118">
      <c r="A118" t="str">
        <f>IFERROR(__xludf.DUMMYFUNCTION("""COMPUTED_VALUE"""),"AAPL")</f>
        <v>AAPL</v>
      </c>
      <c r="B118" s="8">
        <f>IFERROR(__xludf.DUMMYFUNCTION("""COMPUTED_VALUE"""),44224.0)</f>
        <v>44224</v>
      </c>
      <c r="C118">
        <f>IFERROR(__xludf.DUMMYFUNCTION("""COMPUTED_VALUE"""),139.52)</f>
        <v>139.52</v>
      </c>
      <c r="D118">
        <f>IFERROR(__xludf.DUMMYFUNCTION("""COMPUTED_VALUE"""),141.99)</f>
        <v>141.99</v>
      </c>
      <c r="E118">
        <f>IFERROR(__xludf.DUMMYFUNCTION("""COMPUTED_VALUE"""),136.7)</f>
        <v>136.7</v>
      </c>
      <c r="F118">
        <f>IFERROR(__xludf.DUMMYFUNCTION("""COMPUTED_VALUE"""),137.09)</f>
        <v>137.09</v>
      </c>
      <c r="G118">
        <f>IFERROR(__xludf.DUMMYFUNCTION("""COMPUTED_VALUE"""),136.653)</f>
        <v>136.653</v>
      </c>
      <c r="H118">
        <f>IFERROR(__xludf.DUMMYFUNCTION("""COMPUTED_VALUE"""),1.37245542E8)</f>
        <v>137245542</v>
      </c>
    </row>
    <row r="119">
      <c r="A119" t="str">
        <f>IFERROR(__xludf.DUMMYFUNCTION("""COMPUTED_VALUE"""),"AAPL")</f>
        <v>AAPL</v>
      </c>
      <c r="B119" s="8">
        <f>IFERROR(__xludf.DUMMYFUNCTION("""COMPUTED_VALUE"""),44223.0)</f>
        <v>44223</v>
      </c>
      <c r="C119">
        <f>IFERROR(__xludf.DUMMYFUNCTION("""COMPUTED_VALUE"""),143.43)</f>
        <v>143.43</v>
      </c>
      <c r="D119">
        <f>IFERROR(__xludf.DUMMYFUNCTION("""COMPUTED_VALUE"""),144.3)</f>
        <v>144.3</v>
      </c>
      <c r="E119">
        <f>IFERROR(__xludf.DUMMYFUNCTION("""COMPUTED_VALUE"""),140.41)</f>
        <v>140.41</v>
      </c>
      <c r="F119">
        <f>IFERROR(__xludf.DUMMYFUNCTION("""COMPUTED_VALUE"""),142.06)</f>
        <v>142.06</v>
      </c>
      <c r="G119">
        <f>IFERROR(__xludf.DUMMYFUNCTION("""COMPUTED_VALUE"""),141.608)</f>
        <v>141.608</v>
      </c>
      <c r="H119">
        <f>IFERROR(__xludf.DUMMYFUNCTION("""COMPUTED_VALUE"""),1.21162513E8)</f>
        <v>121162513</v>
      </c>
    </row>
    <row r="120">
      <c r="A120" t="str">
        <f>IFERROR(__xludf.DUMMYFUNCTION("""COMPUTED_VALUE"""),"AAPL")</f>
        <v>AAPL</v>
      </c>
      <c r="B120" s="8">
        <f>IFERROR(__xludf.DUMMYFUNCTION("""COMPUTED_VALUE"""),44222.0)</f>
        <v>44222</v>
      </c>
      <c r="C120">
        <f>IFERROR(__xludf.DUMMYFUNCTION("""COMPUTED_VALUE"""),143.6)</f>
        <v>143.6</v>
      </c>
      <c r="D120">
        <f>IFERROR(__xludf.DUMMYFUNCTION("""COMPUTED_VALUE"""),144.3)</f>
        <v>144.3</v>
      </c>
      <c r="E120">
        <f>IFERROR(__xludf.DUMMYFUNCTION("""COMPUTED_VALUE"""),141.37)</f>
        <v>141.37</v>
      </c>
      <c r="F120">
        <f>IFERROR(__xludf.DUMMYFUNCTION("""COMPUTED_VALUE"""),143.16)</f>
        <v>143.16</v>
      </c>
      <c r="G120">
        <f>IFERROR(__xludf.DUMMYFUNCTION("""COMPUTED_VALUE"""),142.704)</f>
        <v>142.704</v>
      </c>
      <c r="H120">
        <f>IFERROR(__xludf.DUMMYFUNCTION("""COMPUTED_VALUE"""),9.0636757E7)</f>
        <v>90636757</v>
      </c>
    </row>
    <row r="121">
      <c r="A121" t="str">
        <f>IFERROR(__xludf.DUMMYFUNCTION("""COMPUTED_VALUE"""),"AAPL")</f>
        <v>AAPL</v>
      </c>
      <c r="B121" s="8">
        <f>IFERROR(__xludf.DUMMYFUNCTION("""COMPUTED_VALUE"""),44221.0)</f>
        <v>44221</v>
      </c>
      <c r="C121">
        <f>IFERROR(__xludf.DUMMYFUNCTION("""COMPUTED_VALUE"""),143.07)</f>
        <v>143.07</v>
      </c>
      <c r="D121">
        <f>IFERROR(__xludf.DUMMYFUNCTION("""COMPUTED_VALUE"""),145.08)</f>
        <v>145.08</v>
      </c>
      <c r="E121">
        <f>IFERROR(__xludf.DUMMYFUNCTION("""COMPUTED_VALUE"""),136.54)</f>
        <v>136.54</v>
      </c>
      <c r="F121">
        <f>IFERROR(__xludf.DUMMYFUNCTION("""COMPUTED_VALUE"""),142.92)</f>
        <v>142.92</v>
      </c>
      <c r="G121">
        <f>IFERROR(__xludf.DUMMYFUNCTION("""COMPUTED_VALUE"""),142.465)</f>
        <v>142.465</v>
      </c>
      <c r="H121">
        <f>IFERROR(__xludf.DUMMYFUNCTION("""COMPUTED_VALUE"""),1.53806577E8)</f>
        <v>153806577</v>
      </c>
    </row>
    <row r="122">
      <c r="A122" t="str">
        <f>IFERROR(__xludf.DUMMYFUNCTION("""COMPUTED_VALUE"""),"AAPL")</f>
        <v>AAPL</v>
      </c>
      <c r="B122" s="8">
        <f>IFERROR(__xludf.DUMMYFUNCTION("""COMPUTED_VALUE"""),44218.0)</f>
        <v>44218</v>
      </c>
      <c r="C122">
        <f>IFERROR(__xludf.DUMMYFUNCTION("""COMPUTED_VALUE"""),136.28)</f>
        <v>136.28</v>
      </c>
      <c r="D122">
        <f>IFERROR(__xludf.DUMMYFUNCTION("""COMPUTED_VALUE"""),139.85)</f>
        <v>139.85</v>
      </c>
      <c r="E122">
        <f>IFERROR(__xludf.DUMMYFUNCTION("""COMPUTED_VALUE"""),135.02)</f>
        <v>135.02</v>
      </c>
      <c r="F122">
        <f>IFERROR(__xludf.DUMMYFUNCTION("""COMPUTED_VALUE"""),139.07)</f>
        <v>139.07</v>
      </c>
      <c r="G122">
        <f>IFERROR(__xludf.DUMMYFUNCTION("""COMPUTED_VALUE"""),138.627)</f>
        <v>138.627</v>
      </c>
      <c r="H122">
        <f>IFERROR(__xludf.DUMMYFUNCTION("""COMPUTED_VALUE"""),1.1066657E8)</f>
        <v>110666570</v>
      </c>
    </row>
    <row r="123">
      <c r="A123" t="str">
        <f>IFERROR(__xludf.DUMMYFUNCTION("""COMPUTED_VALUE"""),"AAPL")</f>
        <v>AAPL</v>
      </c>
      <c r="B123" s="8">
        <f>IFERROR(__xludf.DUMMYFUNCTION("""COMPUTED_VALUE"""),44217.0)</f>
        <v>44217</v>
      </c>
      <c r="C123">
        <f>IFERROR(__xludf.DUMMYFUNCTION("""COMPUTED_VALUE"""),133.8)</f>
        <v>133.8</v>
      </c>
      <c r="D123">
        <f>IFERROR(__xludf.DUMMYFUNCTION("""COMPUTED_VALUE"""),137.34)</f>
        <v>137.34</v>
      </c>
      <c r="E123">
        <f>IFERROR(__xludf.DUMMYFUNCTION("""COMPUTED_VALUE"""),133.59)</f>
        <v>133.59</v>
      </c>
      <c r="F123">
        <f>IFERROR(__xludf.DUMMYFUNCTION("""COMPUTED_VALUE"""),136.87)</f>
        <v>136.87</v>
      </c>
      <c r="G123">
        <f>IFERROR(__xludf.DUMMYFUNCTION("""COMPUTED_VALUE"""),136.434)</f>
        <v>136.434</v>
      </c>
      <c r="H123">
        <f>IFERROR(__xludf.DUMMYFUNCTION("""COMPUTED_VALUE"""),1.13921749E8)</f>
        <v>113921749</v>
      </c>
    </row>
    <row r="124">
      <c r="A124" t="str">
        <f>IFERROR(__xludf.DUMMYFUNCTION("""COMPUTED_VALUE"""),"AAPL")</f>
        <v>AAPL</v>
      </c>
      <c r="B124" s="8">
        <f>IFERROR(__xludf.DUMMYFUNCTION("""COMPUTED_VALUE"""),44216.0)</f>
        <v>44216</v>
      </c>
      <c r="C124">
        <f>IFERROR(__xludf.DUMMYFUNCTION("""COMPUTED_VALUE"""),128.66)</f>
        <v>128.66</v>
      </c>
      <c r="D124">
        <f>IFERROR(__xludf.DUMMYFUNCTION("""COMPUTED_VALUE"""),132.49)</f>
        <v>132.49</v>
      </c>
      <c r="E124">
        <f>IFERROR(__xludf.DUMMYFUNCTION("""COMPUTED_VALUE"""),128.55)</f>
        <v>128.55</v>
      </c>
      <c r="F124">
        <f>IFERROR(__xludf.DUMMYFUNCTION("""COMPUTED_VALUE"""),132.03)</f>
        <v>132.03</v>
      </c>
      <c r="G124">
        <f>IFERROR(__xludf.DUMMYFUNCTION("""COMPUTED_VALUE"""),131.609)</f>
        <v>131.609</v>
      </c>
      <c r="H124">
        <f>IFERROR(__xludf.DUMMYFUNCTION("""COMPUTED_VALUE"""),9.8769961E7)</f>
        <v>98769961</v>
      </c>
    </row>
    <row r="125">
      <c r="A125" t="str">
        <f>IFERROR(__xludf.DUMMYFUNCTION("""COMPUTED_VALUE"""),"AAPL")</f>
        <v>AAPL</v>
      </c>
      <c r="B125" s="8">
        <f>IFERROR(__xludf.DUMMYFUNCTION("""COMPUTED_VALUE"""),44215.0)</f>
        <v>44215</v>
      </c>
      <c r="C125">
        <f>IFERROR(__xludf.DUMMYFUNCTION("""COMPUTED_VALUE"""),127.78)</f>
        <v>127.78</v>
      </c>
      <c r="D125">
        <f>IFERROR(__xludf.DUMMYFUNCTION("""COMPUTED_VALUE"""),128.71)</f>
        <v>128.71</v>
      </c>
      <c r="E125">
        <f>IFERROR(__xludf.DUMMYFUNCTION("""COMPUTED_VALUE"""),126.938)</f>
        <v>126.938</v>
      </c>
      <c r="F125">
        <f>IFERROR(__xludf.DUMMYFUNCTION("""COMPUTED_VALUE"""),127.83)</f>
        <v>127.83</v>
      </c>
      <c r="G125">
        <f>IFERROR(__xludf.DUMMYFUNCTION("""COMPUTED_VALUE"""),127.423)</f>
        <v>127.423</v>
      </c>
      <c r="H125">
        <f>IFERROR(__xludf.DUMMYFUNCTION("""COMPUTED_VALUE"""),8.5222175E7)</f>
        <v>85222175</v>
      </c>
    </row>
    <row r="126">
      <c r="A126" t="str">
        <f>IFERROR(__xludf.DUMMYFUNCTION("""COMPUTED_VALUE"""),"AAPL")</f>
        <v>AAPL</v>
      </c>
      <c r="B126" s="8">
        <f>IFERROR(__xludf.DUMMYFUNCTION("""COMPUTED_VALUE"""),44211.0)</f>
        <v>44211</v>
      </c>
      <c r="C126">
        <f>IFERROR(__xludf.DUMMYFUNCTION("""COMPUTED_VALUE"""),128.78)</f>
        <v>128.78</v>
      </c>
      <c r="D126">
        <f>IFERROR(__xludf.DUMMYFUNCTION("""COMPUTED_VALUE"""),130.21)</f>
        <v>130.21</v>
      </c>
      <c r="E126">
        <f>IFERROR(__xludf.DUMMYFUNCTION("""COMPUTED_VALUE"""),127.0)</f>
        <v>127</v>
      </c>
      <c r="F126">
        <f>IFERROR(__xludf.DUMMYFUNCTION("""COMPUTED_VALUE"""),127.14)</f>
        <v>127.14</v>
      </c>
      <c r="G126">
        <f>IFERROR(__xludf.DUMMYFUNCTION("""COMPUTED_VALUE"""),126.735)</f>
        <v>126.735</v>
      </c>
      <c r="H126">
        <f>IFERROR(__xludf.DUMMYFUNCTION("""COMPUTED_VALUE"""),1.04078002E8)</f>
        <v>104078002</v>
      </c>
    </row>
    <row r="127">
      <c r="A127" t="str">
        <f>IFERROR(__xludf.DUMMYFUNCTION("""COMPUTED_VALUE"""),"AAPL")</f>
        <v>AAPL</v>
      </c>
      <c r="B127" s="8">
        <f>IFERROR(__xludf.DUMMYFUNCTION("""COMPUTED_VALUE"""),44210.0)</f>
        <v>44210</v>
      </c>
      <c r="C127">
        <f>IFERROR(__xludf.DUMMYFUNCTION("""COMPUTED_VALUE"""),130.8)</f>
        <v>130.8</v>
      </c>
      <c r="D127">
        <f>IFERROR(__xludf.DUMMYFUNCTION("""COMPUTED_VALUE"""),131.0)</f>
        <v>131</v>
      </c>
      <c r="E127">
        <f>IFERROR(__xludf.DUMMYFUNCTION("""COMPUTED_VALUE"""),128.78)</f>
        <v>128.78</v>
      </c>
      <c r="F127">
        <f>IFERROR(__xludf.DUMMYFUNCTION("""COMPUTED_VALUE"""),128.91)</f>
        <v>128.91</v>
      </c>
      <c r="G127">
        <f>IFERROR(__xludf.DUMMYFUNCTION("""COMPUTED_VALUE"""),128.499)</f>
        <v>128.499</v>
      </c>
      <c r="H127">
        <f>IFERROR(__xludf.DUMMYFUNCTION("""COMPUTED_VALUE"""),8.5227957E7)</f>
        <v>85227957</v>
      </c>
    </row>
    <row r="128">
      <c r="A128" t="str">
        <f>IFERROR(__xludf.DUMMYFUNCTION("""COMPUTED_VALUE"""),"AAPL")</f>
        <v>AAPL</v>
      </c>
      <c r="B128" s="8">
        <f>IFERROR(__xludf.DUMMYFUNCTION("""COMPUTED_VALUE"""),44209.0)</f>
        <v>44209</v>
      </c>
      <c r="C128">
        <f>IFERROR(__xludf.DUMMYFUNCTION("""COMPUTED_VALUE"""),128.76)</f>
        <v>128.76</v>
      </c>
      <c r="D128">
        <f>IFERROR(__xludf.DUMMYFUNCTION("""COMPUTED_VALUE"""),131.45)</f>
        <v>131.45</v>
      </c>
      <c r="E128">
        <f>IFERROR(__xludf.DUMMYFUNCTION("""COMPUTED_VALUE"""),128.49)</f>
        <v>128.49</v>
      </c>
      <c r="F128">
        <f>IFERROR(__xludf.DUMMYFUNCTION("""COMPUTED_VALUE"""),130.89)</f>
        <v>130.89</v>
      </c>
      <c r="G128">
        <f>IFERROR(__xludf.DUMMYFUNCTION("""COMPUTED_VALUE"""),130.473)</f>
        <v>130.473</v>
      </c>
      <c r="H128">
        <f>IFERROR(__xludf.DUMMYFUNCTION("""COMPUTED_VALUE"""),8.5493977E7)</f>
        <v>85493977</v>
      </c>
    </row>
    <row r="129">
      <c r="A129" t="str">
        <f>IFERROR(__xludf.DUMMYFUNCTION("""COMPUTED_VALUE"""),"AAPL")</f>
        <v>AAPL</v>
      </c>
      <c r="B129" s="8">
        <f>IFERROR(__xludf.DUMMYFUNCTION("""COMPUTED_VALUE"""),44208.0)</f>
        <v>44208</v>
      </c>
      <c r="C129">
        <f>IFERROR(__xludf.DUMMYFUNCTION("""COMPUTED_VALUE"""),128.5)</f>
        <v>128.5</v>
      </c>
      <c r="D129">
        <f>IFERROR(__xludf.DUMMYFUNCTION("""COMPUTED_VALUE"""),129.69)</f>
        <v>129.69</v>
      </c>
      <c r="E129">
        <f>IFERROR(__xludf.DUMMYFUNCTION("""COMPUTED_VALUE"""),126.86)</f>
        <v>126.86</v>
      </c>
      <c r="F129">
        <f>IFERROR(__xludf.DUMMYFUNCTION("""COMPUTED_VALUE"""),128.8)</f>
        <v>128.8</v>
      </c>
      <c r="G129">
        <f>IFERROR(__xludf.DUMMYFUNCTION("""COMPUTED_VALUE"""),128.39)</f>
        <v>128.39</v>
      </c>
      <c r="H129">
        <f>IFERROR(__xludf.DUMMYFUNCTION("""COMPUTED_VALUE"""),8.8574402E7)</f>
        <v>88574402</v>
      </c>
    </row>
    <row r="130">
      <c r="A130" t="str">
        <f>IFERROR(__xludf.DUMMYFUNCTION("""COMPUTED_VALUE"""),"AAPL")</f>
        <v>AAPL</v>
      </c>
      <c r="B130" s="8">
        <f>IFERROR(__xludf.DUMMYFUNCTION("""COMPUTED_VALUE"""),44207.0)</f>
        <v>44207</v>
      </c>
      <c r="C130">
        <f>IFERROR(__xludf.DUMMYFUNCTION("""COMPUTED_VALUE"""),129.19)</f>
        <v>129.19</v>
      </c>
      <c r="D130">
        <f>IFERROR(__xludf.DUMMYFUNCTION("""COMPUTED_VALUE"""),130.17)</f>
        <v>130.17</v>
      </c>
      <c r="E130">
        <f>IFERROR(__xludf.DUMMYFUNCTION("""COMPUTED_VALUE"""),128.5)</f>
        <v>128.5</v>
      </c>
      <c r="F130">
        <f>IFERROR(__xludf.DUMMYFUNCTION("""COMPUTED_VALUE"""),128.98)</f>
        <v>128.98</v>
      </c>
      <c r="G130">
        <f>IFERROR(__xludf.DUMMYFUNCTION("""COMPUTED_VALUE"""),128.569)</f>
        <v>128.569</v>
      </c>
      <c r="H130">
        <f>IFERROR(__xludf.DUMMYFUNCTION("""COMPUTED_VALUE"""),9.4165104E7)</f>
        <v>94165104</v>
      </c>
    </row>
    <row r="131">
      <c r="A131" t="str">
        <f>IFERROR(__xludf.DUMMYFUNCTION("""COMPUTED_VALUE"""),"AAPL")</f>
        <v>AAPL</v>
      </c>
      <c r="B131" s="8">
        <f>IFERROR(__xludf.DUMMYFUNCTION("""COMPUTED_VALUE"""),44204.0)</f>
        <v>44204</v>
      </c>
      <c r="C131">
        <f>IFERROR(__xludf.DUMMYFUNCTION("""COMPUTED_VALUE"""),132.43)</f>
        <v>132.43</v>
      </c>
      <c r="D131">
        <f>IFERROR(__xludf.DUMMYFUNCTION("""COMPUTED_VALUE"""),132.63)</f>
        <v>132.63</v>
      </c>
      <c r="E131">
        <f>IFERROR(__xludf.DUMMYFUNCTION("""COMPUTED_VALUE"""),130.23)</f>
        <v>130.23</v>
      </c>
      <c r="F131">
        <f>IFERROR(__xludf.DUMMYFUNCTION("""COMPUTED_VALUE"""),132.05)</f>
        <v>132.05</v>
      </c>
      <c r="G131">
        <f>IFERROR(__xludf.DUMMYFUNCTION("""COMPUTED_VALUE"""),131.629)</f>
        <v>131.629</v>
      </c>
      <c r="H131">
        <f>IFERROR(__xludf.DUMMYFUNCTION("""COMPUTED_VALUE"""),1.00750234E8)</f>
        <v>100750234</v>
      </c>
    </row>
    <row r="132">
      <c r="A132" t="str">
        <f>IFERROR(__xludf.DUMMYFUNCTION("""COMPUTED_VALUE"""),"AAPL")</f>
        <v>AAPL</v>
      </c>
      <c r="B132" s="8">
        <f>IFERROR(__xludf.DUMMYFUNCTION("""COMPUTED_VALUE"""),44203.0)</f>
        <v>44203</v>
      </c>
      <c r="C132">
        <f>IFERROR(__xludf.DUMMYFUNCTION("""COMPUTED_VALUE"""),128.36)</f>
        <v>128.36</v>
      </c>
      <c r="D132">
        <f>IFERROR(__xludf.DUMMYFUNCTION("""COMPUTED_VALUE"""),131.63)</f>
        <v>131.63</v>
      </c>
      <c r="E132">
        <f>IFERROR(__xludf.DUMMYFUNCTION("""COMPUTED_VALUE"""),127.86)</f>
        <v>127.86</v>
      </c>
      <c r="F132">
        <f>IFERROR(__xludf.DUMMYFUNCTION("""COMPUTED_VALUE"""),130.92)</f>
        <v>130.92</v>
      </c>
      <c r="G132">
        <f>IFERROR(__xludf.DUMMYFUNCTION("""COMPUTED_VALUE"""),130.503)</f>
        <v>130.503</v>
      </c>
      <c r="H132">
        <f>IFERROR(__xludf.DUMMYFUNCTION("""COMPUTED_VALUE"""),1.03598654E8)</f>
        <v>103598654</v>
      </c>
    </row>
    <row r="133">
      <c r="A133" t="str">
        <f>IFERROR(__xludf.DUMMYFUNCTION("""COMPUTED_VALUE"""),"AAPL")</f>
        <v>AAPL</v>
      </c>
      <c r="B133" s="8">
        <f>IFERROR(__xludf.DUMMYFUNCTION("""COMPUTED_VALUE"""),44202.0)</f>
        <v>44202</v>
      </c>
      <c r="C133">
        <f>IFERROR(__xludf.DUMMYFUNCTION("""COMPUTED_VALUE"""),127.72)</f>
        <v>127.72</v>
      </c>
      <c r="D133">
        <f>IFERROR(__xludf.DUMMYFUNCTION("""COMPUTED_VALUE"""),131.05)</f>
        <v>131.05</v>
      </c>
      <c r="E133">
        <f>IFERROR(__xludf.DUMMYFUNCTION("""COMPUTED_VALUE"""),126.382)</f>
        <v>126.382</v>
      </c>
      <c r="F133">
        <f>IFERROR(__xludf.DUMMYFUNCTION("""COMPUTED_VALUE"""),126.6)</f>
        <v>126.6</v>
      </c>
      <c r="G133">
        <f>IFERROR(__xludf.DUMMYFUNCTION("""COMPUTED_VALUE"""),126.197)</f>
        <v>126.197</v>
      </c>
      <c r="H133">
        <f>IFERROR(__xludf.DUMMYFUNCTION("""COMPUTED_VALUE"""),1.51824099E8)</f>
        <v>151824099</v>
      </c>
    </row>
    <row r="134">
      <c r="A134" t="str">
        <f>IFERROR(__xludf.DUMMYFUNCTION("""COMPUTED_VALUE"""),"AAPL")</f>
        <v>AAPL</v>
      </c>
      <c r="B134" s="8">
        <f>IFERROR(__xludf.DUMMYFUNCTION("""COMPUTED_VALUE"""),44201.0)</f>
        <v>44201</v>
      </c>
      <c r="C134">
        <f>IFERROR(__xludf.DUMMYFUNCTION("""COMPUTED_VALUE"""),128.89)</f>
        <v>128.89</v>
      </c>
      <c r="D134">
        <f>IFERROR(__xludf.DUMMYFUNCTION("""COMPUTED_VALUE"""),131.74)</f>
        <v>131.74</v>
      </c>
      <c r="E134">
        <f>IFERROR(__xludf.DUMMYFUNCTION("""COMPUTED_VALUE"""),128.43)</f>
        <v>128.43</v>
      </c>
      <c r="F134">
        <f>IFERROR(__xludf.DUMMYFUNCTION("""COMPUTED_VALUE"""),131.01)</f>
        <v>131.01</v>
      </c>
      <c r="G134">
        <f>IFERROR(__xludf.DUMMYFUNCTION("""COMPUTED_VALUE"""),130.593)</f>
        <v>130.593</v>
      </c>
      <c r="H134">
        <f>IFERROR(__xludf.DUMMYFUNCTION("""COMPUTED_VALUE"""),9.2540792E7)</f>
        <v>92540792</v>
      </c>
    </row>
    <row r="135">
      <c r="A135" t="str">
        <f>IFERROR(__xludf.DUMMYFUNCTION("""COMPUTED_VALUE"""),"AAPL")</f>
        <v>AAPL</v>
      </c>
      <c r="B135">
        <f>IFERROR(__xludf.DUMMYFUNCTION("""COMPUTED_VALUE"""),44200.0)</f>
        <v>44200</v>
      </c>
      <c r="C135">
        <f>IFERROR(__xludf.DUMMYFUNCTION("""COMPUTED_VALUE"""),133.52)</f>
        <v>133.52</v>
      </c>
      <c r="D135">
        <f>IFERROR(__xludf.DUMMYFUNCTION("""COMPUTED_VALUE"""),133.612)</f>
        <v>133.612</v>
      </c>
      <c r="E135">
        <f>IFERROR(__xludf.DUMMYFUNCTION("""COMPUTED_VALUE"""),126.76)</f>
        <v>126.76</v>
      </c>
      <c r="F135">
        <f>IFERROR(__xludf.DUMMYFUNCTION("""COMPUTED_VALUE"""),129.41)</f>
        <v>129.41</v>
      </c>
      <c r="G135">
        <f>IFERROR(__xludf.DUMMYFUNCTION("""COMPUTED_VALUE"""),128.998)</f>
        <v>128.998</v>
      </c>
      <c r="H135">
        <f>IFERROR(__xludf.DUMMYFUNCTION("""COMPUTED_VALUE"""),1.36307431E8)</f>
        <v>136307431</v>
      </c>
    </row>
    <row r="136">
      <c r="A136" t="str">
        <f>IFERROR(__xludf.DUMMYFUNCTION("""COMPUTED_VALUE"""),"AAPL")</f>
        <v>AAPL</v>
      </c>
      <c r="B136">
        <f>IFERROR(__xludf.DUMMYFUNCTION("""COMPUTED_VALUE"""),44196.0)</f>
        <v>44196</v>
      </c>
      <c r="C136">
        <f>IFERROR(__xludf.DUMMYFUNCTION("""COMPUTED_VALUE"""),134.08)</f>
        <v>134.08</v>
      </c>
      <c r="D136">
        <f>IFERROR(__xludf.DUMMYFUNCTION("""COMPUTED_VALUE"""),134.73)</f>
        <v>134.73</v>
      </c>
      <c r="E136">
        <f>IFERROR(__xludf.DUMMYFUNCTION("""COMPUTED_VALUE"""),131.73)</f>
        <v>131.73</v>
      </c>
      <c r="F136">
        <f>IFERROR(__xludf.DUMMYFUNCTION("""COMPUTED_VALUE"""),132.69)</f>
        <v>132.69</v>
      </c>
      <c r="G136">
        <f>IFERROR(__xludf.DUMMYFUNCTION("""COMPUTED_VALUE"""),132.267)</f>
        <v>132.267</v>
      </c>
      <c r="H136">
        <f>IFERROR(__xludf.DUMMYFUNCTION("""COMPUTED_VALUE"""),9.6942531E7)</f>
        <v>96942531</v>
      </c>
    </row>
    <row r="137">
      <c r="A137" t="str">
        <f>IFERROR(__xludf.DUMMYFUNCTION("""COMPUTED_VALUE"""),"AAPL")</f>
        <v>AAPL</v>
      </c>
      <c r="B137">
        <f>IFERROR(__xludf.DUMMYFUNCTION("""COMPUTED_VALUE"""),44195.0)</f>
        <v>44195</v>
      </c>
      <c r="C137">
        <f>IFERROR(__xludf.DUMMYFUNCTION("""COMPUTED_VALUE"""),135.58)</f>
        <v>135.58</v>
      </c>
      <c r="D137">
        <f>IFERROR(__xludf.DUMMYFUNCTION("""COMPUTED_VALUE"""),135.99)</f>
        <v>135.99</v>
      </c>
      <c r="E137">
        <f>IFERROR(__xludf.DUMMYFUNCTION("""COMPUTED_VALUE"""),133.4)</f>
        <v>133.4</v>
      </c>
      <c r="F137">
        <f>IFERROR(__xludf.DUMMYFUNCTION("""COMPUTED_VALUE"""),133.72)</f>
        <v>133.72</v>
      </c>
      <c r="G137">
        <f>IFERROR(__xludf.DUMMYFUNCTION("""COMPUTED_VALUE"""),133.294)</f>
        <v>133.294</v>
      </c>
      <c r="H137">
        <f>IFERROR(__xludf.DUMMYFUNCTION("""COMPUTED_VALUE"""),9.2882124E7)</f>
        <v>92882124</v>
      </c>
    </row>
    <row r="138">
      <c r="A138" t="str">
        <f>IFERROR(__xludf.DUMMYFUNCTION("""COMPUTED_VALUE"""),"AAPL")</f>
        <v>AAPL</v>
      </c>
      <c r="B138">
        <f>IFERROR(__xludf.DUMMYFUNCTION("""COMPUTED_VALUE"""),44194.0)</f>
        <v>44194</v>
      </c>
      <c r="C138">
        <f>IFERROR(__xludf.DUMMYFUNCTION("""COMPUTED_VALUE"""),138.05)</f>
        <v>138.05</v>
      </c>
      <c r="D138">
        <f>IFERROR(__xludf.DUMMYFUNCTION("""COMPUTED_VALUE"""),138.785)</f>
        <v>138.785</v>
      </c>
      <c r="E138">
        <f>IFERROR(__xludf.DUMMYFUNCTION("""COMPUTED_VALUE"""),134.341)</f>
        <v>134.341</v>
      </c>
      <c r="F138">
        <f>IFERROR(__xludf.DUMMYFUNCTION("""COMPUTED_VALUE"""),134.87)</f>
        <v>134.87</v>
      </c>
      <c r="G138">
        <f>IFERROR(__xludf.DUMMYFUNCTION("""COMPUTED_VALUE"""),134.44)</f>
        <v>134.44</v>
      </c>
      <c r="H138">
        <f>IFERROR(__xludf.DUMMYFUNCTION("""COMPUTED_VALUE"""),1.18511954E8)</f>
        <v>118511954</v>
      </c>
    </row>
    <row r="139">
      <c r="A139" t="str">
        <f>IFERROR(__xludf.DUMMYFUNCTION("""COMPUTED_VALUE"""),"AAPL")</f>
        <v>AAPL</v>
      </c>
      <c r="B139">
        <f>IFERROR(__xludf.DUMMYFUNCTION("""COMPUTED_VALUE"""),44193.0)</f>
        <v>44193</v>
      </c>
      <c r="C139">
        <f>IFERROR(__xludf.DUMMYFUNCTION("""COMPUTED_VALUE"""),133.99)</f>
        <v>133.99</v>
      </c>
      <c r="D139">
        <f>IFERROR(__xludf.DUMMYFUNCTION("""COMPUTED_VALUE"""),137.34)</f>
        <v>137.34</v>
      </c>
      <c r="E139">
        <f>IFERROR(__xludf.DUMMYFUNCTION("""COMPUTED_VALUE"""),133.51)</f>
        <v>133.51</v>
      </c>
      <c r="F139">
        <f>IFERROR(__xludf.DUMMYFUNCTION("""COMPUTED_VALUE"""),136.69)</f>
        <v>136.69</v>
      </c>
      <c r="G139">
        <f>IFERROR(__xludf.DUMMYFUNCTION("""COMPUTED_VALUE"""),136.255)</f>
        <v>136.255</v>
      </c>
      <c r="H139">
        <f>IFERROR(__xludf.DUMMYFUNCTION("""COMPUTED_VALUE"""),1.20946937E8)</f>
        <v>120946937</v>
      </c>
    </row>
    <row r="140">
      <c r="A140" t="str">
        <f>IFERROR(__xludf.DUMMYFUNCTION("""COMPUTED_VALUE"""),"AAPL")</f>
        <v>AAPL</v>
      </c>
      <c r="B140">
        <f>IFERROR(__xludf.DUMMYFUNCTION("""COMPUTED_VALUE"""),44189.0)</f>
        <v>44189</v>
      </c>
      <c r="C140">
        <f>IFERROR(__xludf.DUMMYFUNCTION("""COMPUTED_VALUE"""),131.32)</f>
        <v>131.32</v>
      </c>
      <c r="D140">
        <f>IFERROR(__xludf.DUMMYFUNCTION("""COMPUTED_VALUE"""),133.46)</f>
        <v>133.46</v>
      </c>
      <c r="E140">
        <f>IFERROR(__xludf.DUMMYFUNCTION("""COMPUTED_VALUE"""),131.1)</f>
        <v>131.1</v>
      </c>
      <c r="F140">
        <f>IFERROR(__xludf.DUMMYFUNCTION("""COMPUTED_VALUE"""),131.97)</f>
        <v>131.97</v>
      </c>
      <c r="G140">
        <f>IFERROR(__xludf.DUMMYFUNCTION("""COMPUTED_VALUE"""),131.55)</f>
        <v>131.55</v>
      </c>
      <c r="H140">
        <f>IFERROR(__xludf.DUMMYFUNCTION("""COMPUTED_VALUE"""),5.4213606E7)</f>
        <v>54213606</v>
      </c>
    </row>
    <row r="141">
      <c r="A141" t="str">
        <f>IFERROR(__xludf.DUMMYFUNCTION("""COMPUTED_VALUE"""),"AAPL")</f>
        <v>AAPL</v>
      </c>
      <c r="B141">
        <f>IFERROR(__xludf.DUMMYFUNCTION("""COMPUTED_VALUE"""),44188.0)</f>
        <v>44188</v>
      </c>
      <c r="C141">
        <f>IFERROR(__xludf.DUMMYFUNCTION("""COMPUTED_VALUE"""),132.16)</f>
        <v>132.16</v>
      </c>
      <c r="D141">
        <f>IFERROR(__xludf.DUMMYFUNCTION("""COMPUTED_VALUE"""),132.42)</f>
        <v>132.42</v>
      </c>
      <c r="E141">
        <f>IFERROR(__xludf.DUMMYFUNCTION("""COMPUTED_VALUE"""),130.78)</f>
        <v>130.78</v>
      </c>
      <c r="F141">
        <f>IFERROR(__xludf.DUMMYFUNCTION("""COMPUTED_VALUE"""),130.96)</f>
        <v>130.96</v>
      </c>
      <c r="G141">
        <f>IFERROR(__xludf.DUMMYFUNCTION("""COMPUTED_VALUE"""),130.543)</f>
        <v>130.543</v>
      </c>
      <c r="H141">
        <f>IFERROR(__xludf.DUMMYFUNCTION("""COMPUTED_VALUE"""),8.4060162E7)</f>
        <v>84060162</v>
      </c>
    </row>
    <row r="142">
      <c r="A142" t="str">
        <f>IFERROR(__xludf.DUMMYFUNCTION("""COMPUTED_VALUE"""),"AAPL")</f>
        <v>AAPL</v>
      </c>
      <c r="B142">
        <f>IFERROR(__xludf.DUMMYFUNCTION("""COMPUTED_VALUE"""),44187.0)</f>
        <v>44187</v>
      </c>
      <c r="C142">
        <f>IFERROR(__xludf.DUMMYFUNCTION("""COMPUTED_VALUE"""),131.61)</f>
        <v>131.61</v>
      </c>
      <c r="D142">
        <f>IFERROR(__xludf.DUMMYFUNCTION("""COMPUTED_VALUE"""),134.405)</f>
        <v>134.405</v>
      </c>
      <c r="E142">
        <f>IFERROR(__xludf.DUMMYFUNCTION("""COMPUTED_VALUE"""),129.655)</f>
        <v>129.655</v>
      </c>
      <c r="F142">
        <f>IFERROR(__xludf.DUMMYFUNCTION("""COMPUTED_VALUE"""),131.88)</f>
        <v>131.88</v>
      </c>
      <c r="G142">
        <f>IFERROR(__xludf.DUMMYFUNCTION("""COMPUTED_VALUE"""),131.46)</f>
        <v>131.46</v>
      </c>
      <c r="H142">
        <f>IFERROR(__xludf.DUMMYFUNCTION("""COMPUTED_VALUE"""),1.65746075E8)</f>
        <v>165746075</v>
      </c>
    </row>
    <row r="143">
      <c r="A143" t="str">
        <f>IFERROR(__xludf.DUMMYFUNCTION("""COMPUTED_VALUE"""),"AAPL")</f>
        <v>AAPL</v>
      </c>
      <c r="B143">
        <f>IFERROR(__xludf.DUMMYFUNCTION("""COMPUTED_VALUE"""),44186.0)</f>
        <v>44186</v>
      </c>
      <c r="C143">
        <f>IFERROR(__xludf.DUMMYFUNCTION("""COMPUTED_VALUE"""),125.02)</f>
        <v>125.02</v>
      </c>
      <c r="D143">
        <f>IFERROR(__xludf.DUMMYFUNCTION("""COMPUTED_VALUE"""),128.31)</f>
        <v>128.31</v>
      </c>
      <c r="E143">
        <f>IFERROR(__xludf.DUMMYFUNCTION("""COMPUTED_VALUE"""),123.449)</f>
        <v>123.449</v>
      </c>
      <c r="F143">
        <f>IFERROR(__xludf.DUMMYFUNCTION("""COMPUTED_VALUE"""),128.23)</f>
        <v>128.23</v>
      </c>
      <c r="G143">
        <f>IFERROR(__xludf.DUMMYFUNCTION("""COMPUTED_VALUE"""),127.822)</f>
        <v>127.822</v>
      </c>
      <c r="H143">
        <f>IFERROR(__xludf.DUMMYFUNCTION("""COMPUTED_VALUE"""),1.098181E8)</f>
        <v>109818100</v>
      </c>
    </row>
    <row r="144">
      <c r="A144" t="str">
        <f>IFERROR(__xludf.DUMMYFUNCTION("""COMPUTED_VALUE"""),"AAPL")</f>
        <v>AAPL</v>
      </c>
      <c r="B144">
        <f>IFERROR(__xludf.DUMMYFUNCTION("""COMPUTED_VALUE"""),44183.0)</f>
        <v>44183</v>
      </c>
      <c r="C144">
        <f>IFERROR(__xludf.DUMMYFUNCTION("""COMPUTED_VALUE"""),128.96)</f>
        <v>128.96</v>
      </c>
      <c r="D144">
        <f>IFERROR(__xludf.DUMMYFUNCTION("""COMPUTED_VALUE"""),129.1)</f>
        <v>129.1</v>
      </c>
      <c r="E144">
        <f>IFERROR(__xludf.DUMMYFUNCTION("""COMPUTED_VALUE"""),126.12)</f>
        <v>126.12</v>
      </c>
      <c r="F144">
        <f>IFERROR(__xludf.DUMMYFUNCTION("""COMPUTED_VALUE"""),126.655)</f>
        <v>126.655</v>
      </c>
      <c r="G144">
        <f>IFERROR(__xludf.DUMMYFUNCTION("""COMPUTED_VALUE"""),126.257)</f>
        <v>126.257</v>
      </c>
      <c r="H144">
        <f>IFERROR(__xludf.DUMMYFUNCTION("""COMPUTED_VALUE"""),1.77419205E8)</f>
        <v>177419205</v>
      </c>
    </row>
    <row r="145">
      <c r="A145" t="str">
        <f>IFERROR(__xludf.DUMMYFUNCTION("""COMPUTED_VALUE"""),"AAPL")</f>
        <v>AAPL</v>
      </c>
      <c r="B145">
        <f>IFERROR(__xludf.DUMMYFUNCTION("""COMPUTED_VALUE"""),44182.0)</f>
        <v>44182</v>
      </c>
      <c r="C145">
        <f>IFERROR(__xludf.DUMMYFUNCTION("""COMPUTED_VALUE"""),128.9)</f>
        <v>128.9</v>
      </c>
      <c r="D145">
        <f>IFERROR(__xludf.DUMMYFUNCTION("""COMPUTED_VALUE"""),129.565)</f>
        <v>129.565</v>
      </c>
      <c r="E145">
        <f>IFERROR(__xludf.DUMMYFUNCTION("""COMPUTED_VALUE"""),128.05)</f>
        <v>128.05</v>
      </c>
      <c r="F145">
        <f>IFERROR(__xludf.DUMMYFUNCTION("""COMPUTED_VALUE"""),128.7)</f>
        <v>128.7</v>
      </c>
      <c r="G145">
        <f>IFERROR(__xludf.DUMMYFUNCTION("""COMPUTED_VALUE"""),128.29)</f>
        <v>128.29</v>
      </c>
      <c r="H145">
        <f>IFERROR(__xludf.DUMMYFUNCTION("""COMPUTED_VALUE"""),8.4467153E7)</f>
        <v>84467153</v>
      </c>
    </row>
    <row r="146">
      <c r="A146" t="str">
        <f>IFERROR(__xludf.DUMMYFUNCTION("""COMPUTED_VALUE"""),"AAPL")</f>
        <v>AAPL</v>
      </c>
      <c r="B146">
        <f>IFERROR(__xludf.DUMMYFUNCTION("""COMPUTED_VALUE"""),44181.0)</f>
        <v>44181</v>
      </c>
      <c r="C146">
        <f>IFERROR(__xludf.DUMMYFUNCTION("""COMPUTED_VALUE"""),127.41)</f>
        <v>127.41</v>
      </c>
      <c r="D146">
        <f>IFERROR(__xludf.DUMMYFUNCTION("""COMPUTED_VALUE"""),128.36)</f>
        <v>128.36</v>
      </c>
      <c r="E146">
        <f>IFERROR(__xludf.DUMMYFUNCTION("""COMPUTED_VALUE"""),126.56)</f>
        <v>126.56</v>
      </c>
      <c r="F146">
        <f>IFERROR(__xludf.DUMMYFUNCTION("""COMPUTED_VALUE"""),127.81)</f>
        <v>127.81</v>
      </c>
      <c r="G146">
        <f>IFERROR(__xludf.DUMMYFUNCTION("""COMPUTED_VALUE"""),127.403)</f>
        <v>127.403</v>
      </c>
      <c r="H146">
        <f>IFERROR(__xludf.DUMMYFUNCTION("""COMPUTED_VALUE"""),9.3389066E7)</f>
        <v>93389066</v>
      </c>
    </row>
    <row r="147">
      <c r="A147" t="str">
        <f>IFERROR(__xludf.DUMMYFUNCTION("""COMPUTED_VALUE"""),"AAPL")</f>
        <v>AAPL</v>
      </c>
      <c r="B147">
        <f>IFERROR(__xludf.DUMMYFUNCTION("""COMPUTED_VALUE"""),44180.0)</f>
        <v>44180</v>
      </c>
      <c r="C147">
        <f>IFERROR(__xludf.DUMMYFUNCTION("""COMPUTED_VALUE"""),124.34)</f>
        <v>124.34</v>
      </c>
      <c r="D147">
        <f>IFERROR(__xludf.DUMMYFUNCTION("""COMPUTED_VALUE"""),127.9)</f>
        <v>127.9</v>
      </c>
      <c r="E147">
        <f>IFERROR(__xludf.DUMMYFUNCTION("""COMPUTED_VALUE"""),124.13)</f>
        <v>124.13</v>
      </c>
      <c r="F147">
        <f>IFERROR(__xludf.DUMMYFUNCTION("""COMPUTED_VALUE"""),127.88)</f>
        <v>127.88</v>
      </c>
      <c r="G147">
        <f>IFERROR(__xludf.DUMMYFUNCTION("""COMPUTED_VALUE"""),127.473)</f>
        <v>127.473</v>
      </c>
      <c r="H147">
        <f>IFERROR(__xludf.DUMMYFUNCTION("""COMPUTED_VALUE"""),1.50402367E8)</f>
        <v>150402367</v>
      </c>
    </row>
    <row r="148">
      <c r="A148" t="str">
        <f>IFERROR(__xludf.DUMMYFUNCTION("""COMPUTED_VALUE"""),"AAPL")</f>
        <v>AAPL</v>
      </c>
      <c r="B148">
        <f>IFERROR(__xludf.DUMMYFUNCTION("""COMPUTED_VALUE"""),44179.0)</f>
        <v>44179</v>
      </c>
      <c r="C148">
        <f>IFERROR(__xludf.DUMMYFUNCTION("""COMPUTED_VALUE"""),122.6)</f>
        <v>122.6</v>
      </c>
      <c r="D148">
        <f>IFERROR(__xludf.DUMMYFUNCTION("""COMPUTED_VALUE"""),123.35)</f>
        <v>123.35</v>
      </c>
      <c r="E148">
        <f>IFERROR(__xludf.DUMMYFUNCTION("""COMPUTED_VALUE"""),121.57)</f>
        <v>121.57</v>
      </c>
      <c r="F148">
        <f>IFERROR(__xludf.DUMMYFUNCTION("""COMPUTED_VALUE"""),121.78)</f>
        <v>121.78</v>
      </c>
      <c r="G148">
        <f>IFERROR(__xludf.DUMMYFUNCTION("""COMPUTED_VALUE"""),121.392)</f>
        <v>121.392</v>
      </c>
      <c r="H148">
        <f>IFERROR(__xludf.DUMMYFUNCTION("""COMPUTED_VALUE"""),7.7181641E7)</f>
        <v>77181641</v>
      </c>
    </row>
    <row r="149">
      <c r="A149" t="str">
        <f>IFERROR(__xludf.DUMMYFUNCTION("""COMPUTED_VALUE"""),"AAPL")</f>
        <v>AAPL</v>
      </c>
      <c r="B149">
        <f>IFERROR(__xludf.DUMMYFUNCTION("""COMPUTED_VALUE"""),44176.0)</f>
        <v>44176</v>
      </c>
      <c r="C149">
        <f>IFERROR(__xludf.DUMMYFUNCTION("""COMPUTED_VALUE"""),122.43)</f>
        <v>122.43</v>
      </c>
      <c r="D149">
        <f>IFERROR(__xludf.DUMMYFUNCTION("""COMPUTED_VALUE"""),122.76)</f>
        <v>122.76</v>
      </c>
      <c r="E149">
        <f>IFERROR(__xludf.DUMMYFUNCTION("""COMPUTED_VALUE"""),120.55)</f>
        <v>120.55</v>
      </c>
      <c r="F149">
        <f>IFERROR(__xludf.DUMMYFUNCTION("""COMPUTED_VALUE"""),122.41)</f>
        <v>122.41</v>
      </c>
      <c r="G149">
        <f>IFERROR(__xludf.DUMMYFUNCTION("""COMPUTED_VALUE"""),122.02)</f>
        <v>122.02</v>
      </c>
      <c r="H149">
        <f>IFERROR(__xludf.DUMMYFUNCTION("""COMPUTED_VALUE"""),8.1462378E7)</f>
        <v>81462378</v>
      </c>
    </row>
    <row r="150">
      <c r="A150" t="str">
        <f>IFERROR(__xludf.DUMMYFUNCTION("""COMPUTED_VALUE"""),"AAPL")</f>
        <v>AAPL</v>
      </c>
      <c r="B150">
        <f>IFERROR(__xludf.DUMMYFUNCTION("""COMPUTED_VALUE"""),44175.0)</f>
        <v>44175</v>
      </c>
      <c r="C150">
        <f>IFERROR(__xludf.DUMMYFUNCTION("""COMPUTED_VALUE"""),120.5)</f>
        <v>120.5</v>
      </c>
      <c r="D150">
        <f>IFERROR(__xludf.DUMMYFUNCTION("""COMPUTED_VALUE"""),123.865)</f>
        <v>123.865</v>
      </c>
      <c r="E150">
        <f>IFERROR(__xludf.DUMMYFUNCTION("""COMPUTED_VALUE"""),120.15)</f>
        <v>120.15</v>
      </c>
      <c r="F150">
        <f>IFERROR(__xludf.DUMMYFUNCTION("""COMPUTED_VALUE"""),123.24)</f>
        <v>123.24</v>
      </c>
      <c r="G150">
        <f>IFERROR(__xludf.DUMMYFUNCTION("""COMPUTED_VALUE"""),122.847)</f>
        <v>122.847</v>
      </c>
      <c r="H150">
        <f>IFERROR(__xludf.DUMMYFUNCTION("""COMPUTED_VALUE"""),7.788525E7)</f>
        <v>77885250</v>
      </c>
    </row>
    <row r="151">
      <c r="A151" t="str">
        <f>IFERROR(__xludf.DUMMYFUNCTION("""COMPUTED_VALUE"""),"AAPL")</f>
        <v>AAPL</v>
      </c>
      <c r="B151">
        <f>IFERROR(__xludf.DUMMYFUNCTION("""COMPUTED_VALUE"""),44174.0)</f>
        <v>44174</v>
      </c>
      <c r="C151">
        <f>IFERROR(__xludf.DUMMYFUNCTION("""COMPUTED_VALUE"""),124.53)</f>
        <v>124.53</v>
      </c>
      <c r="D151">
        <f>IFERROR(__xludf.DUMMYFUNCTION("""COMPUTED_VALUE"""),125.95)</f>
        <v>125.95</v>
      </c>
      <c r="E151">
        <f>IFERROR(__xludf.DUMMYFUNCTION("""COMPUTED_VALUE"""),121.07)</f>
        <v>121.07</v>
      </c>
      <c r="F151">
        <f>IFERROR(__xludf.DUMMYFUNCTION("""COMPUTED_VALUE"""),121.78)</f>
        <v>121.78</v>
      </c>
      <c r="G151">
        <f>IFERROR(__xludf.DUMMYFUNCTION("""COMPUTED_VALUE"""),121.392)</f>
        <v>121.392</v>
      </c>
      <c r="H151">
        <f>IFERROR(__xludf.DUMMYFUNCTION("""COMPUTED_VALUE"""),1.09124916E8)</f>
        <v>109124916</v>
      </c>
    </row>
    <row r="152">
      <c r="A152" t="str">
        <f>IFERROR(__xludf.DUMMYFUNCTION("""COMPUTED_VALUE"""),"AAPL")</f>
        <v>AAPL</v>
      </c>
      <c r="B152">
        <f>IFERROR(__xludf.DUMMYFUNCTION("""COMPUTED_VALUE"""),44173.0)</f>
        <v>44173</v>
      </c>
      <c r="C152">
        <f>IFERROR(__xludf.DUMMYFUNCTION("""COMPUTED_VALUE"""),124.37)</f>
        <v>124.37</v>
      </c>
      <c r="D152">
        <f>IFERROR(__xludf.DUMMYFUNCTION("""COMPUTED_VALUE"""),124.98)</f>
        <v>124.98</v>
      </c>
      <c r="E152">
        <f>IFERROR(__xludf.DUMMYFUNCTION("""COMPUTED_VALUE"""),123.095)</f>
        <v>123.095</v>
      </c>
      <c r="F152">
        <f>IFERROR(__xludf.DUMMYFUNCTION("""COMPUTED_VALUE"""),124.38)</f>
        <v>124.38</v>
      </c>
      <c r="G152">
        <f>IFERROR(__xludf.DUMMYFUNCTION("""COMPUTED_VALUE"""),123.984)</f>
        <v>123.984</v>
      </c>
      <c r="H152">
        <f>IFERROR(__xludf.DUMMYFUNCTION("""COMPUTED_VALUE"""),7.6202105E7)</f>
        <v>76202105</v>
      </c>
    </row>
    <row r="153">
      <c r="A153" t="str">
        <f>IFERROR(__xludf.DUMMYFUNCTION("""COMPUTED_VALUE"""),"AAPL")</f>
        <v>AAPL</v>
      </c>
      <c r="B153">
        <f>IFERROR(__xludf.DUMMYFUNCTION("""COMPUTED_VALUE"""),44172.0)</f>
        <v>44172</v>
      </c>
      <c r="C153">
        <f>IFERROR(__xludf.DUMMYFUNCTION("""COMPUTED_VALUE"""),122.31)</f>
        <v>122.31</v>
      </c>
      <c r="D153">
        <f>IFERROR(__xludf.DUMMYFUNCTION("""COMPUTED_VALUE"""),124.57)</f>
        <v>124.57</v>
      </c>
      <c r="E153">
        <f>IFERROR(__xludf.DUMMYFUNCTION("""COMPUTED_VALUE"""),122.25)</f>
        <v>122.25</v>
      </c>
      <c r="F153">
        <f>IFERROR(__xludf.DUMMYFUNCTION("""COMPUTED_VALUE"""),123.75)</f>
        <v>123.75</v>
      </c>
      <c r="G153">
        <f>IFERROR(__xludf.DUMMYFUNCTION("""COMPUTED_VALUE"""),123.356)</f>
        <v>123.356</v>
      </c>
      <c r="H153">
        <f>IFERROR(__xludf.DUMMYFUNCTION("""COMPUTED_VALUE"""),7.8742725E7)</f>
        <v>78742725</v>
      </c>
    </row>
    <row r="154">
      <c r="A154" t="str">
        <f>IFERROR(__xludf.DUMMYFUNCTION("""COMPUTED_VALUE"""),"AAPL")</f>
        <v>AAPL</v>
      </c>
      <c r="B154">
        <f>IFERROR(__xludf.DUMMYFUNCTION("""COMPUTED_VALUE"""),44169.0)</f>
        <v>44169</v>
      </c>
      <c r="C154">
        <f>IFERROR(__xludf.DUMMYFUNCTION("""COMPUTED_VALUE"""),122.6)</f>
        <v>122.6</v>
      </c>
      <c r="D154">
        <f>IFERROR(__xludf.DUMMYFUNCTION("""COMPUTED_VALUE"""),122.861)</f>
        <v>122.861</v>
      </c>
      <c r="E154">
        <f>IFERROR(__xludf.DUMMYFUNCTION("""COMPUTED_VALUE"""),121.52)</f>
        <v>121.52</v>
      </c>
      <c r="F154">
        <f>IFERROR(__xludf.DUMMYFUNCTION("""COMPUTED_VALUE"""),122.25)</f>
        <v>122.25</v>
      </c>
      <c r="G154">
        <f>IFERROR(__xludf.DUMMYFUNCTION("""COMPUTED_VALUE"""),121.861)</f>
        <v>121.861</v>
      </c>
      <c r="H154">
        <f>IFERROR(__xludf.DUMMYFUNCTION("""COMPUTED_VALUE"""),7.0143416E7)</f>
        <v>70143416</v>
      </c>
    </row>
    <row r="155">
      <c r="A155" t="str">
        <f>IFERROR(__xludf.DUMMYFUNCTION("""COMPUTED_VALUE"""),"AAPL")</f>
        <v>AAPL</v>
      </c>
      <c r="B155">
        <f>IFERROR(__xludf.DUMMYFUNCTION("""COMPUTED_VALUE"""),44168.0)</f>
        <v>44168</v>
      </c>
      <c r="C155">
        <f>IFERROR(__xludf.DUMMYFUNCTION("""COMPUTED_VALUE"""),123.52)</f>
        <v>123.52</v>
      </c>
      <c r="D155">
        <f>IFERROR(__xludf.DUMMYFUNCTION("""COMPUTED_VALUE"""),123.78)</f>
        <v>123.78</v>
      </c>
      <c r="E155">
        <f>IFERROR(__xludf.DUMMYFUNCTION("""COMPUTED_VALUE"""),122.21)</f>
        <v>122.21</v>
      </c>
      <c r="F155">
        <f>IFERROR(__xludf.DUMMYFUNCTION("""COMPUTED_VALUE"""),122.94)</f>
        <v>122.94</v>
      </c>
      <c r="G155">
        <f>IFERROR(__xludf.DUMMYFUNCTION("""COMPUTED_VALUE"""),122.548)</f>
        <v>122.548</v>
      </c>
      <c r="H155">
        <f>IFERROR(__xludf.DUMMYFUNCTION("""COMPUTED_VALUE"""),7.3350013E7)</f>
        <v>73350013</v>
      </c>
    </row>
    <row r="156">
      <c r="A156" t="str">
        <f>IFERROR(__xludf.DUMMYFUNCTION("""COMPUTED_VALUE"""),"AAPL")</f>
        <v>AAPL</v>
      </c>
      <c r="B156">
        <f>IFERROR(__xludf.DUMMYFUNCTION("""COMPUTED_VALUE"""),44167.0)</f>
        <v>44167</v>
      </c>
      <c r="C156">
        <f>IFERROR(__xludf.DUMMYFUNCTION("""COMPUTED_VALUE"""),122.02)</f>
        <v>122.02</v>
      </c>
      <c r="D156">
        <f>IFERROR(__xludf.DUMMYFUNCTION("""COMPUTED_VALUE"""),123.37)</f>
        <v>123.37</v>
      </c>
      <c r="E156">
        <f>IFERROR(__xludf.DUMMYFUNCTION("""COMPUTED_VALUE"""),120.89)</f>
        <v>120.89</v>
      </c>
      <c r="F156">
        <f>IFERROR(__xludf.DUMMYFUNCTION("""COMPUTED_VALUE"""),123.08)</f>
        <v>123.08</v>
      </c>
      <c r="G156">
        <f>IFERROR(__xludf.DUMMYFUNCTION("""COMPUTED_VALUE"""),122.688)</f>
        <v>122.688</v>
      </c>
      <c r="H156">
        <f>IFERROR(__xludf.DUMMYFUNCTION("""COMPUTED_VALUE"""),8.1436335E7)</f>
        <v>81436335</v>
      </c>
    </row>
    <row r="157">
      <c r="A157" t="str">
        <f>IFERROR(__xludf.DUMMYFUNCTION("""COMPUTED_VALUE"""),"AAPL")</f>
        <v>AAPL</v>
      </c>
      <c r="B157">
        <f>IFERROR(__xludf.DUMMYFUNCTION("""COMPUTED_VALUE"""),44166.0)</f>
        <v>44166</v>
      </c>
      <c r="C157">
        <f>IFERROR(__xludf.DUMMYFUNCTION("""COMPUTED_VALUE"""),121.01)</f>
        <v>121.01</v>
      </c>
      <c r="D157">
        <f>IFERROR(__xludf.DUMMYFUNCTION("""COMPUTED_VALUE"""),123.469)</f>
        <v>123.469</v>
      </c>
      <c r="E157">
        <f>IFERROR(__xludf.DUMMYFUNCTION("""COMPUTED_VALUE"""),120.01)</f>
        <v>120.01</v>
      </c>
      <c r="F157">
        <f>IFERROR(__xludf.DUMMYFUNCTION("""COMPUTED_VALUE"""),122.72)</f>
        <v>122.72</v>
      </c>
      <c r="G157">
        <f>IFERROR(__xludf.DUMMYFUNCTION("""COMPUTED_VALUE"""),122.329)</f>
        <v>122.329</v>
      </c>
      <c r="H157">
        <f>IFERROR(__xludf.DUMMYFUNCTION("""COMPUTED_VALUE"""),1.21958626E8)</f>
        <v>121958626</v>
      </c>
    </row>
  </sheetData>
  <mergeCells count="2">
    <mergeCell ref="A1:G3"/>
    <mergeCell ref="A4:G4"/>
  </mergeCells>
  <hyperlinks>
    <hyperlink r:id="rId1" ref="A5"/>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A4" s="1" t="s">
        <v>3</v>
      </c>
    </row>
    <row r="5">
      <c r="A5" s="2" t="s">
        <v>4</v>
      </c>
    </row>
    <row r="7">
      <c r="A7" s="3" t="s">
        <v>5</v>
      </c>
      <c r="E7" s="9" t="s">
        <v>6</v>
      </c>
    </row>
    <row r="8">
      <c r="A8" s="4" t="s">
        <v>7</v>
      </c>
      <c r="B8" s="4"/>
      <c r="C8" s="4"/>
      <c r="D8" s="4"/>
      <c r="E8" s="4"/>
      <c r="F8" s="4"/>
      <c r="G8" s="4"/>
      <c r="H8" s="4"/>
      <c r="I8" s="5"/>
      <c r="J8" s="5"/>
      <c r="K8" s="5"/>
      <c r="L8" s="5"/>
      <c r="M8" s="5"/>
    </row>
    <row r="10">
      <c r="A10" s="6" t="str">
        <f>IFERROR(__xludf.DUMMYFUNCTION("IMPORTDATA(""https://api.unibit.ai/v2/company/coreFinancials/?tickers=aapl&amp;interval=Q&amp;statement=IS&amp;startDate=2020-01-01&amp;endDate=2021-01-30&amp;dataType=csv&amp;accessKey=demo"")"),"ticker")</f>
        <v>ticker</v>
      </c>
      <c r="B10" s="6" t="str">
        <f>IFERROR(__xludf.DUMMYFUNCTION("""COMPUTED_VALUE"""),"basic average shares")</f>
        <v>basic average shares</v>
      </c>
      <c r="C10" s="6" t="str">
        <f>IFERROR(__xludf.DUMMYFUNCTION("""COMPUTED_VALUE"""),"basic eps")</f>
        <v>basic eps</v>
      </c>
      <c r="D10" s="6" t="str">
        <f>IFERROR(__xludf.DUMMYFUNCTION("""COMPUTED_VALUE"""),"cost of revenue")</f>
        <v>cost of revenue</v>
      </c>
      <c r="E10" s="6" t="str">
        <f>IFERROR(__xludf.DUMMYFUNCTION("""COMPUTED_VALUE"""),"diluted average shares")</f>
        <v>diluted average shares</v>
      </c>
      <c r="F10" s="6" t="str">
        <f>IFERROR(__xludf.DUMMYFUNCTION("""COMPUTED_VALUE"""),"diluted eps")</f>
        <v>diluted eps</v>
      </c>
      <c r="G10" s="6" t="str">
        <f>IFERROR(__xludf.DUMMYFUNCTION("""COMPUTED_VALUE"""),"gross profit")</f>
        <v>gross profit</v>
      </c>
      <c r="H10" s="6" t="str">
        <f>IFERROR(__xludf.DUMMYFUNCTION("""COMPUTED_VALUE"""),"income before tax")</f>
        <v>income before tax</v>
      </c>
      <c r="I10" s="6" t="str">
        <f>IFERROR(__xludf.DUMMYFUNCTION("""COMPUTED_VALUE"""),"income tax expenses")</f>
        <v>income tax expenses</v>
      </c>
      <c r="J10" s="6" t="str">
        <f>IFERROR(__xludf.DUMMYFUNCTION("""COMPUTED_VALUE"""),"interest expense")</f>
        <v>interest expense</v>
      </c>
      <c r="K10" s="6" t="str">
        <f>IFERROR(__xludf.DUMMYFUNCTION("""COMPUTED_VALUE"""),"net income")</f>
        <v>net income</v>
      </c>
      <c r="L10" s="6" t="str">
        <f>IFERROR(__xludf.DUMMYFUNCTION("""COMPUTED_VALUE"""),"net income common stockholders")</f>
        <v>net income common stockholders</v>
      </c>
      <c r="M10" s="6" t="str">
        <f>IFERROR(__xludf.DUMMYFUNCTION("""COMPUTED_VALUE"""),"net income continuous operations")</f>
        <v>net income continuous operations</v>
      </c>
      <c r="N10" s="6" t="str">
        <f>IFERROR(__xludf.DUMMYFUNCTION("""COMPUTED_VALUE"""),"operating expense")</f>
        <v>operating expense</v>
      </c>
      <c r="O10" s="6" t="str">
        <f>IFERROR(__xludf.DUMMYFUNCTION("""COMPUTED_VALUE"""),"operating income or loss")</f>
        <v>operating income or loss</v>
      </c>
      <c r="P10" s="6" t="str">
        <f>IFERROR(__xludf.DUMMYFUNCTION("""COMPUTED_VALUE"""),"other income expense net")</f>
        <v>other income expense net</v>
      </c>
      <c r="Q10" s="6" t="str">
        <f>IFERROR(__xludf.DUMMYFUNCTION("""COMPUTED_VALUE"""),"research and development")</f>
        <v>research and development</v>
      </c>
      <c r="R10" s="6" t="str">
        <f>IFERROR(__xludf.DUMMYFUNCTION("""COMPUTED_VALUE"""),"selling general and administration")</f>
        <v>selling general and administration</v>
      </c>
      <c r="S10" s="6" t="str">
        <f>IFERROR(__xludf.DUMMYFUNCTION("""COMPUTED_VALUE"""),"total revenue")</f>
        <v>total revenue</v>
      </c>
      <c r="T10" s="6" t="str">
        <f>IFERROR(__xludf.DUMMYFUNCTION("""COMPUTED_VALUE"""),"report date")</f>
        <v>report date</v>
      </c>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row>
    <row r="11">
      <c r="A11" s="7" t="str">
        <f>IFERROR(__xludf.DUMMYFUNCTION("""COMPUTED_VALUE"""),"AAPL")</f>
        <v>AAPL</v>
      </c>
      <c r="B11" s="7">
        <f>IFERROR(__xludf.DUMMYFUNCTION("""COMPUTED_VALUE"""),1.7250299904E10)</f>
        <v>17250299904</v>
      </c>
      <c r="C11" s="6">
        <f>IFERROR(__xludf.DUMMYFUNCTION("""COMPUTED_VALUE"""),0.6525)</f>
        <v>0.6525</v>
      </c>
      <c r="D11" s="6">
        <f>IFERROR(__xludf.DUMMYFUNCTION("""COMPUTED_VALUE"""),3.7005000704E10)</f>
        <v>37005000704</v>
      </c>
      <c r="E11" s="6">
        <f>IFERROR(__xludf.DUMMYFUNCTION("""COMPUTED_VALUE"""),1.7419200512E10)</f>
        <v>17419200512</v>
      </c>
      <c r="F11" s="6">
        <f>IFERROR(__xludf.DUMMYFUNCTION("""COMPUTED_VALUE"""),0.645)</f>
        <v>0.645</v>
      </c>
      <c r="G11" s="6">
        <f>IFERROR(__xludf.DUMMYFUNCTION("""COMPUTED_VALUE"""),2.2680000512E10)</f>
        <v>22680000512</v>
      </c>
      <c r="H11" s="6">
        <f>IFERROR(__xludf.DUMMYFUNCTION("""COMPUTED_VALUE"""),1.3137000448E10)</f>
        <v>13137000448</v>
      </c>
      <c r="I11" s="6">
        <f>IFERROR(__xludf.DUMMYFUNCTION("""COMPUTED_VALUE"""),1.884E9)</f>
        <v>1884000000</v>
      </c>
      <c r="J11" s="6">
        <f>IFERROR(__xludf.DUMMYFUNCTION("""COMPUTED_VALUE"""),6.97E8)</f>
        <v>697000000</v>
      </c>
      <c r="K11" s="6">
        <f>IFERROR(__xludf.DUMMYFUNCTION("""COMPUTED_VALUE"""),1.1253000192E10)</f>
        <v>11253000192</v>
      </c>
      <c r="L11" s="6">
        <f>IFERROR(__xludf.DUMMYFUNCTION("""COMPUTED_VALUE"""),1.1253000192E10)</f>
        <v>11253000192</v>
      </c>
      <c r="M11" s="6">
        <f>IFERROR(__xludf.DUMMYFUNCTION("""COMPUTED_VALUE"""),1.1253000192E10)</f>
        <v>11253000192</v>
      </c>
      <c r="N11" s="6">
        <f>IFERROR(__xludf.DUMMYFUNCTION("""COMPUTED_VALUE"""),9.589000192E9)</f>
        <v>9589000192</v>
      </c>
      <c r="O11" s="6">
        <f>IFERROR(__xludf.DUMMYFUNCTION("""COMPUTED_VALUE"""),1.309100032E10)</f>
        <v>13091000320</v>
      </c>
      <c r="P11" s="6">
        <f>IFERROR(__xludf.DUMMYFUNCTION("""COMPUTED_VALUE"""),-1.58E8)</f>
        <v>-158000000</v>
      </c>
      <c r="Q11" s="6">
        <f>IFERROR(__xludf.DUMMYFUNCTION("""COMPUTED_VALUE"""),4.758000128E9)</f>
        <v>4758000128</v>
      </c>
      <c r="R11" s="6">
        <f>IFERROR(__xludf.DUMMYFUNCTION("""COMPUTED_VALUE"""),4.831000064E9)</f>
        <v>4831000064</v>
      </c>
      <c r="S11" s="6">
        <f>IFERROR(__xludf.DUMMYFUNCTION("""COMPUTED_VALUE"""),5.9684999168E10)</f>
        <v>59684999168</v>
      </c>
      <c r="T11" s="7">
        <f>IFERROR(__xludf.DUMMYFUNCTION("""COMPUTED_VALUE"""),44012.0)</f>
        <v>44012</v>
      </c>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row>
    <row r="12">
      <c r="A12" s="7" t="str">
        <f>IFERROR(__xludf.DUMMYFUNCTION("""COMPUTED_VALUE"""),"AAPL")</f>
        <v>AAPL</v>
      </c>
      <c r="B12" s="7">
        <f>IFERROR(__xludf.DUMMYFUNCTION("""COMPUTED_VALUE"""),1.7057599488E10)</f>
        <v>17057599488</v>
      </c>
      <c r="C12" s="10">
        <f>IFERROR(__xludf.DUMMYFUNCTION("""COMPUTED_VALUE"""),0.74)</f>
        <v>0.74</v>
      </c>
      <c r="D12" s="6">
        <f>IFERROR(__xludf.DUMMYFUNCTION("""COMPUTED_VALUE"""),4.0008998912E10)</f>
        <v>40008998912</v>
      </c>
      <c r="E12" s="6">
        <f>IFERROR(__xludf.DUMMYFUNCTION("""COMPUTED_VALUE"""),1.72564992E10)</f>
        <v>17256499200</v>
      </c>
      <c r="F12" s="6">
        <f>IFERROR(__xludf.DUMMYFUNCTION("""COMPUTED_VALUE"""),0.73)</f>
        <v>0.73</v>
      </c>
      <c r="G12" s="6">
        <f>IFERROR(__xludf.DUMMYFUNCTION("""COMPUTED_VALUE"""),2.4689000448E10)</f>
        <v>24689000448</v>
      </c>
      <c r="H12" s="6">
        <f>IFERROR(__xludf.DUMMYFUNCTION("""COMPUTED_VALUE"""),1.4901000192E10)</f>
        <v>14901000192</v>
      </c>
      <c r="I12" s="6">
        <f>IFERROR(__xludf.DUMMYFUNCTION("""COMPUTED_VALUE"""),2.228E9)</f>
        <v>2228000000</v>
      </c>
      <c r="J12" s="6">
        <f>IFERROR(__xludf.DUMMYFUNCTION("""COMPUTED_VALUE"""),6.34E8)</f>
        <v>634000000</v>
      </c>
      <c r="K12" s="6">
        <f>IFERROR(__xludf.DUMMYFUNCTION("""COMPUTED_VALUE"""),1.2673000448E10)</f>
        <v>12673000448</v>
      </c>
      <c r="L12" s="6">
        <f>IFERROR(__xludf.DUMMYFUNCTION("""COMPUTED_VALUE"""),1.2673000448E10)</f>
        <v>12673000448</v>
      </c>
      <c r="M12" s="6">
        <f>IFERROR(__xludf.DUMMYFUNCTION("""COMPUTED_VALUE"""),1.2673000448E10)</f>
        <v>12673000448</v>
      </c>
      <c r="N12" s="6">
        <f>IFERROR(__xludf.DUMMYFUNCTION("""COMPUTED_VALUE"""),9.914000384E9)</f>
        <v>9914000384</v>
      </c>
      <c r="O12" s="6">
        <f>IFERROR(__xludf.DUMMYFUNCTION("""COMPUTED_VALUE"""),1.4775000064E10)</f>
        <v>14775000064</v>
      </c>
      <c r="P12" s="6">
        <f>IFERROR(__xludf.DUMMYFUNCTION("""COMPUTED_VALUE"""),-8000000.0)</f>
        <v>-8000000</v>
      </c>
      <c r="Q12" s="6">
        <f>IFERROR(__xludf.DUMMYFUNCTION("""COMPUTED_VALUE"""),4.977999872E9)</f>
        <v>4977999872</v>
      </c>
      <c r="R12" s="6">
        <f>IFERROR(__xludf.DUMMYFUNCTION("""COMPUTED_VALUE"""),4.936E9)</f>
        <v>4936000000</v>
      </c>
      <c r="S12" s="6">
        <f>IFERROR(__xludf.DUMMYFUNCTION("""COMPUTED_VALUE"""),6.469799936E10)</f>
        <v>64697999360</v>
      </c>
      <c r="T12" s="7">
        <f>IFERROR(__xludf.DUMMYFUNCTION("""COMPUTED_VALUE"""),44104.0)</f>
        <v>44104</v>
      </c>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row>
    <row r="13">
      <c r="A13" s="7" t="str">
        <f>IFERROR(__xludf.DUMMYFUNCTION("""COMPUTED_VALUE"""),"AAPL")</f>
        <v>AAPL</v>
      </c>
      <c r="B13" s="7">
        <f>IFERROR(__xludf.DUMMYFUNCTION("""COMPUTED_VALUE"""),1.744039936E10)</f>
        <v>17440399360</v>
      </c>
      <c r="C13" s="6">
        <f>IFERROR(__xludf.DUMMYFUNCTION("""COMPUTED_VALUE"""),0.645)</f>
        <v>0.645</v>
      </c>
      <c r="D13" s="6">
        <f>IFERROR(__xludf.DUMMYFUNCTION("""COMPUTED_VALUE"""),3.5942998016E10)</f>
        <v>35942998016</v>
      </c>
      <c r="E13" s="6">
        <f>IFERROR(__xludf.DUMMYFUNCTION("""COMPUTED_VALUE"""),1.761880064E10)</f>
        <v>17618800640</v>
      </c>
      <c r="F13" s="6">
        <f>IFERROR(__xludf.DUMMYFUNCTION("""COMPUTED_VALUE"""),0.6375)</f>
        <v>0.6375</v>
      </c>
      <c r="G13" s="6">
        <f>IFERROR(__xludf.DUMMYFUNCTION("""COMPUTED_VALUE"""),2.2370000896E10)</f>
        <v>22370000896</v>
      </c>
      <c r="H13" s="6">
        <f>IFERROR(__xludf.DUMMYFUNCTION("""COMPUTED_VALUE"""),1.3134999552E10)</f>
        <v>13134999552</v>
      </c>
      <c r="I13" s="6">
        <f>IFERROR(__xludf.DUMMYFUNCTION("""COMPUTED_VALUE"""),1.886E9)</f>
        <v>1886000000</v>
      </c>
      <c r="J13" s="6">
        <f>IFERROR(__xludf.DUMMYFUNCTION("""COMPUTED_VALUE"""),7.57E8)</f>
        <v>757000000</v>
      </c>
      <c r="K13" s="6">
        <f>IFERROR(__xludf.DUMMYFUNCTION("""COMPUTED_VALUE"""),1.1249000448E10)</f>
        <v>11249000448</v>
      </c>
      <c r="L13" s="6">
        <f>IFERROR(__xludf.DUMMYFUNCTION("""COMPUTED_VALUE"""),1.1249000448E10)</f>
        <v>11249000448</v>
      </c>
      <c r="M13" s="6">
        <f>IFERROR(__xludf.DUMMYFUNCTION("""COMPUTED_VALUE"""),1.1249000448E10)</f>
        <v>11249000448</v>
      </c>
      <c r="N13" s="6">
        <f>IFERROR(__xludf.DUMMYFUNCTION("""COMPUTED_VALUE"""),9.51699968E9)</f>
        <v>9516999680</v>
      </c>
      <c r="O13" s="6">
        <f>IFERROR(__xludf.DUMMYFUNCTION("""COMPUTED_VALUE"""),1.2853000192E10)</f>
        <v>12853000192</v>
      </c>
      <c r="P13" s="6">
        <f>IFERROR(__xludf.DUMMYFUNCTION("""COMPUTED_VALUE"""),-1.0E7)</f>
        <v>-10000000</v>
      </c>
      <c r="Q13" s="6">
        <f>IFERROR(__xludf.DUMMYFUNCTION("""COMPUTED_VALUE"""),4.565000192E9)</f>
        <v>4565000192</v>
      </c>
      <c r="R13" s="6">
        <f>IFERROR(__xludf.DUMMYFUNCTION("""COMPUTED_VALUE"""),4.952E9)</f>
        <v>4952000000</v>
      </c>
      <c r="S13" s="6">
        <f>IFERROR(__xludf.DUMMYFUNCTION("""COMPUTED_VALUE"""),5.8312998912E10)</f>
        <v>58312998912</v>
      </c>
      <c r="T13" s="7">
        <f>IFERROR(__xludf.DUMMYFUNCTION("""COMPUTED_VALUE"""),43921.0)</f>
        <v>43921</v>
      </c>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row>
    <row r="14">
      <c r="A14" s="7" t="str">
        <f>IFERROR(__xludf.DUMMYFUNCTION("""COMPUTED_VALUE"""),"AAPL")</f>
        <v>AAPL</v>
      </c>
      <c r="B14" s="6">
        <f>IFERROR(__xludf.DUMMYFUNCTION("""COMPUTED_VALUE"""),1.6935100416E10)</f>
        <v>16935100416</v>
      </c>
      <c r="C14" s="6">
        <f>IFERROR(__xludf.DUMMYFUNCTION("""COMPUTED_VALUE"""),1.7)</f>
        <v>1.7</v>
      </c>
      <c r="D14" s="6">
        <f>IFERROR(__xludf.DUMMYFUNCTION("""COMPUTED_VALUE"""),6.7110998016E10)</f>
        <v>67110998016</v>
      </c>
      <c r="E14" s="6">
        <f>IFERROR(__xludf.DUMMYFUNCTION("""COMPUTED_VALUE"""),1.7113700352E10)</f>
        <v>17113700352</v>
      </c>
      <c r="F14" s="6">
        <f>IFERROR(__xludf.DUMMYFUNCTION("""COMPUTED_VALUE"""),1.68)</f>
        <v>1.68</v>
      </c>
      <c r="G14" s="6">
        <f>IFERROR(__xludf.DUMMYFUNCTION("""COMPUTED_VALUE"""),4.4328001536E10)</f>
        <v>44328001536</v>
      </c>
      <c r="H14" s="6">
        <f>IFERROR(__xludf.DUMMYFUNCTION("""COMPUTED_VALUE"""),3.3578999808E10)</f>
        <v>33578999808</v>
      </c>
      <c r="I14" s="6">
        <f>IFERROR(__xludf.DUMMYFUNCTION("""COMPUTED_VALUE"""),4.824E9)</f>
        <v>4824000000</v>
      </c>
      <c r="J14" s="6">
        <f>IFERROR(__xludf.DUMMYFUNCTION("""COMPUTED_VALUE"""),6.38E8)</f>
        <v>638000000</v>
      </c>
      <c r="K14" s="6">
        <f>IFERROR(__xludf.DUMMYFUNCTION("""COMPUTED_VALUE"""),2.8754999296E10)</f>
        <v>28754999296</v>
      </c>
      <c r="L14" s="6">
        <f>IFERROR(__xludf.DUMMYFUNCTION("""COMPUTED_VALUE"""),2.8754999296E10)</f>
        <v>28754999296</v>
      </c>
      <c r="M14" s="6">
        <f>IFERROR(__xludf.DUMMYFUNCTION("""COMPUTED_VALUE"""),2.8754999296E10)</f>
        <v>28754999296</v>
      </c>
      <c r="N14" s="6">
        <f>IFERROR(__xludf.DUMMYFUNCTION("""COMPUTED_VALUE"""),1.0794000384E10)</f>
        <v>10794000384</v>
      </c>
      <c r="O14" s="6">
        <f>IFERROR(__xludf.DUMMYFUNCTION("""COMPUTED_VALUE"""),3.3533999104E10)</f>
        <v>33533999104</v>
      </c>
      <c r="P14" s="6">
        <f>IFERROR(__xludf.DUMMYFUNCTION("""COMPUTED_VALUE"""),-6.4E7)</f>
        <v>-64000000</v>
      </c>
      <c r="Q14" s="6">
        <f>IFERROR(__xludf.DUMMYFUNCTION("""COMPUTED_VALUE"""),5.162999808E9)</f>
        <v>5162999808</v>
      </c>
      <c r="R14" s="6">
        <f>IFERROR(__xludf.DUMMYFUNCTION("""COMPUTED_VALUE"""),5.631000064E9)</f>
        <v>5631000064</v>
      </c>
      <c r="S14" s="6">
        <f>IFERROR(__xludf.DUMMYFUNCTION("""COMPUTED_VALUE"""),1.11439003648E11)</f>
        <v>111439003648</v>
      </c>
      <c r="T14" s="7">
        <f>IFERROR(__xludf.DUMMYFUNCTION("""COMPUTED_VALUE"""),44196.0)</f>
        <v>44196</v>
      </c>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row>
    <row r="15">
      <c r="A15" s="8"/>
      <c r="T15" s="8"/>
    </row>
    <row r="16">
      <c r="A16" s="8"/>
    </row>
    <row r="34">
      <c r="A34" s="3"/>
    </row>
    <row r="35">
      <c r="A35" s="9"/>
    </row>
    <row r="36">
      <c r="A36" s="8"/>
    </row>
    <row r="37">
      <c r="A37" s="11"/>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row>
    <row r="38">
      <c r="A38" s="7"/>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row>
    <row r="44">
      <c r="A44" s="7"/>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row>
    <row r="45">
      <c r="A45" s="7"/>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row>
    <row r="46">
      <c r="A46" s="7"/>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row>
    <row r="47">
      <c r="A47" s="7"/>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row>
    <row r="48">
      <c r="A48" s="3"/>
    </row>
    <row r="49">
      <c r="A49" s="9"/>
    </row>
    <row r="51">
      <c r="A51" s="11"/>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row>
  </sheetData>
  <customSheetViews>
    <customSheetView guid="{7DBA61DE-4D9A-4B07-A1B9-E67B85AF1E9D}" filter="1" showAutoFilter="1">
      <autoFilter ref="$J$1:$J$1003"/>
    </customSheetView>
    <customSheetView guid="{5AEB2F1F-C703-44F0-A127-48E388BA0A28}" filter="1" showAutoFilter="1">
      <autoFilter ref="$A$10:$T$35"/>
    </customSheetView>
  </customSheetViews>
  <mergeCells count="4">
    <mergeCell ref="A1:G3"/>
    <mergeCell ref="A4:G4"/>
    <mergeCell ref="A35:H35"/>
    <mergeCell ref="A49:H49"/>
  </mergeCells>
  <hyperlinks>
    <hyperlink r:id="rId1" ref="A5"/>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A4" s="1" t="s">
        <v>8</v>
      </c>
    </row>
    <row r="5">
      <c r="A5" s="2" t="s">
        <v>9</v>
      </c>
    </row>
    <row r="6">
      <c r="A6" s="9"/>
    </row>
    <row r="7">
      <c r="A7" s="3" t="s">
        <v>10</v>
      </c>
    </row>
    <row r="8">
      <c r="A8" s="4" t="s">
        <v>11</v>
      </c>
      <c r="B8" s="5"/>
      <c r="C8" s="5"/>
      <c r="D8" s="5"/>
      <c r="E8" s="5"/>
      <c r="F8" s="5"/>
      <c r="G8" s="5"/>
    </row>
    <row r="9">
      <c r="A9" s="9"/>
    </row>
    <row r="10">
      <c r="A10" s="12" t="str">
        <f>IFERROR(__xludf.DUMMYFUNCTION("importdata(""https://api.unibit.ai/v2/company/insiderTransaction/?tickers=aapl&amp;startDate=2019-09-01&amp;endDate=2019-10-31&amp;size=20&amp;dataType=csv&amp;accessKey=demo"")"),"ticker")</f>
        <v>ticker</v>
      </c>
      <c r="B10" t="str">
        <f>IFERROR(__xludf.DUMMYFUNCTION("""COMPUTED_VALUE"""),"type")</f>
        <v>type</v>
      </c>
      <c r="C10" t="str">
        <f>IFERROR(__xludf.DUMMYFUNCTION("""COMPUTED_VALUE"""),"filing date")</f>
        <v>filing date</v>
      </c>
      <c r="D10" t="str">
        <f>IFERROR(__xludf.DUMMYFUNCTION("""COMPUTED_VALUE"""),"trade date")</f>
        <v>trade date</v>
      </c>
      <c r="E10" t="str">
        <f>IFERROR(__xludf.DUMMYFUNCTION("""COMPUTED_VALUE"""),"insider name")</f>
        <v>insider name</v>
      </c>
      <c r="F10" t="str">
        <f>IFERROR(__xludf.DUMMYFUNCTION("""COMPUTED_VALUE"""),"insider title")</f>
        <v>insider title</v>
      </c>
      <c r="G10" t="str">
        <f>IFERROR(__xludf.DUMMYFUNCTION("""COMPUTED_VALUE"""),"trade type")</f>
        <v>trade type</v>
      </c>
      <c r="H10" t="str">
        <f>IFERROR(__xludf.DUMMYFUNCTION("""COMPUTED_VALUE"""),"price")</f>
        <v>price</v>
      </c>
      <c r="I10" t="str">
        <f>IFERROR(__xludf.DUMMYFUNCTION("""COMPUTED_VALUE"""),"qty")</f>
        <v>qty</v>
      </c>
      <c r="J10" t="str">
        <f>IFERROR(__xludf.DUMMYFUNCTION("""COMPUTED_VALUE"""),"owned")</f>
        <v>owned</v>
      </c>
      <c r="K10" t="str">
        <f>IFERROR(__xludf.DUMMYFUNCTION("""COMPUTED_VALUE"""),"change own")</f>
        <v>change own</v>
      </c>
      <c r="L10" t="str">
        <f>IFERROR(__xludf.DUMMYFUNCTION("""COMPUTED_VALUE"""),"value")</f>
        <v>value</v>
      </c>
      <c r="M10" t="str">
        <f>IFERROR(__xludf.DUMMYFUNCTION("""COMPUTED_VALUE"""),"filing timestamp")</f>
        <v>filing timestamp</v>
      </c>
    </row>
    <row r="11">
      <c r="A11" t="str">
        <f>IFERROR(__xludf.DUMMYFUNCTION("""COMPUTED_VALUE"""),"AAPL")</f>
        <v>AAPL</v>
      </c>
      <c r="B11" s="8" t="str">
        <f>IFERROR(__xludf.DUMMYFUNCTION("""COMPUTED_VALUE"""),"D")</f>
        <v>D</v>
      </c>
      <c r="C11" s="8">
        <f>IFERROR(__xludf.DUMMYFUNCTION("""COMPUTED_VALUE"""),43755.77174768518)</f>
        <v>43755.77175</v>
      </c>
      <c r="D11">
        <f>IFERROR(__xludf.DUMMYFUNCTION("""COMPUTED_VALUE"""),43754.0)</f>
        <v>43754</v>
      </c>
      <c r="E11" t="str">
        <f>IFERROR(__xludf.DUMMYFUNCTION("""COMPUTED_VALUE"""),"Kondo Chris")</f>
        <v>Kondo Chris</v>
      </c>
      <c r="F11" t="str">
        <f>IFERROR(__xludf.DUMMYFUNCTION("""COMPUTED_VALUE"""),"Principal Accounting Officer")</f>
        <v>Principal Accounting Officer</v>
      </c>
      <c r="G11" s="13" t="str">
        <f>IFERROR(__xludf.DUMMYFUNCTION("""COMPUTED_VALUE"""),"S - Sale+OE")</f>
        <v>S - Sale+OE</v>
      </c>
      <c r="H11">
        <f>IFERROR(__xludf.DUMMYFUNCTION("""COMPUTED_VALUE"""),233.26)</f>
        <v>233.26</v>
      </c>
      <c r="I11" s="6">
        <f>IFERROR(__xludf.DUMMYFUNCTION("""COMPUTED_VALUE"""),-3932.0)</f>
        <v>-3932</v>
      </c>
      <c r="J11">
        <f>IFERROR(__xludf.DUMMYFUNCTION("""COMPUTED_VALUE"""),8212.0)</f>
        <v>8212</v>
      </c>
      <c r="K11" s="6">
        <f>IFERROR(__xludf.DUMMYFUNCTION("""COMPUTED_VALUE"""),-0.32)</f>
        <v>-0.32</v>
      </c>
      <c r="L11" s="14">
        <f>IFERROR(__xludf.DUMMYFUNCTION("""COMPUTED_VALUE"""),-917178.0)</f>
        <v>-917178</v>
      </c>
      <c r="M11" s="8">
        <f>IFERROR(__xludf.DUMMYFUNCTION("""COMPUTED_VALUE"""),1.571337079E9)</f>
        <v>1571337079</v>
      </c>
    </row>
    <row r="12">
      <c r="A12" t="str">
        <f>IFERROR(__xludf.DUMMYFUNCTION("""COMPUTED_VALUE"""),"AAPL")</f>
        <v>AAPL</v>
      </c>
      <c r="B12" s="8" t="str">
        <f>IFERROR(__xludf.DUMMYFUNCTION("""COMPUTED_VALUE"""),"D")</f>
        <v>D</v>
      </c>
      <c r="C12" s="8">
        <f>IFERROR(__xludf.DUMMYFUNCTION("""COMPUTED_VALUE"""),43755.77174768518)</f>
        <v>43755.77175</v>
      </c>
      <c r="D12">
        <f>IFERROR(__xludf.DUMMYFUNCTION("""COMPUTED_VALUE"""),43753.0)</f>
        <v>43753</v>
      </c>
      <c r="E12" t="str">
        <f>IFERROR(__xludf.DUMMYFUNCTION("""COMPUTED_VALUE"""),"Kondo Chris")</f>
        <v>Kondo Chris</v>
      </c>
      <c r="F12" t="str">
        <f>IFERROR(__xludf.DUMMYFUNCTION("""COMPUTED_VALUE"""),"Principal Accounting Officer")</f>
        <v>Principal Accounting Officer</v>
      </c>
      <c r="G12" s="13" t="str">
        <f>IFERROR(__xludf.DUMMYFUNCTION("""COMPUTED_VALUE"""),"F - Tax")</f>
        <v>F - Tax</v>
      </c>
      <c r="H12">
        <f>IFERROR(__xludf.DUMMYFUNCTION("""COMPUTED_VALUE"""),235.32)</f>
        <v>235.32</v>
      </c>
      <c r="I12" s="6">
        <f>IFERROR(__xludf.DUMMYFUNCTION("""COMPUTED_VALUE"""),-3320.0)</f>
        <v>-3320</v>
      </c>
      <c r="J12">
        <f>IFERROR(__xludf.DUMMYFUNCTION("""COMPUTED_VALUE"""),8212.0)</f>
        <v>8212</v>
      </c>
      <c r="K12" s="6">
        <f>IFERROR(__xludf.DUMMYFUNCTION("""COMPUTED_VALUE"""),-0.29)</f>
        <v>-0.29</v>
      </c>
      <c r="L12" s="14">
        <f>IFERROR(__xludf.DUMMYFUNCTION("""COMPUTED_VALUE"""),-781262.0)</f>
        <v>-781262</v>
      </c>
      <c r="M12" s="8">
        <f>IFERROR(__xludf.DUMMYFUNCTION("""COMPUTED_VALUE"""),1.571337079E9)</f>
        <v>1571337079</v>
      </c>
    </row>
    <row r="13">
      <c r="A13" t="str">
        <f>IFERROR(__xludf.DUMMYFUNCTION("""COMPUTED_VALUE"""),"AAPL")</f>
        <v>AAPL</v>
      </c>
      <c r="B13" s="8" t="str">
        <f>IFERROR(__xludf.DUMMYFUNCTION("""COMPUTED_VALUE"""),"D")</f>
        <v>D</v>
      </c>
      <c r="C13" s="8">
        <f>IFERROR(__xludf.DUMMYFUNCTION("""COMPUTED_VALUE"""),43755.77174768518)</f>
        <v>43755.77175</v>
      </c>
      <c r="D13">
        <f>IFERROR(__xludf.DUMMYFUNCTION("""COMPUTED_VALUE"""),43753.0)</f>
        <v>43753</v>
      </c>
      <c r="E13" t="str">
        <f>IFERROR(__xludf.DUMMYFUNCTION("""COMPUTED_VALUE"""),"Kondo Chris")</f>
        <v>Kondo Chris</v>
      </c>
      <c r="F13" t="str">
        <f>IFERROR(__xludf.DUMMYFUNCTION("""COMPUTED_VALUE"""),"Principal Accounting Officer")</f>
        <v>Principal Accounting Officer</v>
      </c>
      <c r="G13" s="13" t="str">
        <f>IFERROR(__xludf.DUMMYFUNCTION("""COMPUTED_VALUE"""),"M - OptEx")</f>
        <v>M - OptEx</v>
      </c>
      <c r="H13">
        <f>IFERROR(__xludf.DUMMYFUNCTION("""COMPUTED_VALUE"""),0.0)</f>
        <v>0</v>
      </c>
      <c r="I13" s="6" t="str">
        <f>IFERROR(__xludf.DUMMYFUNCTION("""COMPUTED_VALUE"""),"+6915")</f>
        <v>+6915</v>
      </c>
      <c r="J13">
        <f>IFERROR(__xludf.DUMMYFUNCTION("""COMPUTED_VALUE"""),8212.0)</f>
        <v>8212</v>
      </c>
      <c r="K13" s="6" t="str">
        <f>IFERROR(__xludf.DUMMYFUNCTION("""COMPUTED_VALUE"""),"+533%")</f>
        <v>+533%</v>
      </c>
      <c r="L13" s="14" t="str">
        <f>IFERROR(__xludf.DUMMYFUNCTION("""COMPUTED_VALUE"""),"+$0")</f>
        <v>+$0</v>
      </c>
      <c r="M13" s="8">
        <f>IFERROR(__xludf.DUMMYFUNCTION("""COMPUTED_VALUE"""),1.571337079E9)</f>
        <v>1571337079</v>
      </c>
    </row>
    <row r="14">
      <c r="A14" t="str">
        <f>IFERROR(__xludf.DUMMYFUNCTION("""COMPUTED_VALUE"""),"AAPL")</f>
        <v>AAPL</v>
      </c>
      <c r="B14" s="8" t="str">
        <f>IFERROR(__xludf.DUMMYFUNCTION("""COMPUTED_VALUE"""),"D")</f>
        <v>D</v>
      </c>
      <c r="C14" s="8">
        <f>IFERROR(__xludf.DUMMYFUNCTION("""COMPUTED_VALUE"""),43755.772893518515)</f>
        <v>43755.77289</v>
      </c>
      <c r="D14">
        <f>IFERROR(__xludf.DUMMYFUNCTION("""COMPUTED_VALUE"""),43754.0)</f>
        <v>43754</v>
      </c>
      <c r="E14" t="str">
        <f>IFERROR(__xludf.DUMMYFUNCTION("""COMPUTED_VALUE"""),"O'Brien Deirdre")</f>
        <v>O'Brien Deirdre</v>
      </c>
      <c r="F14" t="str">
        <f>IFERROR(__xludf.DUMMYFUNCTION("""COMPUTED_VALUE"""),"SVP")</f>
        <v>SVP</v>
      </c>
      <c r="G14" s="13" t="str">
        <f>IFERROR(__xludf.DUMMYFUNCTION("""COMPUTED_VALUE"""),"S - Sale+OE")</f>
        <v>S - Sale+OE</v>
      </c>
      <c r="H14">
        <f>IFERROR(__xludf.DUMMYFUNCTION("""COMPUTED_VALUE"""),234.04)</f>
        <v>234.04</v>
      </c>
      <c r="I14" s="6">
        <f>IFERROR(__xludf.DUMMYFUNCTION("""COMPUTED_VALUE"""),-12459.0)</f>
        <v>-12459</v>
      </c>
      <c r="J14">
        <f>IFERROR(__xludf.DUMMYFUNCTION("""COMPUTED_VALUE"""),33852.0)</f>
        <v>33852</v>
      </c>
      <c r="K14" s="6">
        <f>IFERROR(__xludf.DUMMYFUNCTION("""COMPUTED_VALUE"""),-0.27)</f>
        <v>-0.27</v>
      </c>
      <c r="L14" s="14">
        <f>IFERROR(__xludf.DUMMYFUNCTION("""COMPUTED_VALUE"""),-2915904.0)</f>
        <v>-2915904</v>
      </c>
      <c r="M14" s="8">
        <f>IFERROR(__xludf.DUMMYFUNCTION("""COMPUTED_VALUE"""),1.571337178E9)</f>
        <v>1571337178</v>
      </c>
    </row>
    <row r="15">
      <c r="A15" t="str">
        <f>IFERROR(__xludf.DUMMYFUNCTION("""COMPUTED_VALUE"""),"AAPL")</f>
        <v>AAPL</v>
      </c>
      <c r="B15" s="8" t="str">
        <f>IFERROR(__xludf.DUMMYFUNCTION("""COMPUTED_VALUE"""),"D")</f>
        <v>D</v>
      </c>
      <c r="C15" s="8">
        <f>IFERROR(__xludf.DUMMYFUNCTION("""COMPUTED_VALUE"""),43755.772893518515)</f>
        <v>43755.77289</v>
      </c>
      <c r="D15">
        <f>IFERROR(__xludf.DUMMYFUNCTION("""COMPUTED_VALUE"""),43753.0)</f>
        <v>43753</v>
      </c>
      <c r="E15" t="str">
        <f>IFERROR(__xludf.DUMMYFUNCTION("""COMPUTED_VALUE"""),"O'Brien Deirdre")</f>
        <v>O'Brien Deirdre</v>
      </c>
      <c r="F15" t="str">
        <f>IFERROR(__xludf.DUMMYFUNCTION("""COMPUTED_VALUE"""),"SVP")</f>
        <v>SVP</v>
      </c>
      <c r="G15" s="13" t="str">
        <f>IFERROR(__xludf.DUMMYFUNCTION("""COMPUTED_VALUE"""),"F - Tax")</f>
        <v>F - Tax</v>
      </c>
      <c r="H15">
        <f>IFERROR(__xludf.DUMMYFUNCTION("""COMPUTED_VALUE"""),235.32)</f>
        <v>235.32</v>
      </c>
      <c r="I15" s="6">
        <f>IFERROR(__xludf.DUMMYFUNCTION("""COMPUTED_VALUE"""),-11508.0)</f>
        <v>-11508</v>
      </c>
      <c r="J15">
        <f>IFERROR(__xludf.DUMMYFUNCTION("""COMPUTED_VALUE"""),33852.0)</f>
        <v>33852</v>
      </c>
      <c r="K15" s="6">
        <f>IFERROR(__xludf.DUMMYFUNCTION("""COMPUTED_VALUE"""),-0.25)</f>
        <v>-0.25</v>
      </c>
      <c r="L15" s="14">
        <f>IFERROR(__xludf.DUMMYFUNCTION("""COMPUTED_VALUE"""),-2708063.0)</f>
        <v>-2708063</v>
      </c>
      <c r="M15" s="8">
        <f>IFERROR(__xludf.DUMMYFUNCTION("""COMPUTED_VALUE"""),1.571337178E9)</f>
        <v>1571337178</v>
      </c>
    </row>
    <row r="16">
      <c r="A16" t="str">
        <f>IFERROR(__xludf.DUMMYFUNCTION("""COMPUTED_VALUE"""),"AAPL")</f>
        <v>AAPL</v>
      </c>
      <c r="B16" s="8" t="str">
        <f>IFERROR(__xludf.DUMMYFUNCTION("""COMPUTED_VALUE"""),"D")</f>
        <v>D</v>
      </c>
      <c r="C16" s="8">
        <f>IFERROR(__xludf.DUMMYFUNCTION("""COMPUTED_VALUE"""),43755.772893518515)</f>
        <v>43755.77289</v>
      </c>
      <c r="D16">
        <f>IFERROR(__xludf.DUMMYFUNCTION("""COMPUTED_VALUE"""),43753.0)</f>
        <v>43753</v>
      </c>
      <c r="E16" t="str">
        <f>IFERROR(__xludf.DUMMYFUNCTION("""COMPUTED_VALUE"""),"O'Brien Deirdre")</f>
        <v>O'Brien Deirdre</v>
      </c>
      <c r="F16" t="str">
        <f>IFERROR(__xludf.DUMMYFUNCTION("""COMPUTED_VALUE"""),"SVP")</f>
        <v>SVP</v>
      </c>
      <c r="G16" s="13" t="str">
        <f>IFERROR(__xludf.DUMMYFUNCTION("""COMPUTED_VALUE"""),"M - OptEx")</f>
        <v>M - OptEx</v>
      </c>
      <c r="H16">
        <f>IFERROR(__xludf.DUMMYFUNCTION("""COMPUTED_VALUE"""),0.0)</f>
        <v>0</v>
      </c>
      <c r="I16" s="6" t="str">
        <f>IFERROR(__xludf.DUMMYFUNCTION("""COMPUTED_VALUE"""),"+23967")</f>
        <v>+23967</v>
      </c>
      <c r="J16">
        <f>IFERROR(__xludf.DUMMYFUNCTION("""COMPUTED_VALUE"""),33852.0)</f>
        <v>33852</v>
      </c>
      <c r="K16" s="6" t="str">
        <f>IFERROR(__xludf.DUMMYFUNCTION("""COMPUTED_VALUE"""),"+242%")</f>
        <v>+242%</v>
      </c>
      <c r="L16" s="14" t="str">
        <f>IFERROR(__xludf.DUMMYFUNCTION("""COMPUTED_VALUE"""),"+$0")</f>
        <v>+$0</v>
      </c>
      <c r="M16" s="8">
        <f>IFERROR(__xludf.DUMMYFUNCTION("""COMPUTED_VALUE"""),1.571337178E9)</f>
        <v>1571337178</v>
      </c>
    </row>
    <row r="17">
      <c r="A17" t="str">
        <f>IFERROR(__xludf.DUMMYFUNCTION("""COMPUTED_VALUE"""),"AAPL")</f>
        <v>AAPL</v>
      </c>
      <c r="B17" s="8" t="str">
        <f>IFERROR(__xludf.DUMMYFUNCTION("""COMPUTED_VALUE"""),"-")</f>
        <v>-</v>
      </c>
      <c r="C17" s="8">
        <f>IFERROR(__xludf.DUMMYFUNCTION("""COMPUTED_VALUE"""),43747.77253472222)</f>
        <v>43747.77253</v>
      </c>
      <c r="D17">
        <f>IFERROR(__xludf.DUMMYFUNCTION("""COMPUTED_VALUE"""),43745.0)</f>
        <v>43745</v>
      </c>
      <c r="E17" t="str">
        <f>IFERROR(__xludf.DUMMYFUNCTION("""COMPUTED_VALUE"""),"Maestri Luca")</f>
        <v>Maestri Luca</v>
      </c>
      <c r="F17" t="str">
        <f>IFERROR(__xludf.DUMMYFUNCTION("""COMPUTED_VALUE"""),"SVP CFO")</f>
        <v>SVP CFO</v>
      </c>
      <c r="G17" s="13" t="str">
        <f>IFERROR(__xludf.DUMMYFUNCTION("""COMPUTED_VALUE"""),"S - Sale")</f>
        <v>S - Sale</v>
      </c>
      <c r="H17">
        <f>IFERROR(__xludf.DUMMYFUNCTION("""COMPUTED_VALUE"""),228.38)</f>
        <v>228.38</v>
      </c>
      <c r="I17" s="6">
        <f>IFERROR(__xludf.DUMMYFUNCTION("""COMPUTED_VALUE"""),-61659.0)</f>
        <v>-61659</v>
      </c>
      <c r="J17">
        <f>IFERROR(__xludf.DUMMYFUNCTION("""COMPUTED_VALUE"""),27448.0)</f>
        <v>27448</v>
      </c>
      <c r="K17" s="6">
        <f>IFERROR(__xludf.DUMMYFUNCTION("""COMPUTED_VALUE"""),-0.69)</f>
        <v>-0.69</v>
      </c>
      <c r="L17" s="14">
        <f>IFERROR(__xludf.DUMMYFUNCTION("""COMPUTED_VALUE"""),-1.408168E7)</f>
        <v>-14081680</v>
      </c>
      <c r="M17" s="8">
        <f>IFERROR(__xludf.DUMMYFUNCTION("""COMPUTED_VALUE"""),1.570645947E9)</f>
        <v>1570645947</v>
      </c>
    </row>
    <row r="18">
      <c r="A18" t="str">
        <f>IFERROR(__xludf.DUMMYFUNCTION("""COMPUTED_VALUE"""),"AAPL")</f>
        <v>AAPL</v>
      </c>
      <c r="B18" s="8" t="str">
        <f>IFERROR(__xludf.DUMMYFUNCTION("""COMPUTED_VALUE"""),"D")</f>
        <v>D</v>
      </c>
      <c r="C18" s="8">
        <f>IFERROR(__xludf.DUMMYFUNCTION("""COMPUTED_VALUE"""),43741.771840277775)</f>
        <v>43741.77184</v>
      </c>
      <c r="D18">
        <f>IFERROR(__xludf.DUMMYFUNCTION("""COMPUTED_VALUE"""),43739.0)</f>
        <v>43739</v>
      </c>
      <c r="E18" t="str">
        <f>IFERROR(__xludf.DUMMYFUNCTION("""COMPUTED_VALUE"""),"Maestri Luca")</f>
        <v>Maestri Luca</v>
      </c>
      <c r="F18" t="str">
        <f>IFERROR(__xludf.DUMMYFUNCTION("""COMPUTED_VALUE"""),"SVP CFO")</f>
        <v>SVP CFO</v>
      </c>
      <c r="G18" s="13" t="str">
        <f>IFERROR(__xludf.DUMMYFUNCTION("""COMPUTED_VALUE"""),"F - Tax")</f>
        <v>F - Tax</v>
      </c>
      <c r="H18">
        <f>IFERROR(__xludf.DUMMYFUNCTION("""COMPUTED_VALUE"""),224.59)</f>
        <v>224.59</v>
      </c>
      <c r="I18" s="6">
        <f>IFERROR(__xludf.DUMMYFUNCTION("""COMPUTED_VALUE"""),-67649.0)</f>
        <v>-67649</v>
      </c>
      <c r="J18">
        <f>IFERROR(__xludf.DUMMYFUNCTION("""COMPUTED_VALUE"""),89107.0)</f>
        <v>89107</v>
      </c>
      <c r="K18" s="6">
        <f>IFERROR(__xludf.DUMMYFUNCTION("""COMPUTED_VALUE"""),-0.43)</f>
        <v>-0.43</v>
      </c>
      <c r="L18" s="14">
        <f>IFERROR(__xludf.DUMMYFUNCTION("""COMPUTED_VALUE"""),-1.5193289E7)</f>
        <v>-15193289</v>
      </c>
      <c r="M18" s="8">
        <f>IFERROR(__xludf.DUMMYFUNCTION("""COMPUTED_VALUE"""),1.570127487E9)</f>
        <v>1570127487</v>
      </c>
    </row>
    <row r="19">
      <c r="A19" t="str">
        <f>IFERROR(__xludf.DUMMYFUNCTION("""COMPUTED_VALUE"""),"AAPL")</f>
        <v>AAPL</v>
      </c>
      <c r="B19" s="8" t="str">
        <f>IFERROR(__xludf.DUMMYFUNCTION("""COMPUTED_VALUE"""),"D")</f>
        <v>D</v>
      </c>
      <c r="C19" s="8">
        <f>IFERROR(__xludf.DUMMYFUNCTION("""COMPUTED_VALUE"""),43741.771840277775)</f>
        <v>43741.77184</v>
      </c>
      <c r="D19">
        <f>IFERROR(__xludf.DUMMYFUNCTION("""COMPUTED_VALUE"""),43739.0)</f>
        <v>43739</v>
      </c>
      <c r="E19" t="str">
        <f>IFERROR(__xludf.DUMMYFUNCTION("""COMPUTED_VALUE"""),"Maestri Luca")</f>
        <v>Maestri Luca</v>
      </c>
      <c r="F19" t="str">
        <f>IFERROR(__xludf.DUMMYFUNCTION("""COMPUTED_VALUE"""),"SVP CFO")</f>
        <v>SVP CFO</v>
      </c>
      <c r="G19" s="13" t="str">
        <f>IFERROR(__xludf.DUMMYFUNCTION("""COMPUTED_VALUE"""),"M - OptEx")</f>
        <v>M - OptEx</v>
      </c>
      <c r="H19">
        <f>IFERROR(__xludf.DUMMYFUNCTION("""COMPUTED_VALUE"""),0.0)</f>
        <v>0</v>
      </c>
      <c r="I19" s="6" t="str">
        <f>IFERROR(__xludf.DUMMYFUNCTION("""COMPUTED_VALUE"""),"+129308")</f>
        <v>+129308</v>
      </c>
      <c r="J19">
        <f>IFERROR(__xludf.DUMMYFUNCTION("""COMPUTED_VALUE"""),89107.0)</f>
        <v>89107</v>
      </c>
      <c r="K19" s="6">
        <f>IFERROR(__xludf.DUMMYFUNCTION("""COMPUTED_VALUE"""),-3.22)</f>
        <v>-3.22</v>
      </c>
      <c r="L19" s="14" t="str">
        <f>IFERROR(__xludf.DUMMYFUNCTION("""COMPUTED_VALUE"""),"+$0")</f>
        <v>+$0</v>
      </c>
      <c r="M19" s="8">
        <f>IFERROR(__xludf.DUMMYFUNCTION("""COMPUTED_VALUE"""),1.570127487E9)</f>
        <v>1570127487</v>
      </c>
    </row>
    <row r="20">
      <c r="A20" t="str">
        <f>IFERROR(__xludf.DUMMYFUNCTION("""COMPUTED_VALUE"""),"AAPL")</f>
        <v>AAPL</v>
      </c>
      <c r="B20" s="8" t="str">
        <f>IFERROR(__xludf.DUMMYFUNCTION("""COMPUTED_VALUE"""),"D")</f>
        <v>D</v>
      </c>
      <c r="C20" s="8">
        <f>IFERROR(__xludf.DUMMYFUNCTION("""COMPUTED_VALUE"""),43741.7731712963)</f>
        <v>43741.77317</v>
      </c>
      <c r="D20">
        <f>IFERROR(__xludf.DUMMYFUNCTION("""COMPUTED_VALUE"""),43740.0)</f>
        <v>43740</v>
      </c>
      <c r="E20" t="str">
        <f>IFERROR(__xludf.DUMMYFUNCTION("""COMPUTED_VALUE"""),"Williams Jeffrey E")</f>
        <v>Williams Jeffrey E</v>
      </c>
      <c r="F20" t="str">
        <f>IFERROR(__xludf.DUMMYFUNCTION("""COMPUTED_VALUE"""),"COO")</f>
        <v>COO</v>
      </c>
      <c r="G20" s="13" t="str">
        <f>IFERROR(__xludf.DUMMYFUNCTION("""COMPUTED_VALUE"""),"S - Sale+OE")</f>
        <v>S - Sale+OE</v>
      </c>
      <c r="H20">
        <f>IFERROR(__xludf.DUMMYFUNCTION("""COMPUTED_VALUE"""),219.04)</f>
        <v>219.04</v>
      </c>
      <c r="I20" s="6">
        <f>IFERROR(__xludf.DUMMYFUNCTION("""COMPUTED_VALUE"""),-67554.0)</f>
        <v>-67554</v>
      </c>
      <c r="J20">
        <f>IFERROR(__xludf.DUMMYFUNCTION("""COMPUTED_VALUE"""),122195.0)</f>
        <v>122195</v>
      </c>
      <c r="K20" s="6">
        <f>IFERROR(__xludf.DUMMYFUNCTION("""COMPUTED_VALUE"""),-0.36)</f>
        <v>-0.36</v>
      </c>
      <c r="L20" s="14">
        <f>IFERROR(__xludf.DUMMYFUNCTION("""COMPUTED_VALUE"""),-1.4797004E7)</f>
        <v>-14797004</v>
      </c>
      <c r="M20" s="8">
        <f>IFERROR(__xludf.DUMMYFUNCTION("""COMPUTED_VALUE"""),1.570127602E9)</f>
        <v>1570127602</v>
      </c>
    </row>
    <row r="21">
      <c r="A21" t="str">
        <f>IFERROR(__xludf.DUMMYFUNCTION("""COMPUTED_VALUE"""),"AAPL")</f>
        <v>AAPL</v>
      </c>
      <c r="B21" s="8" t="str">
        <f>IFERROR(__xludf.DUMMYFUNCTION("""COMPUTED_VALUE"""),"D")</f>
        <v>D</v>
      </c>
      <c r="C21" s="8">
        <f>IFERROR(__xludf.DUMMYFUNCTION("""COMPUTED_VALUE"""),43741.7731712963)</f>
        <v>43741.77317</v>
      </c>
      <c r="D21">
        <f>IFERROR(__xludf.DUMMYFUNCTION("""COMPUTED_VALUE"""),43739.0)</f>
        <v>43739</v>
      </c>
      <c r="E21" t="str">
        <f>IFERROR(__xludf.DUMMYFUNCTION("""COMPUTED_VALUE"""),"Williams Jeffrey E")</f>
        <v>Williams Jeffrey E</v>
      </c>
      <c r="F21" t="str">
        <f>IFERROR(__xludf.DUMMYFUNCTION("""COMPUTED_VALUE"""),"COO")</f>
        <v>COO</v>
      </c>
      <c r="G21" s="13" t="str">
        <f>IFERROR(__xludf.DUMMYFUNCTION("""COMPUTED_VALUE"""),"F - Tax")</f>
        <v>F - Tax</v>
      </c>
      <c r="H21">
        <f>IFERROR(__xludf.DUMMYFUNCTION("""COMPUTED_VALUE"""),224.59)</f>
        <v>224.59</v>
      </c>
      <c r="I21" s="6">
        <f>IFERROR(__xludf.DUMMYFUNCTION("""COMPUTED_VALUE"""),-61754.0)</f>
        <v>-61754</v>
      </c>
      <c r="J21">
        <f>IFERROR(__xludf.DUMMYFUNCTION("""COMPUTED_VALUE"""),122195.0)</f>
        <v>122195</v>
      </c>
      <c r="K21" s="6">
        <f>IFERROR(__xludf.DUMMYFUNCTION("""COMPUTED_VALUE"""),-0.34)</f>
        <v>-0.34</v>
      </c>
      <c r="L21" s="14">
        <f>IFERROR(__xludf.DUMMYFUNCTION("""COMPUTED_VALUE"""),-1.3869331E7)</f>
        <v>-13869331</v>
      </c>
      <c r="M21" s="8">
        <f>IFERROR(__xludf.DUMMYFUNCTION("""COMPUTED_VALUE"""),1.570127602E9)</f>
        <v>1570127602</v>
      </c>
    </row>
    <row r="22">
      <c r="A22" t="str">
        <f>IFERROR(__xludf.DUMMYFUNCTION("""COMPUTED_VALUE"""),"AAPL")</f>
        <v>AAPL</v>
      </c>
      <c r="B22" s="8" t="str">
        <f>IFERROR(__xludf.DUMMYFUNCTION("""COMPUTED_VALUE"""),"D")</f>
        <v>D</v>
      </c>
      <c r="C22" s="8">
        <f>IFERROR(__xludf.DUMMYFUNCTION("""COMPUTED_VALUE"""),43741.7731712963)</f>
        <v>43741.77317</v>
      </c>
      <c r="D22">
        <f>IFERROR(__xludf.DUMMYFUNCTION("""COMPUTED_VALUE"""),43739.0)</f>
        <v>43739</v>
      </c>
      <c r="E22" t="str">
        <f>IFERROR(__xludf.DUMMYFUNCTION("""COMPUTED_VALUE"""),"Williams Jeffrey E")</f>
        <v>Williams Jeffrey E</v>
      </c>
      <c r="F22" t="str">
        <f>IFERROR(__xludf.DUMMYFUNCTION("""COMPUTED_VALUE"""),"COO")</f>
        <v>COO</v>
      </c>
      <c r="G22" s="13" t="str">
        <f>IFERROR(__xludf.DUMMYFUNCTION("""COMPUTED_VALUE"""),"M - OptEx")</f>
        <v>M - OptEx</v>
      </c>
      <c r="H22">
        <f>IFERROR(__xludf.DUMMYFUNCTION("""COMPUTED_VALUE"""),0.0)</f>
        <v>0</v>
      </c>
      <c r="I22" s="6" t="str">
        <f>IFERROR(__xludf.DUMMYFUNCTION("""COMPUTED_VALUE"""),"+129308")</f>
        <v>+129308</v>
      </c>
      <c r="J22">
        <f>IFERROR(__xludf.DUMMYFUNCTION("""COMPUTED_VALUE"""),122195.0)</f>
        <v>122195</v>
      </c>
      <c r="K22" s="6">
        <f>IFERROR(__xludf.DUMMYFUNCTION("""COMPUTED_VALUE"""),-18.18)</f>
        <v>-18.18</v>
      </c>
      <c r="L22" s="14" t="str">
        <f>IFERROR(__xludf.DUMMYFUNCTION("""COMPUTED_VALUE"""),"+$0")</f>
        <v>+$0</v>
      </c>
      <c r="M22" s="8">
        <f>IFERROR(__xludf.DUMMYFUNCTION("""COMPUTED_VALUE"""),1.570127602E9)</f>
        <v>1570127602</v>
      </c>
    </row>
    <row r="23">
      <c r="B23" s="8"/>
      <c r="C23" s="8"/>
      <c r="G23" s="13"/>
    </row>
    <row r="24">
      <c r="B24" s="8"/>
      <c r="C24" s="8"/>
      <c r="G24" s="13"/>
    </row>
    <row r="25">
      <c r="B25" s="8"/>
      <c r="C25" s="8"/>
      <c r="G25" s="13"/>
    </row>
    <row r="26">
      <c r="B26" s="8"/>
      <c r="C26" s="8"/>
      <c r="G26" s="13"/>
    </row>
    <row r="27">
      <c r="B27" s="8"/>
      <c r="C27" s="8"/>
      <c r="G27" s="13"/>
    </row>
    <row r="28">
      <c r="B28" s="8"/>
      <c r="C28" s="8"/>
      <c r="G28" s="13"/>
    </row>
    <row r="29">
      <c r="B29" s="8"/>
      <c r="C29" s="8"/>
      <c r="G29" s="13"/>
    </row>
    <row r="30">
      <c r="B30" s="8"/>
      <c r="C30" s="8"/>
      <c r="G30" s="13"/>
    </row>
    <row r="31">
      <c r="B31" s="8"/>
      <c r="C31" s="8"/>
      <c r="G31" s="13"/>
    </row>
    <row r="32">
      <c r="B32" s="8"/>
      <c r="C32" s="8"/>
      <c r="G32" s="13"/>
    </row>
    <row r="33">
      <c r="B33" s="8"/>
      <c r="C33" s="8"/>
      <c r="G33" s="13"/>
    </row>
    <row r="34">
      <c r="B34" s="8"/>
      <c r="C34" s="8"/>
      <c r="G34" s="13"/>
    </row>
    <row r="35">
      <c r="B35" s="8"/>
      <c r="C35" s="8"/>
      <c r="G35" s="13"/>
    </row>
    <row r="36">
      <c r="B36" s="8"/>
      <c r="C36" s="8"/>
      <c r="G36" s="13"/>
    </row>
    <row r="37">
      <c r="B37" s="8"/>
      <c r="C37" s="8"/>
      <c r="G37" s="13"/>
    </row>
    <row r="38">
      <c r="B38" s="8"/>
      <c r="C38" s="8"/>
      <c r="G38" s="13"/>
    </row>
    <row r="39">
      <c r="B39" s="8"/>
      <c r="C39" s="8"/>
      <c r="G39" s="13"/>
    </row>
    <row r="40">
      <c r="B40" s="8"/>
      <c r="C40" s="8"/>
      <c r="G40" s="13"/>
    </row>
    <row r="41">
      <c r="B41" s="8"/>
      <c r="C41" s="8"/>
      <c r="G41" s="13"/>
    </row>
    <row r="42">
      <c r="B42" s="8"/>
      <c r="C42" s="8"/>
      <c r="G42" s="13"/>
    </row>
    <row r="43">
      <c r="B43" s="8"/>
      <c r="C43" s="8"/>
      <c r="G43" s="13"/>
    </row>
    <row r="44">
      <c r="B44" s="8"/>
      <c r="C44" s="8"/>
      <c r="G44" s="13"/>
    </row>
    <row r="45">
      <c r="B45" s="8"/>
      <c r="C45" s="8"/>
      <c r="G45" s="13"/>
    </row>
    <row r="46">
      <c r="B46" s="8"/>
      <c r="C46" s="8"/>
      <c r="G46" s="13"/>
    </row>
    <row r="47">
      <c r="B47" s="8"/>
      <c r="C47" s="8"/>
      <c r="G47" s="13"/>
    </row>
    <row r="48">
      <c r="B48" s="8"/>
      <c r="C48" s="8"/>
      <c r="G48" s="13"/>
    </row>
    <row r="49">
      <c r="B49" s="8"/>
      <c r="C49" s="8"/>
      <c r="G49" s="13"/>
    </row>
    <row r="50">
      <c r="B50" s="8"/>
      <c r="C50" s="8"/>
      <c r="G50" s="13"/>
    </row>
    <row r="51">
      <c r="B51" s="8"/>
      <c r="C51" s="8"/>
      <c r="G51" s="13"/>
    </row>
    <row r="52">
      <c r="B52" s="8"/>
      <c r="C52" s="8"/>
      <c r="G52" s="13"/>
    </row>
    <row r="53">
      <c r="B53" s="8"/>
      <c r="C53" s="8"/>
      <c r="G53" s="13"/>
    </row>
    <row r="54">
      <c r="B54" s="8"/>
      <c r="C54" s="8"/>
      <c r="G54" s="13"/>
    </row>
    <row r="55">
      <c r="B55" s="8"/>
      <c r="C55" s="8"/>
      <c r="G55" s="13"/>
    </row>
    <row r="56">
      <c r="B56" s="8"/>
      <c r="C56" s="8"/>
      <c r="G56" s="13"/>
    </row>
    <row r="57">
      <c r="B57" s="8"/>
      <c r="C57" s="8"/>
      <c r="G57" s="13"/>
    </row>
    <row r="58">
      <c r="B58" s="8"/>
      <c r="C58" s="8"/>
      <c r="G58" s="13"/>
    </row>
    <row r="59">
      <c r="B59" s="8"/>
      <c r="C59" s="8"/>
      <c r="G59" s="13"/>
    </row>
    <row r="60">
      <c r="B60" s="8"/>
      <c r="C60" s="8"/>
      <c r="G60" s="13"/>
    </row>
    <row r="61">
      <c r="B61" s="8"/>
      <c r="C61" s="8"/>
      <c r="G61" s="13"/>
    </row>
    <row r="62">
      <c r="B62" s="8"/>
      <c r="C62" s="8"/>
      <c r="G62" s="13"/>
    </row>
    <row r="63">
      <c r="B63" s="8"/>
      <c r="C63" s="8"/>
      <c r="G63" s="13"/>
    </row>
    <row r="64">
      <c r="B64" s="8"/>
      <c r="C64" s="8"/>
      <c r="G64" s="13"/>
    </row>
    <row r="65">
      <c r="B65" s="8"/>
      <c r="C65" s="8"/>
      <c r="G65" s="13"/>
    </row>
    <row r="66">
      <c r="B66" s="8"/>
      <c r="C66" s="8"/>
      <c r="G66" s="13"/>
    </row>
    <row r="67">
      <c r="B67" s="8"/>
      <c r="C67" s="8"/>
      <c r="G67" s="13"/>
    </row>
    <row r="68">
      <c r="B68" s="8"/>
      <c r="C68" s="8"/>
      <c r="G68" s="13"/>
    </row>
    <row r="69">
      <c r="B69" s="8"/>
      <c r="C69" s="8"/>
      <c r="G69" s="13"/>
    </row>
    <row r="70">
      <c r="B70" s="8"/>
      <c r="C70" s="8"/>
      <c r="G70" s="13"/>
    </row>
    <row r="71">
      <c r="B71" s="8"/>
      <c r="C71" s="8"/>
      <c r="G71" s="13"/>
    </row>
    <row r="72">
      <c r="B72" s="8"/>
      <c r="C72" s="8"/>
      <c r="G72" s="13"/>
    </row>
    <row r="73">
      <c r="B73" s="8"/>
      <c r="C73" s="8"/>
      <c r="G73" s="13"/>
    </row>
    <row r="74">
      <c r="B74" s="8"/>
      <c r="C74" s="8"/>
      <c r="G74" s="13"/>
    </row>
    <row r="75">
      <c r="B75" s="8"/>
      <c r="C75" s="8"/>
      <c r="G75" s="13"/>
    </row>
    <row r="76">
      <c r="B76" s="8"/>
      <c r="C76" s="8"/>
      <c r="G76" s="13"/>
    </row>
    <row r="77">
      <c r="B77" s="8"/>
      <c r="C77" s="8"/>
      <c r="G77" s="13"/>
    </row>
    <row r="78">
      <c r="B78" s="8"/>
      <c r="C78" s="8"/>
      <c r="G78" s="13"/>
    </row>
    <row r="79">
      <c r="B79" s="8"/>
      <c r="C79" s="8"/>
      <c r="G79" s="13"/>
    </row>
    <row r="80">
      <c r="B80" s="8"/>
      <c r="C80" s="8"/>
      <c r="G80" s="13"/>
    </row>
    <row r="81">
      <c r="B81" s="8"/>
      <c r="C81" s="8"/>
      <c r="G81" s="13"/>
    </row>
    <row r="82">
      <c r="B82" s="8"/>
      <c r="C82" s="8"/>
      <c r="G82" s="13"/>
    </row>
    <row r="83">
      <c r="B83" s="8"/>
      <c r="C83" s="8"/>
      <c r="G83" s="13"/>
    </row>
    <row r="84">
      <c r="B84" s="8"/>
      <c r="C84" s="8"/>
      <c r="G84" s="13"/>
    </row>
    <row r="85">
      <c r="B85" s="8"/>
      <c r="C85" s="8"/>
      <c r="G85" s="13"/>
    </row>
    <row r="86">
      <c r="B86" s="8"/>
      <c r="C86" s="8"/>
      <c r="G86" s="13"/>
    </row>
    <row r="87">
      <c r="B87" s="8"/>
      <c r="C87" s="8"/>
      <c r="G87" s="13"/>
    </row>
    <row r="88">
      <c r="B88" s="8"/>
      <c r="C88" s="8"/>
      <c r="G88" s="13"/>
    </row>
    <row r="89">
      <c r="B89" s="8"/>
      <c r="C89" s="8"/>
      <c r="G89" s="13"/>
    </row>
    <row r="90">
      <c r="B90" s="8"/>
      <c r="C90" s="8"/>
      <c r="G90" s="13"/>
    </row>
    <row r="91">
      <c r="B91" s="8"/>
      <c r="C91" s="8"/>
      <c r="G91" s="13"/>
    </row>
    <row r="92">
      <c r="B92" s="8"/>
      <c r="C92" s="8"/>
      <c r="G92" s="13"/>
    </row>
    <row r="93">
      <c r="B93" s="8"/>
      <c r="C93" s="8"/>
      <c r="G93" s="13"/>
    </row>
    <row r="94">
      <c r="B94" s="8"/>
      <c r="C94" s="8"/>
      <c r="G94" s="13"/>
    </row>
    <row r="95">
      <c r="B95" s="8"/>
      <c r="C95" s="8"/>
      <c r="G95" s="13"/>
    </row>
    <row r="96">
      <c r="B96" s="8"/>
      <c r="C96" s="8"/>
      <c r="G96" s="13"/>
    </row>
    <row r="97">
      <c r="B97" s="8"/>
      <c r="C97" s="8"/>
      <c r="G97" s="13"/>
    </row>
    <row r="98">
      <c r="B98" s="8"/>
      <c r="C98" s="8"/>
      <c r="G98" s="13"/>
    </row>
    <row r="99">
      <c r="B99" s="8"/>
      <c r="C99" s="8"/>
      <c r="G99" s="13"/>
    </row>
    <row r="100">
      <c r="B100" s="8"/>
      <c r="C100" s="8"/>
      <c r="G100" s="13"/>
    </row>
    <row r="101">
      <c r="B101" s="8"/>
      <c r="C101" s="8"/>
      <c r="G101" s="13"/>
    </row>
    <row r="102">
      <c r="B102" s="8"/>
      <c r="C102" s="8"/>
      <c r="G102" s="13"/>
    </row>
    <row r="103">
      <c r="B103" s="8"/>
      <c r="C103" s="8"/>
      <c r="G103" s="13"/>
    </row>
    <row r="104">
      <c r="B104" s="8"/>
      <c r="C104" s="8"/>
      <c r="G104" s="13"/>
    </row>
    <row r="105">
      <c r="B105" s="8"/>
      <c r="C105" s="8"/>
      <c r="G105" s="13"/>
    </row>
    <row r="106">
      <c r="B106" s="8"/>
      <c r="C106" s="8"/>
      <c r="G106" s="13"/>
    </row>
    <row r="107">
      <c r="B107" s="8"/>
      <c r="C107" s="8"/>
      <c r="G107" s="13"/>
    </row>
    <row r="108">
      <c r="B108" s="8"/>
      <c r="C108" s="8"/>
      <c r="G108" s="13"/>
    </row>
    <row r="109">
      <c r="B109" s="8"/>
      <c r="C109" s="8"/>
      <c r="G109" s="13"/>
    </row>
    <row r="110">
      <c r="B110" s="8"/>
      <c r="C110" s="8"/>
      <c r="G110" s="13"/>
    </row>
    <row r="111">
      <c r="B111" s="8"/>
      <c r="C111" s="8"/>
      <c r="G111" s="13"/>
    </row>
    <row r="112">
      <c r="B112" s="8"/>
      <c r="C112" s="8"/>
      <c r="G112" s="13"/>
    </row>
    <row r="113">
      <c r="B113" s="8"/>
      <c r="C113" s="8"/>
      <c r="G113" s="13"/>
    </row>
    <row r="114">
      <c r="B114" s="8"/>
      <c r="C114" s="8"/>
      <c r="G114" s="13"/>
    </row>
    <row r="115">
      <c r="B115" s="8"/>
      <c r="C115" s="8"/>
      <c r="G115" s="13"/>
    </row>
    <row r="116">
      <c r="B116" s="8"/>
      <c r="C116" s="8"/>
      <c r="G116" s="13"/>
    </row>
    <row r="117">
      <c r="B117" s="8"/>
      <c r="C117" s="8"/>
      <c r="G117" s="13"/>
    </row>
    <row r="118">
      <c r="B118" s="8"/>
      <c r="C118" s="8"/>
      <c r="G118" s="13"/>
    </row>
    <row r="119">
      <c r="B119" s="8"/>
      <c r="C119" s="8"/>
      <c r="G119" s="13"/>
    </row>
    <row r="120">
      <c r="B120" s="8"/>
      <c r="C120" s="8"/>
      <c r="G120" s="13"/>
    </row>
    <row r="121">
      <c r="B121" s="8"/>
      <c r="C121" s="8"/>
      <c r="G121" s="13"/>
    </row>
    <row r="122">
      <c r="B122" s="8"/>
      <c r="C122" s="8"/>
      <c r="G122" s="13"/>
    </row>
    <row r="123">
      <c r="B123" s="8"/>
      <c r="C123" s="8"/>
      <c r="G123" s="13"/>
    </row>
    <row r="124">
      <c r="B124" s="8"/>
      <c r="C124" s="8"/>
      <c r="G124" s="13"/>
    </row>
    <row r="125">
      <c r="B125" s="8"/>
      <c r="C125" s="8"/>
      <c r="G125" s="13"/>
    </row>
    <row r="126">
      <c r="B126" s="8"/>
      <c r="C126" s="8"/>
      <c r="G126" s="13"/>
    </row>
    <row r="127">
      <c r="B127" s="8"/>
      <c r="C127" s="8"/>
      <c r="G127" s="13"/>
    </row>
    <row r="128">
      <c r="B128" s="8"/>
      <c r="C128" s="8"/>
      <c r="G128" s="13"/>
    </row>
    <row r="129">
      <c r="B129" s="8"/>
      <c r="C129" s="8"/>
      <c r="G129" s="13"/>
    </row>
    <row r="130">
      <c r="B130" s="8"/>
      <c r="C130" s="8"/>
      <c r="G130" s="13"/>
    </row>
    <row r="131">
      <c r="B131" s="8"/>
      <c r="C131" s="8"/>
      <c r="G131" s="13"/>
    </row>
    <row r="132">
      <c r="B132" s="8"/>
      <c r="C132" s="8"/>
      <c r="G132" s="13"/>
    </row>
    <row r="133">
      <c r="B133" s="8"/>
      <c r="C133" s="8"/>
      <c r="G133" s="13"/>
    </row>
    <row r="134">
      <c r="B134" s="8"/>
      <c r="C134" s="8"/>
      <c r="G134" s="13"/>
    </row>
    <row r="135">
      <c r="B135" s="8"/>
      <c r="C135" s="8"/>
      <c r="G135" s="13"/>
    </row>
    <row r="136">
      <c r="B136" s="8"/>
      <c r="C136" s="8"/>
      <c r="G136" s="13"/>
    </row>
    <row r="137">
      <c r="B137" s="8"/>
      <c r="C137" s="8"/>
      <c r="G137" s="13"/>
    </row>
    <row r="138">
      <c r="B138" s="8"/>
      <c r="C138" s="8"/>
      <c r="G138" s="13"/>
    </row>
    <row r="139">
      <c r="B139" s="8"/>
      <c r="C139" s="8"/>
      <c r="G139" s="13"/>
    </row>
    <row r="140">
      <c r="B140" s="8"/>
      <c r="C140" s="8"/>
      <c r="G140" s="13"/>
    </row>
  </sheetData>
  <mergeCells count="2">
    <mergeCell ref="A1:G3"/>
    <mergeCell ref="A4:G4"/>
  </mergeCells>
  <hyperlinks>
    <hyperlink r:id="rId1" ref="A5"/>
  </hyperlinks>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75"/>
  </cols>
  <sheetData>
    <row r="4">
      <c r="A4" s="1" t="s">
        <v>12</v>
      </c>
    </row>
    <row r="5">
      <c r="A5" s="9" t="s">
        <v>13</v>
      </c>
    </row>
    <row r="6">
      <c r="A6" s="15" t="s">
        <v>14</v>
      </c>
    </row>
    <row r="8">
      <c r="A8" s="9" t="s">
        <v>15</v>
      </c>
    </row>
    <row r="9">
      <c r="A9" s="4" t="s">
        <v>16</v>
      </c>
      <c r="B9" s="4"/>
      <c r="C9" s="4"/>
      <c r="D9" s="4"/>
      <c r="E9" s="4"/>
      <c r="F9" s="4"/>
      <c r="G9" s="5"/>
      <c r="H9" s="5"/>
      <c r="I9" s="5"/>
      <c r="J9" s="5"/>
      <c r="K9" s="5"/>
      <c r="L9" s="5"/>
      <c r="M9" s="5"/>
      <c r="N9" s="5"/>
    </row>
    <row r="11">
      <c r="A11" s="9" t="s">
        <v>17</v>
      </c>
    </row>
    <row r="12">
      <c r="A12" s="12" t="str">
        <f>IFERROR(__xludf.DUMMYFUNCTION("importdata(""https://api.unibit.ai/v2/company/news?tickers=AAPL&amp;startDate=2019-08-25&amp;endDate=2019-08-30&amp;startMinute=10:00:00&amp;endMinute=11:00:00&amp;genre=partnership&amp;sector=technology&amp;selectedFields=all&amp;dataType=csv&amp;accessKey=Demo"")"),"ticker")</f>
        <v>ticker</v>
      </c>
      <c r="B12" t="str">
        <f>IFERROR(__xludf.DUMMYFUNCTION("""COMPUTED_VALUE"""),"ticker")</f>
        <v>ticker</v>
      </c>
      <c r="C12" t="str">
        <f>IFERROR(__xludf.DUMMYFUNCTION("""COMPUTED_VALUE"""),"title")</f>
        <v>title</v>
      </c>
      <c r="D12" t="str">
        <f>IFERROR(__xludf.DUMMYFUNCTION("""COMPUTED_VALUE"""),"author")</f>
        <v>author</v>
      </c>
      <c r="E12" t="str">
        <f>IFERROR(__xludf.DUMMYFUNCTION("""COMPUTED_VALUE"""),"description")</f>
        <v>description</v>
      </c>
      <c r="F12" t="str">
        <f>IFERROR(__xludf.DUMMYFUNCTION("""COMPUTED_VALUE"""),"url")</f>
        <v>url</v>
      </c>
      <c r="G12" t="str">
        <f>IFERROR(__xludf.DUMMYFUNCTION("""COMPUTED_VALUE"""),"source")</f>
        <v>source</v>
      </c>
      <c r="H12" t="str">
        <f>IFERROR(__xludf.DUMMYFUNCTION("""COMPUTED_VALUE"""),"published")</f>
        <v>published</v>
      </c>
      <c r="I12" t="str">
        <f>IFERROR(__xludf.DUMMYFUNCTION("""COMPUTED_VALUE"""),"event sector")</f>
        <v>event sector</v>
      </c>
      <c r="J12" t="str">
        <f>IFERROR(__xludf.DUMMYFUNCTION("""COMPUTED_VALUE"""),"event genre")</f>
        <v>event genre</v>
      </c>
      <c r="K12" t="str">
        <f>IFERROR(__xludf.DUMMYFUNCTION("""COMPUTED_VALUE"""),"event organization")</f>
        <v>event organization</v>
      </c>
      <c r="L12" t="str">
        <f>IFERROR(__xludf.DUMMYFUNCTION("""COMPUTED_VALUE"""),"event person")</f>
        <v>event person</v>
      </c>
      <c r="M12" t="str">
        <f>IFERROR(__xludf.DUMMYFUNCTION("""COMPUTED_VALUE"""),"event location")</f>
        <v>event location</v>
      </c>
      <c r="N12" t="str">
        <f>IFERROR(__xludf.DUMMYFUNCTION("""COMPUTED_VALUE"""),"sentiment")</f>
        <v>sentiment</v>
      </c>
    </row>
    <row r="13">
      <c r="A13" t="str">
        <f>IFERROR(__xludf.DUMMYFUNCTION("""COMPUTED_VALUE"""),"AAPL")</f>
        <v>AAPL</v>
      </c>
      <c r="B13" t="str">
        <f>IFERROR(__xludf.DUMMYFUNCTION("""COMPUTED_VALUE"""),"AAPL")</f>
        <v>AAPL</v>
      </c>
      <c r="C13" t="str">
        <f>IFERROR(__xludf.DUMMYFUNCTION("""COMPUTED_VALUE"""),"Apple expected to unveil new iPhone at Sept 10 event")</f>
        <v>Apple expected to unveil new iPhone at Sept 10 event</v>
      </c>
      <c r="D13" t="str">
        <f>IFERROR(__xludf.DUMMYFUNCTION("""COMPUTED_VALUE"""),"AFP")</f>
        <v>AFP</v>
      </c>
      <c r="E13" t="str">
        <f>IFERROR(__xludf.DUMMYFUNCTION("""COMPUTED_VALUE"""),"The introduction of 'iPhone 11' handsets comes as the global smartphone market tightens and Apple makes a priority of selling digital content and services.")</f>
        <v>The introduction of 'iPhone 11' handsets comes as the global smartphone market tightens and Apple makes a priority of selling digital content and services.</v>
      </c>
      <c r="F13" s="16" t="str">
        <f>IFERROR(__xludf.DUMMYFUNCTION("""COMPUTED_VALUE"""),"https://www.freemalaysiatoday.com/category/leisure/2019/08/30/apple-expected-to-unveil-new-iphone-at-sept-10-event/")</f>
        <v>https://www.freemalaysiatoday.com/category/leisure/2019/08/30/apple-expected-to-unveil-new-iphone-at-sept-10-event/</v>
      </c>
      <c r="G13" s="16" t="str">
        <f>IFERROR(__xludf.DUMMYFUNCTION("""COMPUTED_VALUE"""),"Freemalaysiatoday.com")</f>
        <v>Freemalaysiatoday.com</v>
      </c>
      <c r="H13" t="str">
        <f>IFERROR(__xludf.DUMMYFUNCTION("""COMPUTED_VALUE"""),"2019-08-30T04:21:29Z")</f>
        <v>2019-08-30T04:21:29Z</v>
      </c>
      <c r="I13" t="str">
        <f>IFERROR(__xludf.DUMMYFUNCTION("""COMPUTED_VALUE"""),"Technology")</f>
        <v>Technology</v>
      </c>
      <c r="J13" t="str">
        <f>IFERROR(__xludf.DUMMYFUNCTION("""COMPUTED_VALUE"""),"Product Release")</f>
        <v>Product Release</v>
      </c>
      <c r="K13" t="str">
        <f>IFERROR(__xludf.DUMMYFUNCTION("""COMPUTED_VALUE"""),"Apple")</f>
        <v>Apple</v>
      </c>
      <c r="L13" t="str">
        <f>IFERROR(__xludf.DUMMYFUNCTION("""COMPUTED_VALUE"""),"-")</f>
        <v>-</v>
      </c>
      <c r="M13" t="str">
        <f>IFERROR(__xludf.DUMMYFUNCTION("""COMPUTED_VALUE"""),"-")</f>
        <v>-</v>
      </c>
      <c r="N13">
        <f>IFERROR(__xludf.DUMMYFUNCTION("""COMPUTED_VALUE"""),0.0)</f>
        <v>0</v>
      </c>
    </row>
    <row r="14">
      <c r="A14" t="str">
        <f>IFERROR(__xludf.DUMMYFUNCTION("""COMPUTED_VALUE"""),"AAPL")</f>
        <v>AAPL</v>
      </c>
      <c r="B14" t="str">
        <f>IFERROR(__xludf.DUMMYFUNCTION("""COMPUTED_VALUE"""),"AAPL")</f>
        <v>AAPL</v>
      </c>
      <c r="C14" t="str">
        <f>IFERROR(__xludf.DUMMYFUNCTION("""COMPUTED_VALUE"""),"Pocketnow Daily: Apple?s iPhone XI event claims BOLD moves?!(video)")</f>
        <v>Pocketnow Daily: Apple?s iPhone XI event claims BOLD moves?!(video)</v>
      </c>
      <c r="D14" t="str">
        <f>IFERROR(__xludf.DUMMYFUNCTION("""COMPUTED_VALUE"""),"Samuel Martinez")</f>
        <v>Samuel Martinez</v>
      </c>
      <c r="E14" t="str">
        <f>IFERROR(__xludf.DUMMYFUNCTION("""COMPUTED_VALUE"""),"On today's Pocketnow Daily we talk about the invitations for the next Apple event to present the iPhone XI leaked specs of the OnePlus 7T and more The post Pocketnow Daily: Apple?s iPhone XI event claims BOLD moves?!(video) appeared first on Pocketnow.")</f>
        <v>On today's Pocketnow Daily we talk about the invitations for the next Apple event to present the iPhone XI leaked specs of the OnePlus 7T and more The post Pocketnow Daily: Apple?s iPhone XI event claims BOLD moves?!(video) appeared first on Pocketnow.</v>
      </c>
      <c r="F14" s="16" t="str">
        <f>IFERROR(__xludf.DUMMYFUNCTION("""COMPUTED_VALUE"""),"https://pocketnow.com/pocketnow-daily-apples-iphone-xi-event-claims-bold-movesvideo")</f>
        <v>https://pocketnow.com/pocketnow-daily-apples-iphone-xi-event-claims-bold-movesvideo</v>
      </c>
      <c r="G14" s="16" t="str">
        <f>IFERROR(__xludf.DUMMYFUNCTION("""COMPUTED_VALUE"""),"Pocketnow.com")</f>
        <v>Pocketnow.com</v>
      </c>
      <c r="H14" t="str">
        <f>IFERROR(__xludf.DUMMYFUNCTION("""COMPUTED_VALUE"""),"2019-08-30T04:28:31Z")</f>
        <v>2019-08-30T04:28:31Z</v>
      </c>
      <c r="I14" t="str">
        <f>IFERROR(__xludf.DUMMYFUNCTION("""COMPUTED_VALUE"""),"Technology")</f>
        <v>Technology</v>
      </c>
      <c r="J14" t="str">
        <f>IFERROR(__xludf.DUMMYFUNCTION("""COMPUTED_VALUE"""),"Politics")</f>
        <v>Politics</v>
      </c>
      <c r="K14" t="str">
        <f>IFERROR(__xludf.DUMMYFUNCTION("""COMPUTED_VALUE"""),"-")</f>
        <v>-</v>
      </c>
      <c r="L14" t="str">
        <f>IFERROR(__xludf.DUMMYFUNCTION("""COMPUTED_VALUE"""),"-")</f>
        <v>-</v>
      </c>
      <c r="M14" t="str">
        <f>IFERROR(__xludf.DUMMYFUNCTION("""COMPUTED_VALUE"""),"-")</f>
        <v>-</v>
      </c>
      <c r="N14">
        <f>IFERROR(__xludf.DUMMYFUNCTION("""COMPUTED_VALUE"""),0.74)</f>
        <v>0.74</v>
      </c>
    </row>
    <row r="15">
      <c r="A15" t="str">
        <f>IFERROR(__xludf.DUMMYFUNCTION("""COMPUTED_VALUE"""),"AAPL")</f>
        <v>AAPL</v>
      </c>
      <c r="B15" t="str">
        <f>IFERROR(__xludf.DUMMYFUNCTION("""COMPUTED_VALUE"""),"AAPL")</f>
        <v>AAPL</v>
      </c>
      <c r="C15" t="str">
        <f>IFERROR(__xludf.DUMMYFUNCTION("""COMPUTED_VALUE"""),"India Said to Woo Firms Like Apple to Capitalise on US-China Trade War")</f>
        <v>India Said to Woo Firms Like Apple to Capitalise on US-China Trade War</v>
      </c>
      <c r="D15" t="str">
        <f>IFERROR(__xludf.DUMMYFUNCTION("""COMPUTED_VALUE"""),"-")</f>
        <v>-</v>
      </c>
      <c r="E15" t="str">
        <f>IFERROR(__xludf.DUMMYFUNCTION("""COMPUTED_VALUE"""),"India is targeting companies including Apple Foxconn and Wistron with a charm offensive aimed at encouraging them to shift business out of trade war-hit China.")</f>
        <v>India is targeting companies including Apple Foxconn and Wistron with a charm offensive aimed at encouraging them to shift business out of trade war-hit China.</v>
      </c>
      <c r="F15" s="16" t="str">
        <f>IFERROR(__xludf.DUMMYFUNCTION("""COMPUTED_VALUE"""),"https://gadgets.ndtv.com/mobiles/news/india-said-to-woo-firms-like-apple-to-capitalise-on-us-china-trade-war-2092753")</f>
        <v>https://gadgets.ndtv.com/mobiles/news/india-said-to-woo-firms-like-apple-to-capitalise-on-us-china-trade-war-2092753</v>
      </c>
      <c r="G15" s="16" t="str">
        <f>IFERROR(__xludf.DUMMYFUNCTION("""COMPUTED_VALUE"""),"Ndtv.com")</f>
        <v>Ndtv.com</v>
      </c>
      <c r="H15" t="str">
        <f>IFERROR(__xludf.DUMMYFUNCTION("""COMPUTED_VALUE"""),"2019-08-30T04:49:46Z")</f>
        <v>2019-08-30T04:49:46Z</v>
      </c>
      <c r="I15" t="str">
        <f>IFERROR(__xludf.DUMMYFUNCTION("""COMPUTED_VALUE"""),"Technology")</f>
        <v>Technology</v>
      </c>
      <c r="J15" t="str">
        <f>IFERROR(__xludf.DUMMYFUNCTION("""COMPUTED_VALUE"""),"Politics")</f>
        <v>Politics</v>
      </c>
      <c r="K15" t="str">
        <f>IFERROR(__xludf.DUMMYFUNCTION("""COMPUTED_VALUE"""),"Apple")</f>
        <v>Apple</v>
      </c>
      <c r="L15" t="str">
        <f>IFERROR(__xludf.DUMMYFUNCTION("""COMPUTED_VALUE"""),"-")</f>
        <v>-</v>
      </c>
      <c r="M15" t="str">
        <f>IFERROR(__xludf.DUMMYFUNCTION("""COMPUTED_VALUE"""),"China/ India")</f>
        <v>China/ India</v>
      </c>
      <c r="N15">
        <f>IFERROR(__xludf.DUMMYFUNCTION("""COMPUTED_VALUE"""),0.83)</f>
        <v>0.83</v>
      </c>
    </row>
    <row r="16">
      <c r="A16" t="str">
        <f>IFERROR(__xludf.DUMMYFUNCTION("""COMPUTED_VALUE"""),"AAPL")</f>
        <v>AAPL</v>
      </c>
      <c r="B16" t="str">
        <f>IFERROR(__xludf.DUMMYFUNCTION("""COMPUTED_VALUE"""),"AAPL")</f>
        <v>AAPL</v>
      </c>
      <c r="C16" t="str">
        <f>IFERROR(__xludf.DUMMYFUNCTION("""COMPUTED_VALUE"""),"Apple September 10 event preview: iPhone 11 lineup Watch Series 5 and everything else to expect")</f>
        <v>Apple September 10 event preview: iPhone 11 lineup Watch Series 5 and everything else to expect</v>
      </c>
      <c r="D16" t="str">
        <f>IFERROR(__xludf.DUMMYFUNCTION("""COMPUTED_VALUE"""),"Tech Desk")</f>
        <v>Tech Desk</v>
      </c>
      <c r="E16" t="str">
        <f>IFERROR(__xludf.DUMMYFUNCTION("""COMPUTED_VALUE"""),"Apple has already sent out invites for its next big event which will be held on September 10 at the Steve Jobs Theatre in Cupertino?s new Apple Park campus. Reports so far suggest that Apple will launch iPhone 11 iPhone 11 Pro and iPhone 11 Pro Max at the"&amp;" ?")</f>
        <v>Apple has already sent out invites for its next big event which will be held on September 10 at the Steve Jobs Theatre in Cupertino?s new Apple Park campus. Reports so far suggest that Apple will launch iPhone 11 iPhone 11 Pro and iPhone 11 Pro Max at the ?</v>
      </c>
      <c r="F16" s="16" t="str">
        <f>IFERROR(__xludf.DUMMYFUNCTION("""COMPUTED_VALUE"""),"https://indianexpress.com/article/technology/tech-news-technology/apple-september-10-event-apple-iphone-11-apple-watch-series-5-and-everything-else-to-expect-5950129/")</f>
        <v>https://indianexpress.com/article/technology/tech-news-technology/apple-september-10-event-apple-iphone-11-apple-watch-series-5-and-everything-else-to-expect-5950129/</v>
      </c>
      <c r="G16" s="16" t="str">
        <f>IFERROR(__xludf.DUMMYFUNCTION("""COMPUTED_VALUE"""),"Indianexpress.com")</f>
        <v>Indianexpress.com</v>
      </c>
      <c r="H16" t="str">
        <f>IFERROR(__xludf.DUMMYFUNCTION("""COMPUTED_VALUE"""),"2019-08-30T05:34:27Z")</f>
        <v>2019-08-30T05:34:27Z</v>
      </c>
      <c r="I16" t="str">
        <f>IFERROR(__xludf.DUMMYFUNCTION("""COMPUTED_VALUE"""),"Technology")</f>
        <v>Technology</v>
      </c>
      <c r="J16" t="str">
        <f>IFERROR(__xludf.DUMMYFUNCTION("""COMPUTED_VALUE"""),"Product Release/ Achievement")</f>
        <v>Product Release/ Achievement</v>
      </c>
      <c r="K16" t="str">
        <f>IFERROR(__xludf.DUMMYFUNCTION("""COMPUTED_VALUE"""),"Apple")</f>
        <v>Apple</v>
      </c>
      <c r="L16" t="str">
        <f>IFERROR(__xludf.DUMMYFUNCTION("""COMPUTED_VALUE"""),"Steve Jobs")</f>
        <v>Steve Jobs</v>
      </c>
      <c r="M16" t="str">
        <f>IFERROR(__xludf.DUMMYFUNCTION("""COMPUTED_VALUE"""),"-")</f>
        <v>-</v>
      </c>
      <c r="N16">
        <f>IFERROR(__xludf.DUMMYFUNCTION("""COMPUTED_VALUE"""),0.0)</f>
        <v>0</v>
      </c>
    </row>
    <row r="17">
      <c r="A17" t="str">
        <f>IFERROR(__xludf.DUMMYFUNCTION("""COMPUTED_VALUE"""),"AAPL")</f>
        <v>AAPL</v>
      </c>
      <c r="B17" t="str">
        <f>IFERROR(__xludf.DUMMYFUNCTION("""COMPUTED_VALUE"""),"AAPL")</f>
        <v>AAPL</v>
      </c>
      <c r="C17" t="str">
        <f>IFERROR(__xludf.DUMMYFUNCTION("""COMPUTED_VALUE"""),"Google Shocks 1 Billion iPhone Users With Malicious Hack Warning")</f>
        <v>Google Shocks 1 Billion iPhone Users With Malicious Hack Warning</v>
      </c>
      <c r="D17" t="str">
        <f>IFERROR(__xludf.DUMMYFUNCTION("""COMPUTED_VALUE"""),"Zak Doffman Contributor Zak Doffman Contributor https://www.forbes.com/sites/zakdoffman/")</f>
        <v>Zak Doffman Contributor Zak Doffman Contributor https://www.forbes.com/sites/zakdoffman/</v>
      </c>
      <c r="E17" t="str">
        <f>IFERROR(__xludf.DUMMYFUNCTION("""COMPUTED_VALUE"""),"Apple's difficult week just got worse. Much worse.")</f>
        <v>Apple's difficult week just got worse. Much worse.</v>
      </c>
      <c r="F17" s="16" t="str">
        <f>IFERROR(__xludf.DUMMYFUNCTION("""COMPUTED_VALUE"""),"https://www.forbes.com/sites/zakdoffman/2019/08/30/google-shocks-1-billion-iphone-users-with-malicious-hack-warning/")</f>
        <v>https://www.forbes.com/sites/zakdoffman/2019/08/30/google-shocks-1-billion-iphone-users-with-malicious-hack-warning/</v>
      </c>
      <c r="G17" s="16" t="str">
        <f>IFERROR(__xludf.DUMMYFUNCTION("""COMPUTED_VALUE"""),"Forbes.com")</f>
        <v>Forbes.com</v>
      </c>
      <c r="H17" t="str">
        <f>IFERROR(__xludf.DUMMYFUNCTION("""COMPUTED_VALUE"""),"2019-08-30T05:36:16Z")</f>
        <v>2019-08-30T05:36:16Z</v>
      </c>
      <c r="I17" t="str">
        <f>IFERROR(__xludf.DUMMYFUNCTION("""COMPUTED_VALUE"""),"Technology")</f>
        <v>Technology</v>
      </c>
      <c r="J17" t="str">
        <f>IFERROR(__xludf.DUMMYFUNCTION("""COMPUTED_VALUE"""),"Politics")</f>
        <v>Politics</v>
      </c>
      <c r="K17" t="str">
        <f>IFERROR(__xludf.DUMMYFUNCTION("""COMPUTED_VALUE"""),"Apple")</f>
        <v>Apple</v>
      </c>
      <c r="L17" t="str">
        <f>IFERROR(__xludf.DUMMYFUNCTION("""COMPUTED_VALUE"""),"-")</f>
        <v>-</v>
      </c>
      <c r="M17" t="str">
        <f>IFERROR(__xludf.DUMMYFUNCTION("""COMPUTED_VALUE"""),"-")</f>
        <v>-</v>
      </c>
      <c r="N17">
        <f>IFERROR(__xludf.DUMMYFUNCTION("""COMPUTED_VALUE"""),-0.88)</f>
        <v>-0.88</v>
      </c>
    </row>
    <row r="18">
      <c r="A18" t="str">
        <f>IFERROR(__xludf.DUMMYFUNCTION("""COMPUTED_VALUE"""),"AAPL")</f>
        <v>AAPL</v>
      </c>
      <c r="B18" t="str">
        <f>IFERROR(__xludf.DUMMYFUNCTION("""COMPUTED_VALUE"""),"AAPL")</f>
        <v>AAPL</v>
      </c>
      <c r="C18" t="str">
        <f>IFERROR(__xludf.DUMMYFUNCTION("""COMPUTED_VALUE"""),"Apple will allow basic iPhone repairs from third-party shops")</f>
        <v>Apple will allow basic iPhone repairs from third-party shops</v>
      </c>
      <c r="D18" t="str">
        <f>IFERROR(__xludf.DUMMYFUNCTION("""COMPUTED_VALUE"""),"Ivan Mehta")</f>
        <v>Ivan Mehta</v>
      </c>
      <c r="E18" t="str">
        <f>IFERROR(__xludf.DUMMYFUNCTION("""COMPUTED_VALUE"""),"After critics called out Apple on its restrictive hardware repair policies Apple announced yesterday it?ll allow repairs from third-party repair shops and sell them parts for aftermarket service. Don?t get your hopes up just yet. Third-party repair shops "&amp;"fi?")</f>
        <v>After critics called out Apple on its restrictive hardware repair policies Apple announced yesterday it?ll allow repairs from third-party repair shops and sell them parts for aftermarket service. Don?t get your hopes up just yet. Third-party repair shops fi?</v>
      </c>
      <c r="F18" s="16" t="str">
        <f>IFERROR(__xludf.DUMMYFUNCTION("""COMPUTED_VALUE"""),"https://thenextweb.com/apple/2019/08/30/apple-will-allow-basic-iphone-repairs-from-third-party-shops/")</f>
        <v>https://thenextweb.com/apple/2019/08/30/apple-will-allow-basic-iphone-repairs-from-third-party-shops/</v>
      </c>
      <c r="G18" t="str">
        <f>IFERROR(__xludf.DUMMYFUNCTION("""COMPUTED_VALUE"""),"The Next Web")</f>
        <v>The Next Web</v>
      </c>
      <c r="H18" t="str">
        <f>IFERROR(__xludf.DUMMYFUNCTION("""COMPUTED_VALUE"""),"2019-08-30T06:01:28Z")</f>
        <v>2019-08-30T06:01:28Z</v>
      </c>
      <c r="I18" t="str">
        <f>IFERROR(__xludf.DUMMYFUNCTION("""COMPUTED_VALUE"""),"Technology")</f>
        <v>Technology</v>
      </c>
      <c r="J18" t="str">
        <f>IFERROR(__xludf.DUMMYFUNCTION("""COMPUTED_VALUE"""),"Politics")</f>
        <v>Politics</v>
      </c>
      <c r="K18" t="str">
        <f>IFERROR(__xludf.DUMMYFUNCTION("""COMPUTED_VALUE"""),"Apple")</f>
        <v>Apple</v>
      </c>
      <c r="L18" t="str">
        <f>IFERROR(__xludf.DUMMYFUNCTION("""COMPUTED_VALUE"""),"-")</f>
        <v>-</v>
      </c>
      <c r="M18" t="str">
        <f>IFERROR(__xludf.DUMMYFUNCTION("""COMPUTED_VALUE"""),"-")</f>
        <v>-</v>
      </c>
      <c r="N18">
        <f>IFERROR(__xludf.DUMMYFUNCTION("""COMPUTED_VALUE"""),0.53)</f>
        <v>0.53</v>
      </c>
    </row>
    <row r="19">
      <c r="A19" t="str">
        <f>IFERROR(__xludf.DUMMYFUNCTION("""COMPUTED_VALUE"""),"AAPL")</f>
        <v>AAPL</v>
      </c>
      <c r="B19" t="str">
        <f>IFERROR(__xludf.DUMMYFUNCTION("""COMPUTED_VALUE"""),"AAPL")</f>
        <v>AAPL</v>
      </c>
      <c r="C19" t="str">
        <f>IFERROR(__xludf.DUMMYFUNCTION("""COMPUTED_VALUE"""),"It's Official: Apple's 2019 iPhone Lineup Will Finally Be Revealed On September 10")</f>
        <v>It's Official: Apple's 2019 iPhone Lineup Will Finally Be Revealed On September 10</v>
      </c>
      <c r="D19" t="str">
        <f>IFERROR(__xludf.DUMMYFUNCTION("""COMPUTED_VALUE"""),"Monit Khanna")</f>
        <v>Monit Khanna</v>
      </c>
      <c r="E19" t="str">
        <f>IFERROR(__xludf.DUMMYFUNCTION("""COMPUTED_VALUE"""),"Apple sent out formal invites to the press for its event yesterday. The event will take place at the company's Apple Park headquarters in Cupertino California. The invite reveals a three-dimensional looking apple logo with layers of colours on top of each"&amp;" ot?")</f>
        <v>Apple sent out formal invites to the press for its event yesterday. The event will take place at the company's Apple Park headquarters in Cupertino California. The invite reveals a three-dimensional looking apple logo with layers of colours on top of each ot?</v>
      </c>
      <c r="F19" s="16" t="str">
        <f>IFERROR(__xludf.DUMMYFUNCTION("""COMPUTED_VALUE"""),"https://www.indiatimes.com/technology/news/it-s-official-apple-s-2019-iphone-lineup-will-finally-be-revealed-on-september-10_-374679.html")</f>
        <v>https://www.indiatimes.com/technology/news/it-s-official-apple-s-2019-iphone-lineup-will-finally-be-revealed-on-september-10_-374679.html</v>
      </c>
      <c r="G19" t="str">
        <f>IFERROR(__xludf.DUMMYFUNCTION("""COMPUTED_VALUE"""),"The Times of India")</f>
        <v>The Times of India</v>
      </c>
      <c r="H19" t="str">
        <f>IFERROR(__xludf.DUMMYFUNCTION("""COMPUTED_VALUE"""),"2019-08-30T06:08:08Z")</f>
        <v>2019-08-30T06:08:08Z</v>
      </c>
      <c r="I19" t="str">
        <f>IFERROR(__xludf.DUMMYFUNCTION("""COMPUTED_VALUE"""),"Technology")</f>
        <v>Technology</v>
      </c>
      <c r="J19" t="str">
        <f>IFERROR(__xludf.DUMMYFUNCTION("""COMPUTED_VALUE"""),"Media")</f>
        <v>Media</v>
      </c>
      <c r="K19" t="str">
        <f>IFERROR(__xludf.DUMMYFUNCTION("""COMPUTED_VALUE"""),"Apple")</f>
        <v>Apple</v>
      </c>
      <c r="L19" t="str">
        <f>IFERROR(__xludf.DUMMYFUNCTION("""COMPUTED_VALUE"""),"-")</f>
        <v>-</v>
      </c>
      <c r="M19" t="str">
        <f>IFERROR(__xludf.DUMMYFUNCTION("""COMPUTED_VALUE"""),"Cupertino / California")</f>
        <v>Cupertino / California</v>
      </c>
      <c r="N19">
        <f>IFERROR(__xludf.DUMMYFUNCTION("""COMPUTED_VALUE"""),0.34)</f>
        <v>0.34</v>
      </c>
    </row>
    <row r="20">
      <c r="A20" t="str">
        <f>IFERROR(__xludf.DUMMYFUNCTION("""COMPUTED_VALUE"""),"AAPL")</f>
        <v>AAPL</v>
      </c>
      <c r="B20" t="str">
        <f>IFERROR(__xludf.DUMMYFUNCTION("""COMPUTED_VALUE"""),"AAPL")</f>
        <v>AAPL</v>
      </c>
      <c r="C20" t="str">
        <f>IFERROR(__xludf.DUMMYFUNCTION("""COMPUTED_VALUE"""),"Next iPhone expected to be unveiled September 10")</f>
        <v>Next iPhone expected to be unveiled September 10</v>
      </c>
      <c r="D20" s="16" t="str">
        <f>IFERROR(__xludf.DUMMYFUNCTION("""COMPUTED_VALUE"""),"Rappler.com")</f>
        <v>Rappler.com</v>
      </c>
      <c r="E20" t="str">
        <f>IFERROR(__xludf.DUMMYFUNCTION("""COMPUTED_VALUE"""),"MANILA Philippines ? Mark your calendars Apple fans. The next iPhone is expected to be officially announced on September 10 as the American tech giant has sent out media invites to the event. The event will take place at the company?s Apple Park headquart"&amp;"e?")</f>
        <v>MANILA Philippines ? Mark your calendars Apple fans. The next iPhone is expected to be officially announced on September 10 as the American tech giant has sent out media invites to the event. The event will take place at the company?s Apple Park headquarte?</v>
      </c>
      <c r="F20" s="16" t="str">
        <f>IFERROR(__xludf.DUMMYFUNCTION("""COMPUTED_VALUE"""),"https://www.rappler.com/technology/news/238917-new-apple-iphone-2019-event-september-10")</f>
        <v>https://www.rappler.com/technology/news/238917-new-apple-iphone-2019-event-september-10</v>
      </c>
      <c r="G20" s="16" t="str">
        <f>IFERROR(__xludf.DUMMYFUNCTION("""COMPUTED_VALUE"""),"Rappler.com")</f>
        <v>Rappler.com</v>
      </c>
      <c r="H20" t="str">
        <f>IFERROR(__xludf.DUMMYFUNCTION("""COMPUTED_VALUE"""),"2019-08-30T06:08:25Z")</f>
        <v>2019-08-30T06:08:25Z</v>
      </c>
      <c r="I20" t="str">
        <f>IFERROR(__xludf.DUMMYFUNCTION("""COMPUTED_VALUE"""),"Technology")</f>
        <v>Technology</v>
      </c>
      <c r="J20" t="str">
        <f>IFERROR(__xludf.DUMMYFUNCTION("""COMPUTED_VALUE"""),"Product Release/ Media")</f>
        <v>Product Release/ Media</v>
      </c>
      <c r="K20" t="str">
        <f>IFERROR(__xludf.DUMMYFUNCTION("""COMPUTED_VALUE"""),"Apple")</f>
        <v>Apple</v>
      </c>
      <c r="L20" t="str">
        <f>IFERROR(__xludf.DUMMYFUNCTION("""COMPUTED_VALUE"""),"-")</f>
        <v>-</v>
      </c>
      <c r="M20" t="str">
        <f>IFERROR(__xludf.DUMMYFUNCTION("""COMPUTED_VALUE"""),"Philippines/ Manila")</f>
        <v>Philippines/ Manila</v>
      </c>
      <c r="N20">
        <f>IFERROR(__xludf.DUMMYFUNCTION("""COMPUTED_VALUE"""),0.0)</f>
        <v>0</v>
      </c>
    </row>
    <row r="21">
      <c r="A21" t="str">
        <f>IFERROR(__xludf.DUMMYFUNCTION("""COMPUTED_VALUE"""),"AAPL")</f>
        <v>AAPL</v>
      </c>
      <c r="B21" t="str">
        <f>IFERROR(__xludf.DUMMYFUNCTION("""COMPUTED_VALUE"""),"AAPL")</f>
        <v>AAPL</v>
      </c>
      <c r="C21" t="str">
        <f>IFERROR(__xludf.DUMMYFUNCTION("""COMPUTED_VALUE"""),"India is encouraging foreign firms to shift biz from China: report")</f>
        <v>India is encouraging foreign firms to shift biz from China: report</v>
      </c>
      <c r="D21" t="str">
        <f>IFERROR(__xludf.DUMMYFUNCTION("""COMPUTED_VALUE"""),"Shreya Ganguly")</f>
        <v>Shreya Ganguly</v>
      </c>
      <c r="E21" t="str">
        <f>IFERROR(__xludf.DUMMYFUNCTION("""COMPUTED_VALUE"""),"india is reportedly encouraging foreign companies such as Apple Foxconn Wistron Corp to shift their business from China to India.")</f>
        <v>india is reportedly encouraging foreign companies such as Apple Foxconn Wistron Corp to shift their business from China to India.</v>
      </c>
      <c r="F21" s="16" t="str">
        <f>IFERROR(__xludf.DUMMYFUNCTION("""COMPUTED_VALUE"""),"https://www.medianama.com/2019/08/223-india-is-encouraging-foreign-firms-to-shift-biz-from-china/")</f>
        <v>https://www.medianama.com/2019/08/223-india-is-encouraging-foreign-firms-to-shift-biz-from-china/</v>
      </c>
      <c r="G21" s="16" t="str">
        <f>IFERROR(__xludf.DUMMYFUNCTION("""COMPUTED_VALUE"""),"Medianama.com")</f>
        <v>Medianama.com</v>
      </c>
      <c r="H21" t="str">
        <f>IFERROR(__xludf.DUMMYFUNCTION("""COMPUTED_VALUE"""),"2019-08-30T06:15:27Z")</f>
        <v>2019-08-30T06:15:27Z</v>
      </c>
      <c r="I21" t="str">
        <f>IFERROR(__xludf.DUMMYFUNCTION("""COMPUTED_VALUE"""),"Technology")</f>
        <v>Technology</v>
      </c>
      <c r="J21" t="str">
        <f>IFERROR(__xludf.DUMMYFUNCTION("""COMPUTED_VALUE"""),"Politics")</f>
        <v>Politics</v>
      </c>
      <c r="K21" t="str">
        <f>IFERROR(__xludf.DUMMYFUNCTION("""COMPUTED_VALUE"""),"Wistron Corp")</f>
        <v>Wistron Corp</v>
      </c>
      <c r="L21" t="str">
        <f>IFERROR(__xludf.DUMMYFUNCTION("""COMPUTED_VALUE"""),"-")</f>
        <v>-</v>
      </c>
      <c r="M21" t="str">
        <f>IFERROR(__xludf.DUMMYFUNCTION("""COMPUTED_VALUE"""),"China/ India")</f>
        <v>China/ India</v>
      </c>
      <c r="N21">
        <f>IFERROR(__xludf.DUMMYFUNCTION("""COMPUTED_VALUE"""),0.78)</f>
        <v>0.78</v>
      </c>
    </row>
    <row r="22">
      <c r="A22" t="str">
        <f>IFERROR(__xludf.DUMMYFUNCTION("""COMPUTED_VALUE"""),"AAPL")</f>
        <v>AAPL</v>
      </c>
      <c r="B22" t="str">
        <f>IFERROR(__xludf.DUMMYFUNCTION("""COMPUTED_VALUE"""),"AAPL")</f>
        <v>AAPL</v>
      </c>
      <c r="C22" t="str">
        <f>IFERROR(__xludf.DUMMYFUNCTION("""COMPUTED_VALUE"""),"Apple iPhone 11 event takes place 10th of September")</f>
        <v>Apple iPhone 11 event takes place 10th of September</v>
      </c>
      <c r="D22" t="str">
        <f>IFERROR(__xludf.DUMMYFUNCTION("""COMPUTED_VALUE"""),"Roland Hutchinson")</f>
        <v>Roland Hutchinson</v>
      </c>
      <c r="E22" t="str">
        <f>IFERROR(__xludf.DUMMYFUNCTION("""COMPUTED_VALUE"""),"Apple has announced that its iPhone 11 event will take place on the 10th of September 2019 at 10AM in the Steve Jobs Theater at the Apple Campus in Cupertino. We are expecting to see three versions of the new iPhone 11 at the press event this will include"&amp;" th?")</f>
        <v>Apple has announced that its iPhone 11 event will take place on the 10th of September 2019 at 10AM in the Steve Jobs Theater at the Apple Campus in Cupertino. We are expecting to see three versions of the new iPhone 11 at the press event this will include th?</v>
      </c>
      <c r="F22" s="16" t="str">
        <f>IFERROR(__xludf.DUMMYFUNCTION("""COMPUTED_VALUE"""),"https://www.geeky-gadgets.com/apple-iphone-11-event-takes-place-10th-of-september-30-08-2019/")</f>
        <v>https://www.geeky-gadgets.com/apple-iphone-11-event-takes-place-10th-of-september-30-08-2019/</v>
      </c>
      <c r="G22" s="16" t="str">
        <f>IFERROR(__xludf.DUMMYFUNCTION("""COMPUTED_VALUE"""),"Geeky-gadgets.com")</f>
        <v>Geeky-gadgets.com</v>
      </c>
      <c r="H22" t="str">
        <f>IFERROR(__xludf.DUMMYFUNCTION("""COMPUTED_VALUE"""),"2019-08-30T06:31:33Z")</f>
        <v>2019-08-30T06:31:33Z</v>
      </c>
      <c r="I22" t="str">
        <f>IFERROR(__xludf.DUMMYFUNCTION("""COMPUTED_VALUE"""),"Technology")</f>
        <v>Technology</v>
      </c>
      <c r="J22" t="str">
        <f>IFERROR(__xludf.DUMMYFUNCTION("""COMPUTED_VALUE"""),"Product Release/ Achievement")</f>
        <v>Product Release/ Achievement</v>
      </c>
      <c r="K22" t="str">
        <f>IFERROR(__xludf.DUMMYFUNCTION("""COMPUTED_VALUE"""),"Apple/ Steve")</f>
        <v>Apple/ Steve</v>
      </c>
      <c r="L22" t="str">
        <f>IFERROR(__xludf.DUMMYFUNCTION("""COMPUTED_VALUE"""),"-")</f>
        <v>-</v>
      </c>
      <c r="M22" t="str">
        <f>IFERROR(__xludf.DUMMYFUNCTION("""COMPUTED_VALUE"""),"Cupertino")</f>
        <v>Cupertino</v>
      </c>
      <c r="N22">
        <f>IFERROR(__xludf.DUMMYFUNCTION("""COMPUTED_VALUE"""),0.0)</f>
        <v>0</v>
      </c>
    </row>
    <row r="23">
      <c r="A23" t="str">
        <f>IFERROR(__xludf.DUMMYFUNCTION("""COMPUTED_VALUE"""),"AAPL")</f>
        <v>AAPL</v>
      </c>
      <c r="B23" t="str">
        <f>IFERROR(__xludf.DUMMYFUNCTION("""COMPUTED_VALUE"""),"AAPL")</f>
        <v>AAPL</v>
      </c>
      <c r="C23" t="str">
        <f>IFERROR(__xludf.DUMMYFUNCTION("""COMPUTED_VALUE"""),"Apple Finally Gives Independent Repair Shops Access to Official iPhone Parts")</f>
        <v>Apple Finally Gives Independent Repair Shops Access to Official iPhone Parts</v>
      </c>
      <c r="D23" t="str">
        <f>IFERROR(__xludf.DUMMYFUNCTION("""COMPUTED_VALUE"""),"info@hypebeast.com (HYPEBEAST) HYPEBEAST")</f>
        <v>info@hypebeast.com (HYPEBEAST) HYPEBEAST</v>
      </c>
      <c r="E23" t="str">
        <f>IFERROR(__xludf.DUMMYFUNCTION("""COMPUTED_VALUE"""),"Apple is finally letting third-party iPhone repair shops have access to genuine parts. Dubbed """"Independent Repair Provider Program"""" the new initiative is free and vendors can easily apply online for an official certificate (even those that aren't """&amp;"""Apple Auth?")</f>
        <v>Apple is finally letting third-party iPhone repair shops have access to genuine parts. Dubbed ""Independent Repair Provider Program"" the new initiative is free and vendors can easily apply online for an official certificate (even those that aren't ""Apple Auth?</v>
      </c>
      <c r="F23" s="16" t="str">
        <f>IFERROR(__xludf.DUMMYFUNCTION("""COMPUTED_VALUE"""),"https://hypebeast.com/2019/8/apple-independent-repair-shops-iphone-real-parts-information")</f>
        <v>https://hypebeast.com/2019/8/apple-independent-repair-shops-iphone-real-parts-information</v>
      </c>
      <c r="G23" s="16" t="str">
        <f>IFERROR(__xludf.DUMMYFUNCTION("""COMPUTED_VALUE"""),"Hypebeast.com")</f>
        <v>Hypebeast.com</v>
      </c>
      <c r="H23" t="str">
        <f>IFERROR(__xludf.DUMMYFUNCTION("""COMPUTED_VALUE"""),"2019-08-30T06:35:38Z")</f>
        <v>2019-08-30T06:35:38Z</v>
      </c>
      <c r="I23" t="str">
        <f>IFERROR(__xludf.DUMMYFUNCTION("""COMPUTED_VALUE"""),"Technology")</f>
        <v>Technology</v>
      </c>
      <c r="J23" t="str">
        <f>IFERROR(__xludf.DUMMYFUNCTION("""COMPUTED_VALUE"""),"Politics/ Product Release")</f>
        <v>Politics/ Product Release</v>
      </c>
      <c r="K23" t="str">
        <f>IFERROR(__xludf.DUMMYFUNCTION("""COMPUTED_VALUE"""),"Apple/ Provider")</f>
        <v>Apple/ Provider</v>
      </c>
      <c r="L23" t="str">
        <f>IFERROR(__xludf.DUMMYFUNCTION("""COMPUTED_VALUE"""),"-")</f>
        <v>-</v>
      </c>
      <c r="M23" t="str">
        <f>IFERROR(__xludf.DUMMYFUNCTION("""COMPUTED_VALUE"""),"-")</f>
        <v>-</v>
      </c>
      <c r="N23">
        <f>IFERROR(__xludf.DUMMYFUNCTION("""COMPUTED_VALUE"""),0.69)</f>
        <v>0.69</v>
      </c>
    </row>
    <row r="24">
      <c r="A24" t="str">
        <f>IFERROR(__xludf.DUMMYFUNCTION("""COMPUTED_VALUE"""),"AAPL")</f>
        <v>AAPL</v>
      </c>
      <c r="B24" t="str">
        <f>IFERROR(__xludf.DUMMYFUNCTION("""COMPUTED_VALUE"""),"AAPL")</f>
        <v>AAPL</v>
      </c>
      <c r="C24" t="str">
        <f>IFERROR(__xludf.DUMMYFUNCTION("""COMPUTED_VALUE"""),"20 Fantastic Tutorials for Learning Apple Keynote")</f>
        <v>20 Fantastic Tutorials for Learning Apple Keynote</v>
      </c>
      <c r="D24" t="str">
        <f>IFERROR(__xludf.DUMMYFUNCTION("""COMPUTED_VALUE"""),"Brenda Stokes Barron")</f>
        <v>Brenda Stokes Barron</v>
      </c>
      <c r="E24" t="str">
        <f>IFERROR(__xludf.DUMMYFUNCTION("""COMPUTED_VALUE"""),"Apple Keynote makes it easy to create beautiful presentations and slide decks. If you have an upcoming presentation or a webinar then it?s the best time to learn about everything... The post 20 Fantastic Tutorials for Learning Apple Keynote appeared first"&amp;" on?")</f>
        <v>Apple Keynote makes it easy to create beautiful presentations and slide decks. If you have an upcoming presentation or a webinar then it?s the best time to learn about everything... The post 20 Fantastic Tutorials for Learning Apple Keynote appeared first on?</v>
      </c>
      <c r="F24" s="16" t="str">
        <f>IFERROR(__xludf.DUMMYFUNCTION("""COMPUTED_VALUE"""),"https://speckyboy.com/apple-keynote-tutorials/")</f>
        <v>https://speckyboy.com/apple-keynote-tutorials/</v>
      </c>
      <c r="G24" s="16" t="str">
        <f>IFERROR(__xludf.DUMMYFUNCTION("""COMPUTED_VALUE"""),"Speckyboy.com")</f>
        <v>Speckyboy.com</v>
      </c>
      <c r="H24" t="str">
        <f>IFERROR(__xludf.DUMMYFUNCTION("""COMPUTED_VALUE"""),"2019-08-30T06:56:50Z")</f>
        <v>2019-08-30T06:56:50Z</v>
      </c>
      <c r="I24" t="str">
        <f>IFERROR(__xludf.DUMMYFUNCTION("""COMPUTED_VALUE"""),"Technology")</f>
        <v>Technology</v>
      </c>
      <c r="J24" t="str">
        <f>IFERROR(__xludf.DUMMYFUNCTION("""COMPUTED_VALUE"""),"Education")</f>
        <v>Education</v>
      </c>
      <c r="K24" t="str">
        <f>IFERROR(__xludf.DUMMYFUNCTION("""COMPUTED_VALUE"""),"-")</f>
        <v>-</v>
      </c>
      <c r="L24" t="str">
        <f>IFERROR(__xludf.DUMMYFUNCTION("""COMPUTED_VALUE"""),"-")</f>
        <v>-</v>
      </c>
      <c r="M24" t="str">
        <f>IFERROR(__xludf.DUMMYFUNCTION("""COMPUTED_VALUE"""),"-")</f>
        <v>-</v>
      </c>
      <c r="N24">
        <f>IFERROR(__xludf.DUMMYFUNCTION("""COMPUTED_VALUE"""),0.97)</f>
        <v>0.97</v>
      </c>
    </row>
    <row r="25">
      <c r="A25" t="str">
        <f>IFERROR(__xludf.DUMMYFUNCTION("""COMPUTED_VALUE"""),"AAPL")</f>
        <v>AAPL</v>
      </c>
      <c r="B25" t="str">
        <f>IFERROR(__xludf.DUMMYFUNCTION("""COMPUTED_VALUE"""),"AAPL")</f>
        <v>AAPL</v>
      </c>
      <c r="C25" t="str">
        <f>IFERROR(__xludf.DUMMYFUNCTION("""COMPUTED_VALUE"""),"Apple issues invites for a September 10 iPhone event")</f>
        <v>Apple issues invites for a September 10 iPhone event</v>
      </c>
      <c r="D25" t="str">
        <f>IFERROR(__xludf.DUMMYFUNCTION("""COMPUTED_VALUE"""),"Sanjiv Sathiah")</f>
        <v>Sanjiv Sathiah</v>
      </c>
      <c r="E25" t="str">
        <f>IFERROR(__xludf.DUMMYFUNCTION("""COMPUTED_VALUE"""),"Apple has issued invites to the press for its 2019 iPhone event. Dubbed ?By innovation only? the new generation of iPhones will be officially unveiled on September 10 that the Steve Jobs Theater on the Apple Park campus in Cupertino.")</f>
        <v>Apple has issued invites to the press for its 2019 iPhone event. Dubbed ?By innovation only? the new generation of iPhones will be officially unveiled on September 10 that the Steve Jobs Theater on the Apple Park campus in Cupertino.</v>
      </c>
      <c r="F25" s="16" t="str">
        <f>IFERROR(__xludf.DUMMYFUNCTION("""COMPUTED_VALUE"""),"https://www.notebookcheck.net/Apple-issues-invites-for-a-September-10-iPhone-event.433519.0.html")</f>
        <v>https://www.notebookcheck.net/Apple-issues-invites-for-a-September-10-iPhone-event.433519.0.html</v>
      </c>
      <c r="G25" s="16" t="str">
        <f>IFERROR(__xludf.DUMMYFUNCTION("""COMPUTED_VALUE"""),"Notebookcheck.net")</f>
        <v>Notebookcheck.net</v>
      </c>
      <c r="H25" t="str">
        <f>IFERROR(__xludf.DUMMYFUNCTION("""COMPUTED_VALUE"""),"2019-08-30T07:12:00Z")</f>
        <v>2019-08-30T07:12:00Z</v>
      </c>
      <c r="I25" t="str">
        <f>IFERROR(__xludf.DUMMYFUNCTION("""COMPUTED_VALUE"""),"Technology")</f>
        <v>Technology</v>
      </c>
      <c r="J25" t="str">
        <f>IFERROR(__xludf.DUMMYFUNCTION("""COMPUTED_VALUE"""),"Product Release")</f>
        <v>Product Release</v>
      </c>
      <c r="K25" t="str">
        <f>IFERROR(__xludf.DUMMYFUNCTION("""COMPUTED_VALUE"""),"Apple")</f>
        <v>Apple</v>
      </c>
      <c r="L25" t="str">
        <f>IFERROR(__xludf.DUMMYFUNCTION("""COMPUTED_VALUE"""),"-")</f>
        <v>-</v>
      </c>
      <c r="M25" t="str">
        <f>IFERROR(__xludf.DUMMYFUNCTION("""COMPUTED_VALUE"""),"Cupertino")</f>
        <v>Cupertino</v>
      </c>
      <c r="N25">
        <f>IFERROR(__xludf.DUMMYFUNCTION("""COMPUTED_VALUE"""),0.38)</f>
        <v>0.38</v>
      </c>
    </row>
    <row r="26">
      <c r="A26" t="str">
        <f>IFERROR(__xludf.DUMMYFUNCTION("""COMPUTED_VALUE"""),"AAPL")</f>
        <v>AAPL</v>
      </c>
      <c r="B26" t="str">
        <f>IFERROR(__xludf.DUMMYFUNCTION("""COMPUTED_VALUE"""),"AAPL")</f>
        <v>AAPL</v>
      </c>
      <c r="C26" t="str">
        <f>IFERROR(__xludf.DUMMYFUNCTION("""COMPUTED_VALUE"""),"Google Uncovers How Just Visiting Some Sites Were Secretly Hacking iPhones For Years")</f>
        <v>Google Uncovers How Just Visiting Some Sites Were Secretly Hacking iPhones For Years</v>
      </c>
      <c r="D26" t="str">
        <f>IFERROR(__xludf.DUMMYFUNCTION("""COMPUTED_VALUE"""),"Swati Khandelwal")</f>
        <v>Swati Khandelwal</v>
      </c>
      <c r="E26" t="str">
        <f>IFERROR(__xludf.DUMMYFUNCTION("""COMPUTED_VALUE"""),"Beware Apple users! Your iPhone can be hacked just by visiting an innocent-looking website confirms a terrifying report Google researchers released earlier today. The story goes back to a widespread iPhone hacking campaign that cybersecurity researchers f"&amp;"rom?")</f>
        <v>Beware Apple users! Your iPhone can be hacked just by visiting an innocent-looking website confirms a terrifying report Google researchers released earlier today. The story goes back to a widespread iPhone hacking campaign that cybersecurity researchers from?</v>
      </c>
      <c r="F26" s="16" t="str">
        <f>IFERROR(__xludf.DUMMYFUNCTION("""COMPUTED_VALUE"""),"https://thehackernews.com/2019/08/hacking-iphone-ios-exploits.html")</f>
        <v>https://thehackernews.com/2019/08/hacking-iphone-ios-exploits.html</v>
      </c>
      <c r="G26" s="16" t="str">
        <f>IFERROR(__xludf.DUMMYFUNCTION("""COMPUTED_VALUE"""),"Thehackernews.com")</f>
        <v>Thehackernews.com</v>
      </c>
      <c r="H26" t="str">
        <f>IFERROR(__xludf.DUMMYFUNCTION("""COMPUTED_VALUE"""),"2019-08-30T07:33:00Z")</f>
        <v>2019-08-30T07:33:00Z</v>
      </c>
      <c r="I26" t="str">
        <f>IFERROR(__xludf.DUMMYFUNCTION("""COMPUTED_VALUE"""),"Technology")</f>
        <v>Technology</v>
      </c>
      <c r="J26" t="str">
        <f>IFERROR(__xludf.DUMMYFUNCTION("""COMPUTED_VALUE"""),"Politics")</f>
        <v>Politics</v>
      </c>
      <c r="K26" t="str">
        <f>IFERROR(__xludf.DUMMYFUNCTION("""COMPUTED_VALUE"""),"-")</f>
        <v>-</v>
      </c>
      <c r="L26" t="str">
        <f>IFERROR(__xludf.DUMMYFUNCTION("""COMPUTED_VALUE"""),"-")</f>
        <v>-</v>
      </c>
      <c r="M26" t="str">
        <f>IFERROR(__xludf.DUMMYFUNCTION("""COMPUTED_VALUE"""),"-")</f>
        <v>-</v>
      </c>
      <c r="N26">
        <f>IFERROR(__xludf.DUMMYFUNCTION("""COMPUTED_VALUE"""),-0.77)</f>
        <v>-0.77</v>
      </c>
    </row>
    <row r="27">
      <c r="A27" t="str">
        <f>IFERROR(__xludf.DUMMYFUNCTION("""COMPUTED_VALUE"""),"AAPL")</f>
        <v>AAPL</v>
      </c>
      <c r="B27" t="str">
        <f>IFERROR(__xludf.DUMMYFUNCTION("""COMPUTED_VALUE"""),"AAPL")</f>
        <v>AAPL</v>
      </c>
      <c r="C27" t="str">
        <f>IFERROR(__xludf.DUMMYFUNCTION("""COMPUTED_VALUE"""),"Apple Set Date for iPhone 11 Launch")</f>
        <v>Apple Set Date for iPhone 11 Launch</v>
      </c>
      <c r="D27" t="str">
        <f>IFERROR(__xludf.DUMMYFUNCTION("""COMPUTED_VALUE"""),"{TECH} FOR TRAVEL")</f>
        <v>{TECH} FOR TRAVEL</v>
      </c>
      <c r="E27" t="str">
        <f>IFERROR(__xludf.DUMMYFUNCTION("""COMPUTED_VALUE"""),"Apple Fall Event 2019 It?s that time of year again where iPhone and Apple fans in general eagerly await the launch of the latest model this time the iPhone 11. Apple has begun to send out the press invites confirming their Fall event for 2019 will be held"&amp;" o?")</f>
        <v>Apple Fall Event 2019 It?s that time of year again where iPhone and Apple fans in general eagerly await the launch of the latest model this time the iPhone 11. Apple has begun to send out the press invites confirming their Fall event for 2019 will be held o?</v>
      </c>
      <c r="F27" s="16" t="str">
        <f>IFERROR(__xludf.DUMMYFUNCTION("""COMPUTED_VALUE"""),"https://techfortravel.co.uk/event-apple-fall-2019/")</f>
        <v>https://techfortravel.co.uk/event-apple-fall-2019/</v>
      </c>
      <c r="G27" s="16" t="str">
        <f>IFERROR(__xludf.DUMMYFUNCTION("""COMPUTED_VALUE"""),"Techfortravel.co.uk")</f>
        <v>Techfortravel.co.uk</v>
      </c>
      <c r="H27" t="str">
        <f>IFERROR(__xludf.DUMMYFUNCTION("""COMPUTED_VALUE"""),"2019-08-30T07:34:33Z")</f>
        <v>2019-08-30T07:34:33Z</v>
      </c>
      <c r="I27" t="str">
        <f>IFERROR(__xludf.DUMMYFUNCTION("""COMPUTED_VALUE"""),"Technology")</f>
        <v>Technology</v>
      </c>
      <c r="J27" t="str">
        <f>IFERROR(__xludf.DUMMYFUNCTION("""COMPUTED_VALUE"""),"Product Release/ Media")</f>
        <v>Product Release/ Media</v>
      </c>
      <c r="K27" t="str">
        <f>IFERROR(__xludf.DUMMYFUNCTION("""COMPUTED_VALUE"""),"Apple")</f>
        <v>Apple</v>
      </c>
      <c r="L27" t="str">
        <f>IFERROR(__xludf.DUMMYFUNCTION("""COMPUTED_VALUE"""),"-")</f>
        <v>-</v>
      </c>
      <c r="M27" t="str">
        <f>IFERROR(__xludf.DUMMYFUNCTION("""COMPUTED_VALUE"""),"-")</f>
        <v>-</v>
      </c>
      <c r="N27">
        <f>IFERROR(__xludf.DUMMYFUNCTION("""COMPUTED_VALUE"""),0.46)</f>
        <v>0.46</v>
      </c>
    </row>
    <row r="28">
      <c r="A28" t="str">
        <f>IFERROR(__xludf.DUMMYFUNCTION("""COMPUTED_VALUE"""),"AAPL")</f>
        <v>AAPL</v>
      </c>
      <c r="B28" t="str">
        <f>IFERROR(__xludf.DUMMYFUNCTION("""COMPUTED_VALUE"""),"AAPL")</f>
        <v>AAPL</v>
      </c>
      <c r="C28" t="str">
        <f>IFERROR(__xludf.DUMMYFUNCTION("""COMPUTED_VALUE"""),"Apple announces Independent Repair Program for iPhone and more")</f>
        <v>Apple announces Independent Repair Program for iPhone and more</v>
      </c>
      <c r="D28" t="str">
        <f>IFERROR(__xludf.DUMMYFUNCTION("""COMPUTED_VALUE"""),"Roland Hutchinson")</f>
        <v>Roland Hutchinson</v>
      </c>
      <c r="E28" t="str">
        <f>IFERROR(__xludf.DUMMYFUNCTION("""COMPUTED_VALUE"""),"Apple has announced a new Independent Repair Program for iPhones iPads and other devices that will allow third party repair companies to repair out of warranty Apple devices with genuine apple parts. The company has decided to provide independent repair b"&amp;"usi?")</f>
        <v>Apple has announced a new Independent Repair Program for iPhones iPads and other devices that will allow third party repair companies to repair out of warranty Apple devices with genuine apple parts. The company has decided to provide independent repair busi?</v>
      </c>
      <c r="F28" s="16" t="str">
        <f>IFERROR(__xludf.DUMMYFUNCTION("""COMPUTED_VALUE"""),"https://www.geeky-gadgets.com/apple-announces-independent-repair-program-for-iphone-and-more-30-08-2019/")</f>
        <v>https://www.geeky-gadgets.com/apple-announces-independent-repair-program-for-iphone-and-more-30-08-2019/</v>
      </c>
      <c r="G28" s="16" t="str">
        <f>IFERROR(__xludf.DUMMYFUNCTION("""COMPUTED_VALUE"""),"Geeky-gadgets.com")</f>
        <v>Geeky-gadgets.com</v>
      </c>
      <c r="H28" t="str">
        <f>IFERROR(__xludf.DUMMYFUNCTION("""COMPUTED_VALUE"""),"2019-08-30T07:35:10Z")</f>
        <v>2019-08-30T07:35:10Z</v>
      </c>
      <c r="I28" t="str">
        <f>IFERROR(__xludf.DUMMYFUNCTION("""COMPUTED_VALUE"""),"Technology")</f>
        <v>Technology</v>
      </c>
      <c r="J28" t="str">
        <f>IFERROR(__xludf.DUMMYFUNCTION("""COMPUTED_VALUE"""),"Partnership/ Product Release")</f>
        <v>Partnership/ Product Release</v>
      </c>
      <c r="K28" t="str">
        <f>IFERROR(__xludf.DUMMYFUNCTION("""COMPUTED_VALUE"""),"Apple")</f>
        <v>Apple</v>
      </c>
      <c r="L28" t="str">
        <f>IFERROR(__xludf.DUMMYFUNCTION("""COMPUTED_VALUE"""),"-")</f>
        <v>-</v>
      </c>
      <c r="M28" t="str">
        <f>IFERROR(__xludf.DUMMYFUNCTION("""COMPUTED_VALUE"""),"-")</f>
        <v>-</v>
      </c>
      <c r="N28">
        <f>IFERROR(__xludf.DUMMYFUNCTION("""COMPUTED_VALUE"""),0.56)</f>
        <v>0.56</v>
      </c>
    </row>
    <row r="29">
      <c r="A29" t="str">
        <f>IFERROR(__xludf.DUMMYFUNCTION("""COMPUTED_VALUE"""),"AAPL")</f>
        <v>AAPL</v>
      </c>
      <c r="B29" t="str">
        <f>IFERROR(__xludf.DUMMYFUNCTION("""COMPUTED_VALUE"""),"AAPL")</f>
        <v>AAPL</v>
      </c>
      <c r="C29" t="str">
        <f>IFERROR(__xludf.DUMMYFUNCTION("""COMPUTED_VALUE"""),"Apple?s iPhones Will Be Hit With 15% Tariffs This December")</f>
        <v>Apple?s iPhones Will Be Hit With 15% Tariffs This December</v>
      </c>
      <c r="D29" t="str">
        <f>IFERROR(__xludf.DUMMYFUNCTION("""COMPUTED_VALUE"""),"Tyler Lee")</f>
        <v>Tyler Lee</v>
      </c>
      <c r="E29" t="str">
        <f>IFERROR(__xludf.DUMMYFUNCTION("""COMPUTED_VALUE"""),"Due to the US government?s ongoing trade war with China a report from earlier this month suggested that some of Apple?s products could be hit with a 10% tariff for importing them into the country. It turns out that it will no longer be 10%. Instead a repo"&amp;"rt?")</f>
        <v>Due to the US government?s ongoing trade war with China a report from earlier this month suggested that some of Apple?s products could be hit with a 10% tariff for importing them into the country. It turns out that it will no longer be 10%. Instead a report?</v>
      </c>
      <c r="F29" s="16" t="str">
        <f>IFERROR(__xludf.DUMMYFUNCTION("""COMPUTED_VALUE"""),"https://www.ubergizmo.com/2019/08/iphones-hit-15-percent-tariffs-december/")</f>
        <v>https://www.ubergizmo.com/2019/08/iphones-hit-15-percent-tariffs-december/</v>
      </c>
      <c r="G29" s="16" t="str">
        <f>IFERROR(__xludf.DUMMYFUNCTION("""COMPUTED_VALUE"""),"Ubergizmo.com")</f>
        <v>Ubergizmo.com</v>
      </c>
      <c r="H29" t="str">
        <f>IFERROR(__xludf.DUMMYFUNCTION("""COMPUTED_VALUE"""),"2019-08-30T08:00:26Z")</f>
        <v>2019-08-30T08:00:26Z</v>
      </c>
      <c r="I29" t="str">
        <f>IFERROR(__xludf.DUMMYFUNCTION("""COMPUTED_VALUE"""),"Technology")</f>
        <v>Technology</v>
      </c>
      <c r="J29" t="str">
        <f>IFERROR(__xludf.DUMMYFUNCTION("""COMPUTED_VALUE"""),"Politics")</f>
        <v>Politics</v>
      </c>
      <c r="K29" t="str">
        <f>IFERROR(__xludf.DUMMYFUNCTION("""COMPUTED_VALUE"""),"-")</f>
        <v>-</v>
      </c>
      <c r="L29" t="str">
        <f>IFERROR(__xludf.DUMMYFUNCTION("""COMPUTED_VALUE"""),"-")</f>
        <v>-</v>
      </c>
      <c r="M29" t="str">
        <f>IFERROR(__xludf.DUMMYFUNCTION("""COMPUTED_VALUE"""),"China")</f>
        <v>China</v>
      </c>
      <c r="N29">
        <f>IFERROR(__xludf.DUMMYFUNCTION("""COMPUTED_VALUE"""),-0.73)</f>
        <v>-0.73</v>
      </c>
    </row>
    <row r="30">
      <c r="A30" t="str">
        <f>IFERROR(__xludf.DUMMYFUNCTION("""COMPUTED_VALUE"""),"AAPL")</f>
        <v>AAPL</v>
      </c>
      <c r="B30" t="str">
        <f>IFERROR(__xludf.DUMMYFUNCTION("""COMPUTED_VALUE"""),"AAPL")</f>
        <v>AAPL</v>
      </c>
      <c r="C30" t="str">
        <f>IFERROR(__xludf.DUMMYFUNCTION("""COMPUTED_VALUE"""),"Apple Pay Adoption Is Lagging Behind In The US")</f>
        <v>Apple Pay Adoption Is Lagging Behind In The US</v>
      </c>
      <c r="D30" t="str">
        <f>IFERROR(__xludf.DUMMYFUNCTION("""COMPUTED_VALUE"""),"Tyler Lee")</f>
        <v>Tyler Lee</v>
      </c>
      <c r="E30" t="str">
        <f>IFERROR(__xludf.DUMMYFUNCTION("""COMPUTED_VALUE"""),"Apple Pay was launched a while back and was Apple?s way of introducing mobile payments to its customers. It seemed like a good idea where you could use devices like your iPhone and Apple Watch to make payments at places that accepted it. However while a g"&amp;"ood?")</f>
        <v>Apple Pay was launched a while back and was Apple?s way of introducing mobile payments to its customers. It seemed like a good idea where you could use devices like your iPhone and Apple Watch to make payments at places that accepted it. However while a good?</v>
      </c>
      <c r="F30" s="16" t="str">
        <f>IFERROR(__xludf.DUMMYFUNCTION("""COMPUTED_VALUE"""),"https://www.ubergizmo.com/2019/08/apple-pay-adoption-lagging-us/")</f>
        <v>https://www.ubergizmo.com/2019/08/apple-pay-adoption-lagging-us/</v>
      </c>
      <c r="G30" s="16" t="str">
        <f>IFERROR(__xludf.DUMMYFUNCTION("""COMPUTED_VALUE"""),"Ubergizmo.com")</f>
        <v>Ubergizmo.com</v>
      </c>
      <c r="H30" t="str">
        <f>IFERROR(__xludf.DUMMYFUNCTION("""COMPUTED_VALUE"""),"2019-08-30T08:02:14Z")</f>
        <v>2019-08-30T08:02:14Z</v>
      </c>
      <c r="I30" t="str">
        <f>IFERROR(__xludf.DUMMYFUNCTION("""COMPUTED_VALUE"""),"Technology")</f>
        <v>Technology</v>
      </c>
      <c r="J30" t="str">
        <f>IFERROR(__xludf.DUMMYFUNCTION("""COMPUTED_VALUE"""),"Blockchain")</f>
        <v>Blockchain</v>
      </c>
      <c r="K30" t="str">
        <f>IFERROR(__xludf.DUMMYFUNCTION("""COMPUTED_VALUE"""),"Apple Watch")</f>
        <v>Apple Watch</v>
      </c>
      <c r="L30" t="str">
        <f>IFERROR(__xludf.DUMMYFUNCTION("""COMPUTED_VALUE"""),"-")</f>
        <v>-</v>
      </c>
      <c r="M30" t="str">
        <f>IFERROR(__xludf.DUMMYFUNCTION("""COMPUTED_VALUE"""),"-")</f>
        <v>-</v>
      </c>
      <c r="N30">
        <f>IFERROR(__xludf.DUMMYFUNCTION("""COMPUTED_VALUE"""),0.77)</f>
        <v>0.77</v>
      </c>
    </row>
    <row r="31">
      <c r="A31" t="str">
        <f>IFERROR(__xludf.DUMMYFUNCTION("""COMPUTED_VALUE"""),"AAPL")</f>
        <v>AAPL</v>
      </c>
      <c r="B31" t="str">
        <f>IFERROR(__xludf.DUMMYFUNCTION("""COMPUTED_VALUE"""),"AAPL")</f>
        <v>AAPL</v>
      </c>
      <c r="C31" t="str">
        <f>IFERROR(__xludf.DUMMYFUNCTION("""COMPUTED_VALUE"""),"Fitbit launches Versa 2")</f>
        <v>Fitbit launches Versa 2</v>
      </c>
      <c r="D31" t="str">
        <f>IFERROR(__xludf.DUMMYFUNCTION("""COMPUTED_VALUE"""),"Stefan Mileschin")</f>
        <v>Stefan Mileschin</v>
      </c>
      <c r="E31" t="str">
        <f>IFERROR(__xludf.DUMMYFUNCTION("""COMPUTED_VALUE"""),"Half the price of the iWatch with a battery that lasts for days Fitbit launched its latest smartwatch Versa 2 adding Amazon. voice assistant Alexa online payments and music storage in a bid to compete strongly with Apple. Pre-orders for Versa 2 which is p"&amp;"?")</f>
        <v>Half the price of the iWatch with a battery that lasts for days Fitbit launched its latest smartwatch Versa 2 adding Amazon. voice assistant Alexa online payments and music storage in a bid to compete strongly with Apple. Pre-orders for Versa 2 which is p?</v>
      </c>
      <c r="F31" s="16" t="str">
        <f>IFERROR(__xludf.DUMMYFUNCTION("""COMPUTED_VALUE"""),"http://www.madshrimps.be/news/item/189531?utm_source=feedburner&amp;utm_medium=feed&amp;utm_campaign=Feed%3A+madshrimps+%28Madshrimps+News+RSS+Feed%29")</f>
        <v>http://www.madshrimps.be/news/item/189531?utm_source=feedburner&amp;utm_medium=feed&amp;utm_campaign=Feed%3A+madshrimps+%28Madshrimps+News+RSS+Feed%29</v>
      </c>
      <c r="G31" s="16" t="str">
        <f>IFERROR(__xludf.DUMMYFUNCTION("""COMPUTED_VALUE"""),"Madshrimps.be")</f>
        <v>Madshrimps.be</v>
      </c>
      <c r="H31" t="str">
        <f>IFERROR(__xludf.DUMMYFUNCTION("""COMPUTED_VALUE"""),"2019-08-30T08:24:13Z")</f>
        <v>2019-08-30T08:24:13Z</v>
      </c>
      <c r="I31" t="str">
        <f>IFERROR(__xludf.DUMMYFUNCTION("""COMPUTED_VALUE"""),"Technology")</f>
        <v>Technology</v>
      </c>
      <c r="J31" t="str">
        <f>IFERROR(__xludf.DUMMYFUNCTION("""COMPUTED_VALUE"""),"Product Release")</f>
        <v>Product Release</v>
      </c>
      <c r="K31" t="str">
        <f>IFERROR(__xludf.DUMMYFUNCTION("""COMPUTED_VALUE"""),"Apple")</f>
        <v>Apple</v>
      </c>
      <c r="L31" t="str">
        <f>IFERROR(__xludf.DUMMYFUNCTION("""COMPUTED_VALUE"""),"-")</f>
        <v>-</v>
      </c>
      <c r="M31" t="str">
        <f>IFERROR(__xludf.DUMMYFUNCTION("""COMPUTED_VALUE"""),"-")</f>
        <v>-</v>
      </c>
      <c r="N31">
        <f>IFERROR(__xludf.DUMMYFUNCTION("""COMPUTED_VALUE"""),0.51)</f>
        <v>0.51</v>
      </c>
    </row>
    <row r="32">
      <c r="A32" t="str">
        <f>IFERROR(__xludf.DUMMYFUNCTION("""COMPUTED_VALUE"""),"AAPL")</f>
        <v>AAPL</v>
      </c>
      <c r="B32" t="str">
        <f>IFERROR(__xludf.DUMMYFUNCTION("""COMPUTED_VALUE"""),"AAPL")</f>
        <v>AAPL</v>
      </c>
      <c r="C32" t="str">
        <f>IFERROR(__xludf.DUMMYFUNCTION("""COMPUTED_VALUE"""),"Google Reveals Malicious Websites Have Been Secretly Hacking Into iPhones for Years")</f>
        <v>Google Reveals Malicious Websites Have Been Secretly Hacking Into iPhones for Years</v>
      </c>
      <c r="D32" t="str">
        <f>IFERROR(__xludf.DUMMYFUNCTION("""COMPUTED_VALUE"""),"-")</f>
        <v>-</v>
      </c>
      <c r="E32" t="str">
        <f>IFERROR(__xludf.DUMMYFUNCTION("""COMPUTED_VALUE"""),"Google has discovered a number of hacked websites that have found to be pushing malware to Apple iPhone users for at least two years.")</f>
        <v>Google has discovered a number of hacked websites that have found to be pushing malware to Apple iPhone users for at least two years.</v>
      </c>
      <c r="F32" s="16" t="str">
        <f>IFERROR(__xludf.DUMMYFUNCTION("""COMPUTED_VALUE"""),"https://gadgets.ndtv.com/mobiles/news/iphone-hack-google-project-zero-day-websites-imessage-whatsapp-live-location-files-2092914")</f>
        <v>https://gadgets.ndtv.com/mobiles/news/iphone-hack-google-project-zero-day-websites-imessage-whatsapp-live-location-files-2092914</v>
      </c>
      <c r="G32" s="16" t="str">
        <f>IFERROR(__xludf.DUMMYFUNCTION("""COMPUTED_VALUE"""),"Ndtv.com")</f>
        <v>Ndtv.com</v>
      </c>
      <c r="H32" t="str">
        <f>IFERROR(__xludf.DUMMYFUNCTION("""COMPUTED_VALUE"""),"2019-08-30T08:25:10Z")</f>
        <v>2019-08-30T08:25:10Z</v>
      </c>
      <c r="I32" t="str">
        <f>IFERROR(__xludf.DUMMYFUNCTION("""COMPUTED_VALUE"""),"Technology")</f>
        <v>Technology</v>
      </c>
      <c r="J32" t="str">
        <f>IFERROR(__xludf.DUMMYFUNCTION("""COMPUTED_VALUE"""),"Politics/ Cyber Security")</f>
        <v>Politics/ Cyber Security</v>
      </c>
      <c r="K32" t="str">
        <f>IFERROR(__xludf.DUMMYFUNCTION("""COMPUTED_VALUE"""),"Google")</f>
        <v>Google</v>
      </c>
      <c r="L32" t="str">
        <f>IFERROR(__xludf.DUMMYFUNCTION("""COMPUTED_VALUE"""),"-")</f>
        <v>-</v>
      </c>
      <c r="M32" t="str">
        <f>IFERROR(__xludf.DUMMYFUNCTION("""COMPUTED_VALUE"""),"-")</f>
        <v>-</v>
      </c>
      <c r="N32">
        <f>IFERROR(__xludf.DUMMYFUNCTION("""COMPUTED_VALUE"""),-0.34)</f>
        <v>-0.34</v>
      </c>
    </row>
    <row r="33">
      <c r="A33" t="str">
        <f>IFERROR(__xludf.DUMMYFUNCTION("""COMPUTED_VALUE"""),"AAPL")</f>
        <v>AAPL</v>
      </c>
      <c r="B33" t="str">
        <f>IFERROR(__xludf.DUMMYFUNCTION("""COMPUTED_VALUE"""),"AAPL")</f>
        <v>AAPL</v>
      </c>
      <c r="C33" t="str">
        <f>IFERROR(__xludf.DUMMYFUNCTION("""COMPUTED_VALUE"""),"What Apple?s Vibrant September Event Invite Might Hint About Upcoming iPhones")</f>
        <v>What Apple?s Vibrant September Event Invite Might Hint About Upcoming iPhones</v>
      </c>
      <c r="D33" t="str">
        <f>IFERROR(__xludf.DUMMYFUNCTION("""COMPUTED_VALUE"""),"-")</f>
        <v>-</v>
      </c>
      <c r="E33" t="str">
        <f>IFERROR(__xludf.DUMMYFUNCTION("""COMPUTED_VALUE"""),"Apple has sent out invites to members of the press for its keynote on 10 September when it will most likely unveil new iPhones. The graphic displays the tagline ?By innovation only? with a colorful variation of the Apple logo. The vibrant symbol indicates"&amp;" ?")</f>
        <v>Apple has sent out invites to members of the press for its keynote on 10 September when it will most likely unveil new iPhones. The graphic displays the tagline ?By innovation only? with a colorful variation of the Apple logo. The vibrant symbol indicates ?</v>
      </c>
      <c r="F33" s="16" t="str">
        <f>IFERROR(__xludf.DUMMYFUNCTION("""COMPUTED_VALUE"""),"https://designtaxi.com/news/406010/What-Apple-s-Vibrant-September-Event-Invite-Might-Hint-About-Upcoming-iPhones/?utm_source=feedburner&amp;utm_medium=feed&amp;utm_campaign=Feed%3A+designtaxi_news+%28TAXI+Daily+News%29")</f>
        <v>https://designtaxi.com/news/406010/What-Apple-s-Vibrant-September-Event-Invite-Might-Hint-About-Upcoming-iPhones/?utm_source=feedburner&amp;utm_medium=feed&amp;utm_campaign=Feed%3A+designtaxi_news+%28TAXI+Daily+News%29</v>
      </c>
      <c r="G33" s="16" t="str">
        <f>IFERROR(__xludf.DUMMYFUNCTION("""COMPUTED_VALUE"""),"Designtaxi.com")</f>
        <v>Designtaxi.com</v>
      </c>
      <c r="H33" t="str">
        <f>IFERROR(__xludf.DUMMYFUNCTION("""COMPUTED_VALUE"""),"2019-08-30T08:35:57Z")</f>
        <v>2019-08-30T08:35:57Z</v>
      </c>
      <c r="I33" t="str">
        <f>IFERROR(__xludf.DUMMYFUNCTION("""COMPUTED_VALUE"""),"Technology")</f>
        <v>Technology</v>
      </c>
      <c r="J33" t="str">
        <f>IFERROR(__xludf.DUMMYFUNCTION("""COMPUTED_VALUE"""),"Media")</f>
        <v>Media</v>
      </c>
      <c r="K33" t="str">
        <f>IFERROR(__xludf.DUMMYFUNCTION("""COMPUTED_VALUE"""),"-")</f>
        <v>-</v>
      </c>
      <c r="L33" t="str">
        <f>IFERROR(__xludf.DUMMYFUNCTION("""COMPUTED_VALUE"""),"-")</f>
        <v>-</v>
      </c>
      <c r="M33" t="str">
        <f>IFERROR(__xludf.DUMMYFUNCTION("""COMPUTED_VALUE"""),"-")</f>
        <v>-</v>
      </c>
      <c r="N33">
        <f>IFERROR(__xludf.DUMMYFUNCTION("""COMPUTED_VALUE"""),0.88)</f>
        <v>0.88</v>
      </c>
    </row>
    <row r="34">
      <c r="A34" t="str">
        <f>IFERROR(__xludf.DUMMYFUNCTION("""COMPUTED_VALUE"""),"AAPL")</f>
        <v>AAPL</v>
      </c>
      <c r="B34" t="str">
        <f>IFERROR(__xludf.DUMMYFUNCTION("""COMPUTED_VALUE"""),"AAPL")</f>
        <v>AAPL</v>
      </c>
      <c r="C34" t="str">
        <f>IFERROR(__xludf.DUMMYFUNCTION("""COMPUTED_VALUE"""),"Apple Piaget Ritz-Carlton Christie?s Forrester &amp; IBM to speak at LuxeCX Sept. 25")</f>
        <v>Apple Piaget Ritz-Carlton Christie?s Forrester &amp; IBM to speak at LuxeCX Sept. 25</v>
      </c>
      <c r="D34" t="str">
        <f>IFERROR(__xludf.DUMMYFUNCTION("""COMPUTED_VALUE"""),"Staff reports")</f>
        <v>Staff reports</v>
      </c>
      <c r="E34" t="str">
        <f>IFERROR(__xludf.DUMMYFUNCTION("""COMPUTED_VALUE"""),"Register now for the world's first luxury customer experience conference: Luxury Daily's LuxeCX on Wednesday Sept. 25 in New York. Hear from experts at Apple Piaget Forrester Research InterContinental Hotels? parent IHG Ritz-Carlton Leadership Center Ch?")</f>
        <v>Register now for the world's first luxury customer experience conference: Luxury Daily's LuxeCX on Wednesday Sept. 25 in New York. Hear from experts at Apple Piaget Forrester Research InterContinental Hotels? parent IHG Ritz-Carlton Leadership Center Ch?</v>
      </c>
      <c r="F34" s="16" t="str">
        <f>IFERROR(__xludf.DUMMYFUNCTION("""COMPUTED_VALUE"""),"https://www.luxurydaily.com/apple-piaget-ritz-carlton-christies-forrester-ibm-to-speak-at-luxecx-sept-25/")</f>
        <v>https://www.luxurydaily.com/apple-piaget-ritz-carlton-christies-forrester-ibm-to-speak-at-luxecx-sept-25/</v>
      </c>
      <c r="G34" s="16" t="str">
        <f>IFERROR(__xludf.DUMMYFUNCTION("""COMPUTED_VALUE"""),"Luxurydaily.com")</f>
        <v>Luxurydaily.com</v>
      </c>
      <c r="H34" t="str">
        <f>IFERROR(__xludf.DUMMYFUNCTION("""COMPUTED_VALUE"""),"2019-08-30T08:40:35Z")</f>
        <v>2019-08-30T08:40:35Z</v>
      </c>
      <c r="I34" t="str">
        <f>IFERROR(__xludf.DUMMYFUNCTION("""COMPUTED_VALUE"""),"Technology")</f>
        <v>Technology</v>
      </c>
      <c r="J34" t="str">
        <f>IFERROR(__xludf.DUMMYFUNCTION("""COMPUTED_VALUE"""),"Product Release")</f>
        <v>Product Release</v>
      </c>
      <c r="K34" t="str">
        <f>IFERROR(__xludf.DUMMYFUNCTION("""COMPUTED_VALUE"""),"Apple/ Forrester Research/ Intercontinental Hotels/ Ritzcarlton Leadership")</f>
        <v>Apple/ Forrester Research/ Intercontinental Hotels/ Ritzcarlton Leadership</v>
      </c>
      <c r="L34" t="str">
        <f>IFERROR(__xludf.DUMMYFUNCTION("""COMPUTED_VALUE"""),"-")</f>
        <v>-</v>
      </c>
      <c r="M34" t="str">
        <f>IFERROR(__xludf.DUMMYFUNCTION("""COMPUTED_VALUE"""),"New York")</f>
        <v>New York</v>
      </c>
      <c r="N34">
        <f>IFERROR(__xludf.DUMMYFUNCTION("""COMPUTED_VALUE"""),0.0)</f>
        <v>0</v>
      </c>
    </row>
    <row r="35">
      <c r="A35" t="str">
        <f>IFERROR(__xludf.DUMMYFUNCTION("""COMPUTED_VALUE"""),"AAPL")</f>
        <v>AAPL</v>
      </c>
      <c r="B35" t="str">
        <f>IFERROR(__xludf.DUMMYFUNCTION("""COMPUTED_VALUE"""),"AAPL")</f>
        <v>AAPL</v>
      </c>
      <c r="C35" t="str">
        <f>IFERROR(__xludf.DUMMYFUNCTION("""COMPUTED_VALUE"""),"Apple gears to invest Rs 1000 crore in online and retail stores in India")</f>
        <v>Apple gears to invest Rs 1000 crore in online and retail stores in India</v>
      </c>
      <c r="D35" s="16" t="str">
        <f>IFERROR(__xludf.DUMMYFUNCTION("""COMPUTED_VALUE"""),"BusinessToday.In")</f>
        <v>BusinessToday.In</v>
      </c>
      <c r="E35" t="str">
        <f>IFERROR(__xludf.DUMMYFUNCTION("""COMPUTED_VALUE"""),"If things go as per the plan you will be able to buy its iPhone iPads and Apple Mac computers through direct online retailing soon.")</f>
        <v>If things go as per the plan you will be able to buy its iPhone iPads and Apple Mac computers through direct online retailing soon.</v>
      </c>
      <c r="F35" s="16" t="str">
        <f>IFERROR(__xludf.DUMMYFUNCTION("""COMPUTED_VALUE"""),"https://www.businesstoday.in/sectors/it/apple-to-invest-rs-1000-crore-in-online-and-offline-retail-stores-in-india-iphone-ipads-mac-computers/story/376234.html")</f>
        <v>https://www.businesstoday.in/sectors/it/apple-to-invest-rs-1000-crore-in-online-and-offline-retail-stores-in-india-iphone-ipads-mac-computers/story/376234.html</v>
      </c>
      <c r="G35" s="16" t="str">
        <f>IFERROR(__xludf.DUMMYFUNCTION("""COMPUTED_VALUE"""),"Businesstoday.in")</f>
        <v>Businesstoday.in</v>
      </c>
      <c r="H35" t="str">
        <f>IFERROR(__xludf.DUMMYFUNCTION("""COMPUTED_VALUE"""),"2019-08-30T08:42:43Z")</f>
        <v>2019-08-30T08:42:43Z</v>
      </c>
      <c r="I35" t="str">
        <f>IFERROR(__xludf.DUMMYFUNCTION("""COMPUTED_VALUE"""),"Technology")</f>
        <v>Technology</v>
      </c>
      <c r="J35" t="str">
        <f>IFERROR(__xludf.DUMMYFUNCTION("""COMPUTED_VALUE"""),"Retail")</f>
        <v>Retail</v>
      </c>
      <c r="K35" t="str">
        <f>IFERROR(__xludf.DUMMYFUNCTION("""COMPUTED_VALUE"""),"Apple")</f>
        <v>Apple</v>
      </c>
      <c r="L35" t="str">
        <f>IFERROR(__xludf.DUMMYFUNCTION("""COMPUTED_VALUE"""),"-")</f>
        <v>-</v>
      </c>
      <c r="M35" t="str">
        <f>IFERROR(__xludf.DUMMYFUNCTION("""COMPUTED_VALUE"""),"-")</f>
        <v>-</v>
      </c>
      <c r="N35">
        <f>IFERROR(__xludf.DUMMYFUNCTION("""COMPUTED_VALUE"""),0.0)</f>
        <v>0</v>
      </c>
    </row>
    <row r="36">
      <c r="A36" t="str">
        <f>IFERROR(__xludf.DUMMYFUNCTION("""COMPUTED_VALUE"""),"AAPL")</f>
        <v>AAPL</v>
      </c>
      <c r="B36" t="str">
        <f>IFERROR(__xludf.DUMMYFUNCTION("""COMPUTED_VALUE"""),"AAPL")</f>
        <v>AAPL</v>
      </c>
      <c r="C36" t="str">
        <f>IFERROR(__xludf.DUMMYFUNCTION("""COMPUTED_VALUE"""),"Hashtag Trending ? Apple reverses stance on repairs coffee shop etiquette Facebook addiction")</f>
        <v>Hashtag Trending ? Apple reverses stance on repairs coffee shop etiquette Facebook addiction</v>
      </c>
      <c r="D36" t="str">
        <f>IFERROR(__xludf.DUMMYFUNCTION("""COMPUTED_VALUE"""),"Alex Coop")</f>
        <v>Alex Coop</v>
      </c>
      <c r="E36" t="str">
        <f>IFERROR(__xludf.DUMMYFUNCTION("""COMPUTED_VALUE"""),"Apple reverses its stance on iPhone repairs some tips on proper coffee shop etiquette for those who write in them a lot and research finds heavy Facebook users make impaired decisions like drug addicts.")</f>
        <v>Apple reverses its stance on iPhone repairs some tips on proper coffee shop etiquette for those who write in them a lot and research finds heavy Facebook users make impaired decisions like drug addicts.</v>
      </c>
      <c r="F36" s="16" t="str">
        <f>IFERROR(__xludf.DUMMYFUNCTION("""COMPUTED_VALUE"""),"https://www.itworldcanada.com/article/hashtag-trending-apple-reverses-stance-on-repairs-coffee-shop-etiquette-facebook-addiction/421402")</f>
        <v>https://www.itworldcanada.com/article/hashtag-trending-apple-reverses-stance-on-repairs-coffee-shop-etiquette-facebook-addiction/421402</v>
      </c>
      <c r="G36" s="16" t="str">
        <f>IFERROR(__xludf.DUMMYFUNCTION("""COMPUTED_VALUE"""),"Itworldcanada.com")</f>
        <v>Itworldcanada.com</v>
      </c>
      <c r="H36" t="str">
        <f>IFERROR(__xludf.DUMMYFUNCTION("""COMPUTED_VALUE"""),"2019-08-30T09:00:21Z")</f>
        <v>2019-08-30T09:00:21Z</v>
      </c>
      <c r="I36" t="str">
        <f>IFERROR(__xludf.DUMMYFUNCTION("""COMPUTED_VALUE"""),"Technology")</f>
        <v>Technology</v>
      </c>
      <c r="J36" t="str">
        <f>IFERROR(__xludf.DUMMYFUNCTION("""COMPUTED_VALUE"""),"Media")</f>
        <v>Media</v>
      </c>
      <c r="K36" t="str">
        <f>IFERROR(__xludf.DUMMYFUNCTION("""COMPUTED_VALUE"""),"Apple")</f>
        <v>Apple</v>
      </c>
      <c r="L36" t="str">
        <f>IFERROR(__xludf.DUMMYFUNCTION("""COMPUTED_VALUE"""),"-")</f>
        <v>-</v>
      </c>
      <c r="M36" t="str">
        <f>IFERROR(__xludf.DUMMYFUNCTION("""COMPUTED_VALUE"""),"-")</f>
        <v>-</v>
      </c>
      <c r="N36">
        <f>IFERROR(__xludf.DUMMYFUNCTION("""COMPUTED_VALUE"""),0.36)</f>
        <v>0.36</v>
      </c>
    </row>
    <row r="37">
      <c r="A37" t="str">
        <f>IFERROR(__xludf.DUMMYFUNCTION("""COMPUTED_VALUE"""),"AAPL")</f>
        <v>AAPL</v>
      </c>
      <c r="B37" t="str">
        <f>IFERROR(__xludf.DUMMYFUNCTION("""COMPUTED_VALUE"""),"AAPL")</f>
        <v>AAPL</v>
      </c>
      <c r="C37" t="str">
        <f>IFERROR(__xludf.DUMMYFUNCTION("""COMPUTED_VALUE"""),"Podcasts are being review-bombed in coordinated campaigns aimed at putting thousands of one-star reviews on their Apple Podcasts pages; hosts have no recourse (Ashley Carman/The Verge)")</f>
        <v>Podcasts are being review-bombed in coordinated campaigns aimed at putting thousands of one-star reviews on their Apple Podcasts pages; hosts have no recourse (Ashley Carman/The Verge)</v>
      </c>
      <c r="D37" t="str">
        <f>IFERROR(__xludf.DUMMYFUNCTION("""COMPUTED_VALUE"""),"-")</f>
        <v>-</v>
      </c>
      <c r="E37" t="str">
        <f>IFERROR(__xludf.DUMMYFUNCTION("""COMPUTED_VALUE"""),"Ashley Carman / The Verge : Podcasts are being review-bombed in coordinated campaigns aimed at putting thousands of one-star reviews on their Apple Podcasts pages; hosts have no recourse ? Justin Drown's true crime podcast Obscura always seemed to garner "&amp;"po?")</f>
        <v>Ashley Carman / The Verge : Podcasts are being review-bombed in coordinated campaigns aimed at putting thousands of one-star reviews on their Apple Podcasts pages; hosts have no recourse ? Justin Drown's true crime podcast Obscura always seemed to garner po?</v>
      </c>
      <c r="F37" s="16" t="str">
        <f>IFERROR(__xludf.DUMMYFUNCTION("""COMPUTED_VALUE"""),"https://www.techmeme.com/190830/p1")</f>
        <v>https://www.techmeme.com/190830/p1</v>
      </c>
      <c r="G37" s="16" t="str">
        <f>IFERROR(__xludf.DUMMYFUNCTION("""COMPUTED_VALUE"""),"Techmeme.com")</f>
        <v>Techmeme.com</v>
      </c>
      <c r="H37" t="str">
        <f>IFERROR(__xludf.DUMMYFUNCTION("""COMPUTED_VALUE"""),"2019-08-30T09:10:04Z")</f>
        <v>2019-08-30T09:10:04Z</v>
      </c>
      <c r="I37" t="str">
        <f>IFERROR(__xludf.DUMMYFUNCTION("""COMPUTED_VALUE"""),"Technology")</f>
        <v>Technology</v>
      </c>
      <c r="J37" t="str">
        <f>IFERROR(__xludf.DUMMYFUNCTION("""COMPUTED_VALUE"""),"Politics")</f>
        <v>Politics</v>
      </c>
      <c r="K37" t="str">
        <f>IFERROR(__xludf.DUMMYFUNCTION("""COMPUTED_VALUE"""),"Apple")</f>
        <v>Apple</v>
      </c>
      <c r="L37" t="str">
        <f>IFERROR(__xludf.DUMMYFUNCTION("""COMPUTED_VALUE"""),"Ashley Carman")</f>
        <v>Ashley Carman</v>
      </c>
      <c r="M37" t="str">
        <f>IFERROR(__xludf.DUMMYFUNCTION("""COMPUTED_VALUE"""),"-")</f>
        <v>-</v>
      </c>
      <c r="N37">
        <f>IFERROR(__xludf.DUMMYFUNCTION("""COMPUTED_VALUE"""),-0.62)</f>
        <v>-0.62</v>
      </c>
    </row>
    <row r="38">
      <c r="A38" t="str">
        <f>IFERROR(__xludf.DUMMYFUNCTION("""COMPUTED_VALUE"""),"AAPL")</f>
        <v>AAPL</v>
      </c>
      <c r="B38" t="str">
        <f>IFERROR(__xludf.DUMMYFUNCTION("""COMPUTED_VALUE"""),"AAPL")</f>
        <v>AAPL</v>
      </c>
      <c r="C38" t="str">
        <f>IFERROR(__xludf.DUMMYFUNCTION("""COMPUTED_VALUE"""),"Apple will finally give independent repair shops tools to fix broken iPhones")</f>
        <v>Apple will finally give independent repair shops tools to fix broken iPhones</v>
      </c>
      <c r="D38" t="str">
        <f>IFERROR(__xludf.DUMMYFUNCTION("""COMPUTED_VALUE"""),"Anmol")</f>
        <v>Anmol</v>
      </c>
      <c r="E38" t="str">
        <f>IFERROR(__xludf.DUMMYFUNCTION("""COMPUTED_VALUE"""),"After resisting for years Apple has finally given up and is soon going to allow users to take help from independent repair shops to fix their broken iPhones. Tech giants like Apple and Microsoft have been criticized in the past for making device unrepaira"&amp;"ble?")</f>
        <v>After resisting for years Apple has finally given up and is soon going to allow users to take help from independent repair shops to fix their broken iPhones. Tech giants like Apple and Microsoft have been criticized in the past for making device unrepairable?</v>
      </c>
      <c r="F38" s="16" t="str">
        <f>IFERROR(__xludf.DUMMYFUNCTION("""COMPUTED_VALUE"""),"https://mspoweruser.com/apple-will-finally-give-independent-repair-shops-tools-to-fix-broken-iphones/")</f>
        <v>https://mspoweruser.com/apple-will-finally-give-independent-repair-shops-tools-to-fix-broken-iphones/</v>
      </c>
      <c r="G38" s="16" t="str">
        <f>IFERROR(__xludf.DUMMYFUNCTION("""COMPUTED_VALUE"""),"Mspoweruser.com")</f>
        <v>Mspoweruser.com</v>
      </c>
      <c r="H38" t="str">
        <f>IFERROR(__xludf.DUMMYFUNCTION("""COMPUTED_VALUE"""),"2019-08-30T09:10:30Z")</f>
        <v>2019-08-30T09:10:30Z</v>
      </c>
      <c r="I38" t="str">
        <f>IFERROR(__xludf.DUMMYFUNCTION("""COMPUTED_VALUE"""),"Technology")</f>
        <v>Technology</v>
      </c>
      <c r="J38" t="str">
        <f>IFERROR(__xludf.DUMMYFUNCTION("""COMPUTED_VALUE"""),"Retail")</f>
        <v>Retail</v>
      </c>
      <c r="K38" t="str">
        <f>IFERROR(__xludf.DUMMYFUNCTION("""COMPUTED_VALUE"""),"Apple/ Microsoft")</f>
        <v>Apple/ Microsoft</v>
      </c>
      <c r="L38" t="str">
        <f>IFERROR(__xludf.DUMMYFUNCTION("""COMPUTED_VALUE"""),"-")</f>
        <v>-</v>
      </c>
      <c r="M38" t="str">
        <f>IFERROR(__xludf.DUMMYFUNCTION("""COMPUTED_VALUE"""),"-")</f>
        <v>-</v>
      </c>
      <c r="N38">
        <f>IFERROR(__xludf.DUMMYFUNCTION("""COMPUTED_VALUE"""),-0.38)</f>
        <v>-0.38</v>
      </c>
    </row>
    <row r="39">
      <c r="A39" t="str">
        <f>IFERROR(__xludf.DUMMYFUNCTION("""COMPUTED_VALUE"""),"AAPL")</f>
        <v>AAPL</v>
      </c>
      <c r="B39" t="str">
        <f>IFERROR(__xludf.DUMMYFUNCTION("""COMPUTED_VALUE"""),"AAPL")</f>
        <v>AAPL</v>
      </c>
      <c r="C39" t="str">
        <f>IFERROR(__xludf.DUMMYFUNCTION("""COMPUTED_VALUE"""),"Apple sends out iPhone 2019 invites")</f>
        <v>Apple sends out iPhone 2019 invites</v>
      </c>
      <c r="D39" t="str">
        <f>IFERROR(__xludf.DUMMYFUNCTION("""COMPUTED_VALUE"""),"Stefan Mileschin")</f>
        <v>Stefan Mileschin</v>
      </c>
      <c r="E39" t="str">
        <f>IFERROR(__xludf.DUMMYFUNCTION("""COMPUTED_VALUE"""),"September 10 10 AM PST / 7 PM CET / 6PM BST Companies like launching new products on Tuesday and Apple traditionally launches its new iPhone in the September timeframe. The invites for September 10 have been sent out and they imply that there might be a b"&amp;"it?")</f>
        <v>September 10 10 AM PST / 7 PM CET / 6PM BST Companies like launching new products on Tuesday and Apple traditionally launches its new iPhone in the September timeframe. The invites for September 10 have been sent out and they imply that there might be a bit?</v>
      </c>
      <c r="F39" s="16" t="str">
        <f>IFERROR(__xludf.DUMMYFUNCTION("""COMPUTED_VALUE"""),"http://www.madshrimps.be/news/item/189556")</f>
        <v>http://www.madshrimps.be/news/item/189556</v>
      </c>
      <c r="G39" s="16" t="str">
        <f>IFERROR(__xludf.DUMMYFUNCTION("""COMPUTED_VALUE"""),"Madshrimps.be")</f>
        <v>Madshrimps.be</v>
      </c>
      <c r="H39" t="str">
        <f>IFERROR(__xludf.DUMMYFUNCTION("""COMPUTED_VALUE"""),"2019-08-30T09:15:59Z")</f>
        <v>2019-08-30T09:15:59Z</v>
      </c>
      <c r="I39" t="str">
        <f>IFERROR(__xludf.DUMMYFUNCTION("""COMPUTED_VALUE"""),"Technology")</f>
        <v>Technology</v>
      </c>
      <c r="J39" t="str">
        <f>IFERROR(__xludf.DUMMYFUNCTION("""COMPUTED_VALUE"""),"Product Release")</f>
        <v>Product Release</v>
      </c>
      <c r="K39" t="str">
        <f>IFERROR(__xludf.DUMMYFUNCTION("""COMPUTED_VALUE"""),"Apple")</f>
        <v>Apple</v>
      </c>
      <c r="L39" t="str">
        <f>IFERROR(__xludf.DUMMYFUNCTION("""COMPUTED_VALUE"""),"-")</f>
        <v>-</v>
      </c>
      <c r="M39" t="str">
        <f>IFERROR(__xludf.DUMMYFUNCTION("""COMPUTED_VALUE"""),"-")</f>
        <v>-</v>
      </c>
      <c r="N39">
        <f>IFERROR(__xludf.DUMMYFUNCTION("""COMPUTED_VALUE"""),0.36)</f>
        <v>0.36</v>
      </c>
    </row>
    <row r="40">
      <c r="A40" t="str">
        <f>IFERROR(__xludf.DUMMYFUNCTION("""COMPUTED_VALUE"""),"AAPL")</f>
        <v>AAPL</v>
      </c>
      <c r="B40" t="str">
        <f>IFERROR(__xludf.DUMMYFUNCTION("""COMPUTED_VALUE"""),"AAPL")</f>
        <v>AAPL</v>
      </c>
      <c r="C40" t="str">
        <f>IFERROR(__xludf.DUMMYFUNCTION("""COMPUTED_VALUE"""),"Apple surrenders on right to repair")</f>
        <v>Apple surrenders on right to repair</v>
      </c>
      <c r="D40" t="str">
        <f>IFERROR(__xludf.DUMMYFUNCTION("""COMPUTED_VALUE"""),"Stefan Mileschin")</f>
        <v>Stefan Mileschin</v>
      </c>
      <c r="E40" t="str">
        <f>IFERROR(__xludf.DUMMYFUNCTION("""COMPUTED_VALUE"""),"Realises there is too much work fixing borked Apple gear Apple will begin selling parts tools and repair guides to independent shops to fix broken iPhones a major change after years of lobbying against laws in some US states that would have compelled it t"&amp;"o ?")</f>
        <v>Realises there is too much work fixing borked Apple gear Apple will begin selling parts tools and repair guides to independent shops to fix broken iPhones a major change after years of lobbying against laws in some US states that would have compelled it to ?</v>
      </c>
      <c r="F40" s="16" t="str">
        <f>IFERROR(__xludf.DUMMYFUNCTION("""COMPUTED_VALUE"""),"http://www.madshrimps.be/news/item/189558")</f>
        <v>http://www.madshrimps.be/news/item/189558</v>
      </c>
      <c r="G40" s="16" t="str">
        <f>IFERROR(__xludf.DUMMYFUNCTION("""COMPUTED_VALUE"""),"Madshrimps.be")</f>
        <v>Madshrimps.be</v>
      </c>
      <c r="H40" t="str">
        <f>IFERROR(__xludf.DUMMYFUNCTION("""COMPUTED_VALUE"""),"2019-08-30T09:16:34Z")</f>
        <v>2019-08-30T09:16:34Z</v>
      </c>
      <c r="I40" t="str">
        <f>IFERROR(__xludf.DUMMYFUNCTION("""COMPUTED_VALUE"""),"Technology")</f>
        <v>Technology</v>
      </c>
      <c r="J40" t="str">
        <f>IFERROR(__xludf.DUMMYFUNCTION("""COMPUTED_VALUE"""),"Politics")</f>
        <v>Politics</v>
      </c>
      <c r="K40" t="str">
        <f>IFERROR(__xludf.DUMMYFUNCTION("""COMPUTED_VALUE"""),"Apple")</f>
        <v>Apple</v>
      </c>
      <c r="L40" t="str">
        <f>IFERROR(__xludf.DUMMYFUNCTION("""COMPUTED_VALUE"""),"-")</f>
        <v>-</v>
      </c>
      <c r="M40" t="str">
        <f>IFERROR(__xludf.DUMMYFUNCTION("""COMPUTED_VALUE"""),"-")</f>
        <v>-</v>
      </c>
      <c r="N40">
        <f>IFERROR(__xludf.DUMMYFUNCTION("""COMPUTED_VALUE"""),-0.49)</f>
        <v>-0.49</v>
      </c>
    </row>
    <row r="41">
      <c r="A41" t="str">
        <f>IFERROR(__xludf.DUMMYFUNCTION("""COMPUTED_VALUE"""),"AAPL")</f>
        <v>AAPL</v>
      </c>
      <c r="B41" t="str">
        <f>IFERROR(__xludf.DUMMYFUNCTION("""COMPUTED_VALUE"""),"AAPL")</f>
        <v>AAPL</v>
      </c>
      <c r="C41" t="str">
        <f>IFERROR(__xludf.DUMMYFUNCTION("""COMPUTED_VALUE"""),"Disney Plus UK: Release date price movies shows and how the new streaming service will affect Netflix - Evening Standard")</f>
        <v>Disney Plus UK: Release date price movies shows and how the new streaming service will affect Netflix - Evening Standard</v>
      </c>
      <c r="D41" t="str">
        <f>IFERROR(__xludf.DUMMYFUNCTION("""COMPUTED_VALUE"""),"Amelia Heathman")</f>
        <v>Amelia Heathman</v>
      </c>
      <c r="E41" t="str">
        <f>IFERROR(__xludf.DUMMYFUNCTION("""COMPUTED_VALUE"""),"Disney Plus UK: Release date price movies shows and how the new streaming service will affect Netflix Evening Standard Everyone who is anyone is launching a TV streaming *service* this year whether it's Apple the BBC and ITV or Disney.")</f>
        <v>Disney Plus UK: Release date price movies shows and how the new streaming service will affect Netflix Evening Standard Everyone who is anyone is launching a TV streaming *service* this year whether it's Apple the BBC and ITV or Disney.</v>
      </c>
      <c r="F41" s="16" t="str">
        <f>IFERROR(__xludf.DUMMYFUNCTION("""COMPUTED_VALUE"""),"https://www.standard.co.uk/tech/disney-plus-release-date-uk-price-movies-online-streaming-service-a4224776.html")</f>
        <v>https://www.standard.co.uk/tech/disney-plus-release-date-uk-price-movies-online-streaming-service-a4224776.html</v>
      </c>
      <c r="G41" s="16" t="str">
        <f>IFERROR(__xludf.DUMMYFUNCTION("""COMPUTED_VALUE"""),"Standard.co.uk")</f>
        <v>Standard.co.uk</v>
      </c>
      <c r="H41" t="str">
        <f>IFERROR(__xludf.DUMMYFUNCTION("""COMPUTED_VALUE"""),"2019-08-30T09:17:00Z")</f>
        <v>2019-08-30T09:17:00Z</v>
      </c>
      <c r="I41" t="str">
        <f>IFERROR(__xludf.DUMMYFUNCTION("""COMPUTED_VALUE"""),"Technology")</f>
        <v>Technology</v>
      </c>
      <c r="J41" t="str">
        <f>IFERROR(__xludf.DUMMYFUNCTION("""COMPUTED_VALUE"""),"Media")</f>
        <v>Media</v>
      </c>
      <c r="K41" t="str">
        <f>IFERROR(__xludf.DUMMYFUNCTION("""COMPUTED_VALUE"""),"Netflix/ Apple/ Bbc/ Disney/ Itv")</f>
        <v>Netflix/ Apple/ Bbc/ Disney/ Itv</v>
      </c>
      <c r="L41" t="str">
        <f>IFERROR(__xludf.DUMMYFUNCTION("""COMPUTED_VALUE"""),"-")</f>
        <v>-</v>
      </c>
      <c r="M41" t="str">
        <f>IFERROR(__xludf.DUMMYFUNCTION("""COMPUTED_VALUE"""),"-")</f>
        <v>-</v>
      </c>
      <c r="N41">
        <f>IFERROR(__xludf.DUMMYFUNCTION("""COMPUTED_VALUE"""),0.0)</f>
        <v>0</v>
      </c>
    </row>
    <row r="42">
      <c r="A42" t="str">
        <f>IFERROR(__xludf.DUMMYFUNCTION("""COMPUTED_VALUE"""),"AAPL")</f>
        <v>AAPL</v>
      </c>
      <c r="B42" t="str">
        <f>IFERROR(__xludf.DUMMYFUNCTION("""COMPUTED_VALUE"""),"AAPL")</f>
        <v>AAPL</v>
      </c>
      <c r="C42" t="str">
        <f>IFERROR(__xludf.DUMMYFUNCTION("""COMPUTED_VALUE"""),"Everything you wanted to know about the Apple Card (Video)")</f>
        <v>Everything you wanted to know about the Apple Card (Video)</v>
      </c>
      <c r="D42" t="str">
        <f>IFERROR(__xludf.DUMMYFUNCTION("""COMPUTED_VALUE"""),"Roland Hutchinson")</f>
        <v>Roland Hutchinson</v>
      </c>
      <c r="E42" t="str">
        <f>IFERROR(__xludf.DUMMYFUNCTION("""COMPUTED_VALUE"""),"Apple recently launched their new credit card in the US the Apple Card and now we have a great video from Zollotech which gives us lots of information on the card and how it works. Apple?s new credit card is designed to be used with the wallet app on the "&amp;"iPh?")</f>
        <v>Apple recently launched their new credit card in the US the Apple Card and now we have a great video from Zollotech which gives us lots of information on the card and how it works. Apple?s new credit card is designed to be used with the wallet app on the iPh?</v>
      </c>
      <c r="F42" s="16" t="str">
        <f>IFERROR(__xludf.DUMMYFUNCTION("""COMPUTED_VALUE"""),"https://www.geeky-gadgets.com/everything-you-wanted-to-know-about-the-apple-card-video-30-08-2019/")</f>
        <v>https://www.geeky-gadgets.com/everything-you-wanted-to-know-about-the-apple-card-video-30-08-2019/</v>
      </c>
      <c r="G42" s="16" t="str">
        <f>IFERROR(__xludf.DUMMYFUNCTION("""COMPUTED_VALUE"""),"Geeky-gadgets.com")</f>
        <v>Geeky-gadgets.com</v>
      </c>
      <c r="H42" t="str">
        <f>IFERROR(__xludf.DUMMYFUNCTION("""COMPUTED_VALUE"""),"2019-08-30T09:17:17Z")</f>
        <v>2019-08-30T09:17:17Z</v>
      </c>
      <c r="I42" t="str">
        <f>IFERROR(__xludf.DUMMYFUNCTION("""COMPUTED_VALUE"""),"Technology")</f>
        <v>Technology</v>
      </c>
      <c r="J42" t="str">
        <f>IFERROR(__xludf.DUMMYFUNCTION("""COMPUTED_VALUE"""),"Product Release")</f>
        <v>Product Release</v>
      </c>
      <c r="K42" t="str">
        <f>IFERROR(__xludf.DUMMYFUNCTION("""COMPUTED_VALUE"""),"Apple Card")</f>
        <v>Apple Card</v>
      </c>
      <c r="L42" t="str">
        <f>IFERROR(__xludf.DUMMYFUNCTION("""COMPUTED_VALUE"""),"-")</f>
        <v>-</v>
      </c>
      <c r="M42" t="str">
        <f>IFERROR(__xludf.DUMMYFUNCTION("""COMPUTED_VALUE"""),"-")</f>
        <v>-</v>
      </c>
      <c r="N42">
        <f>IFERROR(__xludf.DUMMYFUNCTION("""COMPUTED_VALUE"""),0.87)</f>
        <v>0.87</v>
      </c>
    </row>
    <row r="43">
      <c r="A43" t="str">
        <f>IFERROR(__xludf.DUMMYFUNCTION("""COMPUTED_VALUE"""),"AAPL")</f>
        <v>AAPL</v>
      </c>
      <c r="B43" t="str">
        <f>IFERROR(__xludf.DUMMYFUNCTION("""COMPUTED_VALUE"""),"AAPL")</f>
        <v>AAPL</v>
      </c>
      <c r="C43" t="str">
        <f>IFERROR(__xludf.DUMMYFUNCTION("""COMPUTED_VALUE"""),"iPhone 11 Shock: 'Completely Different' Apple iPhone Revealed - Forbes")</f>
        <v>iPhone 11 Shock: 'Completely Different' Apple iPhone Revealed - Forbes</v>
      </c>
      <c r="D43" t="str">
        <f>IFERROR(__xludf.DUMMYFUNCTION("""COMPUTED_VALUE"""),"feedfeeder")</f>
        <v>feedfeeder</v>
      </c>
      <c r="E43" t="str">
        <f>IFERROR(__xludf.DUMMYFUNCTION("""COMPUTED_VALUE"""),"iPhone 11 Shock: 'Completely Different' Apple iPhone RevealedForbes iPhone 11 Apple Watch 5 and everything we're expecting at Apple's September eventCNET Apple Stock Up As Company Sets Sept. 10 To Unveil New iPhonesInvestor's Business Daily Apple expected"&amp;" to?")</f>
        <v>iPhone 11 Shock: 'Completely Different' Apple iPhone RevealedForbes iPhone 11 Apple Watch 5 and everything we're expecting at Apple's September eventCNET Apple Stock Up As Company Sets Sept. 10 To Unveil New iPhonesInvestor's Business Daily Apple expected to?</v>
      </c>
      <c r="F43" s="16" t="str">
        <f>IFERROR(__xludf.DUMMYFUNCTION("""COMPUTED_VALUE"""),"https://slashdot.org/firehose.pl?op=view&amp;amp;id=114740200")</f>
        <v>https://slashdot.org/firehose.pl?op=view&amp;amp;id=114740200</v>
      </c>
      <c r="G43" s="16" t="str">
        <f>IFERROR(__xludf.DUMMYFUNCTION("""COMPUTED_VALUE"""),"Slashdot.org")</f>
        <v>Slashdot.org</v>
      </c>
      <c r="H43" t="str">
        <f>IFERROR(__xludf.DUMMYFUNCTION("""COMPUTED_VALUE"""),"2019-08-30T09:32:59Z")</f>
        <v>2019-08-30T09:32:59Z</v>
      </c>
      <c r="I43" t="str">
        <f>IFERROR(__xludf.DUMMYFUNCTION("""COMPUTED_VALUE"""),"Technology")</f>
        <v>Technology</v>
      </c>
      <c r="J43" t="str">
        <f>IFERROR(__xludf.DUMMYFUNCTION("""COMPUTED_VALUE"""),"Product Release")</f>
        <v>Product Release</v>
      </c>
      <c r="K43" t="str">
        <f>IFERROR(__xludf.DUMMYFUNCTION("""COMPUTED_VALUE"""),"New/ Daily Apple")</f>
        <v>New/ Daily Apple</v>
      </c>
      <c r="L43" t="str">
        <f>IFERROR(__xludf.DUMMYFUNCTION("""COMPUTED_VALUE"""),"-")</f>
        <v>-</v>
      </c>
      <c r="M43" t="str">
        <f>IFERROR(__xludf.DUMMYFUNCTION("""COMPUTED_VALUE"""),"-")</f>
        <v>-</v>
      </c>
      <c r="N43">
        <f>IFERROR(__xludf.DUMMYFUNCTION("""COMPUTED_VALUE"""),-0.64)</f>
        <v>-0.64</v>
      </c>
    </row>
    <row r="44">
      <c r="A44" t="str">
        <f>IFERROR(__xludf.DUMMYFUNCTION("""COMPUTED_VALUE"""),"AAPL")</f>
        <v>AAPL</v>
      </c>
      <c r="B44" t="str">
        <f>IFERROR(__xludf.DUMMYFUNCTION("""COMPUTED_VALUE"""),"AAPL")</f>
        <v>AAPL</v>
      </c>
      <c r="C44" t="str">
        <f>IFERROR(__xludf.DUMMYFUNCTION("""COMPUTED_VALUE"""),"Apple is now making it easier to get an iPhone repair")</f>
        <v>Apple is now making it easier to get an iPhone repair</v>
      </c>
      <c r="D44" t="str">
        <f>IFERROR(__xludf.DUMMYFUNCTION("""COMPUTED_VALUE"""),"James Rogerson")</f>
        <v>James Rogerson</v>
      </c>
      <c r="E44" t="str">
        <f>IFERROR(__xludf.DUMMYFUNCTION("""COMPUTED_VALUE"""),"Apple is giving more third-party repair businesses access to genuine Apple parts.")</f>
        <v>Apple is giving more third-party repair businesses access to genuine Apple parts.</v>
      </c>
      <c r="F44" s="16" t="str">
        <f>IFERROR(__xludf.DUMMYFUNCTION("""COMPUTED_VALUE"""),"https://www.techradar.com/news/apple-is-now-making-it-easier-to-get-an-iphone-repair")</f>
        <v>https://www.techradar.com/news/apple-is-now-making-it-easier-to-get-an-iphone-repair</v>
      </c>
      <c r="G44" t="str">
        <f>IFERROR(__xludf.DUMMYFUNCTION("""COMPUTED_VALUE"""),"TechRadar")</f>
        <v>TechRadar</v>
      </c>
      <c r="H44" t="str">
        <f>IFERROR(__xludf.DUMMYFUNCTION("""COMPUTED_VALUE"""),"2019-08-30T09:34:21Z")</f>
        <v>2019-08-30T09:34:21Z</v>
      </c>
      <c r="I44" t="str">
        <f>IFERROR(__xludf.DUMMYFUNCTION("""COMPUTED_VALUE"""),"Technology")</f>
        <v>Technology</v>
      </c>
      <c r="J44" t="str">
        <f>IFERROR(__xludf.DUMMYFUNCTION("""COMPUTED_VALUE"""),"Politics")</f>
        <v>Politics</v>
      </c>
      <c r="K44" t="str">
        <f>IFERROR(__xludf.DUMMYFUNCTION("""COMPUTED_VALUE"""),"Apple")</f>
        <v>Apple</v>
      </c>
      <c r="L44" t="str">
        <f>IFERROR(__xludf.DUMMYFUNCTION("""COMPUTED_VALUE"""),"-")</f>
        <v>-</v>
      </c>
      <c r="M44" t="str">
        <f>IFERROR(__xludf.DUMMYFUNCTION("""COMPUTED_VALUE"""),"-")</f>
        <v>-</v>
      </c>
      <c r="N44">
        <f>IFERROR(__xludf.DUMMYFUNCTION("""COMPUTED_VALUE"""),0.64)</f>
        <v>0.64</v>
      </c>
    </row>
    <row r="45">
      <c r="A45" t="str">
        <f>IFERROR(__xludf.DUMMYFUNCTION("""COMPUTED_VALUE"""),"AAPL")</f>
        <v>AAPL</v>
      </c>
      <c r="B45" t="str">
        <f>IFERROR(__xludf.DUMMYFUNCTION("""COMPUTED_VALUE"""),"AAPL")</f>
        <v>AAPL</v>
      </c>
      <c r="C45" t="str">
        <f>IFERROR(__xludf.DUMMYFUNCTION("""COMPUTED_VALUE"""),"Three big questions about Apple?s September event")</f>
        <v>Three big questions about Apple?s September event</v>
      </c>
      <c r="D45" t="str">
        <f>IFERROR(__xludf.DUMMYFUNCTION("""COMPUTED_VALUE"""),"Dan Moren Dan Moren")</f>
        <v>Dan Moren Dan Moren</v>
      </c>
      <c r="E45" t="str">
        <f>IFERROR(__xludf.DUMMYFUNCTION("""COMPUTED_VALUE"""),"With the announcement that Apple?s annual September event will be upon us in a little more than a week it?s time to take stock of what we know about Apple?s upcoming plans and more importantly what we want to know. While we can all feel pretty confident w"&amp;"i?")</f>
        <v>With the announcement that Apple?s annual September event will be upon us in a little more than a week it?s time to take stock of what we know about Apple?s upcoming plans and more importantly what we want to know. While we can all feel pretty confident wi?</v>
      </c>
      <c r="F45" s="16" t="str">
        <f>IFERROR(__xludf.DUMMYFUNCTION("""COMPUTED_VALUE"""),"https://www.macworld.com/article/3434626/three-big-questions-about-apples-september-event.html")</f>
        <v>https://www.macworld.com/article/3434626/three-big-questions-about-apples-september-event.html</v>
      </c>
      <c r="G45" s="16" t="str">
        <f>IFERROR(__xludf.DUMMYFUNCTION("""COMPUTED_VALUE"""),"Macworld.com")</f>
        <v>Macworld.com</v>
      </c>
      <c r="H45" t="str">
        <f>IFERROR(__xludf.DUMMYFUNCTION("""COMPUTED_VALUE"""),"2019-08-30T10:00:00Z")</f>
        <v>2019-08-30T10:00:00Z</v>
      </c>
      <c r="I45" t="str">
        <f>IFERROR(__xludf.DUMMYFUNCTION("""COMPUTED_VALUE"""),"Technology")</f>
        <v>Technology</v>
      </c>
      <c r="J45" t="str">
        <f>IFERROR(__xludf.DUMMYFUNCTION("""COMPUTED_VALUE"""),"Equities")</f>
        <v>Equities</v>
      </c>
      <c r="K45" t="str">
        <f>IFERROR(__xludf.DUMMYFUNCTION("""COMPUTED_VALUE"""),"-")</f>
        <v>-</v>
      </c>
      <c r="L45" t="str">
        <f>IFERROR(__xludf.DUMMYFUNCTION("""COMPUTED_VALUE"""),"-")</f>
        <v>-</v>
      </c>
      <c r="M45" t="str">
        <f>IFERROR(__xludf.DUMMYFUNCTION("""COMPUTED_VALUE"""),"-")</f>
        <v>-</v>
      </c>
      <c r="N45">
        <f>IFERROR(__xludf.DUMMYFUNCTION("""COMPUTED_VALUE"""),0.85)</f>
        <v>0.85</v>
      </c>
    </row>
    <row r="46">
      <c r="A46" t="str">
        <f>IFERROR(__xludf.DUMMYFUNCTION("""COMPUTED_VALUE"""),"AAPL")</f>
        <v>AAPL</v>
      </c>
      <c r="B46" t="str">
        <f>IFERROR(__xludf.DUMMYFUNCTION("""COMPUTED_VALUE"""),"AAPL")</f>
        <v>AAPL</v>
      </c>
      <c r="C46" t="str">
        <f>IFERROR(__xludf.DUMMYFUNCTION("""COMPUTED_VALUE"""),"Apple MacBooks iPhones Bose headphones Philips TVs Fire tablets and more on sale for Aug. 30 in the UK")</f>
        <v>Apple MacBooks iPhones Bose headphones Philips TVs Fire tablets and more on sale for Aug. 30 in the UK</v>
      </c>
      <c r="D46" t="str">
        <f>IFERROR(__xludf.DUMMYFUNCTION("""COMPUTED_VALUE"""),"Joseph Green")</f>
        <v>Joseph Green</v>
      </c>
      <c r="E46" t="str">
        <f>IFERROR(__xludf.DUMMYFUNCTION("""COMPUTED_VALUE"""),"We've been warning you all week and the time has finally come. It's the last day of the Amazon """"End of Summer Sale"""" so you only have until midnight on Aug. 30 to secure the best deals before they disappear forever. Or at least until Black Friday. Th"&amp;"e sale?")</f>
        <v>We've been warning you all week and the time has finally come. It's the last day of the Amazon ""End of Summer Sale"" so you only have until midnight on Aug. 30 to secure the best deals before they disappear forever. Or at least until Black Friday. The sale?</v>
      </c>
      <c r="F46" s="16" t="str">
        <f>IFERROR(__xludf.DUMMYFUNCTION("""COMPUTED_VALUE"""),"https://mashable.com/uk/shopping/best-deal-laptops-tv-speakers-headphones-aug-30/")</f>
        <v>https://mashable.com/uk/shopping/best-deal-laptops-tv-speakers-headphones-aug-30/</v>
      </c>
      <c r="G46" t="str">
        <f>IFERROR(__xludf.DUMMYFUNCTION("""COMPUTED_VALUE"""),"Mashable")</f>
        <v>Mashable</v>
      </c>
      <c r="H46" t="str">
        <f>IFERROR(__xludf.DUMMYFUNCTION("""COMPUTED_VALUE"""),"2019-08-30T10:10:18Z")</f>
        <v>2019-08-30T10:10:18Z</v>
      </c>
      <c r="I46" t="str">
        <f>IFERROR(__xludf.DUMMYFUNCTION("""COMPUTED_VALUE"""),"Technology")</f>
        <v>Technology</v>
      </c>
      <c r="J46" t="str">
        <f>IFERROR(__xludf.DUMMYFUNCTION("""COMPUTED_VALUE"""),"-")</f>
        <v>-</v>
      </c>
      <c r="K46" t="str">
        <f>IFERROR(__xludf.DUMMYFUNCTION("""COMPUTED_VALUE"""),"-")</f>
        <v>-</v>
      </c>
      <c r="L46" t="str">
        <f>IFERROR(__xludf.DUMMYFUNCTION("""COMPUTED_VALUE"""),"-")</f>
        <v>-</v>
      </c>
      <c r="M46" t="str">
        <f>IFERROR(__xludf.DUMMYFUNCTION("""COMPUTED_VALUE"""),"-")</f>
        <v>-</v>
      </c>
      <c r="N46">
        <f>IFERROR(__xludf.DUMMYFUNCTION("""COMPUTED_VALUE"""),0.38)</f>
        <v>0.38</v>
      </c>
    </row>
    <row r="47">
      <c r="A47" t="str">
        <f>IFERROR(__xludf.DUMMYFUNCTION("""COMPUTED_VALUE"""),"AAPL")</f>
        <v>AAPL</v>
      </c>
      <c r="B47" t="str">
        <f>IFERROR(__xludf.DUMMYFUNCTION("""COMPUTED_VALUE"""),"AAPL")</f>
        <v>AAPL</v>
      </c>
      <c r="C47" t="str">
        <f>IFERROR(__xludf.DUMMYFUNCTION("""COMPUTED_VALUE"""),"Apple Apologises To Siri Users for ?Not Fully Living Up To Their High Ideals?")</f>
        <v>Apple Apologises To Siri Users for ?Not Fully Living Up To Their High Ideals?</v>
      </c>
      <c r="D47" t="str">
        <f>IFERROR(__xludf.DUMMYFUNCTION("""COMPUTED_VALUE"""),"Medha Bhagwat")</f>
        <v>Medha Bhagwat</v>
      </c>
      <c r="E47" t="str">
        <f>IFERROR(__xludf.DUMMYFUNCTION("""COMPUTED_VALUE"""),"Apple apologises for allowing workers to listen to Siri recordings.")</f>
        <v>Apple apologises for allowing workers to listen to Siri recordings.</v>
      </c>
      <c r="F47" s="16" t="str">
        <f>IFERROR(__xludf.DUMMYFUNCTION("""COMPUTED_VALUE"""),"https://www.ehackingnews.com/2019/08/apple-apologises-to-siri-users-for-not.html")</f>
        <v>https://www.ehackingnews.com/2019/08/apple-apologises-to-siri-users-for-not.html</v>
      </c>
      <c r="G47" s="16" t="str">
        <f>IFERROR(__xludf.DUMMYFUNCTION("""COMPUTED_VALUE"""),"Ehackingnews.com")</f>
        <v>Ehackingnews.com</v>
      </c>
      <c r="H47" t="str">
        <f>IFERROR(__xludf.DUMMYFUNCTION("""COMPUTED_VALUE"""),"2019-08-30T10:16:00Z")</f>
        <v>2019-08-30T10:16:00Z</v>
      </c>
      <c r="I47" t="str">
        <f>IFERROR(__xludf.DUMMYFUNCTION("""COMPUTED_VALUE"""),"Technology")</f>
        <v>Technology</v>
      </c>
      <c r="J47" t="str">
        <f>IFERROR(__xludf.DUMMYFUNCTION("""COMPUTED_VALUE"""),"Media")</f>
        <v>Media</v>
      </c>
      <c r="K47" t="str">
        <f>IFERROR(__xludf.DUMMYFUNCTION("""COMPUTED_VALUE"""),"-")</f>
        <v>-</v>
      </c>
      <c r="L47" t="str">
        <f>IFERROR(__xludf.DUMMYFUNCTION("""COMPUTED_VALUE"""),"-")</f>
        <v>-</v>
      </c>
      <c r="M47" t="str">
        <f>IFERROR(__xludf.DUMMYFUNCTION("""COMPUTED_VALUE"""),"-")</f>
        <v>-</v>
      </c>
      <c r="N47">
        <f>IFERROR(__xludf.DUMMYFUNCTION("""COMPUTED_VALUE"""),0.38)</f>
        <v>0.38</v>
      </c>
    </row>
    <row r="48">
      <c r="A48" t="str">
        <f>IFERROR(__xludf.DUMMYFUNCTION("""COMPUTED_VALUE"""),"AAPL")</f>
        <v>AAPL</v>
      </c>
      <c r="B48" t="str">
        <f>IFERROR(__xludf.DUMMYFUNCTION("""COMPUTED_VALUE"""),"AAPL")</f>
        <v>AAPL</v>
      </c>
      <c r="C48" t="str">
        <f>IFERROR(__xludf.DUMMYFUNCTION("""COMPUTED_VALUE"""),"Apple Oppo and others committed to long-term investment in India after FDI relaxation")</f>
        <v>Apple Oppo and others committed to long-term investment in India after FDI relaxation</v>
      </c>
      <c r="D48" t="str">
        <f>IFERROR(__xludf.DUMMYFUNCTION("""COMPUTED_VALUE"""),"tech2 News Staff")</f>
        <v>tech2 News Staff</v>
      </c>
      <c r="E48" t="str">
        <f>IFERROR(__xludf.DUMMYFUNCTION("""COMPUTED_VALUE"""),"Tech giants such as Apple can start selling a range of products in India through their own online store")</f>
        <v>Tech giants such as Apple can start selling a range of products in India through their own online store</v>
      </c>
      <c r="F48" s="16" t="str">
        <f>IFERROR(__xludf.DUMMYFUNCTION("""COMPUTED_VALUE"""),"https://www.firstpost.com/tech/news-analysis/apple-oppo-and-others-committed-to-long-term-investment-in-india-after-fdi-relaxation-7254181.html")</f>
        <v>https://www.firstpost.com/tech/news-analysis/apple-oppo-and-others-committed-to-long-term-investment-in-india-after-fdi-relaxation-7254181.html</v>
      </c>
      <c r="G48" s="16" t="str">
        <f>IFERROR(__xludf.DUMMYFUNCTION("""COMPUTED_VALUE"""),"Firstpost.com")</f>
        <v>Firstpost.com</v>
      </c>
      <c r="H48" t="str">
        <f>IFERROR(__xludf.DUMMYFUNCTION("""COMPUTED_VALUE"""),"2019-08-30T10:19:18Z")</f>
        <v>2019-08-30T10:19:18Z</v>
      </c>
      <c r="I48" t="str">
        <f>IFERROR(__xludf.DUMMYFUNCTION("""COMPUTED_VALUE"""),"Technology")</f>
        <v>Technology</v>
      </c>
      <c r="J48" t="str">
        <f>IFERROR(__xludf.DUMMYFUNCTION("""COMPUTED_VALUE"""),"Investment")</f>
        <v>Investment</v>
      </c>
      <c r="K48" t="str">
        <f>IFERROR(__xludf.DUMMYFUNCTION("""COMPUTED_VALUE"""),"Apple")</f>
        <v>Apple</v>
      </c>
      <c r="L48" t="str">
        <f>IFERROR(__xludf.DUMMYFUNCTION("""COMPUTED_VALUE"""),"-")</f>
        <v>-</v>
      </c>
      <c r="M48" t="str">
        <f>IFERROR(__xludf.DUMMYFUNCTION("""COMPUTED_VALUE"""),"India")</f>
        <v>India</v>
      </c>
      <c r="N48">
        <f>IFERROR(__xludf.DUMMYFUNCTION("""COMPUTED_VALUE"""),0.27)</f>
        <v>0.27</v>
      </c>
    </row>
    <row r="49">
      <c r="A49" t="str">
        <f>IFERROR(__xludf.DUMMYFUNCTION("""COMPUTED_VALUE"""),"AAPL")</f>
        <v>AAPL</v>
      </c>
      <c r="B49" t="str">
        <f>IFERROR(__xludf.DUMMYFUNCTION("""COMPUTED_VALUE"""),"AAPL")</f>
        <v>AAPL</v>
      </c>
      <c r="C49" t="str">
        <f>IFERROR(__xludf.DUMMYFUNCTION("""COMPUTED_VALUE"""),"iPhone XR vs. iPhone 8 Plus: Which iPhone should you buy? - CNET")</f>
        <v>iPhone XR vs. iPhone 8 Plus: Which iPhone should you buy? - CNET</v>
      </c>
      <c r="D49" t="str">
        <f>IFERROR(__xludf.DUMMYFUNCTION("""COMPUTED_VALUE"""),"Lynn La")</f>
        <v>Lynn La</v>
      </c>
      <c r="E49" t="str">
        <f>IFERROR(__xludf.DUMMYFUNCTION("""COMPUTED_VALUE"""),"We compare Apple's most affordable high-end iPhone with 2017's iPhone 8 Plus.")</f>
        <v>We compare Apple's most affordable high-end iPhone with 2017's iPhone 8 Plus.</v>
      </c>
      <c r="F49" s="16" t="str">
        <f>IFERROR(__xludf.DUMMYFUNCTION("""COMPUTED_VALUE"""),"https://www.cnet.com/news/iphone-xr-vs-iphone-8-plus-what-iphone-should-you-buy-price-colors-specs-comparison-camera-refurbished-features-review/")</f>
        <v>https://www.cnet.com/news/iphone-xr-vs-iphone-8-plus-what-iphone-should-you-buy-price-colors-specs-comparison-camera-refurbished-features-review/</v>
      </c>
      <c r="G49" s="16" t="str">
        <f>IFERROR(__xludf.DUMMYFUNCTION("""COMPUTED_VALUE"""),"Cnet.com")</f>
        <v>Cnet.com</v>
      </c>
      <c r="H49" t="str">
        <f>IFERROR(__xludf.DUMMYFUNCTION("""COMPUTED_VALUE"""),"2019-08-30T10:30:02Z")</f>
        <v>2019-08-30T10:30:02Z</v>
      </c>
      <c r="I49" t="str">
        <f>IFERROR(__xludf.DUMMYFUNCTION("""COMPUTED_VALUE"""),"Technology")</f>
        <v>Technology</v>
      </c>
      <c r="J49" t="str">
        <f>IFERROR(__xludf.DUMMYFUNCTION("""COMPUTED_VALUE"""),"-")</f>
        <v>-</v>
      </c>
      <c r="K49" t="str">
        <f>IFERROR(__xludf.DUMMYFUNCTION("""COMPUTED_VALUE"""),"Apple")</f>
        <v>Apple</v>
      </c>
      <c r="L49" t="str">
        <f>IFERROR(__xludf.DUMMYFUNCTION("""COMPUTED_VALUE"""),"-")</f>
        <v>-</v>
      </c>
      <c r="M49" t="str">
        <f>IFERROR(__xludf.DUMMYFUNCTION("""COMPUTED_VALUE"""),"-")</f>
        <v>-</v>
      </c>
      <c r="N49">
        <f>IFERROR(__xludf.DUMMYFUNCTION("""COMPUTED_VALUE"""),0.0)</f>
        <v>0</v>
      </c>
    </row>
    <row r="50">
      <c r="A50" t="str">
        <f>IFERROR(__xludf.DUMMYFUNCTION("""COMPUTED_VALUE"""),"AAPL")</f>
        <v>AAPL</v>
      </c>
      <c r="B50" t="str">
        <f>IFERROR(__xludf.DUMMYFUNCTION("""COMPUTED_VALUE"""),"AAPL")</f>
        <v>AAPL</v>
      </c>
      <c r="C50" t="str">
        <f>IFERROR(__xludf.DUMMYFUNCTION("""COMPUTED_VALUE"""),"NPR Music's Top 16 Songs Of August")</f>
        <v>NPR Music's Top 16 Songs Of August</v>
      </c>
      <c r="D50" t="str">
        <f>IFERROR(__xludf.DUMMYFUNCTION("""COMPUTED_VALUE"""),"-")</f>
        <v>-</v>
      </c>
      <c r="E50" t="str">
        <f>IFERROR(__xludf.DUMMYFUNCTION("""COMPUTED_VALUE"""),"Stream: Spotify Apple. Missy Elliott not only justified the VMAs' existence but also dropped the Iconology EP in August reminding us just how vital and future-seeking she continues to be. """"Throw It Back"""" appears on NPR Music's monthly best-of list a"&amp;"long wit?")</f>
        <v>Stream: Spotify Apple. Missy Elliott not only justified the VMAs' existence but also dropped the Iconology EP in August reminding us just how vital and future-seeking she continues to be. ""Throw It Back"" appears on NPR Music's monthly best-of list along wit?</v>
      </c>
      <c r="F50" s="16" t="str">
        <f>IFERROR(__xludf.DUMMYFUNCTION("""COMPUTED_VALUE"""),"https://www.npr.org/2019/08/30/755386306/npr-musics-top-16-songs-of-august")</f>
        <v>https://www.npr.org/2019/08/30/755386306/npr-musics-top-16-songs-of-august</v>
      </c>
      <c r="G50" s="16" t="str">
        <f>IFERROR(__xludf.DUMMYFUNCTION("""COMPUTED_VALUE"""),"Npr.org")</f>
        <v>Npr.org</v>
      </c>
      <c r="H50" t="str">
        <f>IFERROR(__xludf.DUMMYFUNCTION("""COMPUTED_VALUE"""),"2019-08-30T10:32:20Z")</f>
        <v>2019-08-30T10:32:20Z</v>
      </c>
      <c r="I50" t="str">
        <f>IFERROR(__xludf.DUMMYFUNCTION("""COMPUTED_VALUE"""),"Technology")</f>
        <v>Technology</v>
      </c>
      <c r="J50" t="str">
        <f>IFERROR(__xludf.DUMMYFUNCTION("""COMPUTED_VALUE"""),"Equities")</f>
        <v>Equities</v>
      </c>
      <c r="K50" t="str">
        <f>IFERROR(__xludf.DUMMYFUNCTION("""COMPUTED_VALUE"""),"Apple/ Npr")</f>
        <v>Apple/ Npr</v>
      </c>
      <c r="L50" t="str">
        <f>IFERROR(__xludf.DUMMYFUNCTION("""COMPUTED_VALUE"""),"Missy Elliott")</f>
        <v>Missy Elliott</v>
      </c>
      <c r="M50" t="str">
        <f>IFERROR(__xludf.DUMMYFUNCTION("""COMPUTED_VALUE"""),"-")</f>
        <v>-</v>
      </c>
      <c r="N50">
        <f>IFERROR(__xludf.DUMMYFUNCTION("""COMPUTED_VALUE"""),0.38)</f>
        <v>0.38</v>
      </c>
    </row>
    <row r="51">
      <c r="A51" t="str">
        <f>IFERROR(__xludf.DUMMYFUNCTION("""COMPUTED_VALUE"""),"AAPL")</f>
        <v>AAPL</v>
      </c>
      <c r="B51" t="str">
        <f>IFERROR(__xludf.DUMMYFUNCTION("""COMPUTED_VALUE"""),"AAPL")</f>
        <v>AAPL</v>
      </c>
      <c r="C51" t="str">
        <f>IFERROR(__xludf.DUMMYFUNCTION("""COMPUTED_VALUE"""),"Chicken Apple Brie Melts")</f>
        <v>Chicken Apple Brie Melts</v>
      </c>
      <c r="D51" t="str">
        <f>IFERROR(__xludf.DUMMYFUNCTION("""COMPUTED_VALUE"""),"waystomyheart")</f>
        <v>waystomyheart</v>
      </c>
      <c r="E51" t="str">
        <f>IFERROR(__xludf.DUMMYFUNCTION("""COMPUTED_VALUE"""),"A favorite sandwich for many! Think grown up grilled cheese. Rotisserie chicken brie apples arugula and the BEST honey Dijon dressing!")</f>
        <v>A favorite sandwich for many! Think grown up grilled cheese. Rotisserie chicken brie apples arugula and the BEST honey Dijon dressing!</v>
      </c>
      <c r="F51" s="16" t="str">
        <f>IFERROR(__xludf.DUMMYFUNCTION("""COMPUTED_VALUE"""),"https://foodgawker.com/post/2019/08/30/838390/")</f>
        <v>https://foodgawker.com/post/2019/08/30/838390/</v>
      </c>
      <c r="G51" s="16" t="str">
        <f>IFERROR(__xludf.DUMMYFUNCTION("""COMPUTED_VALUE"""),"Foodgawker.com")</f>
        <v>Foodgawker.com</v>
      </c>
      <c r="H51" t="str">
        <f>IFERROR(__xludf.DUMMYFUNCTION("""COMPUTED_VALUE"""),"2019-08-30T10:33:14Z")</f>
        <v>2019-08-30T10:33:14Z</v>
      </c>
      <c r="I51" t="str">
        <f>IFERROR(__xludf.DUMMYFUNCTION("""COMPUTED_VALUE"""),"Technology")</f>
        <v>Technology</v>
      </c>
      <c r="J51" t="str">
        <f>IFERROR(__xludf.DUMMYFUNCTION("""COMPUTED_VALUE"""),"Commodities")</f>
        <v>Commodities</v>
      </c>
      <c r="K51" t="str">
        <f>IFERROR(__xludf.DUMMYFUNCTION("""COMPUTED_VALUE"""),"-")</f>
        <v>-</v>
      </c>
      <c r="L51" t="str">
        <f>IFERROR(__xludf.DUMMYFUNCTION("""COMPUTED_VALUE"""),"-")</f>
        <v>-</v>
      </c>
      <c r="M51" t="str">
        <f>IFERROR(__xludf.DUMMYFUNCTION("""COMPUTED_VALUE"""),"-")</f>
        <v>-</v>
      </c>
      <c r="N51">
        <f>IFERROR(__xludf.DUMMYFUNCTION("""COMPUTED_VALUE"""),0.86)</f>
        <v>0.86</v>
      </c>
    </row>
    <row r="52">
      <c r="A52" t="str">
        <f>IFERROR(__xludf.DUMMYFUNCTION("""COMPUTED_VALUE"""),"AAPL")</f>
        <v>AAPL</v>
      </c>
      <c r="B52" t="str">
        <f>IFERROR(__xludf.DUMMYFUNCTION("""COMPUTED_VALUE"""),"AAPL")</f>
        <v>AAPL</v>
      </c>
      <c r="C52" t="str">
        <f>IFERROR(__xludf.DUMMYFUNCTION("""COMPUTED_VALUE"""),"Apple apologizes for humans listening to Siri clips changes policy")</f>
        <v>Apple apologizes for humans listening to Siri clips changes policy</v>
      </c>
      <c r="D52" t="str">
        <f>IFERROR(__xludf.DUMMYFUNCTION("""COMPUTED_VALUE"""),"Lisa Vaas")</f>
        <v>Lisa Vaas</v>
      </c>
      <c r="E52" t="str">
        <f>IFERROR(__xludf.DUMMYFUNCTION("""COMPUTED_VALUE"""),"Apple is turning off automatic review of Siri audio and locking it down so that only Apple employees get to listen to it.")</f>
        <v>Apple is turning off automatic review of Siri audio and locking it down so that only Apple employees get to listen to it.</v>
      </c>
      <c r="F52" s="16" t="str">
        <f>IFERROR(__xludf.DUMMYFUNCTION("""COMPUTED_VALUE"""),"http://nakedsecurity.sophos.com/2019/08/30/apple-apologizes-for-humans-listening-to-siri-clips-changes-policy/")</f>
        <v>http://nakedsecurity.sophos.com/2019/08/30/apple-apologizes-for-humans-listening-to-siri-clips-changes-policy/</v>
      </c>
      <c r="G52" s="16" t="str">
        <f>IFERROR(__xludf.DUMMYFUNCTION("""COMPUTED_VALUE"""),"Sophos.com")</f>
        <v>Sophos.com</v>
      </c>
      <c r="H52" t="str">
        <f>IFERROR(__xludf.DUMMYFUNCTION("""COMPUTED_VALUE"""),"2019-08-30T10:35:34Z")</f>
        <v>2019-08-30T10:35:34Z</v>
      </c>
      <c r="I52" t="str">
        <f>IFERROR(__xludf.DUMMYFUNCTION("""COMPUTED_VALUE"""),"Technology")</f>
        <v>Technology</v>
      </c>
      <c r="J52" t="str">
        <f>IFERROR(__xludf.DUMMYFUNCTION("""COMPUTED_VALUE"""),"Media")</f>
        <v>Media</v>
      </c>
      <c r="K52" t="str">
        <f>IFERROR(__xludf.DUMMYFUNCTION("""COMPUTED_VALUE"""),"Apple")</f>
        <v>Apple</v>
      </c>
      <c r="L52" t="str">
        <f>IFERROR(__xludf.DUMMYFUNCTION("""COMPUTED_VALUE"""),"-")</f>
        <v>-</v>
      </c>
      <c r="M52" t="str">
        <f>IFERROR(__xludf.DUMMYFUNCTION("""COMPUTED_VALUE"""),"-")</f>
        <v>-</v>
      </c>
      <c r="N52">
        <f>IFERROR(__xludf.DUMMYFUNCTION("""COMPUTED_VALUE"""),0.36)</f>
        <v>0.36</v>
      </c>
    </row>
    <row r="53">
      <c r="A53" t="str">
        <f>IFERROR(__xludf.DUMMYFUNCTION("""COMPUTED_VALUE"""),"AAPL")</f>
        <v>AAPL</v>
      </c>
      <c r="B53" t="str">
        <f>IFERROR(__xludf.DUMMYFUNCTION("""COMPUTED_VALUE"""),"AAPL")</f>
        <v>AAPL</v>
      </c>
      <c r="C53" t="str">
        <f>IFERROR(__xludf.DUMMYFUNCTION("""COMPUTED_VALUE"""),"Apple Reveals Most Creative Ways AirPod Owners Have Personalized Their Cases")</f>
        <v>Apple Reveals Most Creative Ways AirPod Owners Have Personalized Their Cases</v>
      </c>
      <c r="D53" t="str">
        <f>IFERROR(__xludf.DUMMYFUNCTION("""COMPUTED_VALUE"""),"-")</f>
        <v>-</v>
      </c>
      <c r="E53" t="str">
        <f>IFERROR(__xludf.DUMMYFUNCTION("""COMPUTED_VALUE"""),"Click here to view the video in this article Video screenshot via Apple Korea When people meet Apple users/ they?ll probably draw up a mental profile of the person based on their choice of brand/ but there?s really so much more to a person?s individuality"&amp;". ?")</f>
        <v>Click here to view the video in this article Video screenshot via Apple Korea When people meet Apple users/ they?ll probably draw up a mental profile of the person based on their choice of brand/ but there?s really so much more to a person?s individuality. ?</v>
      </c>
      <c r="F53" s="16" t="str">
        <f>IFERROR(__xludf.DUMMYFUNCTION("""COMPUTED_VALUE"""),"https://designtaxi.com/news/406018/Apple-Reveals-Most-Creative-Ways-AirPod-Owners-Have-Personalized-Their-Cases/?utm_source=feedburner&amp;utm_medium=feed&amp;utm_campaign=Feed%3A+designtaxi_news+%28TAXI+Daily+News%29")</f>
        <v>https://designtaxi.com/news/406018/Apple-Reveals-Most-Creative-Ways-AirPod-Owners-Have-Personalized-Their-Cases/?utm_source=feedburner&amp;utm_medium=feed&amp;utm_campaign=Feed%3A+designtaxi_news+%28TAXI+Daily+News%29</v>
      </c>
      <c r="G53" s="16" t="str">
        <f>IFERROR(__xludf.DUMMYFUNCTION("""COMPUTED_VALUE"""),"Designtaxi.com")</f>
        <v>Designtaxi.com</v>
      </c>
      <c r="H53" t="str">
        <f>IFERROR(__xludf.DUMMYFUNCTION("""COMPUTED_VALUE"""),"2019-08-30T10:55:06Z")</f>
        <v>2019-08-30T10:55:06Z</v>
      </c>
      <c r="I53" t="str">
        <f>IFERROR(__xludf.DUMMYFUNCTION("""COMPUTED_VALUE"""),"Technology")</f>
        <v>Technology</v>
      </c>
      <c r="J53" t="str">
        <f>IFERROR(__xludf.DUMMYFUNCTION("""COMPUTED_VALUE"""),"Media/ Achievement")</f>
        <v>Media/ Achievement</v>
      </c>
      <c r="K53" t="str">
        <f>IFERROR(__xludf.DUMMYFUNCTION("""COMPUTED_VALUE"""),"Apple Korea")</f>
        <v>Apple Korea</v>
      </c>
      <c r="L53" t="str">
        <f>IFERROR(__xludf.DUMMYFUNCTION("""COMPUTED_VALUE"""),"-")</f>
        <v>-</v>
      </c>
      <c r="M53" t="str">
        <f>IFERROR(__xludf.DUMMYFUNCTION("""COMPUTED_VALUE"""),"-")</f>
        <v>-</v>
      </c>
      <c r="N53">
        <f>IFERROR(__xludf.DUMMYFUNCTION("""COMPUTED_VALUE"""),0.27)</f>
        <v>0.27</v>
      </c>
    </row>
    <row r="54">
      <c r="A54" t="str">
        <f>IFERROR(__xludf.DUMMYFUNCTION("""COMPUTED_VALUE"""),"AAPL")</f>
        <v>AAPL</v>
      </c>
      <c r="B54" t="str">
        <f>IFERROR(__xludf.DUMMYFUNCTION("""COMPUTED_VALUE"""),"AAPL")</f>
        <v>AAPL</v>
      </c>
      <c r="C54" t="str">
        <f>IFERROR(__xludf.DUMMYFUNCTION("""COMPUTED_VALUE"""),"Apple?s feral cleaning instructions for Apple Card are funnier than the memes they?ve inspired")</f>
        <v>Apple?s feral cleaning instructions for Apple Card are funnier than the memes they?ve inspired</v>
      </c>
      <c r="D54" t="str">
        <f>IFERROR(__xludf.DUMMYFUNCTION("""COMPUTED_VALUE"""),"Neha Tandon Sharma")</f>
        <v>Neha Tandon Sharma</v>
      </c>
      <c r="E54" t="str">
        <f>IFERROR(__xludf.DUMMYFUNCTION("""COMPUTED_VALUE"""),"Apple loves what Apple makes; the people who use Apple products also love everything about it. The Apple... The post Apple?s feral cleaning instructions for Apple Card are funnier than the memes they?ve inspired appeared first on Luxurylaunches.")</f>
        <v>Apple loves what Apple makes; the people who use Apple products also love everything about it. The Apple... The post Apple?s feral cleaning instructions for Apple Card are funnier than the memes they?ve inspired appeared first on Luxurylaunches.</v>
      </c>
      <c r="F54" s="16" t="str">
        <f>IFERROR(__xludf.DUMMYFUNCTION("""COMPUTED_VALUE"""),"https://luxurylaunches.com/other_stuff/apples-feral-cleaning-instructions-for-apple-card-are-funnier-than-the-memes-theyve-inspired.php")</f>
        <v>https://luxurylaunches.com/other_stuff/apples-feral-cleaning-instructions-for-apple-card-are-funnier-than-the-memes-theyve-inspired.php</v>
      </c>
      <c r="G54" s="16" t="str">
        <f>IFERROR(__xludf.DUMMYFUNCTION("""COMPUTED_VALUE"""),"Luxurylaunches.com")</f>
        <v>Luxurylaunches.com</v>
      </c>
      <c r="H54" t="str">
        <f>IFERROR(__xludf.DUMMYFUNCTION("""COMPUTED_VALUE"""),"2019-08-30T10:57:24Z")</f>
        <v>2019-08-30T10:57:24Z</v>
      </c>
      <c r="I54" t="str">
        <f>IFERROR(__xludf.DUMMYFUNCTION("""COMPUTED_VALUE"""),"Technology")</f>
        <v>Technology</v>
      </c>
      <c r="J54" t="str">
        <f>IFERROR(__xludf.DUMMYFUNCTION("""COMPUTED_VALUE"""),"Media/ Achievement")</f>
        <v>Media/ Achievement</v>
      </c>
      <c r="K54" t="str">
        <f>IFERROR(__xludf.DUMMYFUNCTION("""COMPUTED_VALUE"""),"Apple Card")</f>
        <v>Apple Card</v>
      </c>
      <c r="L54" t="str">
        <f>IFERROR(__xludf.DUMMYFUNCTION("""COMPUTED_VALUE"""),"-")</f>
        <v>-</v>
      </c>
      <c r="M54" t="str">
        <f>IFERROR(__xludf.DUMMYFUNCTION("""COMPUTED_VALUE"""),"-")</f>
        <v>-</v>
      </c>
      <c r="N54">
        <f>IFERROR(__xludf.DUMMYFUNCTION("""COMPUTED_VALUE"""),0.95)</f>
        <v>0.95</v>
      </c>
    </row>
    <row r="55">
      <c r="A55" t="str">
        <f>IFERROR(__xludf.DUMMYFUNCTION("""COMPUTED_VALUE"""),"AAPL")</f>
        <v>AAPL</v>
      </c>
      <c r="B55" t="str">
        <f>IFERROR(__xludf.DUMMYFUNCTION("""COMPUTED_VALUE"""),"AAPL")</f>
        <v>AAPL</v>
      </c>
      <c r="C55" t="str">
        <f>IFERROR(__xludf.DUMMYFUNCTION("""COMPUTED_VALUE"""),"Apple wants to help you lose weight with methods ?beyond diet and exercise?")</f>
        <v>Apple wants to help you lose weight with methods ?beyond diet and exercise?</v>
      </c>
      <c r="D55" t="str">
        <f>IFERROR(__xludf.DUMMYFUNCTION("""COMPUTED_VALUE"""),"Dennis Sellers")</f>
        <v>Dennis Sellers</v>
      </c>
      <c r="E55" t="str">
        <f>IFERROR(__xludf.DUMMYFUNCTION("""COMPUTED_VALUE"""),"With its Health app the HealthKit developer appand Apple Watch features. Apple has focused a lot of its attention on the health and wellness field in recent months. Now the tech giant has filed for a patent (number 20190261669) for ?methods and compositio"&amp;"ns?")</f>
        <v>With its Health app the HealthKit developer appand Apple Watch features. Apple has focused a lot of its attention on the health and wellness field in recent months. Now the tech giant has filed for a patent (number 20190261669) for ?methods and compositions?</v>
      </c>
      <c r="F55" s="16" t="str">
        <f>IFERROR(__xludf.DUMMYFUNCTION("""COMPUTED_VALUE"""),"https://www.appleworld.today/blog/2019/8/30/apple-wants-to-help-you-lose-weight-with-methods-beyond-diet-and-exercise")</f>
        <v>https://www.appleworld.today/blog/2019/8/30/apple-wants-to-help-you-lose-weight-with-methods-beyond-diet-and-exercise</v>
      </c>
      <c r="G55" t="str">
        <f>IFERROR(__xludf.DUMMYFUNCTION("""COMPUTED_VALUE"""),"Appleworld.today")</f>
        <v>Appleworld.today</v>
      </c>
      <c r="H55" t="str">
        <f>IFERROR(__xludf.DUMMYFUNCTION("""COMPUTED_VALUE"""),"2019-08-30T11:00:00Z")</f>
        <v>2019-08-30T11:00:00Z</v>
      </c>
      <c r="I55" t="str">
        <f>IFERROR(__xludf.DUMMYFUNCTION("""COMPUTED_VALUE"""),"Technology")</f>
        <v>Technology</v>
      </c>
      <c r="J55" t="str">
        <f>IFERROR(__xludf.DUMMYFUNCTION("""COMPUTED_VALUE"""),"Pharmaceutical/ Intellectual Property")</f>
        <v>Pharmaceutical/ Intellectual Property</v>
      </c>
      <c r="K55" t="str">
        <f>IFERROR(__xludf.DUMMYFUNCTION("""COMPUTED_VALUE"""),"Apple Watch")</f>
        <v>Apple Watch</v>
      </c>
      <c r="L55" t="str">
        <f>IFERROR(__xludf.DUMMYFUNCTION("""COMPUTED_VALUE"""),"-")</f>
        <v>-</v>
      </c>
      <c r="M55" t="str">
        <f>IFERROR(__xludf.DUMMYFUNCTION("""COMPUTED_VALUE"""),"-")</f>
        <v>-</v>
      </c>
      <c r="N55">
        <f>IFERROR(__xludf.DUMMYFUNCTION("""COMPUTED_VALUE"""),0.67)</f>
        <v>0.67</v>
      </c>
    </row>
    <row r="56">
      <c r="A56" t="str">
        <f>IFERROR(__xludf.DUMMYFUNCTION("""COMPUTED_VALUE"""),"AAPL")</f>
        <v>AAPL</v>
      </c>
      <c r="B56" t="str">
        <f>IFERROR(__xludf.DUMMYFUNCTION("""COMPUTED_VALUE"""),"AAPL")</f>
        <v>AAPL</v>
      </c>
      <c r="C56" t="str">
        <f>IFERROR(__xludf.DUMMYFUNCTION("""COMPUTED_VALUE"""),"Apple's New Repair Policy Makes Fixing Your iPhone Less of a Nightmare")</f>
        <v>Apple's New Repair Policy Makes Fixing Your iPhone Less of a Nightmare</v>
      </c>
      <c r="D56" t="str">
        <f>IFERROR(__xludf.DUMMYFUNCTION("""COMPUTED_VALUE"""),"By Blake.Montgomery@thedailybeast.com (Blake Montgomery)")</f>
        <v>By Blake.Montgomery@thedailybeast.com (Blake Montgomery)</v>
      </c>
      <c r="E56" t="str">
        <f>IFERROR(__xludf.DUMMYFUNCTION("""COMPUTED_VALUE"""),"Justin Sullivan Apple announced Thursday that it would expand its iPhone maintenance programs to include selling ?the same genuine parts tools training repair manuals and diagnostics? to independent repair shops for the most common out-of-warranty fixes. "&amp;"P?")</f>
        <v>Justin Sullivan Apple announced Thursday that it would expand its iPhone maintenance programs to include selling ?the same genuine parts tools training repair manuals and diagnostics? to independent repair shops for the most common out-of-warranty fixes. P?</v>
      </c>
      <c r="F56" s="16" t="str">
        <f>IFERROR(__xludf.DUMMYFUNCTION("""COMPUTED_VALUE"""),"https://www.thedailybeast.com/apples-new-repair-policy-makes-fixing-your-iphone-less-of-a-nightmare")</f>
        <v>https://www.thedailybeast.com/apples-new-repair-policy-makes-fixing-your-iphone-less-of-a-nightmare</v>
      </c>
      <c r="G56" s="16" t="str">
        <f>IFERROR(__xludf.DUMMYFUNCTION("""COMPUTED_VALUE"""),"Thedailybeast.com")</f>
        <v>Thedailybeast.com</v>
      </c>
      <c r="H56" t="str">
        <f>IFERROR(__xludf.DUMMYFUNCTION("""COMPUTED_VALUE"""),"2019-08-29T20:23:33Z")</f>
        <v>2019-08-29T20:23:33Z</v>
      </c>
      <c r="I56" t="str">
        <f>IFERROR(__xludf.DUMMYFUNCTION("""COMPUTED_VALUE"""),"Technology")</f>
        <v>Technology</v>
      </c>
      <c r="J56" t="str">
        <f>IFERROR(__xludf.DUMMYFUNCTION("""COMPUTED_VALUE"""),"Partnership/ Product Release")</f>
        <v>Partnership/ Product Release</v>
      </c>
      <c r="K56" t="str">
        <f>IFERROR(__xludf.DUMMYFUNCTION("""COMPUTED_VALUE"""),"-")</f>
        <v>-</v>
      </c>
      <c r="L56" t="str">
        <f>IFERROR(__xludf.DUMMYFUNCTION("""COMPUTED_VALUE"""),"Justin Sullivan Apple")</f>
        <v>Justin Sullivan Apple</v>
      </c>
      <c r="M56" t="str">
        <f>IFERROR(__xludf.DUMMYFUNCTION("""COMPUTED_VALUE"""),"-")</f>
        <v>-</v>
      </c>
      <c r="N56">
        <f>IFERROR(__xludf.DUMMYFUNCTION("""COMPUTED_VALUE"""),0.32)</f>
        <v>0.32</v>
      </c>
    </row>
    <row r="57">
      <c r="A57" t="str">
        <f>IFERROR(__xludf.DUMMYFUNCTION("""COMPUTED_VALUE"""),"AAPL")</f>
        <v>AAPL</v>
      </c>
      <c r="B57" t="str">
        <f>IFERROR(__xludf.DUMMYFUNCTION("""COMPUTED_VALUE"""),"AAPL")</f>
        <v>AAPL</v>
      </c>
      <c r="C57" t="str">
        <f>IFERROR(__xludf.DUMMYFUNCTION("""COMPUTED_VALUE"""),"Apple apologizes for eavesdropping on couples having sex")</f>
        <v>Apple apologizes for eavesdropping on couples having sex</v>
      </c>
      <c r="D57" t="str">
        <f>IFERROR(__xludf.DUMMYFUNCTION("""COMPUTED_VALUE"""),"Tarah Price")</f>
        <v>Tarah Price</v>
      </c>
      <c r="E57" t="str">
        <f>IFERROR(__xludf.DUMMYFUNCTION("""COMPUTED_VALUE"""),"On Thursday's episode of """" Pat Gray Unleashed"""" Pat discussed Apple's apology for allowing third-party vendors to listen in on couples having sex. In this clip Fox News reported that Apple issued a public apology for allowing third-party vendors to e"&amp;"avesdrop?")</f>
        <v>On Thursday's episode of "" Pat Gray Unleashed"" Pat discussed Apple's apology for allowing third-party vendors to listen in on couples having sex. In this clip Fox News reported that Apple issued a public apology for allowing third-party vendors to eavesdrop?</v>
      </c>
      <c r="F57" s="16" t="str">
        <f>IFERROR(__xludf.DUMMYFUNCTION("""COMPUTED_VALUE"""),"https://www.theblaze.com/unleashed/apple-admits-to-listening-in-on-couples-having-sex-in-the-bedroom")</f>
        <v>https://www.theblaze.com/unleashed/apple-admits-to-listening-in-on-couples-having-sex-in-the-bedroom</v>
      </c>
      <c r="G57" s="16" t="str">
        <f>IFERROR(__xludf.DUMMYFUNCTION("""COMPUTED_VALUE"""),"Theblaze.com")</f>
        <v>Theblaze.com</v>
      </c>
      <c r="H57" t="str">
        <f>IFERROR(__xludf.DUMMYFUNCTION("""COMPUTED_VALUE"""),"2019-08-29T20:24:43Z")</f>
        <v>2019-08-29T20:24:43Z</v>
      </c>
      <c r="I57" t="str">
        <f>IFERROR(__xludf.DUMMYFUNCTION("""COMPUTED_VALUE"""),"Technology")</f>
        <v>Technology</v>
      </c>
      <c r="J57" t="str">
        <f>IFERROR(__xludf.DUMMYFUNCTION("""COMPUTED_VALUE"""),"Politics")</f>
        <v>Politics</v>
      </c>
      <c r="K57" t="str">
        <f>IFERROR(__xludf.DUMMYFUNCTION("""COMPUTED_VALUE"""),"Fox News")</f>
        <v>Fox News</v>
      </c>
      <c r="L57" t="str">
        <f>IFERROR(__xludf.DUMMYFUNCTION("""COMPUTED_VALUE"""),"Pat Gray")</f>
        <v>Pat Gray</v>
      </c>
      <c r="M57" t="str">
        <f>IFERROR(__xludf.DUMMYFUNCTION("""COMPUTED_VALUE"""),"-")</f>
        <v>-</v>
      </c>
      <c r="N57">
        <f>IFERROR(__xludf.DUMMYFUNCTION("""COMPUTED_VALUE"""),0.44)</f>
        <v>0.44</v>
      </c>
    </row>
    <row r="58">
      <c r="A58" t="str">
        <f>IFERROR(__xludf.DUMMYFUNCTION("""COMPUTED_VALUE"""),"AAPL")</f>
        <v>AAPL</v>
      </c>
      <c r="B58" t="str">
        <f>IFERROR(__xludf.DUMMYFUNCTION("""COMPUTED_VALUE"""),"AAPL")</f>
        <v>AAPL</v>
      </c>
      <c r="C58" t="str">
        <f>IFERROR(__xludf.DUMMYFUNCTION("""COMPUTED_VALUE"""),"Apple Prepares For The Holidays With A New Lineup But Will Tariffs Get In the Way?")</f>
        <v>Apple Prepares For The Holidays With A New Lineup But Will Tariffs Get In the Way?</v>
      </c>
      <c r="D58" t="str">
        <f>IFERROR(__xludf.DUMMYFUNCTION("""COMPUTED_VALUE"""),"newsfeedback@fool.com (Donna Fuscaldo)")</f>
        <v>newsfeedback@fool.com (Donna Fuscaldo)</v>
      </c>
      <c r="E58" t="str">
        <f>IFERROR(__xludf.DUMMYFUNCTION("""COMPUTED_VALUE"""),"Apple is gearing up to launch new iPhones and other devices on September 10 but with the ongoing trade war in China it may be in for a tough holiday season.")</f>
        <v>Apple is gearing up to launch new iPhones and other devices on September 10 but with the ongoing trade war in China it may be in for a tough holiday season.</v>
      </c>
      <c r="F58" s="16" t="str">
        <f>IFERROR(__xludf.DUMMYFUNCTION("""COMPUTED_VALUE"""),"https://www.fool.com/investing/2019/08/29/apple-prepares-for-the-holidays-with-a-new-lineup.aspx")</f>
        <v>https://www.fool.com/investing/2019/08/29/apple-prepares-for-the-holidays-with-a-new-lineup.aspx</v>
      </c>
      <c r="G58" s="16" t="str">
        <f>IFERROR(__xludf.DUMMYFUNCTION("""COMPUTED_VALUE"""),"Fool.com")</f>
        <v>Fool.com</v>
      </c>
      <c r="H58" t="str">
        <f>IFERROR(__xludf.DUMMYFUNCTION("""COMPUTED_VALUE"""),"2019-08-29T20:25:00Z")</f>
        <v>2019-08-29T20:25:00Z</v>
      </c>
      <c r="I58" t="str">
        <f>IFERROR(__xludf.DUMMYFUNCTION("""COMPUTED_VALUE"""),"Technology")</f>
        <v>Technology</v>
      </c>
      <c r="J58" t="str">
        <f>IFERROR(__xludf.DUMMYFUNCTION("""COMPUTED_VALUE"""),"Product Release")</f>
        <v>Product Release</v>
      </c>
      <c r="K58" t="str">
        <f>IFERROR(__xludf.DUMMYFUNCTION("""COMPUTED_VALUE"""),"-")</f>
        <v>-</v>
      </c>
      <c r="L58" t="str">
        <f>IFERROR(__xludf.DUMMYFUNCTION("""COMPUTED_VALUE"""),"-")</f>
        <v>-</v>
      </c>
      <c r="M58" t="str">
        <f>IFERROR(__xludf.DUMMYFUNCTION("""COMPUTED_VALUE"""),"China")</f>
        <v>China</v>
      </c>
      <c r="N58">
        <f>IFERROR(__xludf.DUMMYFUNCTION("""COMPUTED_VALUE"""),-0.41)</f>
        <v>-0.41</v>
      </c>
    </row>
    <row r="59">
      <c r="A59" t="str">
        <f>IFERROR(__xludf.DUMMYFUNCTION("""COMPUTED_VALUE"""),"AAPL")</f>
        <v>AAPL</v>
      </c>
      <c r="B59" t="str">
        <f>IFERROR(__xludf.DUMMYFUNCTION("""COMPUTED_VALUE"""),"AAPL")</f>
        <v>AAPL</v>
      </c>
      <c r="C59" t="str">
        <f>IFERROR(__xludf.DUMMYFUNCTION("""COMPUTED_VALUE"""),"Apple blinks on iPhone repairs touts parts program for independent tech mechanics... sort of")</f>
        <v>Apple blinks on iPhone repairs touts parts program for independent tech mechanics... sort of</v>
      </c>
      <c r="D59" t="str">
        <f>IFERROR(__xludf.DUMMYFUNCTION("""COMPUTED_VALUE"""),"Thomas Claburn")</f>
        <v>Thomas Claburn</v>
      </c>
      <c r="E59" t="str">
        <f>IFERROR(__xludf.DUMMYFUNCTION("""COMPUTED_VALUE"""),"Planned obsolescence and big profits be damned we're going to let you fix your kit On Thursday Apple introduced a program that will allow independent computer repair shops access to the same resources available to Apple Authorized Service Providers (AASP)"&amp;" ?")</f>
        <v>Planned obsolescence and big profits be damned we're going to let you fix your kit On Thursday Apple introduced a program that will allow independent computer repair shops access to the same resources available to Apple Authorized Service Providers (AASP) ?</v>
      </c>
      <c r="F59" s="16" t="str">
        <f>IFERROR(__xludf.DUMMYFUNCTION("""COMPUTED_VALUE"""),"https://www.theregister.co.uk/2019/08/29/apple_iphone_repair/")</f>
        <v>https://www.theregister.co.uk/2019/08/29/apple_iphone_repair/</v>
      </c>
      <c r="G59" s="16" t="str">
        <f>IFERROR(__xludf.DUMMYFUNCTION("""COMPUTED_VALUE"""),"Theregister.co.uk")</f>
        <v>Theregister.co.uk</v>
      </c>
      <c r="H59" t="str">
        <f>IFERROR(__xludf.DUMMYFUNCTION("""COMPUTED_VALUE"""),"2019-08-29T20:29:04Z")</f>
        <v>2019-08-29T20:29:04Z</v>
      </c>
      <c r="I59" t="str">
        <f>IFERROR(__xludf.DUMMYFUNCTION("""COMPUTED_VALUE"""),"Technology")</f>
        <v>Technology</v>
      </c>
      <c r="J59" t="str">
        <f>IFERROR(__xludf.DUMMYFUNCTION("""COMPUTED_VALUE"""),"Product Release")</f>
        <v>Product Release</v>
      </c>
      <c r="K59" t="str">
        <f>IFERROR(__xludf.DUMMYFUNCTION("""COMPUTED_VALUE"""),"Apple Authorized Service")</f>
        <v>Apple Authorized Service</v>
      </c>
      <c r="L59" t="str">
        <f>IFERROR(__xludf.DUMMYFUNCTION("""COMPUTED_VALUE"""),"-")</f>
        <v>-</v>
      </c>
      <c r="M59" t="str">
        <f>IFERROR(__xludf.DUMMYFUNCTION("""COMPUTED_VALUE"""),"-")</f>
        <v>-</v>
      </c>
      <c r="N59">
        <f>IFERROR(__xludf.DUMMYFUNCTION("""COMPUTED_VALUE"""),0.27)</f>
        <v>0.27</v>
      </c>
    </row>
    <row r="60">
      <c r="A60" t="str">
        <f>IFERROR(__xludf.DUMMYFUNCTION("""COMPUTED_VALUE"""),"AAPL")</f>
        <v>AAPL</v>
      </c>
      <c r="B60" t="str">
        <f>IFERROR(__xludf.DUMMYFUNCTION("""COMPUTED_VALUE"""),"AAPL")</f>
        <v>AAPL</v>
      </c>
      <c r="C60" t="str">
        <f>IFERROR(__xludf.DUMMYFUNCTION("""COMPUTED_VALUE"""),"Apple Watch Series 4 Labor Day sale brings back Prime Day?s low prices - BGR")</f>
        <v>Apple Watch Series 4 Labor Day sale brings back Prime Day?s low prices - BGR</v>
      </c>
      <c r="D60" t="str">
        <f>IFERROR(__xludf.DUMMYFUNCTION("""COMPUTED_VALUE"""),"feedfeeder")</f>
        <v>feedfeeder</v>
      </c>
      <c r="E60" t="str">
        <f>IFERROR(__xludf.DUMMYFUNCTION("""COMPUTED_VALUE"""),"Apple Watch Series 4 Labor Day sale brings back Prime Day?s low pricesBGR Best smartphone deals for Labor Day: Apple iPhone Google Pixel and SamsungDigital Trends Apple Watch Series 5: Everything you need to know about Apple?s next smartwatchDigital Trend"&amp;"s ?")</f>
        <v>Apple Watch Series 4 Labor Day sale brings back Prime Day?s low pricesBGR Best smartphone deals for Labor Day: Apple iPhone Google Pixel and SamsungDigital Trends Apple Watch Series 5: Everything you need to know about Apple?s next smartwatchDigital Trends ?</v>
      </c>
      <c r="F60" s="16" t="str">
        <f>IFERROR(__xludf.DUMMYFUNCTION("""COMPUTED_VALUE"""),"https://slashdot.org/firehose.pl?op=view&amp;amp;id=114724832")</f>
        <v>https://slashdot.org/firehose.pl?op=view&amp;amp;id=114724832</v>
      </c>
      <c r="G60" s="16" t="str">
        <f>IFERROR(__xludf.DUMMYFUNCTION("""COMPUTED_VALUE"""),"Slashdot.org")</f>
        <v>Slashdot.org</v>
      </c>
      <c r="H60" t="str">
        <f>IFERROR(__xludf.DUMMYFUNCTION("""COMPUTED_VALUE"""),"2019-08-29T20:33:36Z")</f>
        <v>2019-08-29T20:33:36Z</v>
      </c>
      <c r="I60" t="str">
        <f>IFERROR(__xludf.DUMMYFUNCTION("""COMPUTED_VALUE"""),"Technology")</f>
        <v>Technology</v>
      </c>
      <c r="J60" t="str">
        <f>IFERROR(__xludf.DUMMYFUNCTION("""COMPUTED_VALUE"""),"Retail")</f>
        <v>Retail</v>
      </c>
      <c r="K60" t="str">
        <f>IFERROR(__xludf.DUMMYFUNCTION("""COMPUTED_VALUE"""),"Google/ Labor Day Apple")</f>
        <v>Google/ Labor Day Apple</v>
      </c>
      <c r="L60" t="str">
        <f>IFERROR(__xludf.DUMMYFUNCTION("""COMPUTED_VALUE"""),"-")</f>
        <v>-</v>
      </c>
      <c r="M60" t="str">
        <f>IFERROR(__xludf.DUMMYFUNCTION("""COMPUTED_VALUE"""),"-")</f>
        <v>-</v>
      </c>
      <c r="N60">
        <f>IFERROR(__xludf.DUMMYFUNCTION("""COMPUTED_VALUE"""),0.25)</f>
        <v>0.25</v>
      </c>
    </row>
    <row r="61">
      <c r="A61" t="str">
        <f>IFERROR(__xludf.DUMMYFUNCTION("""COMPUTED_VALUE"""),"AAPL")</f>
        <v>AAPL</v>
      </c>
      <c r="B61" t="str">
        <f>IFERROR(__xludf.DUMMYFUNCTION("""COMPUTED_VALUE"""),"AAPL")</f>
        <v>AAPL</v>
      </c>
      <c r="C61" t="str">
        <f>IFERROR(__xludf.DUMMYFUNCTION("""COMPUTED_VALUE"""),"Best Buy Student Deals | Over 20% Off Apple iPads &amp; MacBooks")</f>
        <v>Best Buy Student Deals | Over 20% Off Apple iPads &amp; MacBooks</v>
      </c>
      <c r="D61" t="str">
        <f>IFERROR(__xludf.DUMMYFUNCTION("""COMPUTED_VALUE"""),"Alana (Hip Sidekick)")</f>
        <v>Alana (Hip Sidekick)</v>
      </c>
      <c r="E61" t="str">
        <f>IFERROR(__xludf.DUMMYFUNCTION("""COMPUTED_VALUE"""),"Head to Best Buy by September 2nd and take advantage of a Labor Day Sale! You can score rare discounts on Apple iPads and MacBooks!")</f>
        <v>Head to Best Buy by September 2nd and take advantage of a Labor Day Sale! You can score rare discounts on Apple iPads and MacBooks!</v>
      </c>
      <c r="F61" s="16" t="str">
        <f>IFERROR(__xludf.DUMMYFUNCTION("""COMPUTED_VALUE"""),"https://hip2save.com/2019/08/29/best-buy-student-deals-over-20-off-apple-ipads-macbooks/")</f>
        <v>https://hip2save.com/2019/08/29/best-buy-student-deals-over-20-off-apple-ipads-macbooks/</v>
      </c>
      <c r="G61" s="16" t="str">
        <f>IFERROR(__xludf.DUMMYFUNCTION("""COMPUTED_VALUE"""),"Hip2save.com")</f>
        <v>Hip2save.com</v>
      </c>
      <c r="H61" t="str">
        <f>IFERROR(__xludf.DUMMYFUNCTION("""COMPUTED_VALUE"""),"2019-08-29T20:46:44Z")</f>
        <v>2019-08-29T20:46:44Z</v>
      </c>
      <c r="I61" t="str">
        <f>IFERROR(__xludf.DUMMYFUNCTION("""COMPUTED_VALUE"""),"Technology")</f>
        <v>Technology</v>
      </c>
      <c r="J61" t="str">
        <f>IFERROR(__xludf.DUMMYFUNCTION("""COMPUTED_VALUE"""),"-")</f>
        <v>-</v>
      </c>
      <c r="K61" t="str">
        <f>IFERROR(__xludf.DUMMYFUNCTION("""COMPUTED_VALUE"""),"-")</f>
        <v>-</v>
      </c>
      <c r="L61" t="str">
        <f>IFERROR(__xludf.DUMMYFUNCTION("""COMPUTED_VALUE"""),"-")</f>
        <v>-</v>
      </c>
      <c r="M61" t="str">
        <f>IFERROR(__xludf.DUMMYFUNCTION("""COMPUTED_VALUE"""),"-")</f>
        <v>-</v>
      </c>
      <c r="N61">
        <f>IFERROR(__xludf.DUMMYFUNCTION("""COMPUTED_VALUE"""),0.9)</f>
        <v>0.9</v>
      </c>
    </row>
    <row r="62">
      <c r="A62" t="str">
        <f>IFERROR(__xludf.DUMMYFUNCTION("""COMPUTED_VALUE"""),"AAPL")</f>
        <v>AAPL</v>
      </c>
      <c r="B62" t="str">
        <f>IFERROR(__xludf.DUMMYFUNCTION("""COMPUTED_VALUE"""),"AAPL")</f>
        <v>AAPL</v>
      </c>
      <c r="C62" t="str">
        <f>IFERROR(__xludf.DUMMYFUNCTION("""COMPUTED_VALUE"""),"Disney is leading the charge against Netflix by returning to weekly episode releases")</f>
        <v>Disney is leading the charge against Netflix by returning to weekly episode releases</v>
      </c>
      <c r="D62" t="str">
        <f>IFERROR(__xludf.DUMMYFUNCTION("""COMPUTED_VALUE"""),"Julia Alexander")</f>
        <v>Julia Alexander</v>
      </c>
      <c r="E62" t="str">
        <f>IFERROR(__xludf.DUMMYFUNCTION("""COMPUTED_VALUE"""),"Netflix defined binge culture by releasing entire seasons of its shows at once reinventing how people consume TV. But powerhouses like Disney Apple and Hulu are looking to change the game again by releasing high-profile shows like The Mandalorian Loki an?")</f>
        <v>Netflix defined binge culture by releasing entire seasons of its shows at once reinventing how people consume TV. But powerhouses like Disney Apple and Hulu are looking to change the game again by releasing high-profile shows like The Mandalorian Loki an?</v>
      </c>
      <c r="F62" s="16" t="str">
        <f>IFERROR(__xludf.DUMMYFUNCTION("""COMPUTED_VALUE"""),"https://www.theverge.com/2019/8/29/20831410/disney-plus-apple-hulu-netflix-binge-episodes-full-season-drop-vs-weekly-release-streaming-model")</f>
        <v>https://www.theverge.com/2019/8/29/20831410/disney-plus-apple-hulu-netflix-binge-episodes-full-season-drop-vs-weekly-release-streaming-model</v>
      </c>
      <c r="G62" t="str">
        <f>IFERROR(__xludf.DUMMYFUNCTION("""COMPUTED_VALUE"""),"The Verge")</f>
        <v>The Verge</v>
      </c>
      <c r="H62" t="str">
        <f>IFERROR(__xludf.DUMMYFUNCTION("""COMPUTED_VALUE"""),"2019-08-29T20:47:23Z")</f>
        <v>2019-08-29T20:47:23Z</v>
      </c>
      <c r="I62" t="str">
        <f>IFERROR(__xludf.DUMMYFUNCTION("""COMPUTED_VALUE"""),"Technology")</f>
        <v>Technology</v>
      </c>
      <c r="J62" t="str">
        <f>IFERROR(__xludf.DUMMYFUNCTION("""COMPUTED_VALUE"""),"Media")</f>
        <v>Media</v>
      </c>
      <c r="K62" t="str">
        <f>IFERROR(__xludf.DUMMYFUNCTION("""COMPUTED_VALUE"""),"Netflix/ Apple/ Hulu/ Disney")</f>
        <v>Netflix/ Apple/ Hulu/ Disney</v>
      </c>
      <c r="L62" t="str">
        <f>IFERROR(__xludf.DUMMYFUNCTION("""COMPUTED_VALUE"""),"-")</f>
        <v>-</v>
      </c>
      <c r="M62" t="str">
        <f>IFERROR(__xludf.DUMMYFUNCTION("""COMPUTED_VALUE"""),"-")</f>
        <v>-</v>
      </c>
      <c r="N62">
        <f>IFERROR(__xludf.DUMMYFUNCTION("""COMPUTED_VALUE"""),0.61)</f>
        <v>0.61</v>
      </c>
    </row>
  </sheetData>
  <mergeCells count="2">
    <mergeCell ref="A1:G3"/>
    <mergeCell ref="A4:G4"/>
  </mergeCells>
  <hyperlinks>
    <hyperlink r:id="rId1" ref="A6"/>
    <hyperlink r:id="rId2" ref="F13"/>
    <hyperlink r:id="rId3" ref="G13"/>
    <hyperlink r:id="rId4" ref="F14"/>
    <hyperlink r:id="rId5" ref="G14"/>
    <hyperlink r:id="rId6" ref="F15"/>
    <hyperlink r:id="rId7" ref="G15"/>
    <hyperlink r:id="rId8" ref="F16"/>
    <hyperlink r:id="rId9" ref="G16"/>
    <hyperlink r:id="rId10" ref="F17"/>
    <hyperlink r:id="rId11" ref="G17"/>
    <hyperlink r:id="rId12" ref="F18"/>
    <hyperlink r:id="rId13" ref="F19"/>
    <hyperlink r:id="rId14" ref="D20"/>
    <hyperlink r:id="rId15" ref="F20"/>
    <hyperlink r:id="rId16" ref="G20"/>
    <hyperlink r:id="rId17" ref="F21"/>
    <hyperlink r:id="rId18" ref="G21"/>
    <hyperlink r:id="rId19" ref="F22"/>
    <hyperlink r:id="rId20" ref="G22"/>
    <hyperlink r:id="rId21" ref="F23"/>
    <hyperlink r:id="rId22" ref="G23"/>
    <hyperlink r:id="rId23" ref="F24"/>
    <hyperlink r:id="rId24" ref="G24"/>
    <hyperlink r:id="rId25" ref="F25"/>
    <hyperlink r:id="rId26" ref="G25"/>
    <hyperlink r:id="rId27" ref="F26"/>
    <hyperlink r:id="rId28" ref="G26"/>
    <hyperlink r:id="rId29" ref="F27"/>
    <hyperlink r:id="rId30" ref="G27"/>
    <hyperlink r:id="rId31" ref="F28"/>
    <hyperlink r:id="rId32" ref="G28"/>
    <hyperlink r:id="rId33" ref="F29"/>
    <hyperlink r:id="rId34" ref="G29"/>
    <hyperlink r:id="rId35" ref="F30"/>
    <hyperlink r:id="rId36" ref="G30"/>
    <hyperlink r:id="rId37" ref="F31"/>
    <hyperlink r:id="rId38" ref="G31"/>
    <hyperlink r:id="rId39" ref="F32"/>
    <hyperlink r:id="rId40" ref="G32"/>
    <hyperlink r:id="rId41" ref="F33"/>
    <hyperlink r:id="rId42" ref="G33"/>
    <hyperlink r:id="rId43" ref="F34"/>
    <hyperlink r:id="rId44" ref="G34"/>
    <hyperlink r:id="rId45" ref="D35"/>
    <hyperlink r:id="rId46" ref="F35"/>
    <hyperlink r:id="rId47" ref="G35"/>
    <hyperlink r:id="rId48" ref="F36"/>
    <hyperlink r:id="rId49" ref="G36"/>
    <hyperlink r:id="rId50" ref="F37"/>
    <hyperlink r:id="rId51" ref="G37"/>
    <hyperlink r:id="rId52" ref="F38"/>
    <hyperlink r:id="rId53" ref="G38"/>
    <hyperlink r:id="rId54" ref="F39"/>
    <hyperlink r:id="rId55" ref="G39"/>
    <hyperlink r:id="rId56" ref="F40"/>
    <hyperlink r:id="rId57" ref="G40"/>
    <hyperlink r:id="rId58" ref="F41"/>
    <hyperlink r:id="rId59" ref="G41"/>
    <hyperlink r:id="rId60" ref="F42"/>
    <hyperlink r:id="rId61" ref="G42"/>
    <hyperlink r:id="rId62" ref="F43"/>
    <hyperlink r:id="rId63" ref="G43"/>
    <hyperlink r:id="rId64" ref="F44"/>
    <hyperlink r:id="rId65" ref="F45"/>
    <hyperlink r:id="rId66" ref="G45"/>
    <hyperlink r:id="rId67" ref="F46"/>
    <hyperlink r:id="rId68" ref="F47"/>
    <hyperlink r:id="rId69" ref="G47"/>
    <hyperlink r:id="rId70" ref="F48"/>
    <hyperlink r:id="rId71" ref="G48"/>
    <hyperlink r:id="rId72" ref="F49"/>
    <hyperlink r:id="rId73" ref="G49"/>
    <hyperlink r:id="rId74" ref="F50"/>
    <hyperlink r:id="rId75" ref="G50"/>
    <hyperlink r:id="rId76" ref="F51"/>
    <hyperlink r:id="rId77" ref="G51"/>
    <hyperlink r:id="rId78" ref="F52"/>
    <hyperlink r:id="rId79" ref="G52"/>
    <hyperlink r:id="rId80" ref="F53"/>
    <hyperlink r:id="rId81" ref="G53"/>
    <hyperlink r:id="rId82" ref="F54"/>
    <hyperlink r:id="rId83" ref="G54"/>
    <hyperlink r:id="rId84" ref="F55"/>
    <hyperlink r:id="rId85" ref="F56"/>
    <hyperlink r:id="rId86" ref="G56"/>
    <hyperlink r:id="rId87" ref="F57"/>
    <hyperlink r:id="rId88" ref="G57"/>
    <hyperlink r:id="rId89" ref="F58"/>
    <hyperlink r:id="rId90" ref="G58"/>
    <hyperlink r:id="rId91" ref="F59"/>
    <hyperlink r:id="rId92" ref="G59"/>
    <hyperlink r:id="rId93" ref="F60"/>
    <hyperlink r:id="rId94" ref="G60"/>
    <hyperlink r:id="rId95" ref="F61"/>
    <hyperlink r:id="rId96" ref="G61"/>
    <hyperlink r:id="rId97" ref="F62"/>
  </hyperlinks>
  <drawing r:id="rId9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A4" s="1" t="s">
        <v>18</v>
      </c>
    </row>
    <row r="5">
      <c r="A5" s="2" t="s">
        <v>19</v>
      </c>
      <c r="F5" s="6"/>
    </row>
    <row r="6">
      <c r="F6" s="6"/>
    </row>
    <row r="7">
      <c r="A7" s="3" t="s">
        <v>20</v>
      </c>
      <c r="F7" s="6"/>
    </row>
    <row r="8">
      <c r="A8" s="4" t="s">
        <v>21</v>
      </c>
      <c r="B8" s="5"/>
      <c r="C8" s="5"/>
      <c r="D8" s="5"/>
      <c r="E8" s="5"/>
      <c r="F8" s="17"/>
      <c r="G8" s="5"/>
      <c r="H8" s="5"/>
      <c r="I8" s="5"/>
      <c r="J8" s="5"/>
      <c r="K8" s="5"/>
      <c r="L8" s="5"/>
    </row>
    <row r="9">
      <c r="F9" s="6"/>
    </row>
    <row r="10">
      <c r="A10" s="6" t="str">
        <f>IFERROR(__xludf.DUMMYFUNCTION("importdata(""https://api.unibit.ai/v2/stock/realtime/?tickers=aapl&amp;startDate=2020-01-30&amp;endDate=2020-01-30&amp;startMinute=09:30:00&amp;endMinute=12:30:00&amp;size=500&amp;dataType=csv&amp;accessKey=demo"")"),"ticker")</f>
        <v>ticker</v>
      </c>
      <c r="B10" s="6" t="str">
        <f>IFERROR(__xludf.DUMMYFUNCTION("""COMPUTED_VALUE"""),"date")</f>
        <v>date</v>
      </c>
      <c r="C10" s="18" t="str">
        <f>IFERROR(__xludf.DUMMYFUNCTION("""COMPUTED_VALUE"""),"minute")</f>
        <v>minute</v>
      </c>
      <c r="D10" s="6" t="str">
        <f>IFERROR(__xludf.DUMMYFUNCTION("""COMPUTED_VALUE"""),"price")</f>
        <v>price</v>
      </c>
      <c r="E10" s="6" t="str">
        <f>IFERROR(__xludf.DUMMYFUNCTION("""COMPUTED_VALUE"""),"volume")</f>
        <v>volume</v>
      </c>
      <c r="F10" s="6" t="str">
        <f>IFERROR(__xludf.DUMMYFUNCTION("""COMPUTED_VALUE"""),"timezone")</f>
        <v>timezone</v>
      </c>
      <c r="G10" s="6" t="str">
        <f>IFERROR(__xludf.DUMMYFUNCTION("""COMPUTED_VALUE"""),"gmt offset")</f>
        <v>gmt offset</v>
      </c>
      <c r="H10" s="6"/>
      <c r="I10" s="6"/>
      <c r="J10" s="6"/>
      <c r="K10" s="6"/>
      <c r="L10" s="6"/>
      <c r="M10" s="6"/>
      <c r="N10" s="6"/>
      <c r="O10" s="6"/>
      <c r="P10" s="6"/>
      <c r="Q10" s="6"/>
      <c r="R10" s="6"/>
      <c r="S10" s="6"/>
      <c r="T10" s="6"/>
      <c r="U10" s="6"/>
      <c r="V10" s="6"/>
      <c r="W10" s="6"/>
      <c r="X10" s="6"/>
      <c r="Y10" s="6"/>
      <c r="Z10" s="6"/>
    </row>
    <row r="11">
      <c r="A11" s="6" t="str">
        <f>IFERROR(__xludf.DUMMYFUNCTION("""COMPUTED_VALUE"""),"AAPL")</f>
        <v>AAPL</v>
      </c>
      <c r="B11">
        <f>IFERROR(__xludf.DUMMYFUNCTION("""COMPUTED_VALUE"""),2.020013E7)</f>
        <v>20200130</v>
      </c>
      <c r="C11" s="19">
        <f>IFERROR(__xludf.DUMMYFUNCTION("""COMPUTED_VALUE"""),0.520162037037037)</f>
        <v>0.520162037</v>
      </c>
      <c r="D11">
        <f>IFERROR(__xludf.DUMMYFUNCTION("""COMPUTED_VALUE"""),321.05)</f>
        <v>321.05</v>
      </c>
      <c r="E11">
        <f>IFERROR(__xludf.DUMMYFUNCTION("""COMPUTED_VALUE"""),1.7278065E7)</f>
        <v>17278065</v>
      </c>
      <c r="F11" s="6" t="str">
        <f>IFERROR(__xludf.DUMMYFUNCTION("""COMPUTED_VALUE"""),"EST")</f>
        <v>EST</v>
      </c>
      <c r="G11">
        <f>IFERROR(__xludf.DUMMYFUNCTION("""COMPUTED_VALUE"""),-18000.0)</f>
        <v>-18000</v>
      </c>
    </row>
    <row r="12">
      <c r="A12" s="6" t="str">
        <f>IFERROR(__xludf.DUMMYFUNCTION("""COMPUTED_VALUE"""),"AAPL")</f>
        <v>AAPL</v>
      </c>
      <c r="B12">
        <f>IFERROR(__xludf.DUMMYFUNCTION("""COMPUTED_VALUE"""),2.020013E7)</f>
        <v>20200130</v>
      </c>
      <c r="C12" s="19">
        <f>IFERROR(__xludf.DUMMYFUNCTION("""COMPUTED_VALUE"""),0.5197337962962963)</f>
        <v>0.5197337963</v>
      </c>
      <c r="D12">
        <f>IFERROR(__xludf.DUMMYFUNCTION("""COMPUTED_VALUE"""),321.16)</f>
        <v>321.16</v>
      </c>
      <c r="E12">
        <f>IFERROR(__xludf.DUMMYFUNCTION("""COMPUTED_VALUE"""),1.7175647E7)</f>
        <v>17175647</v>
      </c>
      <c r="F12" s="6" t="str">
        <f>IFERROR(__xludf.DUMMYFUNCTION("""COMPUTED_VALUE"""),"EST")</f>
        <v>EST</v>
      </c>
      <c r="G12">
        <f>IFERROR(__xludf.DUMMYFUNCTION("""COMPUTED_VALUE"""),-18000.0)</f>
        <v>-18000</v>
      </c>
    </row>
    <row r="13">
      <c r="A13" s="6" t="str">
        <f>IFERROR(__xludf.DUMMYFUNCTION("""COMPUTED_VALUE"""),"AAPL")</f>
        <v>AAPL</v>
      </c>
      <c r="B13">
        <f>IFERROR(__xludf.DUMMYFUNCTION("""COMPUTED_VALUE"""),2.020013E7)</f>
        <v>20200130</v>
      </c>
      <c r="C13" s="19">
        <f>IFERROR(__xludf.DUMMYFUNCTION("""COMPUTED_VALUE"""),0.5187962962962963)</f>
        <v>0.5187962963</v>
      </c>
      <c r="D13">
        <f>IFERROR(__xludf.DUMMYFUNCTION("""COMPUTED_VALUE"""),321.52)</f>
        <v>321.52</v>
      </c>
      <c r="E13">
        <f>IFERROR(__xludf.DUMMYFUNCTION("""COMPUTED_VALUE"""),1.7134062E7)</f>
        <v>17134062</v>
      </c>
      <c r="F13" s="6" t="str">
        <f>IFERROR(__xludf.DUMMYFUNCTION("""COMPUTED_VALUE"""),"EST")</f>
        <v>EST</v>
      </c>
      <c r="G13">
        <f>IFERROR(__xludf.DUMMYFUNCTION("""COMPUTED_VALUE"""),-18000.0)</f>
        <v>-18000</v>
      </c>
    </row>
    <row r="14">
      <c r="A14" s="6" t="str">
        <f>IFERROR(__xludf.DUMMYFUNCTION("""COMPUTED_VALUE"""),"AAPL")</f>
        <v>AAPL</v>
      </c>
      <c r="B14">
        <f>IFERROR(__xludf.DUMMYFUNCTION("""COMPUTED_VALUE"""),2.020013E7)</f>
        <v>20200130</v>
      </c>
      <c r="C14" s="19">
        <f>IFERROR(__xludf.DUMMYFUNCTION("""COMPUTED_VALUE"""),0.5181018518518519)</f>
        <v>0.5181018519</v>
      </c>
      <c r="D14">
        <f>IFERROR(__xludf.DUMMYFUNCTION("""COMPUTED_VALUE"""),321.71)</f>
        <v>321.71</v>
      </c>
      <c r="E14">
        <f>IFERROR(__xludf.DUMMYFUNCTION("""COMPUTED_VALUE"""),1.7104133E7)</f>
        <v>17104133</v>
      </c>
      <c r="F14" s="6" t="str">
        <f>IFERROR(__xludf.DUMMYFUNCTION("""COMPUTED_VALUE"""),"EST")</f>
        <v>EST</v>
      </c>
      <c r="G14">
        <f>IFERROR(__xludf.DUMMYFUNCTION("""COMPUTED_VALUE"""),-18000.0)</f>
        <v>-18000</v>
      </c>
    </row>
    <row r="15">
      <c r="A15" s="6" t="str">
        <f>IFERROR(__xludf.DUMMYFUNCTION("""COMPUTED_VALUE"""),"AAPL")</f>
        <v>AAPL</v>
      </c>
      <c r="B15">
        <f>IFERROR(__xludf.DUMMYFUNCTION("""COMPUTED_VALUE"""),2.020013E7)</f>
        <v>20200130</v>
      </c>
      <c r="C15" s="19">
        <f>IFERROR(__xludf.DUMMYFUNCTION("""COMPUTED_VALUE"""),0.516724537037037)</f>
        <v>0.516724537</v>
      </c>
      <c r="D15">
        <f>IFERROR(__xludf.DUMMYFUNCTION("""COMPUTED_VALUE"""),321.79)</f>
        <v>321.79</v>
      </c>
      <c r="E15">
        <f>IFERROR(__xludf.DUMMYFUNCTION("""COMPUTED_VALUE"""),1.7072847E7)</f>
        <v>17072847</v>
      </c>
      <c r="F15" s="6" t="str">
        <f>IFERROR(__xludf.DUMMYFUNCTION("""COMPUTED_VALUE"""),"EST")</f>
        <v>EST</v>
      </c>
      <c r="G15">
        <f>IFERROR(__xludf.DUMMYFUNCTION("""COMPUTED_VALUE"""),-18000.0)</f>
        <v>-18000</v>
      </c>
    </row>
    <row r="16">
      <c r="A16" s="6" t="str">
        <f>IFERROR(__xludf.DUMMYFUNCTION("""COMPUTED_VALUE"""),"AAPL")</f>
        <v>AAPL</v>
      </c>
      <c r="B16">
        <f>IFERROR(__xludf.DUMMYFUNCTION("""COMPUTED_VALUE"""),2.020013E7)</f>
        <v>20200130</v>
      </c>
      <c r="C16" s="19">
        <f>IFERROR(__xludf.DUMMYFUNCTION("""COMPUTED_VALUE"""),0.5162731481481482)</f>
        <v>0.5162731481</v>
      </c>
      <c r="D16">
        <f>IFERROR(__xludf.DUMMYFUNCTION("""COMPUTED_VALUE"""),321.67)</f>
        <v>321.67</v>
      </c>
      <c r="E16">
        <f>IFERROR(__xludf.DUMMYFUNCTION("""COMPUTED_VALUE"""),1.7053862E7)</f>
        <v>17053862</v>
      </c>
      <c r="F16" s="6" t="str">
        <f>IFERROR(__xludf.DUMMYFUNCTION("""COMPUTED_VALUE"""),"EST")</f>
        <v>EST</v>
      </c>
      <c r="G16">
        <f>IFERROR(__xludf.DUMMYFUNCTION("""COMPUTED_VALUE"""),-18000.0)</f>
        <v>-18000</v>
      </c>
    </row>
    <row r="17">
      <c r="A17" s="6" t="str">
        <f>IFERROR(__xludf.DUMMYFUNCTION("""COMPUTED_VALUE"""),"AAPL")</f>
        <v>AAPL</v>
      </c>
      <c r="B17">
        <f>IFERROR(__xludf.DUMMYFUNCTION("""COMPUTED_VALUE"""),2.020013E7)</f>
        <v>20200130</v>
      </c>
      <c r="C17" s="19">
        <f>IFERROR(__xludf.DUMMYFUNCTION("""COMPUTED_VALUE"""),0.5153240740740741)</f>
        <v>0.5153240741</v>
      </c>
      <c r="D17">
        <f>IFERROR(__xludf.DUMMYFUNCTION("""COMPUTED_VALUE"""),321.76)</f>
        <v>321.76</v>
      </c>
      <c r="E17">
        <f>IFERROR(__xludf.DUMMYFUNCTION("""COMPUTED_VALUE"""),1.7028598E7)</f>
        <v>17028598</v>
      </c>
      <c r="F17" s="6" t="str">
        <f>IFERROR(__xludf.DUMMYFUNCTION("""COMPUTED_VALUE"""),"EST")</f>
        <v>EST</v>
      </c>
      <c r="G17">
        <f>IFERROR(__xludf.DUMMYFUNCTION("""COMPUTED_VALUE"""),-18000.0)</f>
        <v>-18000</v>
      </c>
    </row>
    <row r="18">
      <c r="A18" s="6" t="str">
        <f>IFERROR(__xludf.DUMMYFUNCTION("""COMPUTED_VALUE"""),"AAPL")</f>
        <v>AAPL</v>
      </c>
      <c r="B18">
        <f>IFERROR(__xludf.DUMMYFUNCTION("""COMPUTED_VALUE"""),2.020013E7)</f>
        <v>20200130</v>
      </c>
      <c r="C18" s="19">
        <f>IFERROR(__xludf.DUMMYFUNCTION("""COMPUTED_VALUE"""),0.5146180555555555)</f>
        <v>0.5146180556</v>
      </c>
      <c r="D18">
        <f>IFERROR(__xludf.DUMMYFUNCTION("""COMPUTED_VALUE"""),321.86)</f>
        <v>321.86</v>
      </c>
      <c r="E18">
        <f>IFERROR(__xludf.DUMMYFUNCTION("""COMPUTED_VALUE"""),1.6971467E7)</f>
        <v>16971467</v>
      </c>
      <c r="F18" s="6" t="str">
        <f>IFERROR(__xludf.DUMMYFUNCTION("""COMPUTED_VALUE"""),"EST")</f>
        <v>EST</v>
      </c>
      <c r="G18">
        <f>IFERROR(__xludf.DUMMYFUNCTION("""COMPUTED_VALUE"""),-18000.0)</f>
        <v>-18000</v>
      </c>
    </row>
    <row r="19">
      <c r="A19" s="6" t="str">
        <f>IFERROR(__xludf.DUMMYFUNCTION("""COMPUTED_VALUE"""),"AAPL")</f>
        <v>AAPL</v>
      </c>
      <c r="B19">
        <f>IFERROR(__xludf.DUMMYFUNCTION("""COMPUTED_VALUE"""),2.020013E7)</f>
        <v>20200130</v>
      </c>
      <c r="C19" s="19">
        <f>IFERROR(__xludf.DUMMYFUNCTION("""COMPUTED_VALUE"""),0.5132175925925926)</f>
        <v>0.5132175926</v>
      </c>
      <c r="D19">
        <f>IFERROR(__xludf.DUMMYFUNCTION("""COMPUTED_VALUE"""),321.59)</f>
        <v>321.59</v>
      </c>
      <c r="E19">
        <f>IFERROR(__xludf.DUMMYFUNCTION("""COMPUTED_VALUE"""),1.6874848E7)</f>
        <v>16874848</v>
      </c>
      <c r="F19" s="6" t="str">
        <f>IFERROR(__xludf.DUMMYFUNCTION("""COMPUTED_VALUE"""),"EST")</f>
        <v>EST</v>
      </c>
      <c r="G19">
        <f>IFERROR(__xludf.DUMMYFUNCTION("""COMPUTED_VALUE"""),-18000.0)</f>
        <v>-18000</v>
      </c>
    </row>
    <row r="20">
      <c r="A20" s="6" t="str">
        <f>IFERROR(__xludf.DUMMYFUNCTION("""COMPUTED_VALUE"""),"AAPL")</f>
        <v>AAPL</v>
      </c>
      <c r="B20">
        <f>IFERROR(__xludf.DUMMYFUNCTION("""COMPUTED_VALUE"""),2.020013E7)</f>
        <v>20200130</v>
      </c>
      <c r="C20" s="19">
        <f>IFERROR(__xludf.DUMMYFUNCTION("""COMPUTED_VALUE"""),0.5128356481481482)</f>
        <v>0.5128356481</v>
      </c>
      <c r="D20">
        <f>IFERROR(__xludf.DUMMYFUNCTION("""COMPUTED_VALUE"""),321.44)</f>
        <v>321.44</v>
      </c>
      <c r="E20">
        <f>IFERROR(__xludf.DUMMYFUNCTION("""COMPUTED_VALUE"""),1.6848069E7)</f>
        <v>16848069</v>
      </c>
      <c r="F20" s="6" t="str">
        <f>IFERROR(__xludf.DUMMYFUNCTION("""COMPUTED_VALUE"""),"EST")</f>
        <v>EST</v>
      </c>
      <c r="G20">
        <f>IFERROR(__xludf.DUMMYFUNCTION("""COMPUTED_VALUE"""),-18000.0)</f>
        <v>-18000</v>
      </c>
    </row>
    <row r="21">
      <c r="A21" s="6" t="str">
        <f>IFERROR(__xludf.DUMMYFUNCTION("""COMPUTED_VALUE"""),"AAPL")</f>
        <v>AAPL</v>
      </c>
      <c r="B21">
        <f>IFERROR(__xludf.DUMMYFUNCTION("""COMPUTED_VALUE"""),2.020013E7)</f>
        <v>20200130</v>
      </c>
      <c r="C21" s="19">
        <f>IFERROR(__xludf.DUMMYFUNCTION("""COMPUTED_VALUE"""),0.5118055555555555)</f>
        <v>0.5118055556</v>
      </c>
      <c r="D21">
        <f>IFERROR(__xludf.DUMMYFUNCTION("""COMPUTED_VALUE"""),321.37)</f>
        <v>321.37</v>
      </c>
      <c r="E21">
        <f>IFERROR(__xludf.DUMMYFUNCTION("""COMPUTED_VALUE"""),1.6800688E7)</f>
        <v>16800688</v>
      </c>
      <c r="F21" s="6" t="str">
        <f>IFERROR(__xludf.DUMMYFUNCTION("""COMPUTED_VALUE"""),"EST")</f>
        <v>EST</v>
      </c>
      <c r="G21">
        <f>IFERROR(__xludf.DUMMYFUNCTION("""COMPUTED_VALUE"""),-18000.0)</f>
        <v>-18000</v>
      </c>
    </row>
    <row r="22">
      <c r="A22" s="6" t="str">
        <f>IFERROR(__xludf.DUMMYFUNCTION("""COMPUTED_VALUE"""),"AAPL")</f>
        <v>AAPL</v>
      </c>
      <c r="B22">
        <f>IFERROR(__xludf.DUMMYFUNCTION("""COMPUTED_VALUE"""),2.020013E7)</f>
        <v>20200130</v>
      </c>
      <c r="C22" s="19">
        <f>IFERROR(__xludf.DUMMYFUNCTION("""COMPUTED_VALUE"""),0.5111342592592593)</f>
        <v>0.5111342593</v>
      </c>
      <c r="D22">
        <f>IFERROR(__xludf.DUMMYFUNCTION("""COMPUTED_VALUE"""),321.45)</f>
        <v>321.45</v>
      </c>
      <c r="E22">
        <f>IFERROR(__xludf.DUMMYFUNCTION("""COMPUTED_VALUE"""),1.6767252E7)</f>
        <v>16767252</v>
      </c>
      <c r="F22" s="6" t="str">
        <f>IFERROR(__xludf.DUMMYFUNCTION("""COMPUTED_VALUE"""),"EST")</f>
        <v>EST</v>
      </c>
      <c r="G22">
        <f>IFERROR(__xludf.DUMMYFUNCTION("""COMPUTED_VALUE"""),-18000.0)</f>
        <v>-18000</v>
      </c>
    </row>
    <row r="23">
      <c r="A23" s="6" t="str">
        <f>IFERROR(__xludf.DUMMYFUNCTION("""COMPUTED_VALUE"""),"AAPL")</f>
        <v>AAPL</v>
      </c>
      <c r="B23">
        <f>IFERROR(__xludf.DUMMYFUNCTION("""COMPUTED_VALUE"""),2.020013E7)</f>
        <v>20200130</v>
      </c>
      <c r="C23" s="19">
        <f>IFERROR(__xludf.DUMMYFUNCTION("""COMPUTED_VALUE"""),0.5097569444444444)</f>
        <v>0.5097569444</v>
      </c>
      <c r="D23">
        <f>IFERROR(__xludf.DUMMYFUNCTION("""COMPUTED_VALUE"""),321.36)</f>
        <v>321.36</v>
      </c>
      <c r="E23">
        <f>IFERROR(__xludf.DUMMYFUNCTION("""COMPUTED_VALUE"""),1.6697899E7)</f>
        <v>16697899</v>
      </c>
      <c r="F23" s="6" t="str">
        <f>IFERROR(__xludf.DUMMYFUNCTION("""COMPUTED_VALUE"""),"EST")</f>
        <v>EST</v>
      </c>
      <c r="G23">
        <f>IFERROR(__xludf.DUMMYFUNCTION("""COMPUTED_VALUE"""),-18000.0)</f>
        <v>-18000</v>
      </c>
    </row>
    <row r="24">
      <c r="A24" s="6" t="str">
        <f>IFERROR(__xludf.DUMMYFUNCTION("""COMPUTED_VALUE"""),"AAPL")</f>
        <v>AAPL</v>
      </c>
      <c r="B24">
        <f>IFERROR(__xludf.DUMMYFUNCTION("""COMPUTED_VALUE"""),2.020013E7)</f>
        <v>20200130</v>
      </c>
      <c r="C24" s="19">
        <f>IFERROR(__xludf.DUMMYFUNCTION("""COMPUTED_VALUE"""),0.5094097222222222)</f>
        <v>0.5094097222</v>
      </c>
      <c r="D24">
        <f>IFERROR(__xludf.DUMMYFUNCTION("""COMPUTED_VALUE"""),321.3)</f>
        <v>321.3</v>
      </c>
      <c r="E24">
        <f>IFERROR(__xludf.DUMMYFUNCTION("""COMPUTED_VALUE"""),1.6681059E7)</f>
        <v>16681059</v>
      </c>
      <c r="F24" s="6" t="str">
        <f>IFERROR(__xludf.DUMMYFUNCTION("""COMPUTED_VALUE"""),"EST")</f>
        <v>EST</v>
      </c>
      <c r="G24">
        <f>IFERROR(__xludf.DUMMYFUNCTION("""COMPUTED_VALUE"""),-18000.0)</f>
        <v>-18000</v>
      </c>
    </row>
    <row r="25">
      <c r="A25" s="6" t="str">
        <f>IFERROR(__xludf.DUMMYFUNCTION("""COMPUTED_VALUE"""),"AAPL")</f>
        <v>AAPL</v>
      </c>
      <c r="B25">
        <f>IFERROR(__xludf.DUMMYFUNCTION("""COMPUTED_VALUE"""),2.020013E7)</f>
        <v>20200130</v>
      </c>
      <c r="C25" s="19">
        <f>IFERROR(__xludf.DUMMYFUNCTION("""COMPUTED_VALUE"""),0.5083564814814815)</f>
        <v>0.5083564815</v>
      </c>
      <c r="D25">
        <f>IFERROR(__xludf.DUMMYFUNCTION("""COMPUTED_VALUE"""),321.63)</f>
        <v>321.63</v>
      </c>
      <c r="E25">
        <f>IFERROR(__xludf.DUMMYFUNCTION("""COMPUTED_VALUE"""),1.6626446E7)</f>
        <v>16626446</v>
      </c>
      <c r="F25" s="6" t="str">
        <f>IFERROR(__xludf.DUMMYFUNCTION("""COMPUTED_VALUE"""),"EST")</f>
        <v>EST</v>
      </c>
      <c r="G25">
        <f>IFERROR(__xludf.DUMMYFUNCTION("""COMPUTED_VALUE"""),-18000.0)</f>
        <v>-18000</v>
      </c>
    </row>
    <row r="26">
      <c r="A26" s="6" t="str">
        <f>IFERROR(__xludf.DUMMYFUNCTION("""COMPUTED_VALUE"""),"AAPL")</f>
        <v>AAPL</v>
      </c>
      <c r="B26">
        <f>IFERROR(__xludf.DUMMYFUNCTION("""COMPUTED_VALUE"""),2.020013E7)</f>
        <v>20200130</v>
      </c>
      <c r="C26" s="19">
        <f>IFERROR(__xludf.DUMMYFUNCTION("""COMPUTED_VALUE"""),0.5081365740740741)</f>
        <v>0.5081365741</v>
      </c>
      <c r="D26">
        <f>IFERROR(__xludf.DUMMYFUNCTION("""COMPUTED_VALUE"""),321.56)</f>
        <v>321.56</v>
      </c>
      <c r="E26">
        <f>IFERROR(__xludf.DUMMYFUNCTION("""COMPUTED_VALUE"""),1.6616946E7)</f>
        <v>16616946</v>
      </c>
      <c r="F26" s="6" t="str">
        <f>IFERROR(__xludf.DUMMYFUNCTION("""COMPUTED_VALUE"""),"EST")</f>
        <v>EST</v>
      </c>
      <c r="G26">
        <f>IFERROR(__xludf.DUMMYFUNCTION("""COMPUTED_VALUE"""),-18000.0)</f>
        <v>-18000</v>
      </c>
    </row>
    <row r="27">
      <c r="A27" s="6" t="str">
        <f>IFERROR(__xludf.DUMMYFUNCTION("""COMPUTED_VALUE"""),"AAPL")</f>
        <v>AAPL</v>
      </c>
      <c r="B27">
        <f>IFERROR(__xludf.DUMMYFUNCTION("""COMPUTED_VALUE"""),2.020013E7)</f>
        <v>20200130</v>
      </c>
      <c r="C27" s="19">
        <f>IFERROR(__xludf.DUMMYFUNCTION("""COMPUTED_VALUE"""),0.5062847222222222)</f>
        <v>0.5062847222</v>
      </c>
      <c r="D27">
        <f>IFERROR(__xludf.DUMMYFUNCTION("""COMPUTED_VALUE"""),321.61)</f>
        <v>321.61</v>
      </c>
      <c r="E27">
        <f>IFERROR(__xludf.DUMMYFUNCTION("""COMPUTED_VALUE"""),1.6496516E7)</f>
        <v>16496516</v>
      </c>
      <c r="F27" s="6" t="str">
        <f>IFERROR(__xludf.DUMMYFUNCTION("""COMPUTED_VALUE"""),"EST")</f>
        <v>EST</v>
      </c>
      <c r="G27">
        <f>IFERROR(__xludf.DUMMYFUNCTION("""COMPUTED_VALUE"""),-18000.0)</f>
        <v>-18000</v>
      </c>
    </row>
    <row r="28">
      <c r="A28" s="6" t="str">
        <f>IFERROR(__xludf.DUMMYFUNCTION("""COMPUTED_VALUE"""),"AAPL")</f>
        <v>AAPL</v>
      </c>
      <c r="B28">
        <f>IFERROR(__xludf.DUMMYFUNCTION("""COMPUTED_VALUE"""),2.020013E7)</f>
        <v>20200130</v>
      </c>
      <c r="C28" s="19">
        <f>IFERROR(__xludf.DUMMYFUNCTION("""COMPUTED_VALUE"""),0.5055555555555555)</f>
        <v>0.5055555556</v>
      </c>
      <c r="D28">
        <f>IFERROR(__xludf.DUMMYFUNCTION("""COMPUTED_VALUE"""),321.73)</f>
        <v>321.73</v>
      </c>
      <c r="E28">
        <f>IFERROR(__xludf.DUMMYFUNCTION("""COMPUTED_VALUE"""),1.6451128E7)</f>
        <v>16451128</v>
      </c>
      <c r="F28" s="6" t="str">
        <f>IFERROR(__xludf.DUMMYFUNCTION("""COMPUTED_VALUE"""),"EST")</f>
        <v>EST</v>
      </c>
      <c r="G28">
        <f>IFERROR(__xludf.DUMMYFUNCTION("""COMPUTED_VALUE"""),-18000.0)</f>
        <v>-18000</v>
      </c>
    </row>
    <row r="29">
      <c r="A29" s="6" t="str">
        <f>IFERROR(__xludf.DUMMYFUNCTION("""COMPUTED_VALUE"""),"AAPL")</f>
        <v>AAPL</v>
      </c>
      <c r="B29">
        <f>IFERROR(__xludf.DUMMYFUNCTION("""COMPUTED_VALUE"""),2.020013E7)</f>
        <v>20200130</v>
      </c>
      <c r="C29" s="19">
        <f>IFERROR(__xludf.DUMMYFUNCTION("""COMPUTED_VALUE"""),0.5049189814814815)</f>
        <v>0.5049189815</v>
      </c>
      <c r="D29">
        <f>IFERROR(__xludf.DUMMYFUNCTION("""COMPUTED_VALUE"""),321.9)</f>
        <v>321.9</v>
      </c>
      <c r="E29">
        <f>IFERROR(__xludf.DUMMYFUNCTION("""COMPUTED_VALUE"""),1.6404228E7)</f>
        <v>16404228</v>
      </c>
      <c r="F29" s="6" t="str">
        <f>IFERROR(__xludf.DUMMYFUNCTION("""COMPUTED_VALUE"""),"EST")</f>
        <v>EST</v>
      </c>
      <c r="G29">
        <f>IFERROR(__xludf.DUMMYFUNCTION("""COMPUTED_VALUE"""),-18000.0)</f>
        <v>-18000</v>
      </c>
    </row>
    <row r="30">
      <c r="A30" s="6" t="str">
        <f>IFERROR(__xludf.DUMMYFUNCTION("""COMPUTED_VALUE"""),"AAPL")</f>
        <v>AAPL</v>
      </c>
      <c r="B30">
        <f>IFERROR(__xludf.DUMMYFUNCTION("""COMPUTED_VALUE"""),2.020013E7)</f>
        <v>20200130</v>
      </c>
      <c r="C30" s="19">
        <f>IFERROR(__xludf.DUMMYFUNCTION("""COMPUTED_VALUE"""),0.5042361111111111)</f>
        <v>0.5042361111</v>
      </c>
      <c r="D30">
        <f>IFERROR(__xludf.DUMMYFUNCTION("""COMPUTED_VALUE"""),321.9)</f>
        <v>321.9</v>
      </c>
      <c r="E30">
        <f>IFERROR(__xludf.DUMMYFUNCTION("""COMPUTED_VALUE"""),1.6375516E7)</f>
        <v>16375516</v>
      </c>
      <c r="F30" s="6" t="str">
        <f>IFERROR(__xludf.DUMMYFUNCTION("""COMPUTED_VALUE"""),"EST")</f>
        <v>EST</v>
      </c>
      <c r="G30">
        <f>IFERROR(__xludf.DUMMYFUNCTION("""COMPUTED_VALUE"""),-18000.0)</f>
        <v>-18000</v>
      </c>
    </row>
    <row r="31">
      <c r="A31" s="6" t="str">
        <f>IFERROR(__xludf.DUMMYFUNCTION("""COMPUTED_VALUE"""),"AAPL")</f>
        <v>AAPL</v>
      </c>
      <c r="B31">
        <f>IFERROR(__xludf.DUMMYFUNCTION("""COMPUTED_VALUE"""),2.020013E7)</f>
        <v>20200130</v>
      </c>
      <c r="C31" s="19">
        <f>IFERROR(__xludf.DUMMYFUNCTION("""COMPUTED_VALUE"""),0.5021180555555556)</f>
        <v>0.5021180556</v>
      </c>
      <c r="D31">
        <f>IFERROR(__xludf.DUMMYFUNCTION("""COMPUTED_VALUE"""),321.94)</f>
        <v>321.94</v>
      </c>
      <c r="E31">
        <f>IFERROR(__xludf.DUMMYFUNCTION("""COMPUTED_VALUE"""),1.6272033E7)</f>
        <v>16272033</v>
      </c>
      <c r="F31" s="6" t="str">
        <f>IFERROR(__xludf.DUMMYFUNCTION("""COMPUTED_VALUE"""),"EST")</f>
        <v>EST</v>
      </c>
      <c r="G31">
        <f>IFERROR(__xludf.DUMMYFUNCTION("""COMPUTED_VALUE"""),-18000.0)</f>
        <v>-18000</v>
      </c>
    </row>
    <row r="32">
      <c r="A32" s="6" t="str">
        <f>IFERROR(__xludf.DUMMYFUNCTION("""COMPUTED_VALUE"""),"AAPL")</f>
        <v>AAPL</v>
      </c>
      <c r="B32">
        <f>IFERROR(__xludf.DUMMYFUNCTION("""COMPUTED_VALUE"""),2.020013E7)</f>
        <v>20200130</v>
      </c>
      <c r="C32" s="19">
        <f>IFERROR(__xludf.DUMMYFUNCTION("""COMPUTED_VALUE"""),0.5014467592592593)</f>
        <v>0.5014467593</v>
      </c>
      <c r="D32">
        <f>IFERROR(__xludf.DUMMYFUNCTION("""COMPUTED_VALUE"""),322.02)</f>
        <v>322.02</v>
      </c>
      <c r="E32">
        <f>IFERROR(__xludf.DUMMYFUNCTION("""COMPUTED_VALUE"""),1.6233745E7)</f>
        <v>16233745</v>
      </c>
      <c r="F32" s="6" t="str">
        <f>IFERROR(__xludf.DUMMYFUNCTION("""COMPUTED_VALUE"""),"EST")</f>
        <v>EST</v>
      </c>
      <c r="G32">
        <f>IFERROR(__xludf.DUMMYFUNCTION("""COMPUTED_VALUE"""),-18000.0)</f>
        <v>-18000</v>
      </c>
    </row>
    <row r="33">
      <c r="A33" s="6" t="str">
        <f>IFERROR(__xludf.DUMMYFUNCTION("""COMPUTED_VALUE"""),"AAPL")</f>
        <v>AAPL</v>
      </c>
      <c r="B33">
        <f>IFERROR(__xludf.DUMMYFUNCTION("""COMPUTED_VALUE"""),2.020013E7)</f>
        <v>20200130</v>
      </c>
      <c r="C33" s="19">
        <f>IFERROR(__xludf.DUMMYFUNCTION("""COMPUTED_VALUE"""),0.5007291666666667)</f>
        <v>0.5007291667</v>
      </c>
      <c r="D33">
        <f>IFERROR(__xludf.DUMMYFUNCTION("""COMPUTED_VALUE"""),321.91)</f>
        <v>321.91</v>
      </c>
      <c r="E33">
        <f>IFERROR(__xludf.DUMMYFUNCTION("""COMPUTED_VALUE"""),1.6197685E7)</f>
        <v>16197685</v>
      </c>
      <c r="F33" s="6" t="str">
        <f>IFERROR(__xludf.DUMMYFUNCTION("""COMPUTED_VALUE"""),"EST")</f>
        <v>EST</v>
      </c>
      <c r="G33">
        <f>IFERROR(__xludf.DUMMYFUNCTION("""COMPUTED_VALUE"""),-18000.0)</f>
        <v>-18000</v>
      </c>
    </row>
    <row r="34">
      <c r="A34" s="6" t="str">
        <f>IFERROR(__xludf.DUMMYFUNCTION("""COMPUTED_VALUE"""),"AAPL")</f>
        <v>AAPL</v>
      </c>
      <c r="B34">
        <f>IFERROR(__xludf.DUMMYFUNCTION("""COMPUTED_VALUE"""),2.020013E7)</f>
        <v>20200130</v>
      </c>
      <c r="C34" s="19">
        <f>IFERROR(__xludf.DUMMYFUNCTION("""COMPUTED_VALUE"""),0.5003703703703704)</f>
        <v>0.5003703704</v>
      </c>
      <c r="D34">
        <f>IFERROR(__xludf.DUMMYFUNCTION("""COMPUTED_VALUE"""),321.93)</f>
        <v>321.93</v>
      </c>
      <c r="E34">
        <f>IFERROR(__xludf.DUMMYFUNCTION("""COMPUTED_VALUE"""),1.617416E7)</f>
        <v>16174160</v>
      </c>
      <c r="F34" s="6" t="str">
        <f>IFERROR(__xludf.DUMMYFUNCTION("""COMPUTED_VALUE"""),"EST")</f>
        <v>EST</v>
      </c>
      <c r="G34">
        <f>IFERROR(__xludf.DUMMYFUNCTION("""COMPUTED_VALUE"""),-18000.0)</f>
        <v>-18000</v>
      </c>
    </row>
    <row r="35">
      <c r="A35" s="6" t="str">
        <f>IFERROR(__xludf.DUMMYFUNCTION("""COMPUTED_VALUE"""),"AAPL")</f>
        <v>AAPL</v>
      </c>
      <c r="B35">
        <f>IFERROR(__xludf.DUMMYFUNCTION("""COMPUTED_VALUE"""),2.020013E7)</f>
        <v>20200130</v>
      </c>
      <c r="C35" s="19">
        <f>IFERROR(__xludf.DUMMYFUNCTION("""COMPUTED_VALUE"""),0.4993402777777778)</f>
        <v>0.4993402778</v>
      </c>
      <c r="D35">
        <f>IFERROR(__xludf.DUMMYFUNCTION("""COMPUTED_VALUE"""),321.96)</f>
        <v>321.96</v>
      </c>
      <c r="E35">
        <f>IFERROR(__xludf.DUMMYFUNCTION("""COMPUTED_VALUE"""),1.6127858E7)</f>
        <v>16127858</v>
      </c>
      <c r="F35" s="6" t="str">
        <f>IFERROR(__xludf.DUMMYFUNCTION("""COMPUTED_VALUE"""),"EST")</f>
        <v>EST</v>
      </c>
      <c r="G35">
        <f>IFERROR(__xludf.DUMMYFUNCTION("""COMPUTED_VALUE"""),-18000.0)</f>
        <v>-18000</v>
      </c>
    </row>
    <row r="36">
      <c r="A36" s="6" t="str">
        <f>IFERROR(__xludf.DUMMYFUNCTION("""COMPUTED_VALUE"""),"AAPL")</f>
        <v>AAPL</v>
      </c>
      <c r="B36">
        <f>IFERROR(__xludf.DUMMYFUNCTION("""COMPUTED_VALUE"""),2.020013E7)</f>
        <v>20200130</v>
      </c>
      <c r="C36" s="19">
        <f>IFERROR(__xludf.DUMMYFUNCTION("""COMPUTED_VALUE"""),0.4986689814814815)</f>
        <v>0.4986689815</v>
      </c>
      <c r="D36">
        <f>IFERROR(__xludf.DUMMYFUNCTION("""COMPUTED_VALUE"""),322.02)</f>
        <v>322.02</v>
      </c>
      <c r="E36">
        <f>IFERROR(__xludf.DUMMYFUNCTION("""COMPUTED_VALUE"""),1.6064816E7)</f>
        <v>16064816</v>
      </c>
      <c r="F36" s="6" t="str">
        <f>IFERROR(__xludf.DUMMYFUNCTION("""COMPUTED_VALUE"""),"EST")</f>
        <v>EST</v>
      </c>
      <c r="G36">
        <f>IFERROR(__xludf.DUMMYFUNCTION("""COMPUTED_VALUE"""),-18000.0)</f>
        <v>-18000</v>
      </c>
    </row>
    <row r="37">
      <c r="A37" s="6" t="str">
        <f>IFERROR(__xludf.DUMMYFUNCTION("""COMPUTED_VALUE"""),"AAPL")</f>
        <v>AAPL</v>
      </c>
      <c r="B37">
        <f>IFERROR(__xludf.DUMMYFUNCTION("""COMPUTED_VALUE"""),2.020013E7)</f>
        <v>20200130</v>
      </c>
      <c r="C37" s="19">
        <f>IFERROR(__xludf.DUMMYFUNCTION("""COMPUTED_VALUE"""),0.4979398148148148)</f>
        <v>0.4979398148</v>
      </c>
      <c r="D37">
        <f>IFERROR(__xludf.DUMMYFUNCTION("""COMPUTED_VALUE"""),322.42)</f>
        <v>322.42</v>
      </c>
      <c r="E37">
        <f>IFERROR(__xludf.DUMMYFUNCTION("""COMPUTED_VALUE"""),1.5982843E7)</f>
        <v>15982843</v>
      </c>
      <c r="F37" s="6" t="str">
        <f>IFERROR(__xludf.DUMMYFUNCTION("""COMPUTED_VALUE"""),"EST")</f>
        <v>EST</v>
      </c>
      <c r="G37">
        <f>IFERROR(__xludf.DUMMYFUNCTION("""COMPUTED_VALUE"""),-18000.0)</f>
        <v>-18000</v>
      </c>
    </row>
    <row r="38">
      <c r="A38" s="6" t="str">
        <f>IFERROR(__xludf.DUMMYFUNCTION("""COMPUTED_VALUE"""),"AAPL")</f>
        <v>AAPL</v>
      </c>
      <c r="B38">
        <f>IFERROR(__xludf.DUMMYFUNCTION("""COMPUTED_VALUE"""),2.020013E7)</f>
        <v>20200130</v>
      </c>
      <c r="C38" s="19">
        <f>IFERROR(__xludf.DUMMYFUNCTION("""COMPUTED_VALUE"""),0.4972685185185185)</f>
        <v>0.4972685185</v>
      </c>
      <c r="D38">
        <f>IFERROR(__xludf.DUMMYFUNCTION("""COMPUTED_VALUE"""),322.16)</f>
        <v>322.16</v>
      </c>
      <c r="E38">
        <f>IFERROR(__xludf.DUMMYFUNCTION("""COMPUTED_VALUE"""),1.5949251E7)</f>
        <v>15949251</v>
      </c>
      <c r="F38" s="6" t="str">
        <f>IFERROR(__xludf.DUMMYFUNCTION("""COMPUTED_VALUE"""),"EST")</f>
        <v>EST</v>
      </c>
      <c r="G38">
        <f>IFERROR(__xludf.DUMMYFUNCTION("""COMPUTED_VALUE"""),-18000.0)</f>
        <v>-18000</v>
      </c>
    </row>
    <row r="39">
      <c r="A39" s="6" t="str">
        <f>IFERROR(__xludf.DUMMYFUNCTION("""COMPUTED_VALUE"""),"AAPL")</f>
        <v>AAPL</v>
      </c>
      <c r="B39">
        <f>IFERROR(__xludf.DUMMYFUNCTION("""COMPUTED_VALUE"""),2.020013E7)</f>
        <v>20200130</v>
      </c>
      <c r="C39" s="19">
        <f>IFERROR(__xludf.DUMMYFUNCTION("""COMPUTED_VALUE"""),0.4958912037037037)</f>
        <v>0.4958912037</v>
      </c>
      <c r="D39">
        <f>IFERROR(__xludf.DUMMYFUNCTION("""COMPUTED_VALUE"""),322.43)</f>
        <v>322.43</v>
      </c>
      <c r="E39">
        <f>IFERROR(__xludf.DUMMYFUNCTION("""COMPUTED_VALUE"""),1.5813353E7)</f>
        <v>15813353</v>
      </c>
      <c r="F39" s="6" t="str">
        <f>IFERROR(__xludf.DUMMYFUNCTION("""COMPUTED_VALUE"""),"EST")</f>
        <v>EST</v>
      </c>
      <c r="G39">
        <f>IFERROR(__xludf.DUMMYFUNCTION("""COMPUTED_VALUE"""),-18000.0)</f>
        <v>-18000</v>
      </c>
    </row>
    <row r="40">
      <c r="A40" s="6" t="str">
        <f>IFERROR(__xludf.DUMMYFUNCTION("""COMPUTED_VALUE"""),"AAPL")</f>
        <v>AAPL</v>
      </c>
      <c r="B40">
        <f>IFERROR(__xludf.DUMMYFUNCTION("""COMPUTED_VALUE"""),2.020013E7)</f>
        <v>20200130</v>
      </c>
      <c r="C40" s="19">
        <f>IFERROR(__xludf.DUMMYFUNCTION("""COMPUTED_VALUE"""),0.4951388888888889)</f>
        <v>0.4951388889</v>
      </c>
      <c r="D40">
        <f>IFERROR(__xludf.DUMMYFUNCTION("""COMPUTED_VALUE"""),322.09)</f>
        <v>322.09</v>
      </c>
      <c r="E40">
        <f>IFERROR(__xludf.DUMMYFUNCTION("""COMPUTED_VALUE"""),1.5730114E7)</f>
        <v>15730114</v>
      </c>
      <c r="F40" s="6" t="str">
        <f>IFERROR(__xludf.DUMMYFUNCTION("""COMPUTED_VALUE"""),"EST")</f>
        <v>EST</v>
      </c>
      <c r="G40">
        <f>IFERROR(__xludf.DUMMYFUNCTION("""COMPUTED_VALUE"""),-18000.0)</f>
        <v>-18000</v>
      </c>
    </row>
    <row r="41">
      <c r="A41" s="6" t="str">
        <f>IFERROR(__xludf.DUMMYFUNCTION("""COMPUTED_VALUE"""),"AAPL")</f>
        <v>AAPL</v>
      </c>
      <c r="B41">
        <f>IFERROR(__xludf.DUMMYFUNCTION("""COMPUTED_VALUE"""),2.020013E7)</f>
        <v>20200130</v>
      </c>
      <c r="C41" s="19">
        <f>IFERROR(__xludf.DUMMYFUNCTION("""COMPUTED_VALUE"""),0.4945023148148148)</f>
        <v>0.4945023148</v>
      </c>
      <c r="D41">
        <f>IFERROR(__xludf.DUMMYFUNCTION("""COMPUTED_VALUE"""),322.09)</f>
        <v>322.09</v>
      </c>
      <c r="E41">
        <f>IFERROR(__xludf.DUMMYFUNCTION("""COMPUTED_VALUE"""),1.5706869E7)</f>
        <v>15706869</v>
      </c>
      <c r="F41" s="6" t="str">
        <f>IFERROR(__xludf.DUMMYFUNCTION("""COMPUTED_VALUE"""),"EST")</f>
        <v>EST</v>
      </c>
      <c r="G41">
        <f>IFERROR(__xludf.DUMMYFUNCTION("""COMPUTED_VALUE"""),-18000.0)</f>
        <v>-18000</v>
      </c>
    </row>
    <row r="42">
      <c r="A42" s="6" t="str">
        <f>IFERROR(__xludf.DUMMYFUNCTION("""COMPUTED_VALUE"""),"AAPL")</f>
        <v>AAPL</v>
      </c>
      <c r="B42">
        <f>IFERROR(__xludf.DUMMYFUNCTION("""COMPUTED_VALUE"""),2.020013E7)</f>
        <v>20200130</v>
      </c>
      <c r="C42" s="19">
        <f>IFERROR(__xludf.DUMMYFUNCTION("""COMPUTED_VALUE"""),0.4936689814814815)</f>
        <v>0.4936689815</v>
      </c>
      <c r="D42">
        <f>IFERROR(__xludf.DUMMYFUNCTION("""COMPUTED_VALUE"""),322.2)</f>
        <v>322.2</v>
      </c>
      <c r="E42">
        <f>IFERROR(__xludf.DUMMYFUNCTION("""COMPUTED_VALUE"""),1.5640814E7)</f>
        <v>15640814</v>
      </c>
      <c r="F42" s="6" t="str">
        <f>IFERROR(__xludf.DUMMYFUNCTION("""COMPUTED_VALUE"""),"EST")</f>
        <v>EST</v>
      </c>
      <c r="G42">
        <f>IFERROR(__xludf.DUMMYFUNCTION("""COMPUTED_VALUE"""),-18000.0)</f>
        <v>-18000</v>
      </c>
    </row>
    <row r="43">
      <c r="A43" s="6" t="str">
        <f>IFERROR(__xludf.DUMMYFUNCTION("""COMPUTED_VALUE"""),"AAPL")</f>
        <v>AAPL</v>
      </c>
      <c r="B43">
        <f>IFERROR(__xludf.DUMMYFUNCTION("""COMPUTED_VALUE"""),2.020013E7)</f>
        <v>20200130</v>
      </c>
      <c r="C43" s="19">
        <f>IFERROR(__xludf.DUMMYFUNCTION("""COMPUTED_VALUE"""),0.4924189814814815)</f>
        <v>0.4924189815</v>
      </c>
      <c r="D43">
        <f>IFERROR(__xludf.DUMMYFUNCTION("""COMPUTED_VALUE"""),321.87)</f>
        <v>321.87</v>
      </c>
      <c r="E43">
        <f>IFERROR(__xludf.DUMMYFUNCTION("""COMPUTED_VALUE"""),1.5550191E7)</f>
        <v>15550191</v>
      </c>
      <c r="F43" s="6" t="str">
        <f>IFERROR(__xludf.DUMMYFUNCTION("""COMPUTED_VALUE"""),"EST")</f>
        <v>EST</v>
      </c>
      <c r="G43">
        <f>IFERROR(__xludf.DUMMYFUNCTION("""COMPUTED_VALUE"""),-18000.0)</f>
        <v>-18000</v>
      </c>
    </row>
    <row r="44">
      <c r="A44" s="6" t="str">
        <f>IFERROR(__xludf.DUMMYFUNCTION("""COMPUTED_VALUE"""),"AAPL")</f>
        <v>AAPL</v>
      </c>
      <c r="B44">
        <f>IFERROR(__xludf.DUMMYFUNCTION("""COMPUTED_VALUE"""),2.020013E7)</f>
        <v>20200130</v>
      </c>
      <c r="C44" s="19">
        <f>IFERROR(__xludf.DUMMYFUNCTION("""COMPUTED_VALUE"""),0.4910300925925926)</f>
        <v>0.4910300926</v>
      </c>
      <c r="D44">
        <f>IFERROR(__xludf.DUMMYFUNCTION("""COMPUTED_VALUE"""),321.78)</f>
        <v>321.78</v>
      </c>
      <c r="E44">
        <f>IFERROR(__xludf.DUMMYFUNCTION("""COMPUTED_VALUE"""),1.5411125E7)</f>
        <v>15411125</v>
      </c>
      <c r="F44" s="6" t="str">
        <f>IFERROR(__xludf.DUMMYFUNCTION("""COMPUTED_VALUE"""),"EST")</f>
        <v>EST</v>
      </c>
      <c r="G44">
        <f>IFERROR(__xludf.DUMMYFUNCTION("""COMPUTED_VALUE"""),-18000.0)</f>
        <v>-18000</v>
      </c>
    </row>
    <row r="45">
      <c r="A45" s="6" t="str">
        <f>IFERROR(__xludf.DUMMYFUNCTION("""COMPUTED_VALUE"""),"AAPL")</f>
        <v>AAPL</v>
      </c>
      <c r="B45">
        <f>IFERROR(__xludf.DUMMYFUNCTION("""COMPUTED_VALUE"""),2.020013E7)</f>
        <v>20200130</v>
      </c>
      <c r="C45" s="19">
        <f>IFERROR(__xludf.DUMMYFUNCTION("""COMPUTED_VALUE"""),0.4903356481481482)</f>
        <v>0.4903356481</v>
      </c>
      <c r="D45">
        <f>IFERROR(__xludf.DUMMYFUNCTION("""COMPUTED_VALUE"""),321.75)</f>
        <v>321.75</v>
      </c>
      <c r="E45">
        <f>IFERROR(__xludf.DUMMYFUNCTION("""COMPUTED_VALUE"""),1.5368984E7)</f>
        <v>15368984</v>
      </c>
      <c r="F45" s="6" t="str">
        <f>IFERROR(__xludf.DUMMYFUNCTION("""COMPUTED_VALUE"""),"EST")</f>
        <v>EST</v>
      </c>
      <c r="G45">
        <f>IFERROR(__xludf.DUMMYFUNCTION("""COMPUTED_VALUE"""),-18000.0)</f>
        <v>-18000</v>
      </c>
    </row>
    <row r="46">
      <c r="A46" s="6" t="str">
        <f>IFERROR(__xludf.DUMMYFUNCTION("""COMPUTED_VALUE"""),"AAPL")</f>
        <v>AAPL</v>
      </c>
      <c r="B46">
        <f>IFERROR(__xludf.DUMMYFUNCTION("""COMPUTED_VALUE"""),2.020013E7)</f>
        <v>20200130</v>
      </c>
      <c r="C46" s="19">
        <f>IFERROR(__xludf.DUMMYFUNCTION("""COMPUTED_VALUE"""),0.48886574074074074)</f>
        <v>0.4888657407</v>
      </c>
      <c r="D46">
        <f>IFERROR(__xludf.DUMMYFUNCTION("""COMPUTED_VALUE"""),321.52)</f>
        <v>321.52</v>
      </c>
      <c r="E46">
        <f>IFERROR(__xludf.DUMMYFUNCTION("""COMPUTED_VALUE"""),1.5240672E7)</f>
        <v>15240672</v>
      </c>
      <c r="F46" s="6" t="str">
        <f>IFERROR(__xludf.DUMMYFUNCTION("""COMPUTED_VALUE"""),"EST")</f>
        <v>EST</v>
      </c>
      <c r="G46">
        <f>IFERROR(__xludf.DUMMYFUNCTION("""COMPUTED_VALUE"""),-18000.0)</f>
        <v>-18000</v>
      </c>
    </row>
    <row r="47">
      <c r="A47" s="6" t="str">
        <f>IFERROR(__xludf.DUMMYFUNCTION("""COMPUTED_VALUE"""),"AAPL")</f>
        <v>AAPL</v>
      </c>
      <c r="B47">
        <f>IFERROR(__xludf.DUMMYFUNCTION("""COMPUTED_VALUE"""),2.020013E7)</f>
        <v>20200130</v>
      </c>
      <c r="C47" s="19">
        <f>IFERROR(__xludf.DUMMYFUNCTION("""COMPUTED_VALUE"""),0.4875462962962963)</f>
        <v>0.4875462963</v>
      </c>
      <c r="D47">
        <f>IFERROR(__xludf.DUMMYFUNCTION("""COMPUTED_VALUE"""),321.85)</f>
        <v>321.85</v>
      </c>
      <c r="E47">
        <f>IFERROR(__xludf.DUMMYFUNCTION("""COMPUTED_VALUE"""),1.5140349E7)</f>
        <v>15140349</v>
      </c>
      <c r="F47" s="6" t="str">
        <f>IFERROR(__xludf.DUMMYFUNCTION("""COMPUTED_VALUE"""),"EST")</f>
        <v>EST</v>
      </c>
      <c r="G47">
        <f>IFERROR(__xludf.DUMMYFUNCTION("""COMPUTED_VALUE"""),-18000.0)</f>
        <v>-18000</v>
      </c>
    </row>
    <row r="48">
      <c r="A48" s="6" t="str">
        <f>IFERROR(__xludf.DUMMYFUNCTION("""COMPUTED_VALUE"""),"AAPL")</f>
        <v>AAPL</v>
      </c>
      <c r="B48">
        <f>IFERROR(__xludf.DUMMYFUNCTION("""COMPUTED_VALUE"""),2.020013E7)</f>
        <v>20200130</v>
      </c>
      <c r="C48" s="19">
        <f>IFERROR(__xludf.DUMMYFUNCTION("""COMPUTED_VALUE"""),0.48685185185185187)</f>
        <v>0.4868518519</v>
      </c>
      <c r="D48">
        <f>IFERROR(__xludf.DUMMYFUNCTION("""COMPUTED_VALUE"""),321.77)</f>
        <v>321.77</v>
      </c>
      <c r="E48">
        <f>IFERROR(__xludf.DUMMYFUNCTION("""COMPUTED_VALUE"""),1.5081006E7)</f>
        <v>15081006</v>
      </c>
      <c r="F48" s="6" t="str">
        <f>IFERROR(__xludf.DUMMYFUNCTION("""COMPUTED_VALUE"""),"EST")</f>
        <v>EST</v>
      </c>
      <c r="G48">
        <f>IFERROR(__xludf.DUMMYFUNCTION("""COMPUTED_VALUE"""),-18000.0)</f>
        <v>-18000</v>
      </c>
    </row>
    <row r="49">
      <c r="A49" s="6" t="str">
        <f>IFERROR(__xludf.DUMMYFUNCTION("""COMPUTED_VALUE"""),"AAPL")</f>
        <v>AAPL</v>
      </c>
      <c r="B49">
        <f>IFERROR(__xludf.DUMMYFUNCTION("""COMPUTED_VALUE"""),2.020013E7)</f>
        <v>20200130</v>
      </c>
      <c r="C49" s="19">
        <f>IFERROR(__xludf.DUMMYFUNCTION("""COMPUTED_VALUE"""),0.4864583333333333)</f>
        <v>0.4864583333</v>
      </c>
      <c r="D49">
        <f>IFERROR(__xludf.DUMMYFUNCTION("""COMPUTED_VALUE"""),321.55)</f>
        <v>321.55</v>
      </c>
      <c r="E49">
        <f>IFERROR(__xludf.DUMMYFUNCTION("""COMPUTED_VALUE"""),1.5038873E7)</f>
        <v>15038873</v>
      </c>
      <c r="F49" s="6" t="str">
        <f>IFERROR(__xludf.DUMMYFUNCTION("""COMPUTED_VALUE"""),"EST")</f>
        <v>EST</v>
      </c>
      <c r="G49">
        <f>IFERROR(__xludf.DUMMYFUNCTION("""COMPUTED_VALUE"""),-18000.0)</f>
        <v>-18000</v>
      </c>
    </row>
    <row r="50">
      <c r="A50" s="6" t="str">
        <f>IFERROR(__xludf.DUMMYFUNCTION("""COMPUTED_VALUE"""),"AAPL")</f>
        <v>AAPL</v>
      </c>
      <c r="B50">
        <f>IFERROR(__xludf.DUMMYFUNCTION("""COMPUTED_VALUE"""),2.020013E7)</f>
        <v>20200130</v>
      </c>
      <c r="C50" s="19">
        <f>IFERROR(__xludf.DUMMYFUNCTION("""COMPUTED_VALUE"""),0.485474537037037)</f>
        <v>0.485474537</v>
      </c>
      <c r="D50">
        <f>IFERROR(__xludf.DUMMYFUNCTION("""COMPUTED_VALUE"""),321.78)</f>
        <v>321.78</v>
      </c>
      <c r="E50">
        <f>IFERROR(__xludf.DUMMYFUNCTION("""COMPUTED_VALUE"""),1.4974452E7)</f>
        <v>14974452</v>
      </c>
      <c r="F50" s="6" t="str">
        <f>IFERROR(__xludf.DUMMYFUNCTION("""COMPUTED_VALUE"""),"EST")</f>
        <v>EST</v>
      </c>
      <c r="G50">
        <f>IFERROR(__xludf.DUMMYFUNCTION("""COMPUTED_VALUE"""),-18000.0)</f>
        <v>-18000</v>
      </c>
    </row>
    <row r="51">
      <c r="A51" s="6" t="str">
        <f>IFERROR(__xludf.DUMMYFUNCTION("""COMPUTED_VALUE"""),"AAPL")</f>
        <v>AAPL</v>
      </c>
      <c r="B51">
        <f>IFERROR(__xludf.DUMMYFUNCTION("""COMPUTED_VALUE"""),2.020013E7)</f>
        <v>20200130</v>
      </c>
      <c r="C51" s="19">
        <f>IFERROR(__xludf.DUMMYFUNCTION("""COMPUTED_VALUE"""),0.4852199074074074)</f>
        <v>0.4852199074</v>
      </c>
      <c r="D51">
        <f>IFERROR(__xludf.DUMMYFUNCTION("""COMPUTED_VALUE"""),321.75)</f>
        <v>321.75</v>
      </c>
      <c r="E51">
        <f>IFERROR(__xludf.DUMMYFUNCTION("""COMPUTED_VALUE"""),1.4951877E7)</f>
        <v>14951877</v>
      </c>
      <c r="F51" s="6" t="str">
        <f>IFERROR(__xludf.DUMMYFUNCTION("""COMPUTED_VALUE"""),"EST")</f>
        <v>EST</v>
      </c>
      <c r="G51">
        <f>IFERROR(__xludf.DUMMYFUNCTION("""COMPUTED_VALUE"""),-18000.0)</f>
        <v>-18000</v>
      </c>
    </row>
    <row r="52">
      <c r="A52" s="6" t="str">
        <f>IFERROR(__xludf.DUMMYFUNCTION("""COMPUTED_VALUE"""),"AAPL")</f>
        <v>AAPL</v>
      </c>
      <c r="B52">
        <f>IFERROR(__xludf.DUMMYFUNCTION("""COMPUTED_VALUE"""),2.020013E7)</f>
        <v>20200130</v>
      </c>
      <c r="C52" s="19">
        <f>IFERROR(__xludf.DUMMYFUNCTION("""COMPUTED_VALUE"""),0.4830787037037037)</f>
        <v>0.4830787037</v>
      </c>
      <c r="D52">
        <f>IFERROR(__xludf.DUMMYFUNCTION("""COMPUTED_VALUE"""),321.02)</f>
        <v>321.02</v>
      </c>
      <c r="E52">
        <f>IFERROR(__xludf.DUMMYFUNCTION("""COMPUTED_VALUE"""),1.4716056E7)</f>
        <v>14716056</v>
      </c>
      <c r="F52" s="6" t="str">
        <f>IFERROR(__xludf.DUMMYFUNCTION("""COMPUTED_VALUE"""),"EST")</f>
        <v>EST</v>
      </c>
      <c r="G52">
        <f>IFERROR(__xludf.DUMMYFUNCTION("""COMPUTED_VALUE"""),-18000.0)</f>
        <v>-18000</v>
      </c>
    </row>
    <row r="53">
      <c r="A53" s="6" t="str">
        <f>IFERROR(__xludf.DUMMYFUNCTION("""COMPUTED_VALUE"""),"AAPL")</f>
        <v>AAPL</v>
      </c>
      <c r="B53">
        <f>IFERROR(__xludf.DUMMYFUNCTION("""COMPUTED_VALUE"""),2.020013E7)</f>
        <v>20200130</v>
      </c>
      <c r="C53" s="19">
        <f>IFERROR(__xludf.DUMMYFUNCTION("""COMPUTED_VALUE"""),0.4817708333333333)</f>
        <v>0.4817708333</v>
      </c>
      <c r="D53">
        <f>IFERROR(__xludf.DUMMYFUNCTION("""COMPUTED_VALUE"""),321.11)</f>
        <v>321.11</v>
      </c>
      <c r="E53">
        <f>IFERROR(__xludf.DUMMYFUNCTION("""COMPUTED_VALUE"""),1.4610059E7)</f>
        <v>14610059</v>
      </c>
      <c r="F53" s="6" t="str">
        <f>IFERROR(__xludf.DUMMYFUNCTION("""COMPUTED_VALUE"""),"EST")</f>
        <v>EST</v>
      </c>
      <c r="G53">
        <f>IFERROR(__xludf.DUMMYFUNCTION("""COMPUTED_VALUE"""),-18000.0)</f>
        <v>-18000</v>
      </c>
    </row>
    <row r="54">
      <c r="A54" s="6" t="str">
        <f>IFERROR(__xludf.DUMMYFUNCTION("""COMPUTED_VALUE"""),"AAPL")</f>
        <v>AAPL</v>
      </c>
      <c r="B54">
        <f>IFERROR(__xludf.DUMMYFUNCTION("""COMPUTED_VALUE"""),2.020013E7)</f>
        <v>20200130</v>
      </c>
      <c r="C54" s="19">
        <f>IFERROR(__xludf.DUMMYFUNCTION("""COMPUTED_VALUE"""),0.4805324074074074)</f>
        <v>0.4805324074</v>
      </c>
      <c r="D54">
        <f>IFERROR(__xludf.DUMMYFUNCTION("""COMPUTED_VALUE"""),321.26)</f>
        <v>321.26</v>
      </c>
      <c r="E54">
        <f>IFERROR(__xludf.DUMMYFUNCTION("""COMPUTED_VALUE"""),1.4473914E7)</f>
        <v>14473914</v>
      </c>
      <c r="F54" s="6" t="str">
        <f>IFERROR(__xludf.DUMMYFUNCTION("""COMPUTED_VALUE"""),"EST")</f>
        <v>EST</v>
      </c>
      <c r="G54">
        <f>IFERROR(__xludf.DUMMYFUNCTION("""COMPUTED_VALUE"""),-18000.0)</f>
        <v>-18000</v>
      </c>
    </row>
    <row r="55">
      <c r="A55" s="6" t="str">
        <f>IFERROR(__xludf.DUMMYFUNCTION("""COMPUTED_VALUE"""),"AAPL")</f>
        <v>AAPL</v>
      </c>
      <c r="B55">
        <f>IFERROR(__xludf.DUMMYFUNCTION("""COMPUTED_VALUE"""),2.020013E7)</f>
        <v>20200130</v>
      </c>
      <c r="C55" s="19">
        <f>IFERROR(__xludf.DUMMYFUNCTION("""COMPUTED_VALUE"""),0.4799074074074074)</f>
        <v>0.4799074074</v>
      </c>
      <c r="D55">
        <f>IFERROR(__xludf.DUMMYFUNCTION("""COMPUTED_VALUE"""),321.23)</f>
        <v>321.23</v>
      </c>
      <c r="E55">
        <f>IFERROR(__xludf.DUMMYFUNCTION("""COMPUTED_VALUE"""),1.4423389E7)</f>
        <v>14423389</v>
      </c>
      <c r="F55" s="6" t="str">
        <f>IFERROR(__xludf.DUMMYFUNCTION("""COMPUTED_VALUE"""),"EST")</f>
        <v>EST</v>
      </c>
      <c r="G55">
        <f>IFERROR(__xludf.DUMMYFUNCTION("""COMPUTED_VALUE"""),-18000.0)</f>
        <v>-18000</v>
      </c>
    </row>
    <row r="56">
      <c r="A56" s="6" t="str">
        <f>IFERROR(__xludf.DUMMYFUNCTION("""COMPUTED_VALUE"""),"AAPL")</f>
        <v>AAPL</v>
      </c>
      <c r="B56">
        <f>IFERROR(__xludf.DUMMYFUNCTION("""COMPUTED_VALUE"""),2.020013E7)</f>
        <v>20200130</v>
      </c>
      <c r="C56" s="19">
        <f>IFERROR(__xludf.DUMMYFUNCTION("""COMPUTED_VALUE"""),0.4785185185185185)</f>
        <v>0.4785185185</v>
      </c>
      <c r="D56">
        <f>IFERROR(__xludf.DUMMYFUNCTION("""COMPUTED_VALUE"""),321.57)</f>
        <v>321.57</v>
      </c>
      <c r="E56">
        <f>IFERROR(__xludf.DUMMYFUNCTION("""COMPUTED_VALUE"""),1.4308634E7)</f>
        <v>14308634</v>
      </c>
      <c r="F56" s="6" t="str">
        <f>IFERROR(__xludf.DUMMYFUNCTION("""COMPUTED_VALUE"""),"EST")</f>
        <v>EST</v>
      </c>
      <c r="G56">
        <f>IFERROR(__xludf.DUMMYFUNCTION("""COMPUTED_VALUE"""),-18000.0)</f>
        <v>-18000</v>
      </c>
    </row>
    <row r="57">
      <c r="A57" s="6" t="str">
        <f>IFERROR(__xludf.DUMMYFUNCTION("""COMPUTED_VALUE"""),"AAPL")</f>
        <v>AAPL</v>
      </c>
      <c r="B57">
        <f>IFERROR(__xludf.DUMMYFUNCTION("""COMPUTED_VALUE"""),2.020013E7)</f>
        <v>20200130</v>
      </c>
      <c r="C57" s="19">
        <f>IFERROR(__xludf.DUMMYFUNCTION("""COMPUTED_VALUE"""),0.47815972222222225)</f>
        <v>0.4781597222</v>
      </c>
      <c r="D57">
        <f>IFERROR(__xludf.DUMMYFUNCTION("""COMPUTED_VALUE"""),321.61)</f>
        <v>321.61</v>
      </c>
      <c r="E57">
        <f>IFERROR(__xludf.DUMMYFUNCTION("""COMPUTED_VALUE"""),1.425452E7)</f>
        <v>14254520</v>
      </c>
      <c r="F57" s="6" t="str">
        <f>IFERROR(__xludf.DUMMYFUNCTION("""COMPUTED_VALUE"""),"EST")</f>
        <v>EST</v>
      </c>
      <c r="G57">
        <f>IFERROR(__xludf.DUMMYFUNCTION("""COMPUTED_VALUE"""),-18000.0)</f>
        <v>-18000</v>
      </c>
    </row>
    <row r="58">
      <c r="A58" s="6" t="str">
        <f>IFERROR(__xludf.DUMMYFUNCTION("""COMPUTED_VALUE"""),"AAPL")</f>
        <v>AAPL</v>
      </c>
      <c r="B58">
        <f>IFERROR(__xludf.DUMMYFUNCTION("""COMPUTED_VALUE"""),2.020013E7)</f>
        <v>20200130</v>
      </c>
      <c r="C58" s="19">
        <f>IFERROR(__xludf.DUMMYFUNCTION("""COMPUTED_VALUE"""),0.47711805555555553)</f>
        <v>0.4771180556</v>
      </c>
      <c r="D58">
        <f>IFERROR(__xludf.DUMMYFUNCTION("""COMPUTED_VALUE"""),321.38)</f>
        <v>321.38</v>
      </c>
      <c r="E58">
        <f>IFERROR(__xludf.DUMMYFUNCTION("""COMPUTED_VALUE"""),1.4168743E7)</f>
        <v>14168743</v>
      </c>
      <c r="F58" s="6" t="str">
        <f>IFERROR(__xludf.DUMMYFUNCTION("""COMPUTED_VALUE"""),"EST")</f>
        <v>EST</v>
      </c>
      <c r="G58">
        <f>IFERROR(__xludf.DUMMYFUNCTION("""COMPUTED_VALUE"""),-18000.0)</f>
        <v>-18000</v>
      </c>
    </row>
    <row r="59">
      <c r="A59" s="6" t="str">
        <f>IFERROR(__xludf.DUMMYFUNCTION("""COMPUTED_VALUE"""),"AAPL")</f>
        <v>AAPL</v>
      </c>
      <c r="B59">
        <f>IFERROR(__xludf.DUMMYFUNCTION("""COMPUTED_VALUE"""),2.020013E7)</f>
        <v>20200130</v>
      </c>
      <c r="C59" s="19">
        <f>IFERROR(__xludf.DUMMYFUNCTION("""COMPUTED_VALUE"""),0.47631944444444446)</f>
        <v>0.4763194444</v>
      </c>
      <c r="D59">
        <f>IFERROR(__xludf.DUMMYFUNCTION("""COMPUTED_VALUE"""),321.33)</f>
        <v>321.33</v>
      </c>
      <c r="E59">
        <f>IFERROR(__xludf.DUMMYFUNCTION("""COMPUTED_VALUE"""),1.4106423E7)</f>
        <v>14106423</v>
      </c>
      <c r="F59" s="6" t="str">
        <f>IFERROR(__xludf.DUMMYFUNCTION("""COMPUTED_VALUE"""),"EST")</f>
        <v>EST</v>
      </c>
      <c r="G59">
        <f>IFERROR(__xludf.DUMMYFUNCTION("""COMPUTED_VALUE"""),-18000.0)</f>
        <v>-18000</v>
      </c>
    </row>
    <row r="60">
      <c r="A60" s="6" t="str">
        <f>IFERROR(__xludf.DUMMYFUNCTION("""COMPUTED_VALUE"""),"AAPL")</f>
        <v>AAPL</v>
      </c>
      <c r="B60">
        <f>IFERROR(__xludf.DUMMYFUNCTION("""COMPUTED_VALUE"""),2.020013E7)</f>
        <v>20200130</v>
      </c>
      <c r="C60" s="19">
        <f>IFERROR(__xludf.DUMMYFUNCTION("""COMPUTED_VALUE"""),0.4750578703703704)</f>
        <v>0.4750578704</v>
      </c>
      <c r="D60">
        <f>IFERROR(__xludf.DUMMYFUNCTION("""COMPUTED_VALUE"""),321.28)</f>
        <v>321.28</v>
      </c>
      <c r="E60">
        <f>IFERROR(__xludf.DUMMYFUNCTION("""COMPUTED_VALUE"""),1.3970638E7)</f>
        <v>13970638</v>
      </c>
      <c r="F60" s="6" t="str">
        <f>IFERROR(__xludf.DUMMYFUNCTION("""COMPUTED_VALUE"""),"EST")</f>
        <v>EST</v>
      </c>
      <c r="G60">
        <f>IFERROR(__xludf.DUMMYFUNCTION("""COMPUTED_VALUE"""),-18000.0)</f>
        <v>-18000</v>
      </c>
    </row>
    <row r="61">
      <c r="A61" s="6" t="str">
        <f>IFERROR(__xludf.DUMMYFUNCTION("""COMPUTED_VALUE"""),"AAPL")</f>
        <v>AAPL</v>
      </c>
      <c r="B61">
        <f>IFERROR(__xludf.DUMMYFUNCTION("""COMPUTED_VALUE"""),2.020013E7)</f>
        <v>20200130</v>
      </c>
      <c r="C61" s="19">
        <f>IFERROR(__xludf.DUMMYFUNCTION("""COMPUTED_VALUE"""),0.47454861111111113)</f>
        <v>0.4745486111</v>
      </c>
      <c r="D61">
        <f>IFERROR(__xludf.DUMMYFUNCTION("""COMPUTED_VALUE"""),321.18)</f>
        <v>321.18</v>
      </c>
      <c r="E61">
        <f>IFERROR(__xludf.DUMMYFUNCTION("""COMPUTED_VALUE"""),1.3940708E7)</f>
        <v>13940708</v>
      </c>
      <c r="F61" s="6" t="str">
        <f>IFERROR(__xludf.DUMMYFUNCTION("""COMPUTED_VALUE"""),"EST")</f>
        <v>EST</v>
      </c>
      <c r="G61">
        <f>IFERROR(__xludf.DUMMYFUNCTION("""COMPUTED_VALUE"""),-18000.0)</f>
        <v>-18000</v>
      </c>
    </row>
    <row r="62">
      <c r="A62" s="6" t="str">
        <f>IFERROR(__xludf.DUMMYFUNCTION("""COMPUTED_VALUE"""),"AAPL")</f>
        <v>AAPL</v>
      </c>
      <c r="B62">
        <f>IFERROR(__xludf.DUMMYFUNCTION("""COMPUTED_VALUE"""),2.020013E7)</f>
        <v>20200130</v>
      </c>
      <c r="C62" s="19">
        <f>IFERROR(__xludf.DUMMYFUNCTION("""COMPUTED_VALUE"""),0.47366898148148145)</f>
        <v>0.4736689815</v>
      </c>
      <c r="D62">
        <f>IFERROR(__xludf.DUMMYFUNCTION("""COMPUTED_VALUE"""),321.2)</f>
        <v>321.2</v>
      </c>
      <c r="E62">
        <f>IFERROR(__xludf.DUMMYFUNCTION("""COMPUTED_VALUE"""),1.3869724E7)</f>
        <v>13869724</v>
      </c>
      <c r="F62" s="6" t="str">
        <f>IFERROR(__xludf.DUMMYFUNCTION("""COMPUTED_VALUE"""),"EST")</f>
        <v>EST</v>
      </c>
      <c r="G62">
        <f>IFERROR(__xludf.DUMMYFUNCTION("""COMPUTED_VALUE"""),-18000.0)</f>
        <v>-18000</v>
      </c>
    </row>
    <row r="63">
      <c r="A63" s="6" t="str">
        <f>IFERROR(__xludf.DUMMYFUNCTION("""COMPUTED_VALUE"""),"AAPL")</f>
        <v>AAPL</v>
      </c>
      <c r="B63">
        <f>IFERROR(__xludf.DUMMYFUNCTION("""COMPUTED_VALUE"""),2.020013E7)</f>
        <v>20200130</v>
      </c>
      <c r="C63" s="19">
        <f>IFERROR(__xludf.DUMMYFUNCTION("""COMPUTED_VALUE"""),0.47337962962962965)</f>
        <v>0.4733796296</v>
      </c>
      <c r="D63">
        <f>IFERROR(__xludf.DUMMYFUNCTION("""COMPUTED_VALUE"""),320.95)</f>
        <v>320.95</v>
      </c>
      <c r="E63">
        <f>IFERROR(__xludf.DUMMYFUNCTION("""COMPUTED_VALUE"""),1.3850078E7)</f>
        <v>13850078</v>
      </c>
      <c r="F63" s="6" t="str">
        <f>IFERROR(__xludf.DUMMYFUNCTION("""COMPUTED_VALUE"""),"EST")</f>
        <v>EST</v>
      </c>
      <c r="G63">
        <f>IFERROR(__xludf.DUMMYFUNCTION("""COMPUTED_VALUE"""),-18000.0)</f>
        <v>-18000</v>
      </c>
    </row>
    <row r="64">
      <c r="A64" s="6" t="str">
        <f>IFERROR(__xludf.DUMMYFUNCTION("""COMPUTED_VALUE"""),"AAPL")</f>
        <v>AAPL</v>
      </c>
      <c r="B64">
        <f>IFERROR(__xludf.DUMMYFUNCTION("""COMPUTED_VALUE"""),2.020013E7)</f>
        <v>20200130</v>
      </c>
      <c r="C64" s="19">
        <f>IFERROR(__xludf.DUMMYFUNCTION("""COMPUTED_VALUE"""),0.4727199074074074)</f>
        <v>0.4727199074</v>
      </c>
      <c r="D64">
        <f>IFERROR(__xludf.DUMMYFUNCTION("""COMPUTED_VALUE"""),321.11)</f>
        <v>321.11</v>
      </c>
      <c r="E64">
        <f>IFERROR(__xludf.DUMMYFUNCTION("""COMPUTED_VALUE"""),1.3751834E7)</f>
        <v>13751834</v>
      </c>
      <c r="F64" s="6" t="str">
        <f>IFERROR(__xludf.DUMMYFUNCTION("""COMPUTED_VALUE"""),"EST")</f>
        <v>EST</v>
      </c>
      <c r="G64">
        <f>IFERROR(__xludf.DUMMYFUNCTION("""COMPUTED_VALUE"""),-18000.0)</f>
        <v>-18000</v>
      </c>
    </row>
    <row r="65">
      <c r="A65" s="6" t="str">
        <f>IFERROR(__xludf.DUMMYFUNCTION("""COMPUTED_VALUE"""),"AAPL")</f>
        <v>AAPL</v>
      </c>
      <c r="B65">
        <f>IFERROR(__xludf.DUMMYFUNCTION("""COMPUTED_VALUE"""),2.020013E7)</f>
        <v>20200130</v>
      </c>
      <c r="C65" s="19">
        <f>IFERROR(__xludf.DUMMYFUNCTION("""COMPUTED_VALUE"""),0.4715972222222222)</f>
        <v>0.4715972222</v>
      </c>
      <c r="D65">
        <f>IFERROR(__xludf.DUMMYFUNCTION("""COMPUTED_VALUE"""),320.94)</f>
        <v>320.94</v>
      </c>
      <c r="E65">
        <f>IFERROR(__xludf.DUMMYFUNCTION("""COMPUTED_VALUE"""),1.3620478E7)</f>
        <v>13620478</v>
      </c>
      <c r="F65" s="6" t="str">
        <f>IFERROR(__xludf.DUMMYFUNCTION("""COMPUTED_VALUE"""),"EST")</f>
        <v>EST</v>
      </c>
      <c r="G65">
        <f>IFERROR(__xludf.DUMMYFUNCTION("""COMPUTED_VALUE"""),-18000.0)</f>
        <v>-18000</v>
      </c>
    </row>
    <row r="66">
      <c r="A66" s="6" t="str">
        <f>IFERROR(__xludf.DUMMYFUNCTION("""COMPUTED_VALUE"""),"AAPL")</f>
        <v>AAPL</v>
      </c>
      <c r="B66">
        <f>IFERROR(__xludf.DUMMYFUNCTION("""COMPUTED_VALUE"""),2.020013E7)</f>
        <v>20200130</v>
      </c>
      <c r="C66" s="19">
        <f>IFERROR(__xludf.DUMMYFUNCTION("""COMPUTED_VALUE"""),0.4708912037037037)</f>
        <v>0.4708912037</v>
      </c>
      <c r="D66">
        <f>IFERROR(__xludf.DUMMYFUNCTION("""COMPUTED_VALUE"""),321.05)</f>
        <v>321.05</v>
      </c>
      <c r="E66">
        <f>IFERROR(__xludf.DUMMYFUNCTION("""COMPUTED_VALUE"""),1.3527431E7)</f>
        <v>13527431</v>
      </c>
      <c r="F66" s="6" t="str">
        <f>IFERROR(__xludf.DUMMYFUNCTION("""COMPUTED_VALUE"""),"EST")</f>
        <v>EST</v>
      </c>
      <c r="G66">
        <f>IFERROR(__xludf.DUMMYFUNCTION("""COMPUTED_VALUE"""),-18000.0)</f>
        <v>-18000</v>
      </c>
    </row>
    <row r="67">
      <c r="A67" s="6" t="str">
        <f>IFERROR(__xludf.DUMMYFUNCTION("""COMPUTED_VALUE"""),"AAPL")</f>
        <v>AAPL</v>
      </c>
      <c r="B67">
        <f>IFERROR(__xludf.DUMMYFUNCTION("""COMPUTED_VALUE"""),2.020013E7)</f>
        <v>20200130</v>
      </c>
      <c r="C67" s="19">
        <f>IFERROR(__xludf.DUMMYFUNCTION("""COMPUTED_VALUE"""),0.4701736111111111)</f>
        <v>0.4701736111</v>
      </c>
      <c r="D67">
        <f>IFERROR(__xludf.DUMMYFUNCTION("""COMPUTED_VALUE"""),320.75)</f>
        <v>320.75</v>
      </c>
      <c r="E67">
        <f>IFERROR(__xludf.DUMMYFUNCTION("""COMPUTED_VALUE"""),1.3444659E7)</f>
        <v>13444659</v>
      </c>
      <c r="F67" s="6" t="str">
        <f>IFERROR(__xludf.DUMMYFUNCTION("""COMPUTED_VALUE"""),"EST")</f>
        <v>EST</v>
      </c>
      <c r="G67">
        <f>IFERROR(__xludf.DUMMYFUNCTION("""COMPUTED_VALUE"""),-18000.0)</f>
        <v>-18000</v>
      </c>
    </row>
    <row r="68">
      <c r="A68" s="6" t="str">
        <f>IFERROR(__xludf.DUMMYFUNCTION("""COMPUTED_VALUE"""),"AAPL")</f>
        <v>AAPL</v>
      </c>
      <c r="B68">
        <f>IFERROR(__xludf.DUMMYFUNCTION("""COMPUTED_VALUE"""),2.020013E7)</f>
        <v>20200130</v>
      </c>
      <c r="C68" s="19">
        <f>IFERROR(__xludf.DUMMYFUNCTION("""COMPUTED_VALUE"""),0.46949074074074076)</f>
        <v>0.4694907407</v>
      </c>
      <c r="D68">
        <f>IFERROR(__xludf.DUMMYFUNCTION("""COMPUTED_VALUE"""),320.8)</f>
        <v>320.8</v>
      </c>
      <c r="E68">
        <f>IFERROR(__xludf.DUMMYFUNCTION("""COMPUTED_VALUE"""),1.3362617E7)</f>
        <v>13362617</v>
      </c>
      <c r="F68" s="6" t="str">
        <f>IFERROR(__xludf.DUMMYFUNCTION("""COMPUTED_VALUE"""),"EST")</f>
        <v>EST</v>
      </c>
      <c r="G68">
        <f>IFERROR(__xludf.DUMMYFUNCTION("""COMPUTED_VALUE"""),-18000.0)</f>
        <v>-18000</v>
      </c>
    </row>
    <row r="69">
      <c r="A69" s="6" t="str">
        <f>IFERROR(__xludf.DUMMYFUNCTION("""COMPUTED_VALUE"""),"AAPL")</f>
        <v>AAPL</v>
      </c>
      <c r="B69">
        <f>IFERROR(__xludf.DUMMYFUNCTION("""COMPUTED_VALUE"""),2.020013E7)</f>
        <v>20200130</v>
      </c>
      <c r="C69" s="19">
        <f>IFERROR(__xludf.DUMMYFUNCTION("""COMPUTED_VALUE"""),0.4680787037037037)</f>
        <v>0.4680787037</v>
      </c>
      <c r="D69">
        <f>IFERROR(__xludf.DUMMYFUNCTION("""COMPUTED_VALUE"""),320.57)</f>
        <v>320.57</v>
      </c>
      <c r="E69">
        <f>IFERROR(__xludf.DUMMYFUNCTION("""COMPUTED_VALUE"""),1.3228839E7)</f>
        <v>13228839</v>
      </c>
      <c r="F69" s="6" t="str">
        <f>IFERROR(__xludf.DUMMYFUNCTION("""COMPUTED_VALUE"""),"EST")</f>
        <v>EST</v>
      </c>
      <c r="G69">
        <f>IFERROR(__xludf.DUMMYFUNCTION("""COMPUTED_VALUE"""),-18000.0)</f>
        <v>-18000</v>
      </c>
    </row>
    <row r="70">
      <c r="A70" s="6" t="str">
        <f>IFERROR(__xludf.DUMMYFUNCTION("""COMPUTED_VALUE"""),"AAPL")</f>
        <v>AAPL</v>
      </c>
      <c r="B70">
        <f>IFERROR(__xludf.DUMMYFUNCTION("""COMPUTED_VALUE"""),2.020013E7)</f>
        <v>20200130</v>
      </c>
      <c r="C70" s="19">
        <f>IFERROR(__xludf.DUMMYFUNCTION("""COMPUTED_VALUE"""),0.4675925925925926)</f>
        <v>0.4675925926</v>
      </c>
      <c r="D70">
        <f>IFERROR(__xludf.DUMMYFUNCTION("""COMPUTED_VALUE"""),320.51)</f>
        <v>320.51</v>
      </c>
      <c r="E70">
        <f>IFERROR(__xludf.DUMMYFUNCTION("""COMPUTED_VALUE"""),1.3199724E7)</f>
        <v>13199724</v>
      </c>
      <c r="F70" s="6" t="str">
        <f>IFERROR(__xludf.DUMMYFUNCTION("""COMPUTED_VALUE"""),"EST")</f>
        <v>EST</v>
      </c>
      <c r="G70">
        <f>IFERROR(__xludf.DUMMYFUNCTION("""COMPUTED_VALUE"""),-18000.0)</f>
        <v>-18000</v>
      </c>
    </row>
    <row r="71">
      <c r="A71" s="6" t="str">
        <f>IFERROR(__xludf.DUMMYFUNCTION("""COMPUTED_VALUE"""),"AAPL")</f>
        <v>AAPL</v>
      </c>
      <c r="B71">
        <f>IFERROR(__xludf.DUMMYFUNCTION("""COMPUTED_VALUE"""),2.020013E7)</f>
        <v>20200130</v>
      </c>
      <c r="C71" s="19">
        <f>IFERROR(__xludf.DUMMYFUNCTION("""COMPUTED_VALUE"""),0.46672453703703703)</f>
        <v>0.466724537</v>
      </c>
      <c r="D71">
        <f>IFERROR(__xludf.DUMMYFUNCTION("""COMPUTED_VALUE"""),320.53)</f>
        <v>320.53</v>
      </c>
      <c r="E71">
        <f>IFERROR(__xludf.DUMMYFUNCTION("""COMPUTED_VALUE"""),1.3120065E7)</f>
        <v>13120065</v>
      </c>
      <c r="F71" s="6" t="str">
        <f>IFERROR(__xludf.DUMMYFUNCTION("""COMPUTED_VALUE"""),"EST")</f>
        <v>EST</v>
      </c>
      <c r="G71">
        <f>IFERROR(__xludf.DUMMYFUNCTION("""COMPUTED_VALUE"""),-18000.0)</f>
        <v>-18000</v>
      </c>
    </row>
    <row r="72">
      <c r="A72" s="6" t="str">
        <f>IFERROR(__xludf.DUMMYFUNCTION("""COMPUTED_VALUE"""),"AAPL")</f>
        <v>AAPL</v>
      </c>
      <c r="B72">
        <f>IFERROR(__xludf.DUMMYFUNCTION("""COMPUTED_VALUE"""),2.020013E7)</f>
        <v>20200130</v>
      </c>
      <c r="C72" s="19">
        <f>IFERROR(__xludf.DUMMYFUNCTION("""COMPUTED_VALUE"""),0.4656712962962963)</f>
        <v>0.4656712963</v>
      </c>
      <c r="D72">
        <f>IFERROR(__xludf.DUMMYFUNCTION("""COMPUTED_VALUE"""),320.19)</f>
        <v>320.19</v>
      </c>
      <c r="E72">
        <f>IFERROR(__xludf.DUMMYFUNCTION("""COMPUTED_VALUE"""),1.2964273E7)</f>
        <v>12964273</v>
      </c>
      <c r="F72" s="6" t="str">
        <f>IFERROR(__xludf.DUMMYFUNCTION("""COMPUTED_VALUE"""),"EST")</f>
        <v>EST</v>
      </c>
      <c r="G72">
        <f>IFERROR(__xludf.DUMMYFUNCTION("""COMPUTED_VALUE"""),-18000.0)</f>
        <v>-18000</v>
      </c>
    </row>
    <row r="73">
      <c r="A73" s="6" t="str">
        <f>IFERROR(__xludf.DUMMYFUNCTION("""COMPUTED_VALUE"""),"AAPL")</f>
        <v>AAPL</v>
      </c>
      <c r="B73">
        <f>IFERROR(__xludf.DUMMYFUNCTION("""COMPUTED_VALUE"""),2.020013E7)</f>
        <v>20200130</v>
      </c>
      <c r="C73" s="19">
        <f>IFERROR(__xludf.DUMMYFUNCTION("""COMPUTED_VALUE"""),0.46425925925925926)</f>
        <v>0.4642592593</v>
      </c>
      <c r="D73">
        <f>IFERROR(__xludf.DUMMYFUNCTION("""COMPUTED_VALUE"""),320.02)</f>
        <v>320.02</v>
      </c>
      <c r="E73">
        <f>IFERROR(__xludf.DUMMYFUNCTION("""COMPUTED_VALUE"""),1.2798326E7)</f>
        <v>12798326</v>
      </c>
      <c r="F73" s="6" t="str">
        <f>IFERROR(__xludf.DUMMYFUNCTION("""COMPUTED_VALUE"""),"EST")</f>
        <v>EST</v>
      </c>
      <c r="G73">
        <f>IFERROR(__xludf.DUMMYFUNCTION("""COMPUTED_VALUE"""),-18000.0)</f>
        <v>-18000</v>
      </c>
    </row>
    <row r="74">
      <c r="A74" s="6" t="str">
        <f>IFERROR(__xludf.DUMMYFUNCTION("""COMPUTED_VALUE"""),"AAPL")</f>
        <v>AAPL</v>
      </c>
      <c r="B74">
        <f>IFERROR(__xludf.DUMMYFUNCTION("""COMPUTED_VALUE"""),2.020013E7)</f>
        <v>20200130</v>
      </c>
      <c r="C74" s="19">
        <f>IFERROR(__xludf.DUMMYFUNCTION("""COMPUTED_VALUE"""),0.4632291666666667)</f>
        <v>0.4632291667</v>
      </c>
      <c r="D74">
        <f>IFERROR(__xludf.DUMMYFUNCTION("""COMPUTED_VALUE"""),320.16)</f>
        <v>320.16</v>
      </c>
      <c r="E74">
        <f>IFERROR(__xludf.DUMMYFUNCTION("""COMPUTED_VALUE"""),1.2687675E7)</f>
        <v>12687675</v>
      </c>
      <c r="F74" s="6" t="str">
        <f>IFERROR(__xludf.DUMMYFUNCTION("""COMPUTED_VALUE"""),"EST")</f>
        <v>EST</v>
      </c>
      <c r="G74">
        <f>IFERROR(__xludf.DUMMYFUNCTION("""COMPUTED_VALUE"""),-18000.0)</f>
        <v>-18000</v>
      </c>
    </row>
    <row r="75">
      <c r="A75" s="6" t="str">
        <f>IFERROR(__xludf.DUMMYFUNCTION("""COMPUTED_VALUE"""),"AAPL")</f>
        <v>AAPL</v>
      </c>
      <c r="B75">
        <f>IFERROR(__xludf.DUMMYFUNCTION("""COMPUTED_VALUE"""),2.020013E7)</f>
        <v>20200130</v>
      </c>
      <c r="C75" s="19">
        <f>IFERROR(__xludf.DUMMYFUNCTION("""COMPUTED_VALUE"""),0.4625578703703704)</f>
        <v>0.4625578704</v>
      </c>
      <c r="D75">
        <f>IFERROR(__xludf.DUMMYFUNCTION("""COMPUTED_VALUE"""),320.09)</f>
        <v>320.09</v>
      </c>
      <c r="E75">
        <f>IFERROR(__xludf.DUMMYFUNCTION("""COMPUTED_VALUE"""),1.2635286E7)</f>
        <v>12635286</v>
      </c>
      <c r="F75" s="6" t="str">
        <f>IFERROR(__xludf.DUMMYFUNCTION("""COMPUTED_VALUE"""),"EST")</f>
        <v>EST</v>
      </c>
      <c r="G75">
        <f>IFERROR(__xludf.DUMMYFUNCTION("""COMPUTED_VALUE"""),-18000.0)</f>
        <v>-18000</v>
      </c>
    </row>
    <row r="76">
      <c r="A76" s="6" t="str">
        <f>IFERROR(__xludf.DUMMYFUNCTION("""COMPUTED_VALUE"""),"AAPL")</f>
        <v>AAPL</v>
      </c>
      <c r="B76">
        <f>IFERROR(__xludf.DUMMYFUNCTION("""COMPUTED_VALUE"""),2.020013E7)</f>
        <v>20200130</v>
      </c>
      <c r="C76" s="19">
        <f>IFERROR(__xludf.DUMMYFUNCTION("""COMPUTED_VALUE"""),0.4611574074074074)</f>
        <v>0.4611574074</v>
      </c>
      <c r="D76">
        <f>IFERROR(__xludf.DUMMYFUNCTION("""COMPUTED_VALUE"""),319.76)</f>
        <v>319.76</v>
      </c>
      <c r="E76">
        <f>IFERROR(__xludf.DUMMYFUNCTION("""COMPUTED_VALUE"""),1.2409687E7)</f>
        <v>12409687</v>
      </c>
      <c r="F76" s="6" t="str">
        <f>IFERROR(__xludf.DUMMYFUNCTION("""COMPUTED_VALUE"""),"EST")</f>
        <v>EST</v>
      </c>
      <c r="G76">
        <f>IFERROR(__xludf.DUMMYFUNCTION("""COMPUTED_VALUE"""),-18000.0)</f>
        <v>-18000</v>
      </c>
    </row>
    <row r="77">
      <c r="A77" s="6" t="str">
        <f>IFERROR(__xludf.DUMMYFUNCTION("""COMPUTED_VALUE"""),"AAPL")</f>
        <v>AAPL</v>
      </c>
      <c r="B77">
        <f>IFERROR(__xludf.DUMMYFUNCTION("""COMPUTED_VALUE"""),2.020013E7)</f>
        <v>20200130</v>
      </c>
      <c r="C77" s="19">
        <f>IFERROR(__xludf.DUMMYFUNCTION("""COMPUTED_VALUE"""),0.46047453703703706)</f>
        <v>0.460474537</v>
      </c>
      <c r="D77">
        <f>IFERROR(__xludf.DUMMYFUNCTION("""COMPUTED_VALUE"""),319.47)</f>
        <v>319.47</v>
      </c>
      <c r="E77">
        <f>IFERROR(__xludf.DUMMYFUNCTION("""COMPUTED_VALUE"""),1.2336006E7)</f>
        <v>12336006</v>
      </c>
      <c r="F77" s="6" t="str">
        <f>IFERROR(__xludf.DUMMYFUNCTION("""COMPUTED_VALUE"""),"EST")</f>
        <v>EST</v>
      </c>
      <c r="G77">
        <f>IFERROR(__xludf.DUMMYFUNCTION("""COMPUTED_VALUE"""),-18000.0)</f>
        <v>-18000</v>
      </c>
    </row>
    <row r="78">
      <c r="A78" s="6" t="str">
        <f>IFERROR(__xludf.DUMMYFUNCTION("""COMPUTED_VALUE"""),"AAPL")</f>
        <v>AAPL</v>
      </c>
      <c r="B78">
        <f>IFERROR(__xludf.DUMMYFUNCTION("""COMPUTED_VALUE"""),2.020013E7)</f>
        <v>20200130</v>
      </c>
      <c r="C78" s="19">
        <f>IFERROR(__xludf.DUMMYFUNCTION("""COMPUTED_VALUE"""),0.4597800925925926)</f>
        <v>0.4597800926</v>
      </c>
      <c r="D78">
        <f>IFERROR(__xludf.DUMMYFUNCTION("""COMPUTED_VALUE"""),319.66)</f>
        <v>319.66</v>
      </c>
      <c r="E78">
        <f>IFERROR(__xludf.DUMMYFUNCTION("""COMPUTED_VALUE"""),1.2188859E7)</f>
        <v>12188859</v>
      </c>
      <c r="F78" s="6" t="str">
        <f>IFERROR(__xludf.DUMMYFUNCTION("""COMPUTED_VALUE"""),"EST")</f>
        <v>EST</v>
      </c>
      <c r="G78">
        <f>IFERROR(__xludf.DUMMYFUNCTION("""COMPUTED_VALUE"""),-18000.0)</f>
        <v>-18000</v>
      </c>
    </row>
    <row r="79">
      <c r="A79" s="6" t="str">
        <f>IFERROR(__xludf.DUMMYFUNCTION("""COMPUTED_VALUE"""),"AAPL")</f>
        <v>AAPL</v>
      </c>
      <c r="B79">
        <f>IFERROR(__xludf.DUMMYFUNCTION("""COMPUTED_VALUE"""),2.020013E7)</f>
        <v>20200130</v>
      </c>
      <c r="C79" s="19">
        <f>IFERROR(__xludf.DUMMYFUNCTION("""COMPUTED_VALUE"""),0.4590625)</f>
        <v>0.4590625</v>
      </c>
      <c r="D79">
        <f>IFERROR(__xludf.DUMMYFUNCTION("""COMPUTED_VALUE"""),319.5)</f>
        <v>319.5</v>
      </c>
      <c r="E79">
        <f>IFERROR(__xludf.DUMMYFUNCTION("""COMPUTED_VALUE"""),1.2023359E7)</f>
        <v>12023359</v>
      </c>
      <c r="F79" s="6" t="str">
        <f>IFERROR(__xludf.DUMMYFUNCTION("""COMPUTED_VALUE"""),"EST")</f>
        <v>EST</v>
      </c>
      <c r="G79">
        <f>IFERROR(__xludf.DUMMYFUNCTION("""COMPUTED_VALUE"""),-18000.0)</f>
        <v>-18000</v>
      </c>
    </row>
    <row r="80">
      <c r="A80" s="6" t="str">
        <f>IFERROR(__xludf.DUMMYFUNCTION("""COMPUTED_VALUE"""),"AAPL")</f>
        <v>AAPL</v>
      </c>
      <c r="B80">
        <f>IFERROR(__xludf.DUMMYFUNCTION("""COMPUTED_VALUE"""),2.020013E7)</f>
        <v>20200130</v>
      </c>
      <c r="C80" s="19">
        <f>IFERROR(__xludf.DUMMYFUNCTION("""COMPUTED_VALUE"""),0.45770833333333333)</f>
        <v>0.4577083333</v>
      </c>
      <c r="D80">
        <f>IFERROR(__xludf.DUMMYFUNCTION("""COMPUTED_VALUE"""),319.34)</f>
        <v>319.34</v>
      </c>
      <c r="E80">
        <f>IFERROR(__xludf.DUMMYFUNCTION("""COMPUTED_VALUE"""),1.1505299E7)</f>
        <v>11505299</v>
      </c>
      <c r="F80" s="6" t="str">
        <f>IFERROR(__xludf.DUMMYFUNCTION("""COMPUTED_VALUE"""),"EST")</f>
        <v>EST</v>
      </c>
      <c r="G80">
        <f>IFERROR(__xludf.DUMMYFUNCTION("""COMPUTED_VALUE"""),-18000.0)</f>
        <v>-18000</v>
      </c>
    </row>
    <row r="81">
      <c r="A81" s="6" t="str">
        <f>IFERROR(__xludf.DUMMYFUNCTION("""COMPUTED_VALUE"""),"AAPL")</f>
        <v>AAPL</v>
      </c>
      <c r="B81">
        <f>IFERROR(__xludf.DUMMYFUNCTION("""COMPUTED_VALUE"""),2.020013E7)</f>
        <v>20200130</v>
      </c>
      <c r="C81" s="19">
        <f>IFERROR(__xludf.DUMMYFUNCTION("""COMPUTED_VALUE"""),0.45729166666666665)</f>
        <v>0.4572916667</v>
      </c>
      <c r="D81">
        <f>IFERROR(__xludf.DUMMYFUNCTION("""COMPUTED_VALUE"""),319.67)</f>
        <v>319.67</v>
      </c>
      <c r="E81">
        <f>IFERROR(__xludf.DUMMYFUNCTION("""COMPUTED_VALUE"""),1.13562E7)</f>
        <v>11356200</v>
      </c>
      <c r="F81" s="6" t="str">
        <f>IFERROR(__xludf.DUMMYFUNCTION("""COMPUTED_VALUE"""),"EST")</f>
        <v>EST</v>
      </c>
      <c r="G81">
        <f>IFERROR(__xludf.DUMMYFUNCTION("""COMPUTED_VALUE"""),-18000.0)</f>
        <v>-18000</v>
      </c>
    </row>
    <row r="82">
      <c r="A82" s="6" t="str">
        <f>IFERROR(__xludf.DUMMYFUNCTION("""COMPUTED_VALUE"""),"AAPL")</f>
        <v>AAPL</v>
      </c>
      <c r="B82">
        <f>IFERROR(__xludf.DUMMYFUNCTION("""COMPUTED_VALUE"""),2.020013E7)</f>
        <v>20200130</v>
      </c>
      <c r="C82" s="19">
        <f>IFERROR(__xludf.DUMMYFUNCTION("""COMPUTED_VALUE"""),0.45630787037037035)</f>
        <v>0.4563078704</v>
      </c>
      <c r="D82">
        <f>IFERROR(__xludf.DUMMYFUNCTION("""COMPUTED_VALUE"""),320.0)</f>
        <v>320</v>
      </c>
      <c r="E82">
        <f>IFERROR(__xludf.DUMMYFUNCTION("""COMPUTED_VALUE"""),1.113388E7)</f>
        <v>11133880</v>
      </c>
      <c r="F82" s="6" t="str">
        <f>IFERROR(__xludf.DUMMYFUNCTION("""COMPUTED_VALUE"""),"EST")</f>
        <v>EST</v>
      </c>
      <c r="G82">
        <f>IFERROR(__xludf.DUMMYFUNCTION("""COMPUTED_VALUE"""),-18000.0)</f>
        <v>-18000</v>
      </c>
    </row>
    <row r="83">
      <c r="A83" s="6" t="str">
        <f>IFERROR(__xludf.DUMMYFUNCTION("""COMPUTED_VALUE"""),"AAPL")</f>
        <v>AAPL</v>
      </c>
      <c r="B83">
        <f>IFERROR(__xludf.DUMMYFUNCTION("""COMPUTED_VALUE"""),2.020013E7)</f>
        <v>20200130</v>
      </c>
      <c r="C83" s="19">
        <f>IFERROR(__xludf.DUMMYFUNCTION("""COMPUTED_VALUE"""),0.45461805555555557)</f>
        <v>0.4546180556</v>
      </c>
      <c r="D83">
        <f>IFERROR(__xludf.DUMMYFUNCTION("""COMPUTED_VALUE"""),320.35)</f>
        <v>320.35</v>
      </c>
      <c r="E83">
        <f>IFERROR(__xludf.DUMMYFUNCTION("""COMPUTED_VALUE"""),1.0689828E7)</f>
        <v>10689828</v>
      </c>
      <c r="F83" s="6" t="str">
        <f>IFERROR(__xludf.DUMMYFUNCTION("""COMPUTED_VALUE"""),"EST")</f>
        <v>EST</v>
      </c>
      <c r="G83">
        <f>IFERROR(__xludf.DUMMYFUNCTION("""COMPUTED_VALUE"""),-18000.0)</f>
        <v>-18000</v>
      </c>
    </row>
    <row r="84">
      <c r="A84" s="6" t="str">
        <f>IFERROR(__xludf.DUMMYFUNCTION("""COMPUTED_VALUE"""),"AAPL")</f>
        <v>AAPL</v>
      </c>
      <c r="B84">
        <f>IFERROR(__xludf.DUMMYFUNCTION("""COMPUTED_VALUE"""),2.020013E7)</f>
        <v>20200130</v>
      </c>
      <c r="C84" s="19">
        <f>IFERROR(__xludf.DUMMYFUNCTION("""COMPUTED_VALUE"""),0.45381944444444444)</f>
        <v>0.4538194444</v>
      </c>
      <c r="D84">
        <f>IFERROR(__xludf.DUMMYFUNCTION("""COMPUTED_VALUE"""),320.63)</f>
        <v>320.63</v>
      </c>
      <c r="E84">
        <f>IFERROR(__xludf.DUMMYFUNCTION("""COMPUTED_VALUE"""),1.0518568E7)</f>
        <v>10518568</v>
      </c>
      <c r="F84" s="6" t="str">
        <f>IFERROR(__xludf.DUMMYFUNCTION("""COMPUTED_VALUE"""),"EST")</f>
        <v>EST</v>
      </c>
      <c r="G84">
        <f>IFERROR(__xludf.DUMMYFUNCTION("""COMPUTED_VALUE"""),-18000.0)</f>
        <v>-18000</v>
      </c>
    </row>
    <row r="85">
      <c r="A85" s="6" t="str">
        <f>IFERROR(__xludf.DUMMYFUNCTION("""COMPUTED_VALUE"""),"AAPL")</f>
        <v>AAPL</v>
      </c>
      <c r="B85">
        <f>IFERROR(__xludf.DUMMYFUNCTION("""COMPUTED_VALUE"""),2.020013E7)</f>
        <v>20200130</v>
      </c>
      <c r="C85" s="19">
        <f>IFERROR(__xludf.DUMMYFUNCTION("""COMPUTED_VALUE"""),0.4532175925925926)</f>
        <v>0.4532175926</v>
      </c>
      <c r="D85">
        <f>IFERROR(__xludf.DUMMYFUNCTION("""COMPUTED_VALUE"""),321.31)</f>
        <v>321.31</v>
      </c>
      <c r="E85">
        <f>IFERROR(__xludf.DUMMYFUNCTION("""COMPUTED_VALUE"""),1.0376983E7)</f>
        <v>10376983</v>
      </c>
      <c r="F85" s="6" t="str">
        <f>IFERROR(__xludf.DUMMYFUNCTION("""COMPUTED_VALUE"""),"EST")</f>
        <v>EST</v>
      </c>
      <c r="G85">
        <f>IFERROR(__xludf.DUMMYFUNCTION("""COMPUTED_VALUE"""),-18000.0)</f>
        <v>-18000</v>
      </c>
    </row>
    <row r="86">
      <c r="A86" s="6" t="str">
        <f>IFERROR(__xludf.DUMMYFUNCTION("""COMPUTED_VALUE"""),"AAPL")</f>
        <v>AAPL</v>
      </c>
      <c r="B86">
        <f>IFERROR(__xludf.DUMMYFUNCTION("""COMPUTED_VALUE"""),2.020013E7)</f>
        <v>20200130</v>
      </c>
      <c r="C86" s="19">
        <f>IFERROR(__xludf.DUMMYFUNCTION("""COMPUTED_VALUE"""),0.4521296296296296)</f>
        <v>0.4521296296</v>
      </c>
      <c r="D86">
        <f>IFERROR(__xludf.DUMMYFUNCTION("""COMPUTED_VALUE"""),321.31)</f>
        <v>321.31</v>
      </c>
      <c r="E86">
        <f>IFERROR(__xludf.DUMMYFUNCTION("""COMPUTED_VALUE"""),1.0262119E7)</f>
        <v>10262119</v>
      </c>
      <c r="F86" s="6" t="str">
        <f>IFERROR(__xludf.DUMMYFUNCTION("""COMPUTED_VALUE"""),"EST")</f>
        <v>EST</v>
      </c>
      <c r="G86">
        <f>IFERROR(__xludf.DUMMYFUNCTION("""COMPUTED_VALUE"""),-18000.0)</f>
        <v>-18000</v>
      </c>
    </row>
    <row r="87">
      <c r="A87" s="6" t="str">
        <f>IFERROR(__xludf.DUMMYFUNCTION("""COMPUTED_VALUE"""),"AAPL")</f>
        <v>AAPL</v>
      </c>
      <c r="B87">
        <f>IFERROR(__xludf.DUMMYFUNCTION("""COMPUTED_VALUE"""),2.020013E7)</f>
        <v>20200130</v>
      </c>
      <c r="C87" s="19">
        <f>IFERROR(__xludf.DUMMYFUNCTION("""COMPUTED_VALUE"""),0.4507523148148148)</f>
        <v>0.4507523148</v>
      </c>
      <c r="D87">
        <f>IFERROR(__xludf.DUMMYFUNCTION("""COMPUTED_VALUE"""),321.34)</f>
        <v>321.34</v>
      </c>
      <c r="E87">
        <f>IFERROR(__xludf.DUMMYFUNCTION("""COMPUTED_VALUE"""),1.0128725E7)</f>
        <v>10128725</v>
      </c>
      <c r="F87" s="6" t="str">
        <f>IFERROR(__xludf.DUMMYFUNCTION("""COMPUTED_VALUE"""),"EST")</f>
        <v>EST</v>
      </c>
      <c r="G87">
        <f>IFERROR(__xludf.DUMMYFUNCTION("""COMPUTED_VALUE"""),-18000.0)</f>
        <v>-18000</v>
      </c>
    </row>
    <row r="88">
      <c r="A88" s="6" t="str">
        <f>IFERROR(__xludf.DUMMYFUNCTION("""COMPUTED_VALUE"""),"AAPL")</f>
        <v>AAPL</v>
      </c>
      <c r="B88">
        <f>IFERROR(__xludf.DUMMYFUNCTION("""COMPUTED_VALUE"""),2.020013E7)</f>
        <v>20200130</v>
      </c>
      <c r="C88" s="19">
        <f>IFERROR(__xludf.DUMMYFUNCTION("""COMPUTED_VALUE"""),0.45006944444444447)</f>
        <v>0.4500694444</v>
      </c>
      <c r="D88">
        <f>IFERROR(__xludf.DUMMYFUNCTION("""COMPUTED_VALUE"""),321.16)</f>
        <v>321.16</v>
      </c>
      <c r="E88">
        <f>IFERROR(__xludf.DUMMYFUNCTION("""COMPUTED_VALUE"""),1.0000946E7)</f>
        <v>10000946</v>
      </c>
      <c r="F88" s="6" t="str">
        <f>IFERROR(__xludf.DUMMYFUNCTION("""COMPUTED_VALUE"""),"EST")</f>
        <v>EST</v>
      </c>
      <c r="G88">
        <f>IFERROR(__xludf.DUMMYFUNCTION("""COMPUTED_VALUE"""),-18000.0)</f>
        <v>-18000</v>
      </c>
    </row>
    <row r="89">
      <c r="A89" s="6" t="str">
        <f>IFERROR(__xludf.DUMMYFUNCTION("""COMPUTED_VALUE"""),"AAPL")</f>
        <v>AAPL</v>
      </c>
      <c r="B89">
        <f>IFERROR(__xludf.DUMMYFUNCTION("""COMPUTED_VALUE"""),2.020013E7)</f>
        <v>20200130</v>
      </c>
      <c r="C89" s="19">
        <f>IFERROR(__xludf.DUMMYFUNCTION("""COMPUTED_VALUE"""),0.44936342592592593)</f>
        <v>0.4493634259</v>
      </c>
      <c r="D89">
        <f>IFERROR(__xludf.DUMMYFUNCTION("""COMPUTED_VALUE"""),321.27)</f>
        <v>321.27</v>
      </c>
      <c r="E89">
        <f>IFERROR(__xludf.DUMMYFUNCTION("""COMPUTED_VALUE"""),9893012.0)</f>
        <v>9893012</v>
      </c>
      <c r="F89" s="6" t="str">
        <f>IFERROR(__xludf.DUMMYFUNCTION("""COMPUTED_VALUE"""),"EST")</f>
        <v>EST</v>
      </c>
      <c r="G89">
        <f>IFERROR(__xludf.DUMMYFUNCTION("""COMPUTED_VALUE"""),-18000.0)</f>
        <v>-18000</v>
      </c>
    </row>
    <row r="90">
      <c r="A90" s="6" t="str">
        <f>IFERROR(__xludf.DUMMYFUNCTION("""COMPUTED_VALUE"""),"AAPL")</f>
        <v>AAPL</v>
      </c>
      <c r="B90">
        <f>IFERROR(__xludf.DUMMYFUNCTION("""COMPUTED_VALUE"""),2.020013E7)</f>
        <v>20200130</v>
      </c>
      <c r="C90" s="19">
        <f>IFERROR(__xludf.DUMMYFUNCTION("""COMPUTED_VALUE"""),0.4486574074074074)</f>
        <v>0.4486574074</v>
      </c>
      <c r="D90">
        <f>IFERROR(__xludf.DUMMYFUNCTION("""COMPUTED_VALUE"""),321.35)</f>
        <v>321.35</v>
      </c>
      <c r="E90">
        <f>IFERROR(__xludf.DUMMYFUNCTION("""COMPUTED_VALUE"""),9783687.0)</f>
        <v>9783687</v>
      </c>
      <c r="F90" s="6" t="str">
        <f>IFERROR(__xludf.DUMMYFUNCTION("""COMPUTED_VALUE"""),"EST")</f>
        <v>EST</v>
      </c>
      <c r="G90">
        <f>IFERROR(__xludf.DUMMYFUNCTION("""COMPUTED_VALUE"""),-18000.0)</f>
        <v>-18000</v>
      </c>
    </row>
    <row r="91">
      <c r="A91" s="6" t="str">
        <f>IFERROR(__xludf.DUMMYFUNCTION("""COMPUTED_VALUE"""),"AAPL")</f>
        <v>AAPL</v>
      </c>
      <c r="B91">
        <f>IFERROR(__xludf.DUMMYFUNCTION("""COMPUTED_VALUE"""),2.020013E7)</f>
        <v>20200130</v>
      </c>
      <c r="C91" s="19">
        <f>IFERROR(__xludf.DUMMYFUNCTION("""COMPUTED_VALUE"""),0.4471875)</f>
        <v>0.4471875</v>
      </c>
      <c r="D91">
        <f>IFERROR(__xludf.DUMMYFUNCTION("""COMPUTED_VALUE"""),321.72)</f>
        <v>321.72</v>
      </c>
      <c r="E91">
        <f>IFERROR(__xludf.DUMMYFUNCTION("""COMPUTED_VALUE"""),9619401.0)</f>
        <v>9619401</v>
      </c>
      <c r="F91" s="6" t="str">
        <f>IFERROR(__xludf.DUMMYFUNCTION("""COMPUTED_VALUE"""),"EST")</f>
        <v>EST</v>
      </c>
      <c r="G91">
        <f>IFERROR(__xludf.DUMMYFUNCTION("""COMPUTED_VALUE"""),-18000.0)</f>
        <v>-18000</v>
      </c>
    </row>
    <row r="92">
      <c r="A92" s="6" t="str">
        <f>IFERROR(__xludf.DUMMYFUNCTION("""COMPUTED_VALUE"""),"AAPL")</f>
        <v>AAPL</v>
      </c>
      <c r="B92">
        <f>IFERROR(__xludf.DUMMYFUNCTION("""COMPUTED_VALUE"""),2.020013E7)</f>
        <v>20200130</v>
      </c>
      <c r="C92" s="19">
        <f>IFERROR(__xludf.DUMMYFUNCTION("""COMPUTED_VALUE"""),0.4471527777777778)</f>
        <v>0.4471527778</v>
      </c>
      <c r="D92">
        <f>IFERROR(__xludf.DUMMYFUNCTION("""COMPUTED_VALUE"""),321.79)</f>
        <v>321.79</v>
      </c>
      <c r="E92">
        <f>IFERROR(__xludf.DUMMYFUNCTION("""COMPUTED_VALUE"""),9615096.0)</f>
        <v>9615096</v>
      </c>
      <c r="F92" s="6" t="str">
        <f>IFERROR(__xludf.DUMMYFUNCTION("""COMPUTED_VALUE"""),"EST")</f>
        <v>EST</v>
      </c>
      <c r="G92">
        <f>IFERROR(__xludf.DUMMYFUNCTION("""COMPUTED_VALUE"""),-18000.0)</f>
        <v>-18000</v>
      </c>
    </row>
    <row r="93">
      <c r="A93" s="6" t="str">
        <f>IFERROR(__xludf.DUMMYFUNCTION("""COMPUTED_VALUE"""),"AAPL")</f>
        <v>AAPL</v>
      </c>
      <c r="B93">
        <f>IFERROR(__xludf.DUMMYFUNCTION("""COMPUTED_VALUE"""),2.020013E7)</f>
        <v>20200130</v>
      </c>
      <c r="C93" s="19">
        <f>IFERROR(__xludf.DUMMYFUNCTION("""COMPUTED_VALUE"""),0.44586805555555553)</f>
        <v>0.4458680556</v>
      </c>
      <c r="D93">
        <f>IFERROR(__xludf.DUMMYFUNCTION("""COMPUTED_VALUE"""),321.58)</f>
        <v>321.58</v>
      </c>
      <c r="E93">
        <f>IFERROR(__xludf.DUMMYFUNCTION("""COMPUTED_VALUE"""),9442392.0)</f>
        <v>9442392</v>
      </c>
      <c r="F93" s="6" t="str">
        <f>IFERROR(__xludf.DUMMYFUNCTION("""COMPUTED_VALUE"""),"EST")</f>
        <v>EST</v>
      </c>
      <c r="G93">
        <f>IFERROR(__xludf.DUMMYFUNCTION("""COMPUTED_VALUE"""),-18000.0)</f>
        <v>-18000</v>
      </c>
    </row>
    <row r="94">
      <c r="A94" s="6" t="str">
        <f>IFERROR(__xludf.DUMMYFUNCTION("""COMPUTED_VALUE"""),"AAPL")</f>
        <v>AAPL</v>
      </c>
      <c r="B94">
        <f>IFERROR(__xludf.DUMMYFUNCTION("""COMPUTED_VALUE"""),2.020013E7)</f>
        <v>20200130</v>
      </c>
      <c r="C94" s="19">
        <f>IFERROR(__xludf.DUMMYFUNCTION("""COMPUTED_VALUE"""),0.4451851851851852)</f>
        <v>0.4451851852</v>
      </c>
      <c r="D94">
        <f>IFERROR(__xludf.DUMMYFUNCTION("""COMPUTED_VALUE"""),321.65)</f>
        <v>321.65</v>
      </c>
      <c r="E94">
        <f>IFERROR(__xludf.DUMMYFUNCTION("""COMPUTED_VALUE"""),9310393.0)</f>
        <v>9310393</v>
      </c>
      <c r="F94" s="6" t="str">
        <f>IFERROR(__xludf.DUMMYFUNCTION("""COMPUTED_VALUE"""),"EST")</f>
        <v>EST</v>
      </c>
      <c r="G94">
        <f>IFERROR(__xludf.DUMMYFUNCTION("""COMPUTED_VALUE"""),-18000.0)</f>
        <v>-18000</v>
      </c>
    </row>
    <row r="95">
      <c r="A95" s="6" t="str">
        <f>IFERROR(__xludf.DUMMYFUNCTION("""COMPUTED_VALUE"""),"AAPL")</f>
        <v>AAPL</v>
      </c>
      <c r="B95">
        <f>IFERROR(__xludf.DUMMYFUNCTION("""COMPUTED_VALUE"""),2.020013E7)</f>
        <v>20200130</v>
      </c>
      <c r="C95" s="19">
        <f>IFERROR(__xludf.DUMMYFUNCTION("""COMPUTED_VALUE"""),0.4438078703703704)</f>
        <v>0.4438078704</v>
      </c>
      <c r="D95">
        <f>IFERROR(__xludf.DUMMYFUNCTION("""COMPUTED_VALUE"""),321.91)</f>
        <v>321.91</v>
      </c>
      <c r="E95">
        <f>IFERROR(__xludf.DUMMYFUNCTION("""COMPUTED_VALUE"""),9109131.0)</f>
        <v>9109131</v>
      </c>
      <c r="F95" s="6" t="str">
        <f>IFERROR(__xludf.DUMMYFUNCTION("""COMPUTED_VALUE"""),"EST")</f>
        <v>EST</v>
      </c>
      <c r="G95">
        <f>IFERROR(__xludf.DUMMYFUNCTION("""COMPUTED_VALUE"""),-18000.0)</f>
        <v>-18000</v>
      </c>
    </row>
    <row r="96">
      <c r="A96" s="6" t="str">
        <f>IFERROR(__xludf.DUMMYFUNCTION("""COMPUTED_VALUE"""),"AAPL")</f>
        <v>AAPL</v>
      </c>
      <c r="B96">
        <f>IFERROR(__xludf.DUMMYFUNCTION("""COMPUTED_VALUE"""),2.020013E7)</f>
        <v>20200130</v>
      </c>
      <c r="C96" s="19">
        <f>IFERROR(__xludf.DUMMYFUNCTION("""COMPUTED_VALUE"""),0.4435763888888889)</f>
        <v>0.4435763889</v>
      </c>
      <c r="D96">
        <f>IFERROR(__xludf.DUMMYFUNCTION("""COMPUTED_VALUE"""),321.95)</f>
        <v>321.95</v>
      </c>
      <c r="E96">
        <f>IFERROR(__xludf.DUMMYFUNCTION("""COMPUTED_VALUE"""),9056396.0)</f>
        <v>9056396</v>
      </c>
      <c r="F96" s="6" t="str">
        <f>IFERROR(__xludf.DUMMYFUNCTION("""COMPUTED_VALUE"""),"EST")</f>
        <v>EST</v>
      </c>
      <c r="G96">
        <f>IFERROR(__xludf.DUMMYFUNCTION("""COMPUTED_VALUE"""),-18000.0)</f>
        <v>-18000</v>
      </c>
    </row>
    <row r="97">
      <c r="A97" s="6" t="str">
        <f>IFERROR(__xludf.DUMMYFUNCTION("""COMPUTED_VALUE"""),"AAPL")</f>
        <v>AAPL</v>
      </c>
      <c r="B97">
        <f>IFERROR(__xludf.DUMMYFUNCTION("""COMPUTED_VALUE"""),2.020013E7)</f>
        <v>20200130</v>
      </c>
      <c r="C97" s="19">
        <f>IFERROR(__xludf.DUMMYFUNCTION("""COMPUTED_VALUE"""),0.44241898148148145)</f>
        <v>0.4424189815</v>
      </c>
      <c r="D97">
        <f>IFERROR(__xludf.DUMMYFUNCTION("""COMPUTED_VALUE"""),321.95)</f>
        <v>321.95</v>
      </c>
      <c r="E97">
        <f>IFERROR(__xludf.DUMMYFUNCTION("""COMPUTED_VALUE"""),8866236.0)</f>
        <v>8866236</v>
      </c>
      <c r="F97" s="6" t="str">
        <f>IFERROR(__xludf.DUMMYFUNCTION("""COMPUTED_VALUE"""),"EST")</f>
        <v>EST</v>
      </c>
      <c r="G97">
        <f>IFERROR(__xludf.DUMMYFUNCTION("""COMPUTED_VALUE"""),-18000.0)</f>
        <v>-18000</v>
      </c>
    </row>
    <row r="98">
      <c r="A98" s="6" t="str">
        <f>IFERROR(__xludf.DUMMYFUNCTION("""COMPUTED_VALUE"""),"AAPL")</f>
        <v>AAPL</v>
      </c>
      <c r="B98">
        <f>IFERROR(__xludf.DUMMYFUNCTION("""COMPUTED_VALUE"""),2.020013E7)</f>
        <v>20200130</v>
      </c>
      <c r="C98" s="19">
        <f>IFERROR(__xludf.DUMMYFUNCTION("""COMPUTED_VALUE"""),0.441724537037037)</f>
        <v>0.441724537</v>
      </c>
      <c r="D98">
        <f>IFERROR(__xludf.DUMMYFUNCTION("""COMPUTED_VALUE"""),322.28)</f>
        <v>322.28</v>
      </c>
      <c r="E98">
        <f>IFERROR(__xludf.DUMMYFUNCTION("""COMPUTED_VALUE"""),8702468.0)</f>
        <v>8702468</v>
      </c>
      <c r="F98" s="6" t="str">
        <f>IFERROR(__xludf.DUMMYFUNCTION("""COMPUTED_VALUE"""),"EST")</f>
        <v>EST</v>
      </c>
      <c r="G98">
        <f>IFERROR(__xludf.DUMMYFUNCTION("""COMPUTED_VALUE"""),-18000.0)</f>
        <v>-18000</v>
      </c>
    </row>
    <row r="99">
      <c r="A99" s="6" t="str">
        <f>IFERROR(__xludf.DUMMYFUNCTION("""COMPUTED_VALUE"""),"AAPL")</f>
        <v>AAPL</v>
      </c>
      <c r="B99">
        <f>IFERROR(__xludf.DUMMYFUNCTION("""COMPUTED_VALUE"""),2.020013E7)</f>
        <v>20200130</v>
      </c>
      <c r="C99" s="19">
        <f>IFERROR(__xludf.DUMMYFUNCTION("""COMPUTED_VALUE"""),0.4403240740740741)</f>
        <v>0.4403240741</v>
      </c>
      <c r="D99">
        <f>IFERROR(__xludf.DUMMYFUNCTION("""COMPUTED_VALUE"""),322.56)</f>
        <v>322.56</v>
      </c>
      <c r="E99">
        <f>IFERROR(__xludf.DUMMYFUNCTION("""COMPUTED_VALUE"""),8568459.0)</f>
        <v>8568459</v>
      </c>
      <c r="F99" s="6" t="str">
        <f>IFERROR(__xludf.DUMMYFUNCTION("""COMPUTED_VALUE"""),"EST")</f>
        <v>EST</v>
      </c>
      <c r="G99">
        <f>IFERROR(__xludf.DUMMYFUNCTION("""COMPUTED_VALUE"""),-18000.0)</f>
        <v>-18000</v>
      </c>
    </row>
    <row r="100">
      <c r="A100" s="6" t="str">
        <f>IFERROR(__xludf.DUMMYFUNCTION("""COMPUTED_VALUE"""),"AAPL")</f>
        <v>AAPL</v>
      </c>
      <c r="B100">
        <f>IFERROR(__xludf.DUMMYFUNCTION("""COMPUTED_VALUE"""),2.020013E7)</f>
        <v>20200130</v>
      </c>
      <c r="C100" s="19">
        <f>IFERROR(__xludf.DUMMYFUNCTION("""COMPUTED_VALUE"""),0.43962962962962965)</f>
        <v>0.4396296296</v>
      </c>
      <c r="D100">
        <f>IFERROR(__xludf.DUMMYFUNCTION("""COMPUTED_VALUE"""),322.39)</f>
        <v>322.39</v>
      </c>
      <c r="E100">
        <f>IFERROR(__xludf.DUMMYFUNCTION("""COMPUTED_VALUE"""),8517558.0)</f>
        <v>8517558</v>
      </c>
      <c r="F100" s="6" t="str">
        <f>IFERROR(__xludf.DUMMYFUNCTION("""COMPUTED_VALUE"""),"EST")</f>
        <v>EST</v>
      </c>
      <c r="G100">
        <f>IFERROR(__xludf.DUMMYFUNCTION("""COMPUTED_VALUE"""),-18000.0)</f>
        <v>-18000</v>
      </c>
    </row>
    <row r="101">
      <c r="A101" s="6" t="str">
        <f>IFERROR(__xludf.DUMMYFUNCTION("""COMPUTED_VALUE"""),"AAPL")</f>
        <v>AAPL</v>
      </c>
      <c r="B101">
        <f>IFERROR(__xludf.DUMMYFUNCTION("""COMPUTED_VALUE"""),2.020013E7)</f>
        <v>20200130</v>
      </c>
      <c r="C101" s="19">
        <f>IFERROR(__xludf.DUMMYFUNCTION("""COMPUTED_VALUE"""),0.43894675925925924)</f>
        <v>0.4389467593</v>
      </c>
      <c r="D101">
        <f>IFERROR(__xludf.DUMMYFUNCTION("""COMPUTED_VALUE"""),322.36)</f>
        <v>322.36</v>
      </c>
      <c r="E101">
        <f>IFERROR(__xludf.DUMMYFUNCTION("""COMPUTED_VALUE"""),8428680.0)</f>
        <v>8428680</v>
      </c>
      <c r="F101" s="6" t="str">
        <f>IFERROR(__xludf.DUMMYFUNCTION("""COMPUTED_VALUE"""),"EST")</f>
        <v>EST</v>
      </c>
      <c r="G101">
        <f>IFERROR(__xludf.DUMMYFUNCTION("""COMPUTED_VALUE"""),-18000.0)</f>
        <v>-18000</v>
      </c>
    </row>
    <row r="102">
      <c r="A102" s="6" t="str">
        <f>IFERROR(__xludf.DUMMYFUNCTION("""COMPUTED_VALUE"""),"AAPL")</f>
        <v>AAPL</v>
      </c>
      <c r="B102">
        <f>IFERROR(__xludf.DUMMYFUNCTION("""COMPUTED_VALUE"""),2.020013E7)</f>
        <v>20200130</v>
      </c>
      <c r="C102" s="19">
        <f>IFERROR(__xludf.DUMMYFUNCTION("""COMPUTED_VALUE"""),0.4382523148148148)</f>
        <v>0.4382523148</v>
      </c>
      <c r="D102">
        <f>IFERROR(__xludf.DUMMYFUNCTION("""COMPUTED_VALUE"""),322.56)</f>
        <v>322.56</v>
      </c>
      <c r="E102">
        <f>IFERROR(__xludf.DUMMYFUNCTION("""COMPUTED_VALUE"""),8361039.0)</f>
        <v>8361039</v>
      </c>
      <c r="F102" s="6" t="str">
        <f>IFERROR(__xludf.DUMMYFUNCTION("""COMPUTED_VALUE"""),"EST")</f>
        <v>EST</v>
      </c>
      <c r="G102">
        <f>IFERROR(__xludf.DUMMYFUNCTION("""COMPUTED_VALUE"""),-18000.0)</f>
        <v>-18000</v>
      </c>
    </row>
    <row r="103">
      <c r="A103" s="6" t="str">
        <f>IFERROR(__xludf.DUMMYFUNCTION("""COMPUTED_VALUE"""),"AAPL")</f>
        <v>AAPL</v>
      </c>
      <c r="B103">
        <f>IFERROR(__xludf.DUMMYFUNCTION("""COMPUTED_VALUE"""),2.020013E7)</f>
        <v>20200130</v>
      </c>
      <c r="C103" s="19">
        <f>IFERROR(__xludf.DUMMYFUNCTION("""COMPUTED_VALUE"""),0.4368518518518518)</f>
        <v>0.4368518519</v>
      </c>
      <c r="D103">
        <f>IFERROR(__xludf.DUMMYFUNCTION("""COMPUTED_VALUE"""),322.89)</f>
        <v>322.89</v>
      </c>
      <c r="E103">
        <f>IFERROR(__xludf.DUMMYFUNCTION("""COMPUTED_VALUE"""),8120705.0)</f>
        <v>8120705</v>
      </c>
      <c r="F103" s="6" t="str">
        <f>IFERROR(__xludf.DUMMYFUNCTION("""COMPUTED_VALUE"""),"EST")</f>
        <v>EST</v>
      </c>
      <c r="G103">
        <f>IFERROR(__xludf.DUMMYFUNCTION("""COMPUTED_VALUE"""),-18000.0)</f>
        <v>-18000</v>
      </c>
    </row>
    <row r="104">
      <c r="A104" s="6" t="str">
        <f>IFERROR(__xludf.DUMMYFUNCTION("""COMPUTED_VALUE"""),"AAPL")</f>
        <v>AAPL</v>
      </c>
      <c r="B104">
        <f>IFERROR(__xludf.DUMMYFUNCTION("""COMPUTED_VALUE"""),2.020013E7)</f>
        <v>20200130</v>
      </c>
      <c r="C104" s="19">
        <f>IFERROR(__xludf.DUMMYFUNCTION("""COMPUTED_VALUE"""),0.43605324074074076)</f>
        <v>0.4360532407</v>
      </c>
      <c r="D104">
        <f>IFERROR(__xludf.DUMMYFUNCTION("""COMPUTED_VALUE"""),322.78)</f>
        <v>322.78</v>
      </c>
      <c r="E104">
        <f>IFERROR(__xludf.DUMMYFUNCTION("""COMPUTED_VALUE"""),8062024.0)</f>
        <v>8062024</v>
      </c>
      <c r="F104" s="6" t="str">
        <f>IFERROR(__xludf.DUMMYFUNCTION("""COMPUTED_VALUE"""),"EST")</f>
        <v>EST</v>
      </c>
      <c r="G104">
        <f>IFERROR(__xludf.DUMMYFUNCTION("""COMPUTED_VALUE"""),-18000.0)</f>
        <v>-18000</v>
      </c>
    </row>
    <row r="105">
      <c r="A105" s="6" t="str">
        <f>IFERROR(__xludf.DUMMYFUNCTION("""COMPUTED_VALUE"""),"AAPL")</f>
        <v>AAPL</v>
      </c>
      <c r="B105">
        <f>IFERROR(__xludf.DUMMYFUNCTION("""COMPUTED_VALUE"""),2.020013E7)</f>
        <v>20200130</v>
      </c>
      <c r="C105" s="19">
        <f>IFERROR(__xludf.DUMMYFUNCTION("""COMPUTED_VALUE"""),0.43502314814814813)</f>
        <v>0.4350231481</v>
      </c>
      <c r="D105">
        <f>IFERROR(__xludf.DUMMYFUNCTION("""COMPUTED_VALUE"""),322.53)</f>
        <v>322.53</v>
      </c>
      <c r="E105">
        <f>IFERROR(__xludf.DUMMYFUNCTION("""COMPUTED_VALUE"""),8001105.0)</f>
        <v>8001105</v>
      </c>
      <c r="F105" s="6" t="str">
        <f>IFERROR(__xludf.DUMMYFUNCTION("""COMPUTED_VALUE"""),"EST")</f>
        <v>EST</v>
      </c>
      <c r="G105">
        <f>IFERROR(__xludf.DUMMYFUNCTION("""COMPUTED_VALUE"""),-18000.0)</f>
        <v>-18000</v>
      </c>
    </row>
    <row r="106">
      <c r="A106" s="6" t="str">
        <f>IFERROR(__xludf.DUMMYFUNCTION("""COMPUTED_VALUE"""),"AAPL")</f>
        <v>AAPL</v>
      </c>
      <c r="B106">
        <f>IFERROR(__xludf.DUMMYFUNCTION("""COMPUTED_VALUE"""),2.020013E7)</f>
        <v>20200130</v>
      </c>
      <c r="C106" s="19">
        <f>IFERROR(__xludf.DUMMYFUNCTION("""COMPUTED_VALUE"""),0.4333796296296296)</f>
        <v>0.4333796296</v>
      </c>
      <c r="D106">
        <f>IFERROR(__xludf.DUMMYFUNCTION("""COMPUTED_VALUE"""),322.74)</f>
        <v>322.74</v>
      </c>
      <c r="E106">
        <f>IFERROR(__xludf.DUMMYFUNCTION("""COMPUTED_VALUE"""),7848384.0)</f>
        <v>7848384</v>
      </c>
      <c r="F106" s="6" t="str">
        <f>IFERROR(__xludf.DUMMYFUNCTION("""COMPUTED_VALUE"""),"EST")</f>
        <v>EST</v>
      </c>
      <c r="G106">
        <f>IFERROR(__xludf.DUMMYFUNCTION("""COMPUTED_VALUE"""),-18000.0)</f>
        <v>-18000</v>
      </c>
    </row>
    <row r="107">
      <c r="A107" s="6" t="str">
        <f>IFERROR(__xludf.DUMMYFUNCTION("""COMPUTED_VALUE"""),"AAPL")</f>
        <v>AAPL</v>
      </c>
      <c r="B107">
        <f>IFERROR(__xludf.DUMMYFUNCTION("""COMPUTED_VALUE"""),2.020013E7)</f>
        <v>20200130</v>
      </c>
      <c r="C107" s="19">
        <f>IFERROR(__xludf.DUMMYFUNCTION("""COMPUTED_VALUE"""),0.43291666666666667)</f>
        <v>0.4329166667</v>
      </c>
      <c r="D107">
        <f>IFERROR(__xludf.DUMMYFUNCTION("""COMPUTED_VALUE"""),322.83)</f>
        <v>322.83</v>
      </c>
      <c r="E107">
        <f>IFERROR(__xludf.DUMMYFUNCTION("""COMPUTED_VALUE"""),7799911.0)</f>
        <v>7799911</v>
      </c>
      <c r="F107" s="6" t="str">
        <f>IFERROR(__xludf.DUMMYFUNCTION("""COMPUTED_VALUE"""),"EST")</f>
        <v>EST</v>
      </c>
      <c r="G107">
        <f>IFERROR(__xludf.DUMMYFUNCTION("""COMPUTED_VALUE"""),-18000.0)</f>
        <v>-18000</v>
      </c>
    </row>
    <row r="108">
      <c r="A108" s="6" t="str">
        <f>IFERROR(__xludf.DUMMYFUNCTION("""COMPUTED_VALUE"""),"AAPL")</f>
        <v>AAPL</v>
      </c>
      <c r="B108">
        <f>IFERROR(__xludf.DUMMYFUNCTION("""COMPUTED_VALUE"""),2.020013E7)</f>
        <v>20200130</v>
      </c>
      <c r="C108" s="19">
        <f>IFERROR(__xludf.DUMMYFUNCTION("""COMPUTED_VALUE"""),0.43201388888888886)</f>
        <v>0.4320138889</v>
      </c>
      <c r="D108">
        <f>IFERROR(__xludf.DUMMYFUNCTION("""COMPUTED_VALUE"""),322.66)</f>
        <v>322.66</v>
      </c>
      <c r="E108">
        <f>IFERROR(__xludf.DUMMYFUNCTION("""COMPUTED_VALUE"""),7705899.0)</f>
        <v>7705899</v>
      </c>
      <c r="F108" s="6" t="str">
        <f>IFERROR(__xludf.DUMMYFUNCTION("""COMPUTED_VALUE"""),"EST")</f>
        <v>EST</v>
      </c>
      <c r="G108">
        <f>IFERROR(__xludf.DUMMYFUNCTION("""COMPUTED_VALUE"""),-18000.0)</f>
        <v>-18000</v>
      </c>
    </row>
    <row r="109">
      <c r="A109" s="6" t="str">
        <f>IFERROR(__xludf.DUMMYFUNCTION("""COMPUTED_VALUE"""),"AAPL")</f>
        <v>AAPL</v>
      </c>
      <c r="B109">
        <f>IFERROR(__xludf.DUMMYFUNCTION("""COMPUTED_VALUE"""),2.020013E7)</f>
        <v>20200130</v>
      </c>
      <c r="C109" s="19">
        <f>IFERROR(__xludf.DUMMYFUNCTION("""COMPUTED_VALUE"""),0.4312962962962963)</f>
        <v>0.4312962963</v>
      </c>
      <c r="D109">
        <f>IFERROR(__xludf.DUMMYFUNCTION("""COMPUTED_VALUE"""),322.69)</f>
        <v>322.69</v>
      </c>
      <c r="E109">
        <f>IFERROR(__xludf.DUMMYFUNCTION("""COMPUTED_VALUE"""),7629478.0)</f>
        <v>7629478</v>
      </c>
      <c r="F109" s="6" t="str">
        <f>IFERROR(__xludf.DUMMYFUNCTION("""COMPUTED_VALUE"""),"EST")</f>
        <v>EST</v>
      </c>
      <c r="G109">
        <f>IFERROR(__xludf.DUMMYFUNCTION("""COMPUTED_VALUE"""),-18000.0)</f>
        <v>-18000</v>
      </c>
    </row>
    <row r="110">
      <c r="A110" s="6" t="str">
        <f>IFERROR(__xludf.DUMMYFUNCTION("""COMPUTED_VALUE"""),"AAPL")</f>
        <v>AAPL</v>
      </c>
      <c r="B110">
        <f>IFERROR(__xludf.DUMMYFUNCTION("""COMPUTED_VALUE"""),2.020013E7)</f>
        <v>20200130</v>
      </c>
      <c r="C110" s="19">
        <f>IFERROR(__xludf.DUMMYFUNCTION("""COMPUTED_VALUE"""),0.42993055555555554)</f>
        <v>0.4299305556</v>
      </c>
      <c r="D110">
        <f>IFERROR(__xludf.DUMMYFUNCTION("""COMPUTED_VALUE"""),322.69)</f>
        <v>322.69</v>
      </c>
      <c r="E110">
        <f>IFERROR(__xludf.DUMMYFUNCTION("""COMPUTED_VALUE"""),7486249.0)</f>
        <v>7486249</v>
      </c>
      <c r="F110" s="6" t="str">
        <f>IFERROR(__xludf.DUMMYFUNCTION("""COMPUTED_VALUE"""),"EST")</f>
        <v>EST</v>
      </c>
      <c r="G110">
        <f>IFERROR(__xludf.DUMMYFUNCTION("""COMPUTED_VALUE"""),-18000.0)</f>
        <v>-18000</v>
      </c>
    </row>
    <row r="111">
      <c r="A111" s="6" t="str">
        <f>IFERROR(__xludf.DUMMYFUNCTION("""COMPUTED_VALUE"""),"AAPL")</f>
        <v>AAPL</v>
      </c>
      <c r="B111">
        <f>IFERROR(__xludf.DUMMYFUNCTION("""COMPUTED_VALUE"""),2.020013E7)</f>
        <v>20200130</v>
      </c>
      <c r="C111" s="19">
        <f>IFERROR(__xludf.DUMMYFUNCTION("""COMPUTED_VALUE"""),0.4296527777777778)</f>
        <v>0.4296527778</v>
      </c>
      <c r="D111">
        <f>IFERROR(__xludf.DUMMYFUNCTION("""COMPUTED_VALUE"""),322.82)</f>
        <v>322.82</v>
      </c>
      <c r="E111">
        <f>IFERROR(__xludf.DUMMYFUNCTION("""COMPUTED_VALUE"""),7449644.0)</f>
        <v>7449644</v>
      </c>
      <c r="F111" s="6" t="str">
        <f>IFERROR(__xludf.DUMMYFUNCTION("""COMPUTED_VALUE"""),"EST")</f>
        <v>EST</v>
      </c>
      <c r="G111">
        <f>IFERROR(__xludf.DUMMYFUNCTION("""COMPUTED_VALUE"""),-18000.0)</f>
        <v>-18000</v>
      </c>
    </row>
    <row r="112">
      <c r="A112" s="6" t="str">
        <f>IFERROR(__xludf.DUMMYFUNCTION("""COMPUTED_VALUE"""),"AAPL")</f>
        <v>AAPL</v>
      </c>
      <c r="B112" s="6">
        <f>IFERROR(__xludf.DUMMYFUNCTION("""COMPUTED_VALUE"""),2.020013E7)</f>
        <v>20200130</v>
      </c>
      <c r="C112" s="18">
        <f>IFERROR(__xludf.DUMMYFUNCTION("""COMPUTED_VALUE"""),0.4285300925925926)</f>
        <v>0.4285300926</v>
      </c>
      <c r="D112" s="6">
        <f>IFERROR(__xludf.DUMMYFUNCTION("""COMPUTED_VALUE"""),322.79)</f>
        <v>322.79</v>
      </c>
      <c r="E112" s="6">
        <f>IFERROR(__xludf.DUMMYFUNCTION("""COMPUTED_VALUE"""),7350062.0)</f>
        <v>7350062</v>
      </c>
      <c r="F112" s="6" t="str">
        <f>IFERROR(__xludf.DUMMYFUNCTION("""COMPUTED_VALUE"""),"EST")</f>
        <v>EST</v>
      </c>
      <c r="G112" s="6">
        <f>IFERROR(__xludf.DUMMYFUNCTION("""COMPUTED_VALUE"""),-18000.0)</f>
        <v>-18000</v>
      </c>
    </row>
    <row r="113">
      <c r="A113" s="6" t="str">
        <f>IFERROR(__xludf.DUMMYFUNCTION("""COMPUTED_VALUE"""),"AAPL")</f>
        <v>AAPL</v>
      </c>
      <c r="B113" s="6">
        <f>IFERROR(__xludf.DUMMYFUNCTION("""COMPUTED_VALUE"""),2.020013E7)</f>
        <v>20200130</v>
      </c>
      <c r="C113" s="18">
        <f>IFERROR(__xludf.DUMMYFUNCTION("""COMPUTED_VALUE"""),0.4278356481481482)</f>
        <v>0.4278356481</v>
      </c>
      <c r="D113" s="6">
        <f>IFERROR(__xludf.DUMMYFUNCTION("""COMPUTED_VALUE"""),323.11)</f>
        <v>323.11</v>
      </c>
      <c r="E113" s="6">
        <f>IFERROR(__xludf.DUMMYFUNCTION("""COMPUTED_VALUE"""),7219855.0)</f>
        <v>7219855</v>
      </c>
      <c r="F113" s="6" t="str">
        <f>IFERROR(__xludf.DUMMYFUNCTION("""COMPUTED_VALUE"""),"EST")</f>
        <v>EST</v>
      </c>
      <c r="G113" s="6">
        <f>IFERROR(__xludf.DUMMYFUNCTION("""COMPUTED_VALUE"""),-18000.0)</f>
        <v>-18000</v>
      </c>
    </row>
    <row r="114">
      <c r="A114" s="6" t="str">
        <f>IFERROR(__xludf.DUMMYFUNCTION("""COMPUTED_VALUE"""),"AAPL")</f>
        <v>AAPL</v>
      </c>
      <c r="B114" s="6">
        <f>IFERROR(__xludf.DUMMYFUNCTION("""COMPUTED_VALUE"""),2.020013E7)</f>
        <v>20200130</v>
      </c>
      <c r="C114" s="18">
        <f>IFERROR(__xludf.DUMMYFUNCTION("""COMPUTED_VALUE"""),0.4273958333333333)</f>
        <v>0.4273958333</v>
      </c>
      <c r="D114" s="6">
        <f>IFERROR(__xludf.DUMMYFUNCTION("""COMPUTED_VALUE"""),323.29)</f>
        <v>323.29</v>
      </c>
      <c r="E114" s="6">
        <f>IFERROR(__xludf.DUMMYFUNCTION("""COMPUTED_VALUE"""),7117704.0)</f>
        <v>7117704</v>
      </c>
      <c r="F114" s="6" t="str">
        <f>IFERROR(__xludf.DUMMYFUNCTION("""COMPUTED_VALUE"""),"EST")</f>
        <v>EST</v>
      </c>
      <c r="G114" s="6">
        <f>IFERROR(__xludf.DUMMYFUNCTION("""COMPUTED_VALUE"""),-18000.0)</f>
        <v>-18000</v>
      </c>
    </row>
    <row r="115">
      <c r="A115" s="6" t="str">
        <f>IFERROR(__xludf.DUMMYFUNCTION("""COMPUTED_VALUE"""),"AAPL")</f>
        <v>AAPL</v>
      </c>
      <c r="B115" s="6">
        <f>IFERROR(__xludf.DUMMYFUNCTION("""COMPUTED_VALUE"""),2.020013E7)</f>
        <v>20200130</v>
      </c>
      <c r="C115" s="18">
        <f>IFERROR(__xludf.DUMMYFUNCTION("""COMPUTED_VALUE"""),0.42641203703703706)</f>
        <v>0.426412037</v>
      </c>
      <c r="D115" s="6">
        <f>IFERROR(__xludf.DUMMYFUNCTION("""COMPUTED_VALUE"""),323.25)</f>
        <v>323.25</v>
      </c>
      <c r="E115" s="6">
        <f>IFERROR(__xludf.DUMMYFUNCTION("""COMPUTED_VALUE"""),6983093.0)</f>
        <v>6983093</v>
      </c>
      <c r="F115" s="6" t="str">
        <f>IFERROR(__xludf.DUMMYFUNCTION("""COMPUTED_VALUE"""),"EST")</f>
        <v>EST</v>
      </c>
      <c r="G115" s="6">
        <f>IFERROR(__xludf.DUMMYFUNCTION("""COMPUTED_VALUE"""),-18000.0)</f>
        <v>-18000</v>
      </c>
    </row>
    <row r="116">
      <c r="A116" s="6" t="str">
        <f>IFERROR(__xludf.DUMMYFUNCTION("""COMPUTED_VALUE"""),"AAPL")</f>
        <v>AAPL</v>
      </c>
      <c r="B116" s="6">
        <f>IFERROR(__xludf.DUMMYFUNCTION("""COMPUTED_VALUE"""),2.020013E7)</f>
        <v>20200130</v>
      </c>
      <c r="C116" s="18">
        <f>IFERROR(__xludf.DUMMYFUNCTION("""COMPUTED_VALUE"""),0.425625)</f>
        <v>0.425625</v>
      </c>
      <c r="D116" s="6">
        <f>IFERROR(__xludf.DUMMYFUNCTION("""COMPUTED_VALUE"""),323.09)</f>
        <v>323.09</v>
      </c>
      <c r="E116" s="6">
        <f>IFERROR(__xludf.DUMMYFUNCTION("""COMPUTED_VALUE"""),6870705.0)</f>
        <v>6870705</v>
      </c>
      <c r="F116" s="6" t="str">
        <f>IFERROR(__xludf.DUMMYFUNCTION("""COMPUTED_VALUE"""),"EST")</f>
        <v>EST</v>
      </c>
      <c r="G116" s="6">
        <f>IFERROR(__xludf.DUMMYFUNCTION("""COMPUTED_VALUE"""),-18000.0)</f>
        <v>-18000</v>
      </c>
    </row>
    <row r="117">
      <c r="A117" s="6" t="str">
        <f>IFERROR(__xludf.DUMMYFUNCTION("""COMPUTED_VALUE"""),"AAPL")</f>
        <v>AAPL</v>
      </c>
      <c r="B117" s="6">
        <f>IFERROR(__xludf.DUMMYFUNCTION("""COMPUTED_VALUE"""),2.020013E7)</f>
        <v>20200130</v>
      </c>
      <c r="C117" s="18">
        <f>IFERROR(__xludf.DUMMYFUNCTION("""COMPUTED_VALUE"""),0.42493055555555553)</f>
        <v>0.4249305556</v>
      </c>
      <c r="D117" s="6">
        <f>IFERROR(__xludf.DUMMYFUNCTION("""COMPUTED_VALUE"""),323.47)</f>
        <v>323.47</v>
      </c>
      <c r="E117" s="6">
        <f>IFERROR(__xludf.DUMMYFUNCTION("""COMPUTED_VALUE"""),6689900.0)</f>
        <v>6689900</v>
      </c>
      <c r="F117" s="6" t="str">
        <f>IFERROR(__xludf.DUMMYFUNCTION("""COMPUTED_VALUE"""),"EST")</f>
        <v>EST</v>
      </c>
      <c r="G117" s="6">
        <f>IFERROR(__xludf.DUMMYFUNCTION("""COMPUTED_VALUE"""),-18000.0)</f>
        <v>-18000</v>
      </c>
    </row>
    <row r="118">
      <c r="A118" s="6" t="str">
        <f>IFERROR(__xludf.DUMMYFUNCTION("""COMPUTED_VALUE"""),"AAPL")</f>
        <v>AAPL</v>
      </c>
      <c r="B118" s="6">
        <f>IFERROR(__xludf.DUMMYFUNCTION("""COMPUTED_VALUE"""),2.020013E7)</f>
        <v>20200130</v>
      </c>
      <c r="C118" s="18">
        <f>IFERROR(__xludf.DUMMYFUNCTION("""COMPUTED_VALUE"""),0.4240277777777778)</f>
        <v>0.4240277778</v>
      </c>
      <c r="D118" s="6">
        <f>IFERROR(__xludf.DUMMYFUNCTION("""COMPUTED_VALUE"""),323.43)</f>
        <v>323.43</v>
      </c>
      <c r="E118" s="6">
        <f>IFERROR(__xludf.DUMMYFUNCTION("""COMPUTED_VALUE"""),6561972.0)</f>
        <v>6561972</v>
      </c>
      <c r="F118" s="6" t="str">
        <f>IFERROR(__xludf.DUMMYFUNCTION("""COMPUTED_VALUE"""),"EST")</f>
        <v>EST</v>
      </c>
      <c r="G118" s="6">
        <f>IFERROR(__xludf.DUMMYFUNCTION("""COMPUTED_VALUE"""),-18000.0)</f>
        <v>-18000</v>
      </c>
    </row>
    <row r="119">
      <c r="A119" s="6" t="str">
        <f>IFERROR(__xludf.DUMMYFUNCTION("""COMPUTED_VALUE"""),"AAPL")</f>
        <v>AAPL</v>
      </c>
      <c r="B119" s="6">
        <f>IFERROR(__xludf.DUMMYFUNCTION("""COMPUTED_VALUE"""),2.020013E7)</f>
        <v>20200130</v>
      </c>
      <c r="C119" s="18">
        <f>IFERROR(__xludf.DUMMYFUNCTION("""COMPUTED_VALUE"""),0.42290509259259257)</f>
        <v>0.4229050926</v>
      </c>
      <c r="D119" s="6">
        <f>IFERROR(__xludf.DUMMYFUNCTION("""COMPUTED_VALUE"""),323.28)</f>
        <v>323.28</v>
      </c>
      <c r="E119" s="6">
        <f>IFERROR(__xludf.DUMMYFUNCTION("""COMPUTED_VALUE"""),6381553.0)</f>
        <v>6381553</v>
      </c>
      <c r="F119" s="6" t="str">
        <f>IFERROR(__xludf.DUMMYFUNCTION("""COMPUTED_VALUE"""),"EST")</f>
        <v>EST</v>
      </c>
      <c r="G119" s="6">
        <f>IFERROR(__xludf.DUMMYFUNCTION("""COMPUTED_VALUE"""),-18000.0)</f>
        <v>-18000</v>
      </c>
    </row>
    <row r="120">
      <c r="A120" s="6" t="str">
        <f>IFERROR(__xludf.DUMMYFUNCTION("""COMPUTED_VALUE"""),"AAPL")</f>
        <v>AAPL</v>
      </c>
      <c r="B120" s="6">
        <f>IFERROR(__xludf.DUMMYFUNCTION("""COMPUTED_VALUE"""),2.020013E7)</f>
        <v>20200130</v>
      </c>
      <c r="C120" s="18">
        <f>IFERROR(__xludf.DUMMYFUNCTION("""COMPUTED_VALUE"""),0.42277777777777775)</f>
        <v>0.4227777778</v>
      </c>
      <c r="D120" s="6">
        <f>IFERROR(__xludf.DUMMYFUNCTION("""COMPUTED_VALUE"""),323.23)</f>
        <v>323.23</v>
      </c>
      <c r="E120" s="6">
        <f>IFERROR(__xludf.DUMMYFUNCTION("""COMPUTED_VALUE"""),6362609.0)</f>
        <v>6362609</v>
      </c>
      <c r="F120" s="6" t="str">
        <f>IFERROR(__xludf.DUMMYFUNCTION("""COMPUTED_VALUE"""),"EST")</f>
        <v>EST</v>
      </c>
      <c r="G120" s="6">
        <f>IFERROR(__xludf.DUMMYFUNCTION("""COMPUTED_VALUE"""),-18000.0)</f>
        <v>-18000</v>
      </c>
    </row>
    <row r="121">
      <c r="A121" s="6" t="str">
        <f>IFERROR(__xludf.DUMMYFUNCTION("""COMPUTED_VALUE"""),"AAPL")</f>
        <v>AAPL</v>
      </c>
      <c r="B121" s="6">
        <f>IFERROR(__xludf.DUMMYFUNCTION("""COMPUTED_VALUE"""),2.020013E7)</f>
        <v>20200130</v>
      </c>
      <c r="C121" s="18">
        <f>IFERROR(__xludf.DUMMYFUNCTION("""COMPUTED_VALUE"""),0.4215740740740741)</f>
        <v>0.4215740741</v>
      </c>
      <c r="D121" s="6">
        <f>IFERROR(__xludf.DUMMYFUNCTION("""COMPUTED_VALUE"""),323.13)</f>
        <v>323.13</v>
      </c>
      <c r="E121" s="6">
        <f>IFERROR(__xludf.DUMMYFUNCTION("""COMPUTED_VALUE"""),6190837.0)</f>
        <v>6190837</v>
      </c>
      <c r="F121" s="6" t="str">
        <f>IFERROR(__xludf.DUMMYFUNCTION("""COMPUTED_VALUE"""),"EST")</f>
        <v>EST</v>
      </c>
      <c r="G121" s="6">
        <f>IFERROR(__xludf.DUMMYFUNCTION("""COMPUTED_VALUE"""),-18000.0)</f>
        <v>-18000</v>
      </c>
    </row>
    <row r="122">
      <c r="A122" s="6" t="str">
        <f>IFERROR(__xludf.DUMMYFUNCTION("""COMPUTED_VALUE"""),"AAPL")</f>
        <v>AAPL</v>
      </c>
      <c r="B122" s="6">
        <f>IFERROR(__xludf.DUMMYFUNCTION("""COMPUTED_VALUE"""),2.020013E7)</f>
        <v>20200130</v>
      </c>
      <c r="C122" s="18">
        <f>IFERROR(__xludf.DUMMYFUNCTION("""COMPUTED_VALUE"""),0.42085648148148147)</f>
        <v>0.4208564815</v>
      </c>
      <c r="D122" s="6">
        <f>IFERROR(__xludf.DUMMYFUNCTION("""COMPUTED_VALUE"""),322.86)</f>
        <v>322.86</v>
      </c>
      <c r="E122" s="6">
        <f>IFERROR(__xludf.DUMMYFUNCTION("""COMPUTED_VALUE"""),6099339.0)</f>
        <v>6099339</v>
      </c>
      <c r="F122" s="6" t="str">
        <f>IFERROR(__xludf.DUMMYFUNCTION("""COMPUTED_VALUE"""),"EST")</f>
        <v>EST</v>
      </c>
      <c r="G122" s="6">
        <f>IFERROR(__xludf.DUMMYFUNCTION("""COMPUTED_VALUE"""),-18000.0)</f>
        <v>-18000</v>
      </c>
    </row>
    <row r="123">
      <c r="A123" s="6" t="str">
        <f>IFERROR(__xludf.DUMMYFUNCTION("""COMPUTED_VALUE"""),"AAPL")</f>
        <v>AAPL</v>
      </c>
      <c r="B123" s="6">
        <f>IFERROR(__xludf.DUMMYFUNCTION("""COMPUTED_VALUE"""),2.020013E7)</f>
        <v>20200130</v>
      </c>
      <c r="C123" s="18">
        <f>IFERROR(__xludf.DUMMYFUNCTION("""COMPUTED_VALUE"""),0.4194560185185185)</f>
        <v>0.4194560185</v>
      </c>
      <c r="D123" s="6">
        <f>IFERROR(__xludf.DUMMYFUNCTION("""COMPUTED_VALUE"""),322.45)</f>
        <v>322.45</v>
      </c>
      <c r="E123" s="6">
        <f>IFERROR(__xludf.DUMMYFUNCTION("""COMPUTED_VALUE"""),5789319.0)</f>
        <v>5789319</v>
      </c>
      <c r="F123" s="6" t="str">
        <f>IFERROR(__xludf.DUMMYFUNCTION("""COMPUTED_VALUE"""),"EST")</f>
        <v>EST</v>
      </c>
      <c r="G123" s="6">
        <f>IFERROR(__xludf.DUMMYFUNCTION("""COMPUTED_VALUE"""),-18000.0)</f>
        <v>-18000</v>
      </c>
    </row>
    <row r="124">
      <c r="A124" s="6" t="str">
        <f>IFERROR(__xludf.DUMMYFUNCTION("""COMPUTED_VALUE"""),"AAPL")</f>
        <v>AAPL</v>
      </c>
      <c r="B124" s="6">
        <f>IFERROR(__xludf.DUMMYFUNCTION("""COMPUTED_VALUE"""),2.020013E7)</f>
        <v>20200130</v>
      </c>
      <c r="C124" s="18">
        <f>IFERROR(__xludf.DUMMYFUNCTION("""COMPUTED_VALUE"""),0.41880787037037037)</f>
        <v>0.4188078704</v>
      </c>
      <c r="D124" s="6">
        <f>IFERROR(__xludf.DUMMYFUNCTION("""COMPUTED_VALUE"""),322.47)</f>
        <v>322.47</v>
      </c>
      <c r="E124" s="6">
        <f>IFERROR(__xludf.DUMMYFUNCTION("""COMPUTED_VALUE"""),5726294.0)</f>
        <v>5726294</v>
      </c>
      <c r="F124" s="6" t="str">
        <f>IFERROR(__xludf.DUMMYFUNCTION("""COMPUTED_VALUE"""),"EST")</f>
        <v>EST</v>
      </c>
      <c r="G124" s="6">
        <f>IFERROR(__xludf.DUMMYFUNCTION("""COMPUTED_VALUE"""),-18000.0)</f>
        <v>-18000</v>
      </c>
    </row>
    <row r="125">
      <c r="A125" s="6" t="str">
        <f>IFERROR(__xludf.DUMMYFUNCTION("""COMPUTED_VALUE"""),"AAPL")</f>
        <v>AAPL</v>
      </c>
      <c r="B125" s="6">
        <f>IFERROR(__xludf.DUMMYFUNCTION("""COMPUTED_VALUE"""),2.020013E7)</f>
        <v>20200130</v>
      </c>
      <c r="C125" s="18">
        <f>IFERROR(__xludf.DUMMYFUNCTION("""COMPUTED_VALUE"""),0.4180671296296296)</f>
        <v>0.4180671296</v>
      </c>
      <c r="D125" s="6">
        <f>IFERROR(__xludf.DUMMYFUNCTION("""COMPUTED_VALUE"""),322.5)</f>
        <v>322.5</v>
      </c>
      <c r="E125" s="6">
        <f>IFERROR(__xludf.DUMMYFUNCTION("""COMPUTED_VALUE"""),5629600.0)</f>
        <v>5629600</v>
      </c>
      <c r="F125" s="6" t="str">
        <f>IFERROR(__xludf.DUMMYFUNCTION("""COMPUTED_VALUE"""),"EST")</f>
        <v>EST</v>
      </c>
      <c r="G125" s="6">
        <f>IFERROR(__xludf.DUMMYFUNCTION("""COMPUTED_VALUE"""),-18000.0)</f>
        <v>-18000</v>
      </c>
    </row>
    <row r="126">
      <c r="A126" s="6" t="str">
        <f>IFERROR(__xludf.DUMMYFUNCTION("""COMPUTED_VALUE"""),"AAPL")</f>
        <v>AAPL</v>
      </c>
      <c r="B126" s="6">
        <f>IFERROR(__xludf.DUMMYFUNCTION("""COMPUTED_VALUE"""),2.020013E7)</f>
        <v>20200130</v>
      </c>
      <c r="C126" s="18">
        <f>IFERROR(__xludf.DUMMYFUNCTION("""COMPUTED_VALUE"""),0.41739583333333335)</f>
        <v>0.4173958333</v>
      </c>
      <c r="D126" s="6">
        <f>IFERROR(__xludf.DUMMYFUNCTION("""COMPUTED_VALUE"""),322.48)</f>
        <v>322.48</v>
      </c>
      <c r="E126" s="6">
        <f>IFERROR(__xludf.DUMMYFUNCTION("""COMPUTED_VALUE"""),5576251.0)</f>
        <v>5576251</v>
      </c>
      <c r="F126" s="6" t="str">
        <f>IFERROR(__xludf.DUMMYFUNCTION("""COMPUTED_VALUE"""),"EST")</f>
        <v>EST</v>
      </c>
      <c r="G126" s="6">
        <f>IFERROR(__xludf.DUMMYFUNCTION("""COMPUTED_VALUE"""),-18000.0)</f>
        <v>-18000</v>
      </c>
    </row>
    <row r="127">
      <c r="A127" s="6" t="str">
        <f>IFERROR(__xludf.DUMMYFUNCTION("""COMPUTED_VALUE"""),"AAPL")</f>
        <v>AAPL</v>
      </c>
      <c r="B127" s="6">
        <f>IFERROR(__xludf.DUMMYFUNCTION("""COMPUTED_VALUE"""),2.020013E7)</f>
        <v>20200130</v>
      </c>
      <c r="C127" s="18">
        <f>IFERROR(__xludf.DUMMYFUNCTION("""COMPUTED_VALUE"""),0.4160185185185185)</f>
        <v>0.4160185185</v>
      </c>
      <c r="D127" s="6">
        <f>IFERROR(__xludf.DUMMYFUNCTION("""COMPUTED_VALUE"""),322.4)</f>
        <v>322.4</v>
      </c>
      <c r="E127" s="6">
        <f>IFERROR(__xludf.DUMMYFUNCTION("""COMPUTED_VALUE"""),5369124.0)</f>
        <v>5369124</v>
      </c>
      <c r="F127" s="6" t="str">
        <f>IFERROR(__xludf.DUMMYFUNCTION("""COMPUTED_VALUE"""),"EST")</f>
        <v>EST</v>
      </c>
      <c r="G127" s="6">
        <f>IFERROR(__xludf.DUMMYFUNCTION("""COMPUTED_VALUE"""),-18000.0)</f>
        <v>-18000</v>
      </c>
    </row>
    <row r="128">
      <c r="A128" s="6" t="str">
        <f>IFERROR(__xludf.DUMMYFUNCTION("""COMPUTED_VALUE"""),"AAPL")</f>
        <v>AAPL</v>
      </c>
      <c r="B128" s="6">
        <f>IFERROR(__xludf.DUMMYFUNCTION("""COMPUTED_VALUE"""),2.020013E7)</f>
        <v>20200130</v>
      </c>
      <c r="C128" s="18">
        <f>IFERROR(__xludf.DUMMYFUNCTION("""COMPUTED_VALUE"""),0.41553240740740743)</f>
        <v>0.4155324074</v>
      </c>
      <c r="D128" s="6">
        <f>IFERROR(__xludf.DUMMYFUNCTION("""COMPUTED_VALUE"""),322.31)</f>
        <v>322.31</v>
      </c>
      <c r="E128" s="6">
        <f>IFERROR(__xludf.DUMMYFUNCTION("""COMPUTED_VALUE"""),5324460.0)</f>
        <v>5324460</v>
      </c>
      <c r="F128" s="6" t="str">
        <f>IFERROR(__xludf.DUMMYFUNCTION("""COMPUTED_VALUE"""),"EST")</f>
        <v>EST</v>
      </c>
      <c r="G128" s="6">
        <f>IFERROR(__xludf.DUMMYFUNCTION("""COMPUTED_VALUE"""),-18000.0)</f>
        <v>-18000</v>
      </c>
    </row>
    <row r="129">
      <c r="A129" s="6" t="str">
        <f>IFERROR(__xludf.DUMMYFUNCTION("""COMPUTED_VALUE"""),"AAPL")</f>
        <v>AAPL</v>
      </c>
      <c r="B129" s="6">
        <f>IFERROR(__xludf.DUMMYFUNCTION("""COMPUTED_VALUE"""),2.020013E7)</f>
        <v>20200130</v>
      </c>
      <c r="C129" s="18">
        <f>IFERROR(__xludf.DUMMYFUNCTION("""COMPUTED_VALUE"""),0.4144675925925926)</f>
        <v>0.4144675926</v>
      </c>
      <c r="D129" s="6">
        <f>IFERROR(__xludf.DUMMYFUNCTION("""COMPUTED_VALUE"""),322.54)</f>
        <v>322.54</v>
      </c>
      <c r="E129" s="6">
        <f>IFERROR(__xludf.DUMMYFUNCTION("""COMPUTED_VALUE"""),5197739.0)</f>
        <v>5197739</v>
      </c>
      <c r="F129" s="6" t="str">
        <f>IFERROR(__xludf.DUMMYFUNCTION("""COMPUTED_VALUE"""),"EST")</f>
        <v>EST</v>
      </c>
      <c r="G129" s="6">
        <f>IFERROR(__xludf.DUMMYFUNCTION("""COMPUTED_VALUE"""),-18000.0)</f>
        <v>-18000</v>
      </c>
    </row>
    <row r="130">
      <c r="A130" s="6" t="str">
        <f>IFERROR(__xludf.DUMMYFUNCTION("""COMPUTED_VALUE"""),"AAPL")</f>
        <v>AAPL</v>
      </c>
      <c r="B130" s="6">
        <f>IFERROR(__xludf.DUMMYFUNCTION("""COMPUTED_VALUE"""),2.020013E7)</f>
        <v>20200130</v>
      </c>
      <c r="C130" s="18">
        <f>IFERROR(__xludf.DUMMYFUNCTION("""COMPUTED_VALUE"""),0.4139351851851852)</f>
        <v>0.4139351852</v>
      </c>
      <c r="D130" s="6">
        <f>IFERROR(__xludf.DUMMYFUNCTION("""COMPUTED_VALUE"""),322.79)</f>
        <v>322.79</v>
      </c>
      <c r="E130" s="6">
        <f>IFERROR(__xludf.DUMMYFUNCTION("""COMPUTED_VALUE"""),5143102.0)</f>
        <v>5143102</v>
      </c>
      <c r="F130" s="6" t="str">
        <f>IFERROR(__xludf.DUMMYFUNCTION("""COMPUTED_VALUE"""),"EST")</f>
        <v>EST</v>
      </c>
      <c r="G130" s="6">
        <f>IFERROR(__xludf.DUMMYFUNCTION("""COMPUTED_VALUE"""),-18000.0)</f>
        <v>-18000</v>
      </c>
    </row>
    <row r="131">
      <c r="A131" s="6" t="str">
        <f>IFERROR(__xludf.DUMMYFUNCTION("""COMPUTED_VALUE"""),"AAPL")</f>
        <v>AAPL</v>
      </c>
      <c r="B131" s="6">
        <f>IFERROR(__xludf.DUMMYFUNCTION("""COMPUTED_VALUE"""),2.020013E7)</f>
        <v>20200130</v>
      </c>
      <c r="C131" s="18">
        <f>IFERROR(__xludf.DUMMYFUNCTION("""COMPUTED_VALUE"""),0.4123263888888889)</f>
        <v>0.4123263889</v>
      </c>
      <c r="D131" s="6">
        <f>IFERROR(__xludf.DUMMYFUNCTION("""COMPUTED_VALUE"""),322.48)</f>
        <v>322.48</v>
      </c>
      <c r="E131" s="6">
        <f>IFERROR(__xludf.DUMMYFUNCTION("""COMPUTED_VALUE"""),4901312.0)</f>
        <v>4901312</v>
      </c>
      <c r="F131" s="6" t="str">
        <f>IFERROR(__xludf.DUMMYFUNCTION("""COMPUTED_VALUE"""),"EST")</f>
        <v>EST</v>
      </c>
      <c r="G131" s="6">
        <f>IFERROR(__xludf.DUMMYFUNCTION("""COMPUTED_VALUE"""),-18000.0)</f>
        <v>-18000</v>
      </c>
    </row>
    <row r="132">
      <c r="A132" s="6" t="str">
        <f>IFERROR(__xludf.DUMMYFUNCTION("""COMPUTED_VALUE"""),"AAPL")</f>
        <v>AAPL</v>
      </c>
      <c r="B132" s="6">
        <f>IFERROR(__xludf.DUMMYFUNCTION("""COMPUTED_VALUE"""),2.020013E7)</f>
        <v>20200130</v>
      </c>
      <c r="C132" s="18">
        <f>IFERROR(__xludf.DUMMYFUNCTION("""COMPUTED_VALUE"""),0.4119791666666667)</f>
        <v>0.4119791667</v>
      </c>
      <c r="D132" s="6">
        <f>IFERROR(__xludf.DUMMYFUNCTION("""COMPUTED_VALUE"""),322.57)</f>
        <v>322.57</v>
      </c>
      <c r="E132" s="6">
        <f>IFERROR(__xludf.DUMMYFUNCTION("""COMPUTED_VALUE"""),4855632.0)</f>
        <v>4855632</v>
      </c>
      <c r="F132" s="6" t="str">
        <f>IFERROR(__xludf.DUMMYFUNCTION("""COMPUTED_VALUE"""),"EST")</f>
        <v>EST</v>
      </c>
      <c r="G132" s="6">
        <f>IFERROR(__xludf.DUMMYFUNCTION("""COMPUTED_VALUE"""),-18000.0)</f>
        <v>-18000</v>
      </c>
    </row>
    <row r="133">
      <c r="A133" s="6" t="str">
        <f>IFERROR(__xludf.DUMMYFUNCTION("""COMPUTED_VALUE"""),"AAPL")</f>
        <v>AAPL</v>
      </c>
      <c r="B133" s="6">
        <f>IFERROR(__xludf.DUMMYFUNCTION("""COMPUTED_VALUE"""),2.020013E7)</f>
        <v>20200130</v>
      </c>
      <c r="C133" s="18">
        <f>IFERROR(__xludf.DUMMYFUNCTION("""COMPUTED_VALUE"""),0.41094907407407405)</f>
        <v>0.4109490741</v>
      </c>
      <c r="D133" s="6">
        <f>IFERROR(__xludf.DUMMYFUNCTION("""COMPUTED_VALUE"""),322.91)</f>
        <v>322.91</v>
      </c>
      <c r="E133" s="6">
        <f>IFERROR(__xludf.DUMMYFUNCTION("""COMPUTED_VALUE"""),4708641.0)</f>
        <v>4708641</v>
      </c>
      <c r="F133" s="6" t="str">
        <f>IFERROR(__xludf.DUMMYFUNCTION("""COMPUTED_VALUE"""),"EST")</f>
        <v>EST</v>
      </c>
      <c r="G133" s="6">
        <f>IFERROR(__xludf.DUMMYFUNCTION("""COMPUTED_VALUE"""),-18000.0)</f>
        <v>-18000</v>
      </c>
    </row>
    <row r="134">
      <c r="A134" s="6" t="str">
        <f>IFERROR(__xludf.DUMMYFUNCTION("""COMPUTED_VALUE"""),"AAPL")</f>
        <v>AAPL</v>
      </c>
      <c r="B134" s="6">
        <f>IFERROR(__xludf.DUMMYFUNCTION("""COMPUTED_VALUE"""),2.020013E7)</f>
        <v>20200130</v>
      </c>
      <c r="C134" s="18">
        <f>IFERROR(__xludf.DUMMYFUNCTION("""COMPUTED_VALUE"""),0.4105902777777778)</f>
        <v>0.4105902778</v>
      </c>
      <c r="D134" s="6">
        <f>IFERROR(__xludf.DUMMYFUNCTION("""COMPUTED_VALUE"""),322.86)</f>
        <v>322.86</v>
      </c>
      <c r="E134" s="6">
        <f>IFERROR(__xludf.DUMMYFUNCTION("""COMPUTED_VALUE"""),4661188.0)</f>
        <v>4661188</v>
      </c>
      <c r="F134" s="6" t="str">
        <f>IFERROR(__xludf.DUMMYFUNCTION("""COMPUTED_VALUE"""),"EST")</f>
        <v>EST</v>
      </c>
      <c r="G134" s="6">
        <f>IFERROR(__xludf.DUMMYFUNCTION("""COMPUTED_VALUE"""),-18000.0)</f>
        <v>-18000</v>
      </c>
    </row>
    <row r="135">
      <c r="A135" s="6" t="str">
        <f>IFERROR(__xludf.DUMMYFUNCTION("""COMPUTED_VALUE"""),"AAPL")</f>
        <v>AAPL</v>
      </c>
      <c r="B135" s="6">
        <f>IFERROR(__xludf.DUMMYFUNCTION("""COMPUTED_VALUE"""),2.020013E7)</f>
        <v>20200130</v>
      </c>
      <c r="C135" s="18">
        <f>IFERROR(__xludf.DUMMYFUNCTION("""COMPUTED_VALUE"""),0.40975694444444444)</f>
        <v>0.4097569444</v>
      </c>
      <c r="D135" s="6">
        <f>IFERROR(__xludf.DUMMYFUNCTION("""COMPUTED_VALUE"""),323.2)</f>
        <v>323.2</v>
      </c>
      <c r="E135" s="6">
        <f>IFERROR(__xludf.DUMMYFUNCTION("""COMPUTED_VALUE"""),4494480.0)</f>
        <v>4494480</v>
      </c>
      <c r="F135" s="6" t="str">
        <f>IFERROR(__xludf.DUMMYFUNCTION("""COMPUTED_VALUE"""),"EST")</f>
        <v>EST</v>
      </c>
      <c r="G135" s="6">
        <f>IFERROR(__xludf.DUMMYFUNCTION("""COMPUTED_VALUE"""),-18000.0)</f>
        <v>-18000</v>
      </c>
    </row>
    <row r="136">
      <c r="A136" s="6" t="str">
        <f>IFERROR(__xludf.DUMMYFUNCTION("""COMPUTED_VALUE"""),"AAPL")</f>
        <v>AAPL</v>
      </c>
      <c r="B136" s="6">
        <f>IFERROR(__xludf.DUMMYFUNCTION("""COMPUTED_VALUE"""),2.020013E7)</f>
        <v>20200130</v>
      </c>
      <c r="C136" s="18">
        <f>IFERROR(__xludf.DUMMYFUNCTION("""COMPUTED_VALUE"""),0.40908564814814813)</f>
        <v>0.4090856481</v>
      </c>
      <c r="D136" s="6">
        <f>IFERROR(__xludf.DUMMYFUNCTION("""COMPUTED_VALUE"""),323.42)</f>
        <v>323.42</v>
      </c>
      <c r="E136" s="6">
        <f>IFERROR(__xludf.DUMMYFUNCTION("""COMPUTED_VALUE"""),4384481.0)</f>
        <v>4384481</v>
      </c>
      <c r="F136" s="6" t="str">
        <f>IFERROR(__xludf.DUMMYFUNCTION("""COMPUTED_VALUE"""),"EST")</f>
        <v>EST</v>
      </c>
      <c r="G136" s="6">
        <f>IFERROR(__xludf.DUMMYFUNCTION("""COMPUTED_VALUE"""),-18000.0)</f>
        <v>-18000</v>
      </c>
    </row>
    <row r="137">
      <c r="A137" s="6" t="str">
        <f>IFERROR(__xludf.DUMMYFUNCTION("""COMPUTED_VALUE"""),"AAPL")</f>
        <v>AAPL</v>
      </c>
      <c r="B137" s="6">
        <f>IFERROR(__xludf.DUMMYFUNCTION("""COMPUTED_VALUE"""),2.020013E7)</f>
        <v>20200130</v>
      </c>
      <c r="C137" s="18">
        <f>IFERROR(__xludf.DUMMYFUNCTION("""COMPUTED_VALUE"""),0.4083449074074074)</f>
        <v>0.4083449074</v>
      </c>
      <c r="D137" s="6">
        <f>IFERROR(__xludf.DUMMYFUNCTION("""COMPUTED_VALUE"""),323.75)</f>
        <v>323.75</v>
      </c>
      <c r="E137" s="6">
        <f>IFERROR(__xludf.DUMMYFUNCTION("""COMPUTED_VALUE"""),4283705.0)</f>
        <v>4283705</v>
      </c>
      <c r="F137" s="6" t="str">
        <f>IFERROR(__xludf.DUMMYFUNCTION("""COMPUTED_VALUE"""),"EST")</f>
        <v>EST</v>
      </c>
      <c r="G137" s="6">
        <f>IFERROR(__xludf.DUMMYFUNCTION("""COMPUTED_VALUE"""),-18000.0)</f>
        <v>-18000</v>
      </c>
    </row>
    <row r="138">
      <c r="A138" s="6" t="str">
        <f>IFERROR(__xludf.DUMMYFUNCTION("""COMPUTED_VALUE"""),"AAPL")</f>
        <v>AAPL</v>
      </c>
      <c r="B138" s="6">
        <f>IFERROR(__xludf.DUMMYFUNCTION("""COMPUTED_VALUE"""),2.020013E7)</f>
        <v>20200130</v>
      </c>
      <c r="C138" s="18">
        <f>IFERROR(__xludf.DUMMYFUNCTION("""COMPUTED_VALUE"""),0.4076851851851852)</f>
        <v>0.4076851852</v>
      </c>
      <c r="D138" s="6">
        <f>IFERROR(__xludf.DUMMYFUNCTION("""COMPUTED_VALUE"""),323.81)</f>
        <v>323.81</v>
      </c>
      <c r="E138" s="6">
        <f>IFERROR(__xludf.DUMMYFUNCTION("""COMPUTED_VALUE"""),4216229.0)</f>
        <v>4216229</v>
      </c>
      <c r="F138" s="6" t="str">
        <f>IFERROR(__xludf.DUMMYFUNCTION("""COMPUTED_VALUE"""),"EST")</f>
        <v>EST</v>
      </c>
      <c r="G138" s="6">
        <f>IFERROR(__xludf.DUMMYFUNCTION("""COMPUTED_VALUE"""),-18000.0)</f>
        <v>-18000</v>
      </c>
    </row>
    <row r="139">
      <c r="A139" s="6" t="str">
        <f>IFERROR(__xludf.DUMMYFUNCTION("""COMPUTED_VALUE"""),"AAPL")</f>
        <v>AAPL</v>
      </c>
      <c r="B139" s="6">
        <f>IFERROR(__xludf.DUMMYFUNCTION("""COMPUTED_VALUE"""),2.020013E7)</f>
        <v>20200130</v>
      </c>
      <c r="C139" s="18">
        <f>IFERROR(__xludf.DUMMYFUNCTION("""COMPUTED_VALUE"""),0.4066782407407407)</f>
        <v>0.4066782407</v>
      </c>
      <c r="D139" s="6">
        <f>IFERROR(__xludf.DUMMYFUNCTION("""COMPUTED_VALUE"""),323.76)</f>
        <v>323.76</v>
      </c>
      <c r="E139" s="6">
        <f>IFERROR(__xludf.DUMMYFUNCTION("""COMPUTED_VALUE"""),4070223.0)</f>
        <v>4070223</v>
      </c>
      <c r="F139" s="6" t="str">
        <f>IFERROR(__xludf.DUMMYFUNCTION("""COMPUTED_VALUE"""),"EST")</f>
        <v>EST</v>
      </c>
      <c r="G139" s="6">
        <f>IFERROR(__xludf.DUMMYFUNCTION("""COMPUTED_VALUE"""),-18000.0)</f>
        <v>-18000</v>
      </c>
    </row>
    <row r="140">
      <c r="A140" s="6" t="str">
        <f>IFERROR(__xludf.DUMMYFUNCTION("""COMPUTED_VALUE"""),"AAPL")</f>
        <v>AAPL</v>
      </c>
      <c r="B140" s="6">
        <f>IFERROR(__xludf.DUMMYFUNCTION("""COMPUTED_VALUE"""),2.020013E7)</f>
        <v>20200130</v>
      </c>
      <c r="C140" s="18">
        <f>IFERROR(__xludf.DUMMYFUNCTION("""COMPUTED_VALUE"""),0.40554398148148146)</f>
        <v>0.4055439815</v>
      </c>
      <c r="D140" s="6">
        <f>IFERROR(__xludf.DUMMYFUNCTION("""COMPUTED_VALUE"""),323.56)</f>
        <v>323.56</v>
      </c>
      <c r="E140" s="6">
        <f>IFERROR(__xludf.DUMMYFUNCTION("""COMPUTED_VALUE"""),3911981.0)</f>
        <v>3911981</v>
      </c>
      <c r="F140" s="6" t="str">
        <f>IFERROR(__xludf.DUMMYFUNCTION("""COMPUTED_VALUE"""),"EST")</f>
        <v>EST</v>
      </c>
      <c r="G140" s="6">
        <f>IFERROR(__xludf.DUMMYFUNCTION("""COMPUTED_VALUE"""),-18000.0)</f>
        <v>-18000</v>
      </c>
    </row>
    <row r="141">
      <c r="A141" s="6" t="str">
        <f>IFERROR(__xludf.DUMMYFUNCTION("""COMPUTED_VALUE"""),"AAPL")</f>
        <v>AAPL</v>
      </c>
      <c r="B141" s="6">
        <f>IFERROR(__xludf.DUMMYFUNCTION("""COMPUTED_VALUE"""),2.020013E7)</f>
        <v>20200130</v>
      </c>
      <c r="C141" s="18">
        <f>IFERROR(__xludf.DUMMYFUNCTION("""COMPUTED_VALUE"""),0.405150462962963)</f>
        <v>0.405150463</v>
      </c>
      <c r="D141" s="6">
        <f>IFERROR(__xludf.DUMMYFUNCTION("""COMPUTED_VALUE"""),323.56)</f>
        <v>323.56</v>
      </c>
      <c r="E141" s="6">
        <f>IFERROR(__xludf.DUMMYFUNCTION("""COMPUTED_VALUE"""),3856351.0)</f>
        <v>3856351</v>
      </c>
      <c r="F141" s="6" t="str">
        <f>IFERROR(__xludf.DUMMYFUNCTION("""COMPUTED_VALUE"""),"EST")</f>
        <v>EST</v>
      </c>
      <c r="G141" s="6">
        <f>IFERROR(__xludf.DUMMYFUNCTION("""COMPUTED_VALUE"""),-18000.0)</f>
        <v>-18000</v>
      </c>
    </row>
    <row r="142">
      <c r="A142" s="6" t="str">
        <f>IFERROR(__xludf.DUMMYFUNCTION("""COMPUTED_VALUE"""),"AAPL")</f>
        <v>AAPL</v>
      </c>
      <c r="B142" s="6">
        <f>IFERROR(__xludf.DUMMYFUNCTION("""COMPUTED_VALUE"""),2.020013E7)</f>
        <v>20200130</v>
      </c>
      <c r="C142" s="18">
        <f>IFERROR(__xludf.DUMMYFUNCTION("""COMPUTED_VALUE"""),0.4041087962962963)</f>
        <v>0.4041087963</v>
      </c>
      <c r="D142" s="6">
        <f>IFERROR(__xludf.DUMMYFUNCTION("""COMPUTED_VALUE"""),323.39)</f>
        <v>323.39</v>
      </c>
      <c r="E142" s="6">
        <f>IFERROR(__xludf.DUMMYFUNCTION("""COMPUTED_VALUE"""),3679199.0)</f>
        <v>3679199</v>
      </c>
      <c r="F142" s="6" t="str">
        <f>IFERROR(__xludf.DUMMYFUNCTION("""COMPUTED_VALUE"""),"EST")</f>
        <v>EST</v>
      </c>
      <c r="G142" s="6">
        <f>IFERROR(__xludf.DUMMYFUNCTION("""COMPUTED_VALUE"""),-18000.0)</f>
        <v>-18000</v>
      </c>
    </row>
    <row r="143">
      <c r="A143" s="6" t="str">
        <f>IFERROR(__xludf.DUMMYFUNCTION("""COMPUTED_VALUE"""),"AAPL")</f>
        <v>AAPL</v>
      </c>
      <c r="B143" s="6">
        <f>IFERROR(__xludf.DUMMYFUNCTION("""COMPUTED_VALUE"""),2.020013E7)</f>
        <v>20200130</v>
      </c>
      <c r="C143" s="18">
        <f>IFERROR(__xludf.DUMMYFUNCTION("""COMPUTED_VALUE"""),0.40336805555555555)</f>
        <v>0.4033680556</v>
      </c>
      <c r="D143" s="6">
        <f>IFERROR(__xludf.DUMMYFUNCTION("""COMPUTED_VALUE"""),323.66)</f>
        <v>323.66</v>
      </c>
      <c r="E143" s="6">
        <f>IFERROR(__xludf.DUMMYFUNCTION("""COMPUTED_VALUE"""),3546067.0)</f>
        <v>3546067</v>
      </c>
      <c r="F143" s="6" t="str">
        <f>IFERROR(__xludf.DUMMYFUNCTION("""COMPUTED_VALUE"""),"EST")</f>
        <v>EST</v>
      </c>
      <c r="G143" s="6">
        <f>IFERROR(__xludf.DUMMYFUNCTION("""COMPUTED_VALUE"""),-18000.0)</f>
        <v>-18000</v>
      </c>
    </row>
    <row r="144">
      <c r="A144" s="6" t="str">
        <f>IFERROR(__xludf.DUMMYFUNCTION("""COMPUTED_VALUE"""),"AAPL")</f>
        <v>AAPL</v>
      </c>
      <c r="B144" s="6">
        <f>IFERROR(__xludf.DUMMYFUNCTION("""COMPUTED_VALUE"""),2.020013E7)</f>
        <v>20200130</v>
      </c>
      <c r="C144" s="18">
        <f>IFERROR(__xludf.DUMMYFUNCTION("""COMPUTED_VALUE"""),0.40271990740740743)</f>
        <v>0.4027199074</v>
      </c>
      <c r="D144" s="6">
        <f>IFERROR(__xludf.DUMMYFUNCTION("""COMPUTED_VALUE"""),323.94)</f>
        <v>323.94</v>
      </c>
      <c r="E144" s="6">
        <f>IFERROR(__xludf.DUMMYFUNCTION("""COMPUTED_VALUE"""),3376247.0)</f>
        <v>3376247</v>
      </c>
      <c r="F144" s="6" t="str">
        <f>IFERROR(__xludf.DUMMYFUNCTION("""COMPUTED_VALUE"""),"EST")</f>
        <v>EST</v>
      </c>
      <c r="G144" s="6">
        <f>IFERROR(__xludf.DUMMYFUNCTION("""COMPUTED_VALUE"""),-18000.0)</f>
        <v>-18000</v>
      </c>
    </row>
    <row r="145">
      <c r="A145" s="6" t="str">
        <f>IFERROR(__xludf.DUMMYFUNCTION("""COMPUTED_VALUE"""),"AAPL")</f>
        <v>AAPL</v>
      </c>
      <c r="B145" s="6">
        <f>IFERROR(__xludf.DUMMYFUNCTION("""COMPUTED_VALUE"""),2.020013E7)</f>
        <v>20200130</v>
      </c>
      <c r="C145" s="18">
        <f>IFERROR(__xludf.DUMMYFUNCTION("""COMPUTED_VALUE"""),0.40184027777777775)</f>
        <v>0.4018402778</v>
      </c>
      <c r="D145" s="6">
        <f>IFERROR(__xludf.DUMMYFUNCTION("""COMPUTED_VALUE"""),323.73)</f>
        <v>323.73</v>
      </c>
      <c r="E145" s="6">
        <f>IFERROR(__xludf.DUMMYFUNCTION("""COMPUTED_VALUE"""),3202739.0)</f>
        <v>3202739</v>
      </c>
      <c r="F145" s="6" t="str">
        <f>IFERROR(__xludf.DUMMYFUNCTION("""COMPUTED_VALUE"""),"EST")</f>
        <v>EST</v>
      </c>
      <c r="G145" s="6">
        <f>IFERROR(__xludf.DUMMYFUNCTION("""COMPUTED_VALUE"""),-18000.0)</f>
        <v>-18000</v>
      </c>
    </row>
    <row r="146">
      <c r="A146" s="6" t="str">
        <f>IFERROR(__xludf.DUMMYFUNCTION("""COMPUTED_VALUE"""),"AAPL")</f>
        <v>AAPL</v>
      </c>
      <c r="B146" s="6">
        <f>IFERROR(__xludf.DUMMYFUNCTION("""COMPUTED_VALUE"""),2.020013E7)</f>
        <v>20200130</v>
      </c>
      <c r="C146" s="18">
        <f>IFERROR(__xludf.DUMMYFUNCTION("""COMPUTED_VALUE"""),0.4012962962962963)</f>
        <v>0.4012962963</v>
      </c>
      <c r="D146" s="6">
        <f>IFERROR(__xludf.DUMMYFUNCTION("""COMPUTED_VALUE"""),323.32)</f>
        <v>323.32</v>
      </c>
      <c r="E146" s="6">
        <f>IFERROR(__xludf.DUMMYFUNCTION("""COMPUTED_VALUE"""),3092340.0)</f>
        <v>3092340</v>
      </c>
      <c r="F146" s="6" t="str">
        <f>IFERROR(__xludf.DUMMYFUNCTION("""COMPUTED_VALUE"""),"EST")</f>
        <v>EST</v>
      </c>
      <c r="G146" s="6">
        <f>IFERROR(__xludf.DUMMYFUNCTION("""COMPUTED_VALUE"""),-18000.0)</f>
        <v>-18000</v>
      </c>
    </row>
    <row r="147">
      <c r="A147" s="6" t="str">
        <f>IFERROR(__xludf.DUMMYFUNCTION("""COMPUTED_VALUE"""),"AAPL")</f>
        <v>AAPL</v>
      </c>
      <c r="B147" s="6">
        <f>IFERROR(__xludf.DUMMYFUNCTION("""COMPUTED_VALUE"""),2.020013E7)</f>
        <v>20200130</v>
      </c>
      <c r="C147" s="18">
        <f>IFERROR(__xludf.DUMMYFUNCTION("""COMPUTED_VALUE"""),0.40056712962962965)</f>
        <v>0.4005671296</v>
      </c>
      <c r="D147" s="6">
        <f>IFERROR(__xludf.DUMMYFUNCTION("""COMPUTED_VALUE"""),323.32)</f>
        <v>323.32</v>
      </c>
      <c r="E147" s="6">
        <f>IFERROR(__xludf.DUMMYFUNCTION("""COMPUTED_VALUE"""),2929880.0)</f>
        <v>2929880</v>
      </c>
      <c r="F147" s="6" t="str">
        <f>IFERROR(__xludf.DUMMYFUNCTION("""COMPUTED_VALUE"""),"EST")</f>
        <v>EST</v>
      </c>
      <c r="G147" s="6">
        <f>IFERROR(__xludf.DUMMYFUNCTION("""COMPUTED_VALUE"""),-18000.0)</f>
        <v>-18000</v>
      </c>
    </row>
    <row r="148">
      <c r="A148" s="6" t="str">
        <f>IFERROR(__xludf.DUMMYFUNCTION("""COMPUTED_VALUE"""),"AAPL")</f>
        <v>AAPL</v>
      </c>
      <c r="B148" s="6">
        <f>IFERROR(__xludf.DUMMYFUNCTION("""COMPUTED_VALUE"""),2.020013E7)</f>
        <v>20200130</v>
      </c>
      <c r="C148" s="18">
        <f>IFERROR(__xludf.DUMMYFUNCTION("""COMPUTED_VALUE"""),0.3998263888888889)</f>
        <v>0.3998263889</v>
      </c>
      <c r="D148" s="6">
        <f>IFERROR(__xludf.DUMMYFUNCTION("""COMPUTED_VALUE"""),322.83)</f>
        <v>322.83</v>
      </c>
      <c r="E148" s="6">
        <f>IFERROR(__xludf.DUMMYFUNCTION("""COMPUTED_VALUE"""),2661063.0)</f>
        <v>2661063</v>
      </c>
      <c r="F148" s="6" t="str">
        <f>IFERROR(__xludf.DUMMYFUNCTION("""COMPUTED_VALUE"""),"EST")</f>
        <v>EST</v>
      </c>
      <c r="G148" s="6">
        <f>IFERROR(__xludf.DUMMYFUNCTION("""COMPUTED_VALUE"""),-18000.0)</f>
        <v>-18000</v>
      </c>
    </row>
    <row r="149">
      <c r="A149" s="6" t="str">
        <f>IFERROR(__xludf.DUMMYFUNCTION("""COMPUTED_VALUE"""),"AAPL")</f>
        <v>AAPL</v>
      </c>
      <c r="B149" s="6">
        <f>IFERROR(__xludf.DUMMYFUNCTION("""COMPUTED_VALUE"""),2.020013E7)</f>
        <v>20200130</v>
      </c>
      <c r="C149" s="18">
        <f>IFERROR(__xludf.DUMMYFUNCTION("""COMPUTED_VALUE"""),0.3984490740740741)</f>
        <v>0.3984490741</v>
      </c>
      <c r="D149" s="6">
        <f>IFERROR(__xludf.DUMMYFUNCTION("""COMPUTED_VALUE"""),322.43)</f>
        <v>322.43</v>
      </c>
      <c r="E149" s="6">
        <f>IFERROR(__xludf.DUMMYFUNCTION("""COMPUTED_VALUE"""),2269763.0)</f>
        <v>2269763</v>
      </c>
      <c r="F149" s="6" t="str">
        <f>IFERROR(__xludf.DUMMYFUNCTION("""COMPUTED_VALUE"""),"EST")</f>
        <v>EST</v>
      </c>
      <c r="G149" s="6">
        <f>IFERROR(__xludf.DUMMYFUNCTION("""COMPUTED_VALUE"""),-18000.0)</f>
        <v>-18000</v>
      </c>
    </row>
    <row r="150">
      <c r="A150" s="6" t="str">
        <f>IFERROR(__xludf.DUMMYFUNCTION("""COMPUTED_VALUE"""),"AAPL")</f>
        <v>AAPL</v>
      </c>
      <c r="B150" s="6">
        <f>IFERROR(__xludf.DUMMYFUNCTION("""COMPUTED_VALUE"""),2.020013E7)</f>
        <v>20200130</v>
      </c>
      <c r="C150" s="18">
        <f>IFERROR(__xludf.DUMMYFUNCTION("""COMPUTED_VALUE"""),0.3977199074074074)</f>
        <v>0.3977199074</v>
      </c>
      <c r="D150" s="6">
        <f>IFERROR(__xludf.DUMMYFUNCTION("""COMPUTED_VALUE"""),322.69)</f>
        <v>322.69</v>
      </c>
      <c r="E150" s="6">
        <f>IFERROR(__xludf.DUMMYFUNCTION("""COMPUTED_VALUE"""),2028918.0)</f>
        <v>2028918</v>
      </c>
      <c r="F150" s="6" t="str">
        <f>IFERROR(__xludf.DUMMYFUNCTION("""COMPUTED_VALUE"""),"EST")</f>
        <v>EST</v>
      </c>
      <c r="G150" s="6">
        <f>IFERROR(__xludf.DUMMYFUNCTION("""COMPUTED_VALUE"""),-18000.0)</f>
        <v>-18000</v>
      </c>
    </row>
    <row r="151">
      <c r="A151" s="6" t="str">
        <f>IFERROR(__xludf.DUMMYFUNCTION("""COMPUTED_VALUE"""),"AAPL")</f>
        <v>AAPL</v>
      </c>
      <c r="B151" s="6">
        <f>IFERROR(__xludf.DUMMYFUNCTION("""COMPUTED_VALUE"""),2.020013E7)</f>
        <v>20200130</v>
      </c>
      <c r="C151" s="18">
        <f>IFERROR(__xludf.DUMMYFUNCTION("""COMPUTED_VALUE"""),0.3970949074074074)</f>
        <v>0.3970949074</v>
      </c>
      <c r="D151" s="6">
        <f>IFERROR(__xludf.DUMMYFUNCTION("""COMPUTED_VALUE"""),322.16)</f>
        <v>322.16</v>
      </c>
      <c r="E151" s="6">
        <f>IFERROR(__xludf.DUMMYFUNCTION("""COMPUTED_VALUE"""),1835560.0)</f>
        <v>1835560</v>
      </c>
      <c r="F151" s="6" t="str">
        <f>IFERROR(__xludf.DUMMYFUNCTION("""COMPUTED_VALUE"""),"EST")</f>
        <v>EST</v>
      </c>
      <c r="G151" s="6">
        <f>IFERROR(__xludf.DUMMYFUNCTION("""COMPUTED_VALUE"""),-18000.0)</f>
        <v>-18000</v>
      </c>
    </row>
    <row r="152">
      <c r="A152" s="6" t="str">
        <f>IFERROR(__xludf.DUMMYFUNCTION("""COMPUTED_VALUE"""),"AAPL")</f>
        <v>AAPL</v>
      </c>
      <c r="B152" s="6">
        <f>IFERROR(__xludf.DUMMYFUNCTION("""COMPUTED_VALUE"""),2.020013E7)</f>
        <v>20200130</v>
      </c>
      <c r="C152" s="18">
        <f>IFERROR(__xludf.DUMMYFUNCTION("""COMPUTED_VALUE"""),0.39630787037037035)</f>
        <v>0.3963078704</v>
      </c>
      <c r="D152" s="6">
        <f>IFERROR(__xludf.DUMMYFUNCTION("""COMPUTED_VALUE"""),320.74)</f>
        <v>320.74</v>
      </c>
      <c r="E152" s="6">
        <f>IFERROR(__xludf.DUMMYFUNCTION("""COMPUTED_VALUE"""),1460241.0)</f>
        <v>1460241</v>
      </c>
      <c r="F152" s="6" t="str">
        <f>IFERROR(__xludf.DUMMYFUNCTION("""COMPUTED_VALUE"""),"EST")</f>
        <v>EST</v>
      </c>
      <c r="G152" s="6">
        <f>IFERROR(__xludf.DUMMYFUNCTION("""COMPUTED_VALUE"""),-18000.0)</f>
        <v>-18000</v>
      </c>
    </row>
    <row r="153">
      <c r="A153" s="6"/>
      <c r="B153" s="6"/>
      <c r="C153" s="18"/>
      <c r="D153" s="6"/>
      <c r="E153" s="6"/>
      <c r="F153" s="6"/>
      <c r="G153" s="6"/>
    </row>
    <row r="154">
      <c r="A154" s="6"/>
      <c r="B154" s="6"/>
      <c r="C154" s="18"/>
      <c r="D154" s="6"/>
      <c r="E154" s="6"/>
      <c r="F154" s="6"/>
      <c r="G154" s="6"/>
    </row>
    <row r="155">
      <c r="A155" s="6"/>
      <c r="B155" s="6"/>
      <c r="C155" s="18"/>
      <c r="D155" s="6"/>
      <c r="E155" s="6"/>
      <c r="F155" s="6"/>
      <c r="G155" s="6"/>
    </row>
    <row r="156">
      <c r="A156" s="6"/>
      <c r="B156" s="6"/>
      <c r="C156" s="18"/>
      <c r="D156" s="6"/>
      <c r="E156" s="6"/>
      <c r="F156" s="6"/>
      <c r="G156" s="6"/>
    </row>
    <row r="157">
      <c r="A157" s="6"/>
      <c r="B157" s="6"/>
      <c r="C157" s="6"/>
      <c r="D157" s="6"/>
      <c r="E157" s="6"/>
      <c r="F157" s="6"/>
      <c r="G157" s="6"/>
    </row>
    <row r="158">
      <c r="A158" s="6"/>
      <c r="B158" s="6"/>
      <c r="C158" s="6"/>
      <c r="D158" s="6"/>
      <c r="E158" s="6"/>
      <c r="F158" s="6"/>
      <c r="G158" s="6"/>
    </row>
    <row r="159">
      <c r="A159" s="6"/>
      <c r="B159" s="6"/>
      <c r="C159" s="6"/>
      <c r="D159" s="6"/>
      <c r="E159" s="6"/>
      <c r="F159" s="6"/>
      <c r="G159" s="6"/>
    </row>
    <row r="160">
      <c r="A160" s="6"/>
      <c r="B160" s="6"/>
      <c r="C160" s="6"/>
      <c r="D160" s="6"/>
      <c r="E160" s="6"/>
      <c r="F160" s="6"/>
      <c r="G160" s="6"/>
    </row>
    <row r="161">
      <c r="A161" s="6"/>
      <c r="B161" s="6"/>
      <c r="C161" s="6"/>
      <c r="D161" s="6"/>
      <c r="E161" s="6"/>
      <c r="F161" s="6"/>
      <c r="G161" s="6"/>
    </row>
    <row r="162">
      <c r="F162" s="6"/>
    </row>
    <row r="163">
      <c r="F163" s="6"/>
    </row>
    <row r="164">
      <c r="F164" s="6"/>
    </row>
    <row r="165">
      <c r="F165" s="6"/>
    </row>
    <row r="166">
      <c r="F166" s="6"/>
    </row>
    <row r="167">
      <c r="F167" s="6"/>
    </row>
    <row r="168">
      <c r="F168" s="6"/>
    </row>
    <row r="169">
      <c r="F169" s="6"/>
    </row>
    <row r="170">
      <c r="F170" s="6"/>
    </row>
    <row r="171">
      <c r="F171" s="6"/>
    </row>
    <row r="172">
      <c r="F172" s="6"/>
    </row>
    <row r="173">
      <c r="F173" s="6"/>
    </row>
    <row r="174">
      <c r="F174" s="6"/>
    </row>
    <row r="175">
      <c r="F175" s="6"/>
    </row>
    <row r="176">
      <c r="F176" s="6"/>
    </row>
    <row r="177">
      <c r="F177" s="6"/>
    </row>
    <row r="178">
      <c r="F178" s="6"/>
    </row>
    <row r="179">
      <c r="F179" s="6"/>
    </row>
    <row r="180">
      <c r="F180" s="6"/>
    </row>
    <row r="181">
      <c r="F181" s="6"/>
    </row>
    <row r="182">
      <c r="F182" s="6"/>
    </row>
    <row r="183">
      <c r="F183" s="6"/>
    </row>
    <row r="184">
      <c r="F184" s="6"/>
    </row>
    <row r="185">
      <c r="F185" s="6"/>
    </row>
    <row r="186">
      <c r="F186" s="6"/>
    </row>
    <row r="187">
      <c r="F187" s="6"/>
    </row>
    <row r="188">
      <c r="F188" s="6"/>
    </row>
    <row r="189">
      <c r="F189" s="6"/>
    </row>
    <row r="190">
      <c r="F190" s="6"/>
    </row>
    <row r="191">
      <c r="F191" s="6"/>
    </row>
    <row r="192">
      <c r="F192" s="6"/>
    </row>
    <row r="193">
      <c r="F193" s="6"/>
    </row>
    <row r="194">
      <c r="F194" s="6"/>
    </row>
    <row r="195">
      <c r="F195" s="6"/>
    </row>
    <row r="196">
      <c r="F196" s="6"/>
    </row>
    <row r="197">
      <c r="F197" s="6"/>
    </row>
    <row r="198">
      <c r="F198" s="6"/>
    </row>
    <row r="199">
      <c r="F199" s="6"/>
    </row>
    <row r="200">
      <c r="F200" s="6"/>
    </row>
    <row r="201">
      <c r="F201" s="6"/>
    </row>
    <row r="202">
      <c r="F202" s="6"/>
    </row>
    <row r="203">
      <c r="F203" s="6"/>
    </row>
    <row r="204">
      <c r="F204" s="6"/>
    </row>
    <row r="205">
      <c r="F205" s="6"/>
    </row>
    <row r="206">
      <c r="F206" s="6"/>
    </row>
    <row r="207">
      <c r="F207" s="6"/>
    </row>
    <row r="208">
      <c r="F208" s="6"/>
    </row>
    <row r="209">
      <c r="F209" s="6"/>
    </row>
    <row r="210">
      <c r="F210" s="6"/>
    </row>
    <row r="211">
      <c r="F211" s="6"/>
    </row>
    <row r="212">
      <c r="F212" s="6"/>
    </row>
    <row r="213">
      <c r="F213" s="6"/>
    </row>
    <row r="214">
      <c r="F214" s="6"/>
    </row>
    <row r="215">
      <c r="F215" s="6"/>
    </row>
    <row r="216">
      <c r="F216" s="6"/>
    </row>
    <row r="217">
      <c r="F217" s="6"/>
    </row>
    <row r="218">
      <c r="F218" s="6"/>
    </row>
    <row r="219">
      <c r="F219" s="6"/>
    </row>
    <row r="220">
      <c r="F220" s="6"/>
    </row>
    <row r="221">
      <c r="F221" s="6"/>
    </row>
    <row r="222">
      <c r="F222" s="6"/>
    </row>
    <row r="223">
      <c r="F223" s="6"/>
    </row>
    <row r="224">
      <c r="F224" s="6"/>
    </row>
    <row r="225">
      <c r="F225" s="6"/>
    </row>
    <row r="226">
      <c r="F226" s="6"/>
    </row>
    <row r="227">
      <c r="F227" s="6"/>
    </row>
    <row r="228">
      <c r="F228" s="6"/>
    </row>
    <row r="229">
      <c r="F229" s="6"/>
    </row>
    <row r="230">
      <c r="F230" s="6"/>
    </row>
    <row r="231">
      <c r="F231" s="6"/>
    </row>
    <row r="232">
      <c r="F232" s="6"/>
    </row>
    <row r="233">
      <c r="F233" s="6"/>
    </row>
    <row r="234">
      <c r="F234" s="6"/>
    </row>
    <row r="235">
      <c r="F235" s="6"/>
    </row>
    <row r="236">
      <c r="F236" s="6"/>
    </row>
    <row r="237">
      <c r="F237" s="6"/>
    </row>
    <row r="238">
      <c r="F238" s="6"/>
    </row>
    <row r="239">
      <c r="F239" s="6"/>
    </row>
    <row r="240">
      <c r="F240" s="6"/>
    </row>
    <row r="241">
      <c r="F241" s="6"/>
    </row>
    <row r="242">
      <c r="F242" s="6"/>
    </row>
    <row r="243">
      <c r="F243" s="6"/>
    </row>
    <row r="244">
      <c r="F244" s="6"/>
    </row>
    <row r="245">
      <c r="F245" s="6"/>
    </row>
    <row r="246">
      <c r="F246" s="6"/>
    </row>
    <row r="247">
      <c r="F247" s="6"/>
    </row>
    <row r="248">
      <c r="F248" s="6"/>
    </row>
    <row r="249">
      <c r="F249" s="6"/>
    </row>
    <row r="250">
      <c r="F250" s="6"/>
    </row>
    <row r="251">
      <c r="F251" s="6"/>
    </row>
    <row r="252">
      <c r="F252" s="6"/>
    </row>
    <row r="253">
      <c r="F253" s="6"/>
    </row>
    <row r="254">
      <c r="F254" s="6"/>
    </row>
    <row r="255">
      <c r="F255" s="6"/>
    </row>
    <row r="256">
      <c r="F256" s="6"/>
    </row>
    <row r="257">
      <c r="F257" s="6"/>
    </row>
    <row r="258">
      <c r="F258" s="6"/>
    </row>
    <row r="259">
      <c r="F259" s="6"/>
    </row>
    <row r="260">
      <c r="F260" s="6"/>
    </row>
    <row r="261">
      <c r="F261" s="6"/>
    </row>
    <row r="262">
      <c r="F262" s="6"/>
    </row>
    <row r="263">
      <c r="F263" s="6"/>
    </row>
    <row r="264">
      <c r="F264" s="6"/>
    </row>
    <row r="265">
      <c r="F265" s="6"/>
    </row>
    <row r="266">
      <c r="F266" s="6"/>
    </row>
    <row r="267">
      <c r="F267" s="6"/>
    </row>
    <row r="268">
      <c r="F268" s="6"/>
    </row>
    <row r="269">
      <c r="F269" s="6"/>
    </row>
    <row r="270">
      <c r="F270" s="6"/>
    </row>
    <row r="271">
      <c r="F271" s="6"/>
    </row>
    <row r="272">
      <c r="F272" s="6"/>
    </row>
    <row r="273">
      <c r="F273" s="6"/>
    </row>
    <row r="274">
      <c r="F274" s="6"/>
    </row>
    <row r="275">
      <c r="F275" s="6"/>
    </row>
    <row r="276">
      <c r="F276" s="6"/>
    </row>
    <row r="277">
      <c r="F277" s="6"/>
    </row>
    <row r="278">
      <c r="F278" s="6"/>
    </row>
    <row r="279">
      <c r="F279" s="6"/>
    </row>
    <row r="280">
      <c r="F280" s="6"/>
    </row>
    <row r="281">
      <c r="F281" s="6"/>
    </row>
    <row r="282">
      <c r="F282" s="6"/>
    </row>
    <row r="283">
      <c r="F283" s="6"/>
    </row>
    <row r="284">
      <c r="F284" s="6"/>
    </row>
    <row r="285">
      <c r="F285" s="6"/>
    </row>
    <row r="286">
      <c r="F286" s="6"/>
    </row>
    <row r="287">
      <c r="F287" s="6"/>
    </row>
    <row r="288">
      <c r="F288" s="6"/>
    </row>
    <row r="289">
      <c r="F289" s="6"/>
    </row>
    <row r="290">
      <c r="F290" s="6"/>
    </row>
    <row r="291">
      <c r="F291" s="6"/>
    </row>
    <row r="292">
      <c r="F292" s="6"/>
    </row>
    <row r="293">
      <c r="F293" s="6"/>
    </row>
    <row r="294">
      <c r="F294" s="6"/>
    </row>
    <row r="295">
      <c r="F295" s="6"/>
    </row>
    <row r="296">
      <c r="F296" s="6"/>
    </row>
    <row r="297">
      <c r="F297" s="6"/>
    </row>
    <row r="298">
      <c r="F298" s="6"/>
    </row>
    <row r="299">
      <c r="F299" s="6"/>
    </row>
    <row r="300">
      <c r="F300" s="6"/>
    </row>
    <row r="301">
      <c r="F301" s="6"/>
    </row>
    <row r="302">
      <c r="F302" s="6"/>
    </row>
    <row r="303">
      <c r="F303" s="6"/>
    </row>
    <row r="304">
      <c r="F304" s="6"/>
    </row>
    <row r="305">
      <c r="F305" s="6"/>
    </row>
    <row r="306">
      <c r="F306" s="6"/>
    </row>
    <row r="307">
      <c r="F307" s="6"/>
    </row>
    <row r="308">
      <c r="F308" s="6"/>
    </row>
    <row r="309">
      <c r="F309" s="6"/>
    </row>
    <row r="310">
      <c r="F310" s="6"/>
    </row>
    <row r="311">
      <c r="F311" s="6"/>
    </row>
    <row r="312">
      <c r="F312" s="6"/>
    </row>
    <row r="313">
      <c r="F313" s="6"/>
    </row>
    <row r="314">
      <c r="F314" s="6"/>
    </row>
    <row r="315">
      <c r="F315" s="6"/>
    </row>
    <row r="316">
      <c r="F316" s="6"/>
    </row>
    <row r="317">
      <c r="F317" s="6"/>
    </row>
    <row r="318">
      <c r="F318" s="6"/>
    </row>
    <row r="319">
      <c r="F319" s="6"/>
    </row>
    <row r="320">
      <c r="F320" s="6"/>
    </row>
    <row r="321">
      <c r="F321" s="6"/>
    </row>
    <row r="322">
      <c r="F322" s="6"/>
    </row>
    <row r="323">
      <c r="F323" s="6"/>
    </row>
    <row r="324">
      <c r="F324" s="6"/>
    </row>
    <row r="325">
      <c r="F325" s="6"/>
    </row>
    <row r="326">
      <c r="F326" s="6"/>
    </row>
    <row r="327">
      <c r="F327" s="6"/>
    </row>
    <row r="328">
      <c r="F328" s="6"/>
    </row>
    <row r="329">
      <c r="F329" s="6"/>
    </row>
    <row r="330">
      <c r="F330" s="6"/>
    </row>
    <row r="331">
      <c r="F331" s="6"/>
    </row>
    <row r="332">
      <c r="F332" s="6"/>
    </row>
    <row r="333">
      <c r="F333" s="6"/>
    </row>
    <row r="334">
      <c r="F334" s="6"/>
    </row>
    <row r="335">
      <c r="F335" s="6"/>
    </row>
    <row r="336">
      <c r="F336" s="6"/>
    </row>
    <row r="337">
      <c r="F337" s="6"/>
    </row>
    <row r="338">
      <c r="F338" s="6"/>
    </row>
    <row r="339">
      <c r="F339" s="6"/>
    </row>
    <row r="340">
      <c r="F340" s="6"/>
    </row>
    <row r="341">
      <c r="F341" s="6"/>
    </row>
    <row r="342">
      <c r="F342" s="6"/>
    </row>
    <row r="343">
      <c r="F343" s="6"/>
    </row>
    <row r="344">
      <c r="F344" s="6"/>
    </row>
    <row r="345">
      <c r="F345" s="6"/>
    </row>
    <row r="346">
      <c r="F346" s="6"/>
    </row>
    <row r="347">
      <c r="F347" s="6"/>
    </row>
    <row r="348">
      <c r="F348" s="6"/>
    </row>
    <row r="349">
      <c r="F349" s="6"/>
    </row>
    <row r="350">
      <c r="F350" s="6"/>
    </row>
    <row r="351">
      <c r="F351" s="6"/>
    </row>
    <row r="352">
      <c r="F352" s="6"/>
    </row>
    <row r="353">
      <c r="F353" s="6"/>
    </row>
    <row r="354">
      <c r="F354" s="6"/>
    </row>
    <row r="355">
      <c r="F355" s="6"/>
    </row>
    <row r="356">
      <c r="F356" s="6"/>
    </row>
    <row r="357">
      <c r="F357" s="6"/>
    </row>
    <row r="358">
      <c r="F358" s="6"/>
    </row>
    <row r="359">
      <c r="F359" s="6"/>
    </row>
    <row r="360">
      <c r="F360" s="6"/>
    </row>
    <row r="361">
      <c r="F361" s="6"/>
    </row>
    <row r="362">
      <c r="F362" s="6"/>
    </row>
    <row r="363">
      <c r="F363" s="6"/>
    </row>
    <row r="364">
      <c r="F364" s="6"/>
    </row>
    <row r="365">
      <c r="F365" s="6"/>
    </row>
    <row r="366">
      <c r="F366" s="6"/>
    </row>
    <row r="367">
      <c r="F367" s="6"/>
    </row>
    <row r="368">
      <c r="F368" s="6"/>
    </row>
    <row r="369">
      <c r="F369" s="6"/>
    </row>
    <row r="370">
      <c r="F370" s="6"/>
    </row>
    <row r="371">
      <c r="F371" s="6"/>
    </row>
    <row r="372">
      <c r="F372" s="6"/>
    </row>
    <row r="373">
      <c r="F373" s="6"/>
    </row>
    <row r="374">
      <c r="F374" s="6"/>
    </row>
    <row r="375">
      <c r="F375" s="6"/>
    </row>
    <row r="376">
      <c r="F376" s="6"/>
    </row>
    <row r="377">
      <c r="F377" s="6"/>
    </row>
    <row r="378">
      <c r="F378" s="6"/>
    </row>
    <row r="379">
      <c r="F379" s="6"/>
    </row>
    <row r="380">
      <c r="F380" s="6"/>
    </row>
    <row r="381">
      <c r="F381" s="6"/>
    </row>
    <row r="382">
      <c r="F382" s="6"/>
    </row>
    <row r="383">
      <c r="F383" s="6"/>
    </row>
    <row r="384">
      <c r="F384" s="6"/>
    </row>
    <row r="385">
      <c r="F385" s="6"/>
    </row>
    <row r="386">
      <c r="F386" s="6"/>
    </row>
    <row r="387">
      <c r="F387" s="6"/>
    </row>
    <row r="388">
      <c r="F388" s="6"/>
    </row>
    <row r="389">
      <c r="F389" s="6"/>
    </row>
    <row r="390">
      <c r="F390" s="6"/>
    </row>
    <row r="391">
      <c r="F391" s="6"/>
    </row>
    <row r="392">
      <c r="F392" s="6"/>
    </row>
    <row r="393">
      <c r="F393" s="6"/>
    </row>
    <row r="394">
      <c r="F394" s="6"/>
    </row>
    <row r="395">
      <c r="F395" s="6"/>
    </row>
    <row r="396">
      <c r="F396" s="6"/>
    </row>
    <row r="397">
      <c r="F397" s="6"/>
    </row>
    <row r="398">
      <c r="F398" s="6"/>
    </row>
    <row r="399">
      <c r="F399" s="6"/>
    </row>
    <row r="400">
      <c r="F400" s="6"/>
    </row>
    <row r="401">
      <c r="F401" s="6"/>
    </row>
    <row r="402">
      <c r="F402" s="6"/>
    </row>
    <row r="403">
      <c r="F403" s="6"/>
    </row>
    <row r="404">
      <c r="F404" s="6"/>
    </row>
    <row r="405">
      <c r="F405" s="6"/>
    </row>
    <row r="406">
      <c r="F406" s="6"/>
    </row>
    <row r="407">
      <c r="F407" s="6"/>
    </row>
    <row r="408">
      <c r="F408" s="6"/>
    </row>
    <row r="409">
      <c r="F409" s="6"/>
    </row>
    <row r="410">
      <c r="F410" s="6"/>
    </row>
    <row r="411">
      <c r="F411" s="6"/>
    </row>
    <row r="412">
      <c r="F412" s="6"/>
    </row>
    <row r="413">
      <c r="F413" s="6"/>
    </row>
    <row r="414">
      <c r="F414" s="6"/>
    </row>
    <row r="415">
      <c r="F415" s="6"/>
    </row>
    <row r="416">
      <c r="F416" s="6"/>
    </row>
    <row r="417">
      <c r="F417" s="6"/>
    </row>
    <row r="418">
      <c r="F418" s="6"/>
    </row>
    <row r="419">
      <c r="F419" s="6"/>
    </row>
    <row r="420">
      <c r="F420" s="6"/>
    </row>
    <row r="421">
      <c r="F421" s="6"/>
    </row>
    <row r="422">
      <c r="F422" s="6"/>
    </row>
    <row r="423">
      <c r="F423" s="6"/>
    </row>
    <row r="424">
      <c r="F424" s="6"/>
    </row>
    <row r="425">
      <c r="F425" s="6"/>
    </row>
    <row r="426">
      <c r="F426" s="6"/>
    </row>
    <row r="427">
      <c r="F427" s="6"/>
    </row>
    <row r="428">
      <c r="F428" s="6"/>
    </row>
    <row r="429">
      <c r="F429" s="6"/>
    </row>
    <row r="430">
      <c r="F430" s="6"/>
    </row>
    <row r="431">
      <c r="F431" s="6"/>
    </row>
    <row r="432">
      <c r="F432" s="6"/>
    </row>
    <row r="433">
      <c r="F433" s="6"/>
    </row>
    <row r="434">
      <c r="F434" s="6"/>
    </row>
    <row r="435">
      <c r="F435" s="6"/>
    </row>
    <row r="436">
      <c r="F436" s="6"/>
    </row>
    <row r="437">
      <c r="F437" s="6"/>
    </row>
    <row r="438">
      <c r="F438" s="6"/>
    </row>
    <row r="439">
      <c r="F439" s="6"/>
    </row>
    <row r="440">
      <c r="F440" s="6"/>
    </row>
    <row r="441">
      <c r="F441" s="6"/>
    </row>
    <row r="442">
      <c r="F442" s="6"/>
    </row>
    <row r="443">
      <c r="F443" s="6"/>
    </row>
    <row r="444">
      <c r="F444" s="6"/>
    </row>
    <row r="445">
      <c r="F445" s="6"/>
    </row>
    <row r="446">
      <c r="F446" s="6"/>
    </row>
    <row r="447">
      <c r="F447" s="6"/>
    </row>
    <row r="448">
      <c r="F448" s="6"/>
    </row>
    <row r="449">
      <c r="F449" s="6"/>
    </row>
    <row r="450">
      <c r="F450" s="6"/>
    </row>
    <row r="451">
      <c r="F451" s="6"/>
    </row>
    <row r="452">
      <c r="F452" s="6"/>
    </row>
    <row r="453">
      <c r="F453" s="6"/>
    </row>
    <row r="454">
      <c r="F454" s="6"/>
    </row>
    <row r="455">
      <c r="F455" s="6"/>
    </row>
    <row r="456">
      <c r="F456" s="6"/>
    </row>
    <row r="457">
      <c r="F457" s="6"/>
    </row>
    <row r="458">
      <c r="F458" s="6"/>
    </row>
    <row r="459">
      <c r="F459" s="6"/>
    </row>
    <row r="460">
      <c r="F460" s="6"/>
    </row>
    <row r="461">
      <c r="F461" s="6"/>
    </row>
    <row r="462">
      <c r="F462" s="6"/>
    </row>
    <row r="463">
      <c r="F463" s="6"/>
    </row>
    <row r="464">
      <c r="F464" s="6"/>
    </row>
    <row r="465">
      <c r="F465" s="6"/>
    </row>
    <row r="466">
      <c r="F466" s="6"/>
    </row>
    <row r="467">
      <c r="F467" s="6"/>
    </row>
    <row r="468">
      <c r="F468" s="6"/>
    </row>
    <row r="469">
      <c r="F469" s="6"/>
    </row>
    <row r="470">
      <c r="F470" s="6"/>
    </row>
    <row r="471">
      <c r="F471" s="6"/>
    </row>
    <row r="472">
      <c r="F472" s="6"/>
    </row>
    <row r="473">
      <c r="F473" s="6"/>
    </row>
    <row r="474">
      <c r="F474" s="6"/>
    </row>
    <row r="475">
      <c r="F475" s="6"/>
    </row>
    <row r="476">
      <c r="F476" s="6"/>
    </row>
    <row r="477">
      <c r="F477" s="6"/>
    </row>
    <row r="478">
      <c r="F478" s="6"/>
    </row>
    <row r="479">
      <c r="F479" s="6"/>
    </row>
    <row r="480">
      <c r="F480" s="6"/>
    </row>
    <row r="481">
      <c r="F481" s="6"/>
    </row>
    <row r="482">
      <c r="F482" s="6"/>
    </row>
    <row r="483">
      <c r="F483" s="6"/>
    </row>
    <row r="484">
      <c r="F484" s="6"/>
    </row>
    <row r="485">
      <c r="F485" s="6"/>
    </row>
    <row r="486">
      <c r="F486" s="6"/>
    </row>
    <row r="487">
      <c r="F487" s="6"/>
    </row>
    <row r="488">
      <c r="F488" s="6"/>
    </row>
    <row r="489">
      <c r="F489" s="6"/>
    </row>
    <row r="490">
      <c r="F490" s="6"/>
    </row>
    <row r="491">
      <c r="F491" s="6"/>
    </row>
    <row r="492">
      <c r="F492" s="6"/>
    </row>
    <row r="493">
      <c r="F493" s="6"/>
    </row>
    <row r="494">
      <c r="F494" s="6"/>
    </row>
    <row r="495">
      <c r="F495" s="6"/>
    </row>
    <row r="496">
      <c r="F496" s="6"/>
    </row>
    <row r="497">
      <c r="F497" s="6"/>
    </row>
    <row r="498">
      <c r="F498" s="6"/>
    </row>
    <row r="499">
      <c r="F499" s="6"/>
    </row>
    <row r="500">
      <c r="F500" s="6"/>
    </row>
    <row r="501">
      <c r="F501" s="6"/>
    </row>
    <row r="502">
      <c r="F502" s="6"/>
    </row>
    <row r="503">
      <c r="F503" s="6"/>
    </row>
    <row r="504">
      <c r="F504" s="6"/>
    </row>
    <row r="505">
      <c r="F505" s="6"/>
    </row>
    <row r="506">
      <c r="F506" s="6"/>
    </row>
    <row r="507">
      <c r="F507" s="6"/>
    </row>
    <row r="508">
      <c r="F508" s="6"/>
    </row>
    <row r="509">
      <c r="F509" s="6"/>
    </row>
    <row r="510">
      <c r="F510" s="6"/>
    </row>
    <row r="511">
      <c r="F511" s="6"/>
    </row>
    <row r="512">
      <c r="F512" s="6"/>
    </row>
    <row r="513">
      <c r="F513" s="6"/>
    </row>
    <row r="514">
      <c r="F514" s="6"/>
    </row>
    <row r="515">
      <c r="F515" s="6"/>
    </row>
    <row r="516">
      <c r="F516" s="6"/>
    </row>
    <row r="517">
      <c r="F517" s="6"/>
    </row>
    <row r="518">
      <c r="F518" s="6"/>
    </row>
    <row r="519">
      <c r="F519" s="6"/>
    </row>
    <row r="520">
      <c r="F520" s="6"/>
    </row>
    <row r="521">
      <c r="F521" s="6"/>
    </row>
    <row r="522">
      <c r="F522" s="6"/>
    </row>
    <row r="523">
      <c r="F523" s="6"/>
    </row>
    <row r="524">
      <c r="F524" s="6"/>
    </row>
    <row r="525">
      <c r="F525" s="6"/>
    </row>
    <row r="526">
      <c r="F526" s="6"/>
    </row>
    <row r="527">
      <c r="F527" s="6"/>
    </row>
    <row r="528">
      <c r="F528" s="6"/>
    </row>
    <row r="529">
      <c r="F529" s="6"/>
    </row>
    <row r="530">
      <c r="F530" s="6"/>
    </row>
    <row r="531">
      <c r="F531" s="6"/>
    </row>
    <row r="532">
      <c r="F532" s="6"/>
    </row>
    <row r="533">
      <c r="F533" s="6"/>
    </row>
    <row r="534">
      <c r="F534" s="6"/>
    </row>
    <row r="535">
      <c r="F535" s="6"/>
    </row>
    <row r="536">
      <c r="F536" s="6"/>
    </row>
    <row r="537">
      <c r="F537" s="6"/>
    </row>
    <row r="538">
      <c r="F538" s="6"/>
    </row>
    <row r="539">
      <c r="F539" s="6"/>
    </row>
    <row r="540">
      <c r="F540" s="6"/>
    </row>
    <row r="541">
      <c r="F541" s="6"/>
    </row>
    <row r="542">
      <c r="F542" s="6"/>
    </row>
    <row r="543">
      <c r="F543" s="6"/>
    </row>
    <row r="544">
      <c r="F544" s="6"/>
    </row>
    <row r="545">
      <c r="F545" s="6"/>
    </row>
    <row r="546">
      <c r="F546" s="6"/>
    </row>
    <row r="547">
      <c r="F547" s="6"/>
    </row>
    <row r="548">
      <c r="F548" s="6"/>
    </row>
    <row r="549">
      <c r="F549" s="6"/>
    </row>
    <row r="550">
      <c r="F550" s="6"/>
    </row>
    <row r="551">
      <c r="F551" s="6"/>
    </row>
    <row r="552">
      <c r="F552" s="6"/>
    </row>
    <row r="553">
      <c r="F553" s="6"/>
    </row>
    <row r="554">
      <c r="F554" s="6"/>
    </row>
    <row r="555">
      <c r="F555" s="6"/>
    </row>
    <row r="556">
      <c r="F556" s="6"/>
    </row>
    <row r="557">
      <c r="F557" s="6"/>
    </row>
    <row r="558">
      <c r="F558" s="6"/>
    </row>
    <row r="559">
      <c r="F559" s="6"/>
    </row>
    <row r="560">
      <c r="F560" s="6"/>
    </row>
    <row r="561">
      <c r="F561" s="6"/>
    </row>
    <row r="562">
      <c r="F562" s="6"/>
    </row>
    <row r="563">
      <c r="F563" s="6"/>
    </row>
    <row r="564">
      <c r="F564" s="6"/>
    </row>
    <row r="565">
      <c r="F565" s="6"/>
    </row>
    <row r="566">
      <c r="F566" s="6"/>
    </row>
    <row r="567">
      <c r="F567" s="6"/>
    </row>
    <row r="568">
      <c r="F568" s="6"/>
    </row>
    <row r="569">
      <c r="F569" s="6"/>
    </row>
    <row r="570">
      <c r="F570" s="6"/>
    </row>
    <row r="571">
      <c r="F571" s="6"/>
    </row>
    <row r="572">
      <c r="F572" s="6"/>
    </row>
    <row r="573">
      <c r="F573" s="6"/>
    </row>
    <row r="574">
      <c r="F574" s="6"/>
    </row>
    <row r="575">
      <c r="F575" s="6"/>
    </row>
    <row r="576">
      <c r="F576" s="6"/>
    </row>
    <row r="577">
      <c r="F577" s="6"/>
    </row>
    <row r="578">
      <c r="F578" s="6"/>
    </row>
    <row r="579">
      <c r="F579" s="6"/>
    </row>
    <row r="580">
      <c r="F580" s="6"/>
    </row>
    <row r="581">
      <c r="F581" s="6"/>
    </row>
    <row r="582">
      <c r="F582" s="6"/>
    </row>
    <row r="583">
      <c r="F583" s="6"/>
    </row>
    <row r="584">
      <c r="F584" s="6"/>
    </row>
    <row r="585">
      <c r="F585" s="6"/>
    </row>
    <row r="586">
      <c r="F586" s="6"/>
    </row>
    <row r="587">
      <c r="F587" s="6"/>
    </row>
    <row r="588">
      <c r="F588" s="6"/>
    </row>
    <row r="589">
      <c r="F589" s="6"/>
    </row>
    <row r="590">
      <c r="F590" s="6"/>
    </row>
    <row r="591">
      <c r="F591" s="6"/>
    </row>
    <row r="592">
      <c r="F592" s="6"/>
    </row>
    <row r="593">
      <c r="F593" s="6"/>
    </row>
    <row r="594">
      <c r="F594" s="6"/>
    </row>
    <row r="595">
      <c r="F595" s="6"/>
    </row>
    <row r="596">
      <c r="F596" s="6"/>
    </row>
    <row r="597">
      <c r="F597" s="6"/>
    </row>
    <row r="598">
      <c r="F598" s="6"/>
    </row>
    <row r="599">
      <c r="F599" s="6"/>
    </row>
    <row r="600">
      <c r="F600" s="6"/>
    </row>
    <row r="601">
      <c r="F601" s="6"/>
    </row>
    <row r="602">
      <c r="F602" s="6"/>
    </row>
    <row r="603">
      <c r="F603" s="6"/>
    </row>
    <row r="604">
      <c r="F604" s="6"/>
    </row>
    <row r="605">
      <c r="F605" s="6"/>
    </row>
    <row r="606">
      <c r="F606" s="6"/>
    </row>
    <row r="607">
      <c r="F607" s="6"/>
    </row>
    <row r="608">
      <c r="F608" s="6"/>
    </row>
    <row r="609">
      <c r="F609" s="6"/>
    </row>
    <row r="610">
      <c r="F610" s="6"/>
    </row>
    <row r="611">
      <c r="F611" s="6"/>
    </row>
    <row r="612">
      <c r="F612" s="6"/>
    </row>
    <row r="613">
      <c r="F613" s="6"/>
    </row>
    <row r="614">
      <c r="F614" s="6"/>
    </row>
    <row r="615">
      <c r="F615" s="6"/>
    </row>
    <row r="616">
      <c r="F616" s="6"/>
    </row>
    <row r="617">
      <c r="F617" s="6"/>
    </row>
    <row r="618">
      <c r="F618" s="6"/>
    </row>
    <row r="619">
      <c r="F619" s="6"/>
    </row>
    <row r="620">
      <c r="F620" s="6"/>
    </row>
    <row r="621">
      <c r="F621" s="6"/>
    </row>
    <row r="622">
      <c r="F622" s="6"/>
    </row>
    <row r="623">
      <c r="F623" s="6"/>
    </row>
    <row r="624">
      <c r="F624" s="6"/>
    </row>
    <row r="625">
      <c r="F625" s="6"/>
    </row>
    <row r="626">
      <c r="F626" s="6"/>
    </row>
    <row r="627">
      <c r="F627" s="6"/>
    </row>
    <row r="628">
      <c r="F628" s="6"/>
    </row>
    <row r="629">
      <c r="F629" s="6"/>
    </row>
    <row r="630">
      <c r="F630" s="6"/>
    </row>
    <row r="631">
      <c r="F631" s="6"/>
    </row>
    <row r="632">
      <c r="F632" s="6"/>
    </row>
    <row r="633">
      <c r="F633" s="6"/>
    </row>
    <row r="634">
      <c r="F634" s="6"/>
    </row>
    <row r="635">
      <c r="F635" s="6"/>
    </row>
    <row r="636">
      <c r="F636" s="6"/>
    </row>
    <row r="637">
      <c r="F637" s="6"/>
    </row>
    <row r="638">
      <c r="F638" s="6"/>
    </row>
    <row r="639">
      <c r="F639" s="6"/>
    </row>
    <row r="640">
      <c r="F640" s="6"/>
    </row>
    <row r="641">
      <c r="F641" s="6"/>
    </row>
    <row r="642">
      <c r="F642" s="6"/>
    </row>
    <row r="643">
      <c r="F643" s="6"/>
    </row>
    <row r="644">
      <c r="F644" s="6"/>
    </row>
    <row r="645">
      <c r="F645" s="6"/>
    </row>
    <row r="646">
      <c r="F646" s="6"/>
    </row>
    <row r="647">
      <c r="F647" s="6"/>
    </row>
    <row r="648">
      <c r="F648" s="6"/>
    </row>
    <row r="649">
      <c r="F649" s="6"/>
    </row>
    <row r="650">
      <c r="F650" s="6"/>
    </row>
    <row r="651">
      <c r="F651" s="6"/>
    </row>
    <row r="652">
      <c r="F652" s="6"/>
    </row>
    <row r="653">
      <c r="F653" s="6"/>
    </row>
    <row r="654">
      <c r="F654" s="6"/>
    </row>
    <row r="655">
      <c r="F655" s="6"/>
    </row>
    <row r="656">
      <c r="F656" s="6"/>
    </row>
    <row r="657">
      <c r="F657" s="6"/>
    </row>
    <row r="658">
      <c r="F658" s="6"/>
    </row>
    <row r="659">
      <c r="F659" s="6"/>
    </row>
    <row r="660">
      <c r="F660" s="6"/>
    </row>
    <row r="661">
      <c r="F661" s="6"/>
    </row>
    <row r="662">
      <c r="F662" s="6"/>
    </row>
    <row r="663">
      <c r="F663" s="6"/>
    </row>
    <row r="664">
      <c r="F664" s="6"/>
    </row>
    <row r="665">
      <c r="F665" s="6"/>
    </row>
    <row r="666">
      <c r="F666" s="6"/>
    </row>
    <row r="667">
      <c r="F667" s="6"/>
    </row>
    <row r="668">
      <c r="F668" s="6"/>
    </row>
    <row r="669">
      <c r="F669" s="6"/>
    </row>
    <row r="670">
      <c r="F670" s="6"/>
    </row>
    <row r="671">
      <c r="F671" s="6"/>
    </row>
    <row r="672">
      <c r="F672" s="6"/>
    </row>
    <row r="673">
      <c r="F673" s="6"/>
    </row>
    <row r="674">
      <c r="F674" s="6"/>
    </row>
    <row r="675">
      <c r="F675" s="6"/>
    </row>
    <row r="676">
      <c r="F676" s="6"/>
    </row>
    <row r="677">
      <c r="F677" s="6"/>
    </row>
    <row r="678">
      <c r="F678" s="6"/>
    </row>
    <row r="679">
      <c r="F679" s="6"/>
    </row>
    <row r="680">
      <c r="F680" s="6"/>
    </row>
    <row r="681">
      <c r="F681" s="6"/>
    </row>
    <row r="682">
      <c r="F682" s="6"/>
    </row>
    <row r="683">
      <c r="F683" s="6"/>
    </row>
    <row r="684">
      <c r="F684" s="6"/>
    </row>
    <row r="685">
      <c r="F685" s="6"/>
    </row>
    <row r="686">
      <c r="F686" s="6"/>
    </row>
    <row r="687">
      <c r="F687" s="6"/>
    </row>
    <row r="688">
      <c r="F688" s="6"/>
    </row>
    <row r="689">
      <c r="F689" s="6"/>
    </row>
    <row r="690">
      <c r="F690" s="6"/>
    </row>
    <row r="691">
      <c r="F691" s="6"/>
    </row>
    <row r="692">
      <c r="F692" s="6"/>
    </row>
    <row r="693">
      <c r="F693" s="6"/>
    </row>
    <row r="694">
      <c r="F694" s="6"/>
    </row>
    <row r="695">
      <c r="F695" s="6"/>
    </row>
    <row r="696">
      <c r="F696" s="6"/>
    </row>
    <row r="697">
      <c r="F697" s="6"/>
    </row>
    <row r="698">
      <c r="F698" s="6"/>
    </row>
    <row r="699">
      <c r="F699" s="6"/>
    </row>
    <row r="700">
      <c r="F700" s="6"/>
    </row>
    <row r="701">
      <c r="F701" s="6"/>
    </row>
    <row r="702">
      <c r="F702" s="6"/>
    </row>
    <row r="703">
      <c r="F703" s="6"/>
    </row>
    <row r="704">
      <c r="F704" s="6"/>
    </row>
    <row r="705">
      <c r="F705" s="6"/>
    </row>
    <row r="706">
      <c r="F706" s="6"/>
    </row>
    <row r="707">
      <c r="F707" s="6"/>
    </row>
    <row r="708">
      <c r="F708" s="6"/>
    </row>
    <row r="709">
      <c r="F709" s="6"/>
    </row>
    <row r="710">
      <c r="F710" s="6"/>
    </row>
    <row r="711">
      <c r="F711" s="6"/>
    </row>
    <row r="712">
      <c r="F712" s="6"/>
    </row>
    <row r="713">
      <c r="F713" s="6"/>
    </row>
    <row r="714">
      <c r="F714" s="6"/>
    </row>
    <row r="715">
      <c r="F715" s="6"/>
    </row>
    <row r="716">
      <c r="F716" s="6"/>
    </row>
    <row r="717">
      <c r="F717" s="6"/>
    </row>
    <row r="718">
      <c r="F718" s="6"/>
    </row>
    <row r="719">
      <c r="F719" s="6"/>
    </row>
    <row r="720">
      <c r="F720" s="6"/>
    </row>
    <row r="721">
      <c r="F721" s="6"/>
    </row>
    <row r="722">
      <c r="F722" s="6"/>
    </row>
    <row r="723">
      <c r="F723" s="6"/>
    </row>
    <row r="724">
      <c r="F724" s="6"/>
    </row>
    <row r="725">
      <c r="F725" s="6"/>
    </row>
    <row r="726">
      <c r="F726" s="6"/>
    </row>
    <row r="727">
      <c r="F727" s="6"/>
    </row>
    <row r="728">
      <c r="F728" s="6"/>
    </row>
    <row r="729">
      <c r="F729" s="6"/>
    </row>
    <row r="730">
      <c r="F730" s="6"/>
    </row>
    <row r="731">
      <c r="F731" s="6"/>
    </row>
    <row r="732">
      <c r="F732" s="6"/>
    </row>
    <row r="733">
      <c r="F733" s="6"/>
    </row>
    <row r="734">
      <c r="F734" s="6"/>
    </row>
    <row r="735">
      <c r="F735" s="6"/>
    </row>
    <row r="736">
      <c r="F736" s="6"/>
    </row>
    <row r="737">
      <c r="F737" s="6"/>
    </row>
    <row r="738">
      <c r="F738" s="6"/>
    </row>
    <row r="739">
      <c r="F739" s="6"/>
    </row>
    <row r="740">
      <c r="F740" s="6"/>
    </row>
    <row r="741">
      <c r="F741" s="6"/>
    </row>
    <row r="742">
      <c r="F742" s="6"/>
    </row>
    <row r="743">
      <c r="F743" s="6"/>
    </row>
    <row r="744">
      <c r="F744" s="6"/>
    </row>
    <row r="745">
      <c r="F745" s="6"/>
    </row>
    <row r="746">
      <c r="F746" s="6"/>
    </row>
    <row r="747">
      <c r="F747" s="6"/>
    </row>
    <row r="748">
      <c r="F748" s="6"/>
    </row>
    <row r="749">
      <c r="F749" s="6"/>
    </row>
    <row r="750">
      <c r="F750" s="6"/>
    </row>
    <row r="751">
      <c r="F751" s="6"/>
    </row>
    <row r="752">
      <c r="F752" s="6"/>
    </row>
    <row r="753">
      <c r="F753" s="6"/>
    </row>
    <row r="754">
      <c r="F754" s="6"/>
    </row>
    <row r="755">
      <c r="F755" s="6"/>
    </row>
    <row r="756">
      <c r="F756" s="6"/>
    </row>
    <row r="757">
      <c r="F757" s="6"/>
    </row>
    <row r="758">
      <c r="F758" s="6"/>
    </row>
    <row r="759">
      <c r="F759" s="6"/>
    </row>
    <row r="760">
      <c r="F760" s="6"/>
    </row>
    <row r="761">
      <c r="F761" s="6"/>
    </row>
    <row r="762">
      <c r="F762" s="6"/>
    </row>
    <row r="763">
      <c r="F763" s="6"/>
    </row>
    <row r="764">
      <c r="F764" s="6"/>
    </row>
    <row r="765">
      <c r="F765" s="6"/>
    </row>
    <row r="766">
      <c r="F766" s="6"/>
    </row>
    <row r="767">
      <c r="F767" s="6"/>
    </row>
    <row r="768">
      <c r="F768" s="6"/>
    </row>
    <row r="769">
      <c r="F769" s="6"/>
    </row>
    <row r="770">
      <c r="F770" s="6"/>
    </row>
    <row r="771">
      <c r="F771" s="6"/>
    </row>
    <row r="772">
      <c r="F772" s="6"/>
    </row>
    <row r="773">
      <c r="F773" s="6"/>
    </row>
    <row r="774">
      <c r="F774" s="6"/>
    </row>
    <row r="775">
      <c r="F775" s="6"/>
    </row>
    <row r="776">
      <c r="F776" s="6"/>
    </row>
    <row r="777">
      <c r="F777" s="6"/>
    </row>
    <row r="778">
      <c r="F778" s="6"/>
    </row>
    <row r="779">
      <c r="F779" s="6"/>
    </row>
    <row r="780">
      <c r="F780" s="6"/>
    </row>
    <row r="781">
      <c r="F781" s="6"/>
    </row>
    <row r="782">
      <c r="F782" s="6"/>
    </row>
    <row r="783">
      <c r="F783" s="6"/>
    </row>
    <row r="784">
      <c r="F784" s="6"/>
    </row>
    <row r="785">
      <c r="F785" s="6"/>
    </row>
    <row r="786">
      <c r="F786" s="6"/>
    </row>
    <row r="787">
      <c r="F787" s="6"/>
    </row>
    <row r="788">
      <c r="F788" s="6"/>
    </row>
    <row r="789">
      <c r="F789" s="6"/>
    </row>
    <row r="790">
      <c r="F790" s="6"/>
    </row>
    <row r="791">
      <c r="F791" s="6"/>
    </row>
    <row r="792">
      <c r="F792" s="6"/>
    </row>
    <row r="793">
      <c r="F793" s="6"/>
    </row>
    <row r="794">
      <c r="F794" s="6"/>
    </row>
    <row r="795">
      <c r="F795" s="6"/>
    </row>
    <row r="796">
      <c r="F796" s="6"/>
    </row>
    <row r="797">
      <c r="F797" s="6"/>
    </row>
    <row r="798">
      <c r="F798" s="6"/>
    </row>
    <row r="799">
      <c r="F799" s="6"/>
    </row>
    <row r="800">
      <c r="F800" s="6"/>
    </row>
    <row r="801">
      <c r="F801" s="6"/>
    </row>
    <row r="802">
      <c r="F802" s="6"/>
    </row>
    <row r="803">
      <c r="F803" s="6"/>
    </row>
    <row r="804">
      <c r="F804" s="6"/>
    </row>
    <row r="805">
      <c r="F805" s="6"/>
    </row>
    <row r="806">
      <c r="F806" s="6"/>
    </row>
    <row r="807">
      <c r="F807" s="6"/>
    </row>
    <row r="808">
      <c r="F808" s="6"/>
    </row>
    <row r="809">
      <c r="F809" s="6"/>
    </row>
    <row r="810">
      <c r="F810" s="6"/>
    </row>
    <row r="811">
      <c r="F811" s="6"/>
    </row>
    <row r="812">
      <c r="F812" s="6"/>
    </row>
    <row r="813">
      <c r="F813" s="6"/>
    </row>
    <row r="814">
      <c r="F814" s="6"/>
    </row>
    <row r="815">
      <c r="F815" s="6"/>
    </row>
    <row r="816">
      <c r="F816" s="6"/>
    </row>
    <row r="817">
      <c r="F817" s="6"/>
    </row>
    <row r="818">
      <c r="F818" s="6"/>
    </row>
    <row r="819">
      <c r="F819" s="6"/>
    </row>
    <row r="820">
      <c r="F820" s="6"/>
    </row>
    <row r="821">
      <c r="F821" s="6"/>
    </row>
    <row r="822">
      <c r="F822" s="6"/>
    </row>
    <row r="823">
      <c r="F823" s="6"/>
    </row>
    <row r="824">
      <c r="F824" s="6"/>
    </row>
    <row r="825">
      <c r="F825" s="6"/>
    </row>
    <row r="826">
      <c r="F826" s="6"/>
    </row>
    <row r="827">
      <c r="F827" s="6"/>
    </row>
    <row r="828">
      <c r="F828" s="6"/>
    </row>
    <row r="829">
      <c r="F829" s="6"/>
    </row>
    <row r="830">
      <c r="F830" s="6"/>
    </row>
    <row r="831">
      <c r="F831" s="6"/>
    </row>
    <row r="832">
      <c r="F832" s="6"/>
    </row>
    <row r="833">
      <c r="F833" s="6"/>
    </row>
    <row r="834">
      <c r="F834" s="6"/>
    </row>
    <row r="835">
      <c r="F835" s="6"/>
    </row>
    <row r="836">
      <c r="F836" s="6"/>
    </row>
    <row r="837">
      <c r="F837" s="6"/>
    </row>
    <row r="838">
      <c r="F838" s="6"/>
    </row>
    <row r="839">
      <c r="F839" s="6"/>
    </row>
    <row r="840">
      <c r="F840" s="6"/>
    </row>
    <row r="841">
      <c r="F841" s="6"/>
    </row>
    <row r="842">
      <c r="F842" s="6"/>
    </row>
    <row r="843">
      <c r="F843" s="6"/>
    </row>
    <row r="844">
      <c r="F844" s="6"/>
    </row>
    <row r="845">
      <c r="F845" s="6"/>
    </row>
    <row r="846">
      <c r="F846" s="6"/>
    </row>
    <row r="847">
      <c r="F847" s="6"/>
    </row>
    <row r="848">
      <c r="F848" s="6"/>
    </row>
    <row r="849">
      <c r="F849" s="6"/>
    </row>
    <row r="850">
      <c r="F850" s="6"/>
    </row>
    <row r="851">
      <c r="F851" s="6"/>
    </row>
    <row r="852">
      <c r="F852" s="6"/>
    </row>
    <row r="853">
      <c r="F853" s="6"/>
    </row>
    <row r="854">
      <c r="F854" s="6"/>
    </row>
    <row r="855">
      <c r="F855" s="6"/>
    </row>
    <row r="856">
      <c r="F856" s="6"/>
    </row>
    <row r="857">
      <c r="F857" s="6"/>
    </row>
    <row r="858">
      <c r="F858" s="6"/>
    </row>
    <row r="859">
      <c r="F859" s="6"/>
    </row>
    <row r="860">
      <c r="F860" s="6"/>
    </row>
    <row r="861">
      <c r="F861" s="6"/>
    </row>
    <row r="862">
      <c r="F862" s="6"/>
    </row>
    <row r="863">
      <c r="F863" s="6"/>
    </row>
    <row r="864">
      <c r="F864" s="6"/>
    </row>
    <row r="865">
      <c r="F865" s="6"/>
    </row>
    <row r="866">
      <c r="F866" s="6"/>
    </row>
    <row r="867">
      <c r="F867" s="6"/>
    </row>
    <row r="868">
      <c r="F868" s="6"/>
    </row>
    <row r="869">
      <c r="F869" s="6"/>
    </row>
    <row r="870">
      <c r="F870" s="6"/>
    </row>
    <row r="871">
      <c r="F871" s="6"/>
    </row>
    <row r="872">
      <c r="F872" s="6"/>
    </row>
    <row r="873">
      <c r="F873" s="6"/>
    </row>
    <row r="874">
      <c r="F874" s="6"/>
    </row>
    <row r="875">
      <c r="F875" s="6"/>
    </row>
    <row r="876">
      <c r="F876" s="6"/>
    </row>
    <row r="877">
      <c r="F877" s="6"/>
    </row>
    <row r="878">
      <c r="F878" s="6"/>
    </row>
    <row r="879">
      <c r="F879" s="6"/>
    </row>
    <row r="880">
      <c r="F880" s="6"/>
    </row>
    <row r="881">
      <c r="F881" s="6"/>
    </row>
    <row r="882">
      <c r="F882" s="6"/>
    </row>
    <row r="883">
      <c r="F883" s="6"/>
    </row>
    <row r="884">
      <c r="F884" s="6"/>
    </row>
    <row r="885">
      <c r="F885" s="6"/>
    </row>
    <row r="886">
      <c r="F886" s="6"/>
    </row>
    <row r="887">
      <c r="F887" s="6"/>
    </row>
    <row r="888">
      <c r="F888" s="6"/>
    </row>
    <row r="889">
      <c r="F889" s="6"/>
    </row>
    <row r="890">
      <c r="F890" s="6"/>
    </row>
    <row r="891">
      <c r="F891" s="6"/>
    </row>
    <row r="892">
      <c r="F892" s="6"/>
    </row>
    <row r="893">
      <c r="F893" s="6"/>
    </row>
    <row r="894">
      <c r="F894" s="6"/>
    </row>
    <row r="895">
      <c r="F895" s="6"/>
    </row>
    <row r="896">
      <c r="F896" s="6"/>
    </row>
    <row r="897">
      <c r="F897" s="6"/>
    </row>
    <row r="898">
      <c r="F898" s="6"/>
    </row>
    <row r="899">
      <c r="F899" s="6"/>
    </row>
    <row r="900">
      <c r="F900" s="6"/>
    </row>
    <row r="901">
      <c r="F901" s="6"/>
    </row>
    <row r="902">
      <c r="F902" s="6"/>
    </row>
    <row r="903">
      <c r="F903" s="6"/>
    </row>
    <row r="904">
      <c r="F904" s="6"/>
    </row>
    <row r="905">
      <c r="F905" s="6"/>
    </row>
    <row r="906">
      <c r="F906" s="6"/>
    </row>
    <row r="907">
      <c r="F907" s="6"/>
    </row>
    <row r="908">
      <c r="F908" s="6"/>
    </row>
    <row r="909">
      <c r="F909" s="6"/>
    </row>
    <row r="910">
      <c r="F910" s="6"/>
    </row>
    <row r="911">
      <c r="F911" s="6"/>
    </row>
    <row r="912">
      <c r="F912" s="6"/>
    </row>
    <row r="913">
      <c r="F913" s="6"/>
    </row>
    <row r="914">
      <c r="F914" s="6"/>
    </row>
    <row r="915">
      <c r="F915" s="6"/>
    </row>
    <row r="916">
      <c r="F916" s="6"/>
    </row>
    <row r="917">
      <c r="F917" s="6"/>
    </row>
    <row r="918">
      <c r="F918" s="6"/>
    </row>
    <row r="919">
      <c r="F919" s="6"/>
    </row>
    <row r="920">
      <c r="F920" s="6"/>
    </row>
    <row r="921">
      <c r="F921" s="6"/>
    </row>
    <row r="922">
      <c r="F922" s="6"/>
    </row>
    <row r="923">
      <c r="F923" s="6"/>
    </row>
    <row r="924">
      <c r="F924" s="6"/>
    </row>
    <row r="925">
      <c r="F925" s="6"/>
    </row>
    <row r="926">
      <c r="F926" s="6"/>
    </row>
    <row r="927">
      <c r="F927" s="6"/>
    </row>
    <row r="928">
      <c r="F928" s="6"/>
    </row>
    <row r="929">
      <c r="F929" s="6"/>
    </row>
    <row r="930">
      <c r="F930" s="6"/>
    </row>
    <row r="931">
      <c r="F931" s="6"/>
    </row>
    <row r="932">
      <c r="F932" s="6"/>
    </row>
    <row r="933">
      <c r="F933" s="6"/>
    </row>
    <row r="934">
      <c r="F934" s="6"/>
    </row>
    <row r="935">
      <c r="F935" s="6"/>
    </row>
    <row r="936">
      <c r="F936" s="6"/>
    </row>
    <row r="937">
      <c r="F937" s="6"/>
    </row>
    <row r="938">
      <c r="F938" s="6"/>
    </row>
    <row r="939">
      <c r="F939" s="6"/>
    </row>
    <row r="940">
      <c r="F940" s="6"/>
    </row>
    <row r="941">
      <c r="F941" s="6"/>
    </row>
    <row r="942">
      <c r="F942" s="6"/>
    </row>
    <row r="943">
      <c r="F943" s="6"/>
    </row>
    <row r="944">
      <c r="F944" s="6"/>
    </row>
    <row r="945">
      <c r="F945" s="6"/>
    </row>
    <row r="946">
      <c r="F946" s="6"/>
    </row>
    <row r="947">
      <c r="F947" s="6"/>
    </row>
    <row r="948">
      <c r="F948" s="6"/>
    </row>
    <row r="949">
      <c r="F949" s="6"/>
    </row>
    <row r="950">
      <c r="F950" s="6"/>
    </row>
    <row r="951">
      <c r="F951" s="6"/>
    </row>
    <row r="952">
      <c r="F952" s="6"/>
    </row>
    <row r="953">
      <c r="F953" s="6"/>
    </row>
    <row r="954">
      <c r="F954" s="6"/>
    </row>
    <row r="955">
      <c r="F955" s="6"/>
    </row>
    <row r="956">
      <c r="F956" s="6"/>
    </row>
    <row r="957">
      <c r="F957" s="6"/>
    </row>
    <row r="958">
      <c r="F958" s="6"/>
    </row>
    <row r="959">
      <c r="F959" s="6"/>
    </row>
    <row r="960">
      <c r="F960" s="6"/>
    </row>
    <row r="961">
      <c r="F961" s="6"/>
    </row>
    <row r="962">
      <c r="F962" s="6"/>
    </row>
    <row r="963">
      <c r="F963" s="6"/>
    </row>
    <row r="964">
      <c r="F964" s="6"/>
    </row>
    <row r="965">
      <c r="F965" s="6"/>
    </row>
    <row r="966">
      <c r="F966" s="6"/>
    </row>
    <row r="967">
      <c r="F967" s="6"/>
    </row>
    <row r="968">
      <c r="F968" s="6"/>
    </row>
    <row r="969">
      <c r="F969" s="6"/>
    </row>
    <row r="970">
      <c r="F970" s="6"/>
    </row>
    <row r="971">
      <c r="F971" s="6"/>
    </row>
    <row r="972">
      <c r="F972" s="6"/>
    </row>
    <row r="973">
      <c r="F973" s="6"/>
    </row>
    <row r="974">
      <c r="F974" s="6"/>
    </row>
    <row r="975">
      <c r="F975" s="6"/>
    </row>
    <row r="976">
      <c r="F976" s="6"/>
    </row>
    <row r="977">
      <c r="F977" s="6"/>
    </row>
    <row r="978">
      <c r="F978" s="6"/>
    </row>
    <row r="979">
      <c r="F979" s="6"/>
    </row>
    <row r="980">
      <c r="F980" s="6"/>
    </row>
    <row r="981">
      <c r="F981" s="6"/>
    </row>
    <row r="982">
      <c r="F982" s="6"/>
    </row>
    <row r="983">
      <c r="F983" s="6"/>
    </row>
    <row r="984">
      <c r="F984" s="6"/>
    </row>
    <row r="985">
      <c r="F985" s="6"/>
    </row>
    <row r="986">
      <c r="F986" s="6"/>
    </row>
    <row r="987">
      <c r="F987" s="6"/>
    </row>
    <row r="988">
      <c r="F988" s="6"/>
    </row>
    <row r="989">
      <c r="F989" s="6"/>
    </row>
    <row r="990">
      <c r="F990" s="6"/>
    </row>
    <row r="991">
      <c r="F991" s="6"/>
    </row>
    <row r="992">
      <c r="F992" s="6"/>
    </row>
    <row r="993">
      <c r="F993" s="6"/>
    </row>
    <row r="994">
      <c r="F994" s="6"/>
    </row>
    <row r="995">
      <c r="F995" s="6"/>
    </row>
    <row r="996">
      <c r="F996" s="6"/>
    </row>
    <row r="997">
      <c r="F997" s="6"/>
    </row>
    <row r="998">
      <c r="F998" s="6"/>
    </row>
    <row r="999">
      <c r="F999" s="6"/>
    </row>
    <row r="1000">
      <c r="F1000" s="6"/>
    </row>
    <row r="1001">
      <c r="F1001" s="6"/>
    </row>
  </sheetData>
  <mergeCells count="2">
    <mergeCell ref="A1:G3"/>
    <mergeCell ref="A4:G4"/>
  </mergeCells>
  <hyperlinks>
    <hyperlink r:id="rId1" ref="A5"/>
  </hyperlinks>
  <drawing r:id="rId2"/>
</worksheet>
</file>